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omments1.xml" ContentType="application/vnd.openxmlformats-officedocument.spreadsheetml.comments+xml"/>
  <Override PartName="/xl/drawings/drawing9.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infras.sharepoint.com/sites/4207a/Documents/Geteilt mit sffv/Excel Tool/def/"/>
    </mc:Choice>
  </mc:AlternateContent>
  <xr:revisionPtr revIDLastSave="301" documentId="13_ncr:1_{4C84C0F0-5422-4424-9B98-A1E347D65C40}" xr6:coauthVersionLast="47" xr6:coauthVersionMax="47" xr10:uidLastSave="{43F821C1-D7D6-4687-BC7D-348DC4B40502}"/>
  <bookViews>
    <workbookView xWindow="-103" yWindow="-103" windowWidth="33120" windowHeight="18000" tabRatio="914" firstSheet="1" activeTab="1" xr2:uid="{BD0B7C65-F402-4E4D-8035-317F648FBFA3}"/>
  </bookViews>
  <sheets>
    <sheet name="À lire" sheetId="12" state="veryHidden" r:id="rId1"/>
    <sheet name="Éléments saisis (inputs)" sheetId="1" r:id="rId2"/>
    <sheet name="Résultats (outputs)" sheetId="13" r:id="rId3"/>
    <sheet name="1a. Defaults Segment-Ebene" sheetId="18" state="veryHidden" r:id="rId4"/>
    <sheet name="1b. Corrected Inputs Segment" sheetId="19" state="veryHidden" r:id="rId5"/>
    <sheet name="1c. Inputs Segment Summary" sheetId="20" state="veryHidden" r:id="rId6"/>
    <sheet name="1d. Dropdown Lists" sheetId="2" state="veryHidden" r:id="rId7"/>
    <sheet name="1e. Dropdown Values" sheetId="17" state="veryHidden" r:id="rId8"/>
    <sheet name="2. Eingaben Fahrzeug-Ebene" sheetId="3" state="veryHidden" r:id="rId9"/>
    <sheet name="2a. Ladekonzept" sheetId="9" state="veryHidden" r:id="rId10"/>
    <sheet name="2b. Kosten" sheetId="6" state="veryHidden" r:id="rId11"/>
    <sheet name="2c. LCA" sheetId="10" state="veryHidden" r:id="rId12"/>
    <sheet name="2d. Annahmen" sheetId="5" state="veryHidden" r:id="rId13"/>
    <sheet name="2e. Umweltrechner Verkehr" sheetId="14" state="veryHidden" r:id="rId14"/>
    <sheet name="3a. Detailierte Ergebnisse" sheetId="4" state="veryHidden" r:id="rId15"/>
    <sheet name="Hypothèses (pour information)" sheetId="21" r:id="rId16"/>
  </sheets>
  <definedNames>
    <definedName name="AC">'1d. Dropdown Lists'!$L$2:$L$3</definedName>
    <definedName name="DC">'1d. Dropdown Lists'!$L$3:$L$13</definedName>
    <definedName name="Einsatzart">'1d. Dropdown Lists'!$C$2:$C$3</definedName>
    <definedName name="Einsatzgebiet">'1d. Dropdown Lists'!$E$2:$E$4</definedName>
    <definedName name="Einsatzzweck">'1d. Dropdown Lists'!$D$2:$D$3</definedName>
    <definedName name="Grösse">'1d. Dropdown Lists'!$H$2:$H$5</definedName>
    <definedName name="Heimladen">'1d. Dropdown Lists'!$R$2:$R$3</definedName>
    <definedName name="Ladeleistung">'1d. Dropdown Lists'!$L$2:$L$13</definedName>
    <definedName name="Laufzeit">'1d. Dropdown Lists'!$J$2:$J$7</definedName>
    <definedName name="nFzg">'1c. Inputs Segment Summary'!$F$12</definedName>
    <definedName name="Nutzungsmuster">'1d. Dropdown Lists'!$F$2:$F$4</definedName>
    <definedName name="Segmente">'1d. Dropdown Lists'!$O$2:$O$11</definedName>
    <definedName name="User">'1d. Dropdown Lists'!$A$2:$A$3</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3" l="1"/>
  <c r="F17" i="13"/>
  <c r="F16" i="13"/>
  <c r="F15" i="13"/>
  <c r="F14" i="13"/>
  <c r="F13" i="13"/>
  <c r="F12" i="13"/>
  <c r="F11" i="13"/>
  <c r="F10" i="13"/>
  <c r="F9" i="13"/>
  <c r="F8" i="13"/>
  <c r="D17" i="13"/>
  <c r="D16" i="13"/>
  <c r="D15" i="13"/>
  <c r="D14" i="13"/>
  <c r="D13" i="13"/>
  <c r="D12" i="13"/>
  <c r="D11" i="13"/>
  <c r="D10" i="13"/>
  <c r="D9" i="13"/>
  <c r="D8" i="13"/>
  <c r="P27" i="13"/>
  <c r="F362" i="1"/>
  <c r="F326" i="1"/>
  <c r="F290" i="1"/>
  <c r="F254" i="1"/>
  <c r="F218" i="1"/>
  <c r="F182" i="1"/>
  <c r="F146" i="1"/>
  <c r="F110" i="1"/>
  <c r="F74" i="1"/>
  <c r="F38" i="1"/>
  <c r="F358" i="1"/>
  <c r="F322" i="1"/>
  <c r="F286" i="1"/>
  <c r="F250" i="1"/>
  <c r="F214" i="1"/>
  <c r="F178" i="1"/>
  <c r="F142" i="1"/>
  <c r="F106" i="1"/>
  <c r="F70" i="1"/>
  <c r="F34" i="1"/>
  <c r="F357" i="1"/>
  <c r="F321" i="1"/>
  <c r="F285" i="1"/>
  <c r="F249" i="1"/>
  <c r="F213" i="1"/>
  <c r="F177" i="1"/>
  <c r="F141" i="1"/>
  <c r="F105" i="1"/>
  <c r="F69" i="1"/>
  <c r="F33" i="1"/>
  <c r="F356" i="1"/>
  <c r="F320" i="1"/>
  <c r="F284" i="1"/>
  <c r="F248" i="1"/>
  <c r="F212" i="1"/>
  <c r="F176" i="1"/>
  <c r="F140" i="1"/>
  <c r="F104" i="1"/>
  <c r="F68" i="1"/>
  <c r="F32" i="1"/>
  <c r="F324" i="18"/>
  <c r="F288" i="18"/>
  <c r="F252" i="18"/>
  <c r="F216" i="18"/>
  <c r="F180" i="18"/>
  <c r="F144" i="18"/>
  <c r="F108" i="18"/>
  <c r="F72" i="18"/>
  <c r="F36" i="18"/>
  <c r="F360" i="18"/>
  <c r="F330" i="18"/>
  <c r="F326" i="18"/>
  <c r="F322" i="18"/>
  <c r="F321" i="18"/>
  <c r="F320" i="18"/>
  <c r="F319" i="18"/>
  <c r="F309" i="18"/>
  <c r="F294" i="18"/>
  <c r="F290" i="18"/>
  <c r="F286" i="18"/>
  <c r="F285" i="18"/>
  <c r="F284" i="18"/>
  <c r="F283" i="18"/>
  <c r="F273" i="18"/>
  <c r="F258" i="18"/>
  <c r="F254" i="18"/>
  <c r="F250" i="18"/>
  <c r="F249" i="18"/>
  <c r="F248" i="18"/>
  <c r="F247" i="18"/>
  <c r="F237" i="18"/>
  <c r="F222" i="18"/>
  <c r="F218" i="18"/>
  <c r="F214" i="18"/>
  <c r="F213" i="18"/>
  <c r="F212" i="18"/>
  <c r="F211" i="18"/>
  <c r="F201" i="18"/>
  <c r="F186" i="18"/>
  <c r="F182" i="18"/>
  <c r="F178" i="18"/>
  <c r="F177" i="18"/>
  <c r="F176" i="18"/>
  <c r="F175" i="18"/>
  <c r="F165" i="18"/>
  <c r="F150" i="18"/>
  <c r="F146" i="18"/>
  <c r="F142" i="18"/>
  <c r="F141" i="18"/>
  <c r="F140" i="18"/>
  <c r="F139" i="18"/>
  <c r="F129" i="18"/>
  <c r="F114" i="18"/>
  <c r="F110" i="18"/>
  <c r="F106" i="18"/>
  <c r="F105" i="18"/>
  <c r="F104" i="18"/>
  <c r="F103" i="18"/>
  <c r="F93" i="18"/>
  <c r="F78" i="18"/>
  <c r="F74" i="18"/>
  <c r="F70" i="18"/>
  <c r="F69" i="18"/>
  <c r="F68" i="18"/>
  <c r="F67" i="18"/>
  <c r="F57" i="18"/>
  <c r="F42" i="18"/>
  <c r="F38" i="18"/>
  <c r="F34" i="18"/>
  <c r="F33" i="18"/>
  <c r="F32" i="18"/>
  <c r="F31" i="18"/>
  <c r="F21" i="18"/>
  <c r="F366" i="18"/>
  <c r="F362" i="18"/>
  <c r="F358" i="18"/>
  <c r="F357" i="18"/>
  <c r="F356" i="18"/>
  <c r="F355" i="18"/>
  <c r="F345" i="18"/>
  <c r="B22" i="5" a="1"/>
  <c r="B22" i="5" s="1"/>
  <c r="B13" i="5" a="1"/>
  <c r="B13" i="5" s="1"/>
  <c r="B4" i="5" a="1"/>
  <c r="B4" i="5" s="1"/>
  <c r="C17" i="13" l="1"/>
  <c r="C16" i="13"/>
  <c r="C15" i="13"/>
  <c r="C14" i="13"/>
  <c r="C13" i="13"/>
  <c r="C12" i="13"/>
  <c r="C11" i="13"/>
  <c r="C10" i="13"/>
  <c r="C9" i="13"/>
  <c r="P36" i="13"/>
  <c r="P35" i="13"/>
  <c r="P34" i="13"/>
  <c r="P33" i="13"/>
  <c r="P32" i="13"/>
  <c r="P31" i="13"/>
  <c r="P30" i="13"/>
  <c r="P29" i="13"/>
  <c r="P28" i="13"/>
  <c r="C22" i="4" l="1" a="1"/>
  <c r="C22" i="4" s="1"/>
  <c r="R21" i="21" l="1"/>
  <c r="R25" i="21"/>
  <c r="R24" i="21"/>
  <c r="F42" i="1" l="1"/>
  <c r="F366" i="1"/>
  <c r="F330" i="1"/>
  <c r="F294" i="1"/>
  <c r="F258" i="1"/>
  <c r="F222" i="1"/>
  <c r="F186" i="1"/>
  <c r="F150" i="1"/>
  <c r="F114" i="1"/>
  <c r="F78" i="1"/>
  <c r="D366" i="1"/>
  <c r="D366" i="19" s="1"/>
  <c r="D358" i="1"/>
  <c r="D359" i="1" s="1"/>
  <c r="D359" i="19" s="1"/>
  <c r="D330" i="1"/>
  <c r="D330" i="19" s="1"/>
  <c r="D323" i="1"/>
  <c r="D323" i="19" s="1"/>
  <c r="D322" i="1"/>
  <c r="D294" i="1"/>
  <c r="D294" i="19" s="1"/>
  <c r="D286" i="1"/>
  <c r="D287" i="1" s="1"/>
  <c r="D287" i="19" s="1"/>
  <c r="D258" i="1"/>
  <c r="D258" i="19" s="1"/>
  <c r="D250" i="1"/>
  <c r="D251" i="1" s="1"/>
  <c r="D251" i="19" s="1"/>
  <c r="D222" i="1"/>
  <c r="D222" i="19" s="1"/>
  <c r="D214" i="1"/>
  <c r="D215" i="1" s="1"/>
  <c r="D215" i="19" s="1"/>
  <c r="D186" i="1"/>
  <c r="D186" i="19" s="1"/>
  <c r="D178" i="1"/>
  <c r="D179" i="1" s="1"/>
  <c r="D179" i="19" s="1"/>
  <c r="D150" i="1"/>
  <c r="D143" i="1"/>
  <c r="D143" i="19" s="1"/>
  <c r="D142" i="1"/>
  <c r="D114" i="1"/>
  <c r="D106" i="1"/>
  <c r="D106" i="19" s="1"/>
  <c r="D78" i="1"/>
  <c r="D70" i="1"/>
  <c r="D71" i="1" s="1"/>
  <c r="D71" i="19" s="1"/>
  <c r="D41" i="18"/>
  <c r="D77" i="18"/>
  <c r="D113" i="18"/>
  <c r="D149" i="18"/>
  <c r="D185" i="18"/>
  <c r="D221" i="18"/>
  <c r="D257" i="18"/>
  <c r="D293" i="18"/>
  <c r="D329" i="18"/>
  <c r="D365" i="18"/>
  <c r="D339" i="19"/>
  <c r="D303" i="19"/>
  <c r="D267" i="19"/>
  <c r="D231" i="19"/>
  <c r="D195" i="19"/>
  <c r="D159" i="19"/>
  <c r="D123" i="19"/>
  <c r="D87" i="19"/>
  <c r="D51" i="19"/>
  <c r="E372" i="19"/>
  <c r="E371" i="19"/>
  <c r="E370" i="19"/>
  <c r="E369" i="19"/>
  <c r="E368" i="19"/>
  <c r="E367" i="19"/>
  <c r="E366" i="19"/>
  <c r="D365" i="19"/>
  <c r="E364" i="19"/>
  <c r="E363" i="19"/>
  <c r="C363" i="19"/>
  <c r="E362" i="19"/>
  <c r="E359" i="19"/>
  <c r="E358" i="19"/>
  <c r="D358" i="19"/>
  <c r="E355" i="19"/>
  <c r="E354" i="19"/>
  <c r="D354" i="19"/>
  <c r="E353" i="19"/>
  <c r="E352" i="19"/>
  <c r="C352" i="19"/>
  <c r="E351" i="19"/>
  <c r="E350" i="19"/>
  <c r="E349" i="19"/>
  <c r="E348" i="19"/>
  <c r="D348" i="19"/>
  <c r="E347" i="19"/>
  <c r="E346" i="19"/>
  <c r="C346" i="19"/>
  <c r="E345" i="19"/>
  <c r="E344" i="19"/>
  <c r="D344" i="19"/>
  <c r="E343" i="19"/>
  <c r="D343" i="19"/>
  <c r="E342" i="19"/>
  <c r="E341" i="19"/>
  <c r="E340" i="19"/>
  <c r="C340" i="19"/>
  <c r="E339" i="19"/>
  <c r="C339" i="19"/>
  <c r="E336" i="19"/>
  <c r="E335" i="19"/>
  <c r="E334" i="19"/>
  <c r="E333" i="19"/>
  <c r="E332" i="19"/>
  <c r="E331" i="19"/>
  <c r="E330" i="19"/>
  <c r="D329" i="19"/>
  <c r="E328" i="19"/>
  <c r="E327" i="19"/>
  <c r="C327" i="19"/>
  <c r="E326" i="19"/>
  <c r="E323" i="19"/>
  <c r="E322" i="19"/>
  <c r="D322" i="19"/>
  <c r="E319" i="19"/>
  <c r="E318" i="19"/>
  <c r="D318" i="19"/>
  <c r="E317" i="19"/>
  <c r="E316" i="19"/>
  <c r="C316" i="19"/>
  <c r="E315" i="19"/>
  <c r="E314" i="19"/>
  <c r="E313" i="19"/>
  <c r="E312" i="19"/>
  <c r="D312" i="19"/>
  <c r="E311" i="19"/>
  <c r="E310" i="19"/>
  <c r="C310" i="19"/>
  <c r="E309" i="19"/>
  <c r="E308" i="19"/>
  <c r="D308" i="19"/>
  <c r="E307" i="19"/>
  <c r="D307" i="19"/>
  <c r="E306" i="19"/>
  <c r="E305" i="19"/>
  <c r="E304" i="19"/>
  <c r="C304" i="19"/>
  <c r="E303" i="19"/>
  <c r="C303" i="19"/>
  <c r="E300" i="19"/>
  <c r="E299" i="19"/>
  <c r="E298" i="19"/>
  <c r="E297" i="19"/>
  <c r="E296" i="19"/>
  <c r="E295" i="19"/>
  <c r="E294" i="19"/>
  <c r="D293" i="19"/>
  <c r="E292" i="19"/>
  <c r="E291" i="19"/>
  <c r="C291" i="19"/>
  <c r="E290" i="19"/>
  <c r="E287" i="19"/>
  <c r="E286" i="19"/>
  <c r="E283" i="19"/>
  <c r="E282" i="19"/>
  <c r="D282" i="19"/>
  <c r="E281" i="19"/>
  <c r="E280" i="19"/>
  <c r="C280" i="19"/>
  <c r="E279" i="19"/>
  <c r="E278" i="19"/>
  <c r="E277" i="19"/>
  <c r="E276" i="19"/>
  <c r="D276" i="19"/>
  <c r="E275" i="19"/>
  <c r="E274" i="19"/>
  <c r="C274" i="19"/>
  <c r="E273" i="19"/>
  <c r="E272" i="19"/>
  <c r="D272" i="19"/>
  <c r="E271" i="19"/>
  <c r="D271" i="19"/>
  <c r="E270" i="19"/>
  <c r="E269" i="19"/>
  <c r="E268" i="19"/>
  <c r="C268" i="19"/>
  <c r="E267" i="19"/>
  <c r="C267" i="19"/>
  <c r="E264" i="19"/>
  <c r="E263" i="19"/>
  <c r="E262" i="19"/>
  <c r="E261" i="19"/>
  <c r="E260" i="19"/>
  <c r="E259" i="19"/>
  <c r="E258" i="19"/>
  <c r="D257" i="19"/>
  <c r="E256" i="19"/>
  <c r="E255" i="19"/>
  <c r="C255" i="19"/>
  <c r="E254" i="19"/>
  <c r="E251" i="19"/>
  <c r="E250" i="19"/>
  <c r="D250" i="19"/>
  <c r="E247" i="19"/>
  <c r="E246" i="19"/>
  <c r="D246" i="19"/>
  <c r="E245" i="19"/>
  <c r="E244" i="19"/>
  <c r="C244" i="19"/>
  <c r="E243" i="19"/>
  <c r="E242" i="19"/>
  <c r="E241" i="19"/>
  <c r="E240" i="19"/>
  <c r="D240" i="19"/>
  <c r="E239" i="19"/>
  <c r="E238" i="19"/>
  <c r="C238" i="19"/>
  <c r="E237" i="19"/>
  <c r="E236" i="19"/>
  <c r="D236" i="19"/>
  <c r="E235" i="19"/>
  <c r="D235" i="19"/>
  <c r="E234" i="19"/>
  <c r="E233" i="19"/>
  <c r="E232" i="19"/>
  <c r="C232" i="19"/>
  <c r="E231" i="19"/>
  <c r="C231" i="19"/>
  <c r="E228" i="19"/>
  <c r="E227" i="19"/>
  <c r="E226" i="19"/>
  <c r="E225" i="19"/>
  <c r="E224" i="19"/>
  <c r="E223" i="19"/>
  <c r="E222" i="19"/>
  <c r="D221" i="19"/>
  <c r="E220" i="19"/>
  <c r="E219" i="19"/>
  <c r="C219" i="19"/>
  <c r="E218" i="19"/>
  <c r="E215" i="19"/>
  <c r="E214" i="19"/>
  <c r="D214" i="19"/>
  <c r="E211" i="19"/>
  <c r="E210" i="19"/>
  <c r="D210" i="19"/>
  <c r="E209" i="19"/>
  <c r="E208" i="19"/>
  <c r="C208" i="19"/>
  <c r="E207" i="19"/>
  <c r="E206" i="19"/>
  <c r="E205" i="19"/>
  <c r="E204" i="19"/>
  <c r="D204" i="19"/>
  <c r="E203" i="19"/>
  <c r="E202" i="19"/>
  <c r="C202" i="19"/>
  <c r="E201" i="19"/>
  <c r="E200" i="19"/>
  <c r="D200" i="19"/>
  <c r="E199" i="19"/>
  <c r="D199" i="19"/>
  <c r="E198" i="19"/>
  <c r="E197" i="19"/>
  <c r="E196" i="19"/>
  <c r="C196" i="19"/>
  <c r="E195" i="19"/>
  <c r="C195" i="19"/>
  <c r="E192" i="19"/>
  <c r="E191" i="19"/>
  <c r="E190" i="19"/>
  <c r="E189" i="19"/>
  <c r="E188" i="19"/>
  <c r="E187" i="19"/>
  <c r="E186" i="19"/>
  <c r="D185" i="19"/>
  <c r="E184" i="19"/>
  <c r="E183" i="19"/>
  <c r="C183" i="19"/>
  <c r="E182" i="19"/>
  <c r="E179" i="19"/>
  <c r="E178" i="19"/>
  <c r="E175" i="19"/>
  <c r="E174" i="19"/>
  <c r="D174" i="19"/>
  <c r="E173" i="19"/>
  <c r="E172" i="19"/>
  <c r="C172" i="19"/>
  <c r="E171" i="19"/>
  <c r="E170" i="19"/>
  <c r="E169" i="19"/>
  <c r="E168" i="19"/>
  <c r="D168" i="19"/>
  <c r="E167" i="19"/>
  <c r="E166" i="19"/>
  <c r="C166" i="19"/>
  <c r="E165" i="19"/>
  <c r="E164" i="19"/>
  <c r="D164" i="19"/>
  <c r="E163" i="19"/>
  <c r="D163" i="19"/>
  <c r="E162" i="19"/>
  <c r="E161" i="19"/>
  <c r="E160" i="19"/>
  <c r="C160" i="19"/>
  <c r="E159" i="19"/>
  <c r="C159" i="19"/>
  <c r="E156" i="19"/>
  <c r="E155" i="19"/>
  <c r="E154" i="19"/>
  <c r="E153" i="19"/>
  <c r="E152" i="19"/>
  <c r="E151" i="19"/>
  <c r="E150" i="19"/>
  <c r="D150" i="19"/>
  <c r="D149" i="19"/>
  <c r="E148" i="19"/>
  <c r="E147" i="19"/>
  <c r="C147" i="19"/>
  <c r="E146" i="19"/>
  <c r="E143" i="19"/>
  <c r="E142" i="19"/>
  <c r="D142" i="19"/>
  <c r="E139" i="19"/>
  <c r="E138" i="19"/>
  <c r="D138" i="19"/>
  <c r="E137" i="19"/>
  <c r="E136" i="19"/>
  <c r="C136" i="19"/>
  <c r="E135" i="19"/>
  <c r="E134" i="19"/>
  <c r="E133" i="19"/>
  <c r="E132" i="19"/>
  <c r="D132" i="19"/>
  <c r="E131" i="19"/>
  <c r="E130" i="19"/>
  <c r="C130" i="19"/>
  <c r="E129" i="19"/>
  <c r="E128" i="19"/>
  <c r="D128" i="19"/>
  <c r="E127" i="19"/>
  <c r="D127" i="19"/>
  <c r="E126" i="19"/>
  <c r="E125" i="19"/>
  <c r="E124" i="19"/>
  <c r="C124" i="19"/>
  <c r="E123" i="19"/>
  <c r="C123" i="19"/>
  <c r="E120" i="19"/>
  <c r="E119" i="19"/>
  <c r="E118" i="19"/>
  <c r="E117" i="19"/>
  <c r="E116" i="19"/>
  <c r="E115" i="19"/>
  <c r="E114" i="19"/>
  <c r="D114" i="19"/>
  <c r="D113" i="19"/>
  <c r="E112" i="19"/>
  <c r="E111" i="19"/>
  <c r="C111" i="19"/>
  <c r="E110" i="19"/>
  <c r="E107" i="19"/>
  <c r="E106" i="19"/>
  <c r="E103" i="19"/>
  <c r="E102" i="19"/>
  <c r="D102" i="19"/>
  <c r="E101" i="19"/>
  <c r="E100" i="19"/>
  <c r="C100" i="19"/>
  <c r="E99" i="19"/>
  <c r="E98" i="19"/>
  <c r="E97" i="19"/>
  <c r="E96" i="19"/>
  <c r="D96" i="19"/>
  <c r="E95" i="19"/>
  <c r="E94" i="19"/>
  <c r="C94" i="19"/>
  <c r="E93" i="19"/>
  <c r="E92" i="19"/>
  <c r="D92" i="19"/>
  <c r="E91" i="19"/>
  <c r="D91" i="19"/>
  <c r="E90" i="19"/>
  <c r="E89" i="19"/>
  <c r="E88" i="19"/>
  <c r="C88" i="19"/>
  <c r="E87" i="19"/>
  <c r="C87" i="19"/>
  <c r="E84" i="19"/>
  <c r="E83" i="19"/>
  <c r="E82" i="19"/>
  <c r="E81" i="19"/>
  <c r="E80" i="19"/>
  <c r="E79" i="19"/>
  <c r="E78" i="19"/>
  <c r="D78" i="19"/>
  <c r="D77" i="19"/>
  <c r="E76" i="19"/>
  <c r="E75" i="19"/>
  <c r="C75" i="19"/>
  <c r="E74" i="19"/>
  <c r="E71" i="19"/>
  <c r="E70" i="19"/>
  <c r="D70" i="19"/>
  <c r="E67" i="19"/>
  <c r="E66" i="19"/>
  <c r="D66" i="19"/>
  <c r="E65" i="19"/>
  <c r="E64" i="19"/>
  <c r="C64" i="19"/>
  <c r="E63" i="19"/>
  <c r="E62" i="19"/>
  <c r="E61" i="19"/>
  <c r="E60" i="19"/>
  <c r="D60" i="19"/>
  <c r="E59" i="19"/>
  <c r="E58" i="19"/>
  <c r="C58" i="19"/>
  <c r="E57" i="19"/>
  <c r="E56" i="19"/>
  <c r="D56" i="19"/>
  <c r="E55" i="19"/>
  <c r="D55" i="19"/>
  <c r="E54" i="19"/>
  <c r="E53" i="19"/>
  <c r="E52" i="19"/>
  <c r="C52" i="19"/>
  <c r="E51" i="19"/>
  <c r="C51" i="19"/>
  <c r="E372" i="18"/>
  <c r="E371" i="18"/>
  <c r="E370" i="18"/>
  <c r="E369" i="18"/>
  <c r="E368" i="18"/>
  <c r="E367" i="18"/>
  <c r="E366" i="18"/>
  <c r="E364" i="18"/>
  <c r="E363" i="18"/>
  <c r="C363" i="18"/>
  <c r="E362" i="18"/>
  <c r="E359" i="18"/>
  <c r="E358" i="18"/>
  <c r="E355" i="18"/>
  <c r="E354" i="18"/>
  <c r="D354" i="18"/>
  <c r="D362" i="18" s="1" a="1"/>
  <c r="D362" i="18" s="1"/>
  <c r="E353" i="18"/>
  <c r="E352" i="18"/>
  <c r="C352" i="18"/>
  <c r="E351" i="18"/>
  <c r="E350" i="18"/>
  <c r="E349" i="18"/>
  <c r="E348" i="18"/>
  <c r="D348" i="18"/>
  <c r="E347" i="18"/>
  <c r="E346" i="18"/>
  <c r="C346" i="18"/>
  <c r="E345" i="18"/>
  <c r="E344" i="18"/>
  <c r="D344" i="18"/>
  <c r="E343" i="18"/>
  <c r="D343" i="18"/>
  <c r="D345" i="18" s="1" a="1"/>
  <c r="D345" i="18" s="1"/>
  <c r="E342" i="18"/>
  <c r="D342" i="18"/>
  <c r="E341" i="18"/>
  <c r="E340" i="18"/>
  <c r="C340" i="18"/>
  <c r="E339" i="18"/>
  <c r="C339" i="18"/>
  <c r="E336" i="18"/>
  <c r="E335" i="18"/>
  <c r="E334" i="18"/>
  <c r="E333" i="18"/>
  <c r="E332" i="18"/>
  <c r="E331" i="18"/>
  <c r="E330" i="18"/>
  <c r="E328" i="18"/>
  <c r="E327" i="18"/>
  <c r="C327" i="18"/>
  <c r="E326" i="18"/>
  <c r="E323" i="18"/>
  <c r="E322" i="18"/>
  <c r="E319" i="18"/>
  <c r="E318" i="18"/>
  <c r="D318" i="18"/>
  <c r="D326" i="18" s="1" a="1"/>
  <c r="D326" i="18" s="1"/>
  <c r="E317" i="18"/>
  <c r="E316" i="18"/>
  <c r="C316" i="18"/>
  <c r="E315" i="18"/>
  <c r="E314" i="18"/>
  <c r="E313" i="18"/>
  <c r="E312" i="18"/>
  <c r="D312" i="18"/>
  <c r="E311" i="18"/>
  <c r="E310" i="18"/>
  <c r="C310" i="18"/>
  <c r="E309" i="18"/>
  <c r="E308" i="18"/>
  <c r="D308" i="18"/>
  <c r="E307" i="18"/>
  <c r="D307" i="18"/>
  <c r="D309" i="18" s="1" a="1"/>
  <c r="D309" i="18" s="1"/>
  <c r="E306" i="18"/>
  <c r="D306" i="18"/>
  <c r="E305" i="18"/>
  <c r="E304" i="18"/>
  <c r="C304" i="18"/>
  <c r="E303" i="18"/>
  <c r="C303" i="18"/>
  <c r="E300" i="18"/>
  <c r="E299" i="18"/>
  <c r="E298" i="18"/>
  <c r="E297" i="18"/>
  <c r="E296" i="18"/>
  <c r="E295" i="18"/>
  <c r="E294" i="18"/>
  <c r="E292" i="18"/>
  <c r="E291" i="18"/>
  <c r="C291" i="18"/>
  <c r="E290" i="18"/>
  <c r="E287" i="18"/>
  <c r="E286" i="18"/>
  <c r="E283" i="18"/>
  <c r="E282" i="18"/>
  <c r="D282" i="18"/>
  <c r="D290" i="18" s="1" a="1"/>
  <c r="D290" i="18" s="1"/>
  <c r="E281" i="18"/>
  <c r="E280" i="18"/>
  <c r="C280" i="18"/>
  <c r="E279" i="18"/>
  <c r="E278" i="18"/>
  <c r="E277" i="18"/>
  <c r="E276" i="18"/>
  <c r="D276" i="18"/>
  <c r="E275" i="18"/>
  <c r="E274" i="18"/>
  <c r="C274" i="18"/>
  <c r="E273" i="18"/>
  <c r="E272" i="18"/>
  <c r="D272" i="18"/>
  <c r="E271" i="18"/>
  <c r="D271" i="18"/>
  <c r="D285" i="18" s="1"/>
  <c r="E270" i="18"/>
  <c r="D270" i="18"/>
  <c r="E269" i="18"/>
  <c r="E268" i="18"/>
  <c r="C268" i="18"/>
  <c r="E267" i="18"/>
  <c r="C267" i="18"/>
  <c r="E264" i="18"/>
  <c r="E263" i="18"/>
  <c r="E262" i="18"/>
  <c r="E261" i="18"/>
  <c r="E260" i="18"/>
  <c r="E259" i="18"/>
  <c r="E258" i="18"/>
  <c r="E256" i="18"/>
  <c r="E255" i="18"/>
  <c r="C255" i="18"/>
  <c r="E254" i="18"/>
  <c r="E251" i="18"/>
  <c r="E250" i="18"/>
  <c r="E247" i="18"/>
  <c r="E246" i="18"/>
  <c r="D246" i="18"/>
  <c r="D254" i="18" s="1" a="1"/>
  <c r="D254" i="18" s="1"/>
  <c r="E245" i="18"/>
  <c r="E244" i="18"/>
  <c r="C244" i="18"/>
  <c r="E243" i="18"/>
  <c r="E242" i="18"/>
  <c r="E241" i="18"/>
  <c r="E240" i="18"/>
  <c r="D240" i="18"/>
  <c r="E239" i="18"/>
  <c r="E238" i="18"/>
  <c r="C238" i="18"/>
  <c r="E237" i="18"/>
  <c r="E236" i="18"/>
  <c r="D236" i="18"/>
  <c r="E235" i="18"/>
  <c r="D235" i="18"/>
  <c r="D249" i="18" s="1"/>
  <c r="E234" i="18"/>
  <c r="D234" i="18"/>
  <c r="E233" i="18"/>
  <c r="E232" i="18"/>
  <c r="C232" i="18"/>
  <c r="E231" i="18"/>
  <c r="C231" i="18"/>
  <c r="E228" i="18"/>
  <c r="E227" i="18"/>
  <c r="E226" i="18"/>
  <c r="E225" i="18"/>
  <c r="E224" i="18"/>
  <c r="E223" i="18"/>
  <c r="E222" i="18"/>
  <c r="E220" i="18"/>
  <c r="E219" i="18"/>
  <c r="C219" i="18"/>
  <c r="E218" i="18"/>
  <c r="E215" i="18"/>
  <c r="E214" i="18"/>
  <c r="E211" i="18"/>
  <c r="E210" i="18"/>
  <c r="D210" i="18"/>
  <c r="D218" i="18" s="1" a="1"/>
  <c r="D218" i="18" s="1"/>
  <c r="E209" i="18"/>
  <c r="E208" i="18"/>
  <c r="C208" i="18"/>
  <c r="E207" i="18"/>
  <c r="E206" i="18"/>
  <c r="E205" i="18"/>
  <c r="E204" i="18"/>
  <c r="D204" i="18"/>
  <c r="E203" i="18"/>
  <c r="E202" i="18"/>
  <c r="C202" i="18"/>
  <c r="E201" i="18"/>
  <c r="E200" i="18"/>
  <c r="D200" i="18"/>
  <c r="E199" i="18"/>
  <c r="D199" i="18"/>
  <c r="D201" i="18" s="1" a="1"/>
  <c r="D201" i="18" s="1"/>
  <c r="E198" i="18"/>
  <c r="D198" i="18"/>
  <c r="E197" i="18"/>
  <c r="E196" i="18"/>
  <c r="C196" i="18"/>
  <c r="E195" i="18"/>
  <c r="C195" i="18"/>
  <c r="E192" i="18"/>
  <c r="E191" i="18"/>
  <c r="E190" i="18"/>
  <c r="E189" i="18"/>
  <c r="E188" i="18"/>
  <c r="E187" i="18"/>
  <c r="E186" i="18"/>
  <c r="E184" i="18"/>
  <c r="E183" i="18"/>
  <c r="C183" i="18"/>
  <c r="E182" i="18"/>
  <c r="E179" i="18"/>
  <c r="E178" i="18"/>
  <c r="E175" i="18"/>
  <c r="E174" i="18"/>
  <c r="D174" i="18"/>
  <c r="D182" i="18" s="1" a="1"/>
  <c r="D182" i="18" s="1"/>
  <c r="E173" i="18"/>
  <c r="E172" i="18"/>
  <c r="C172" i="18"/>
  <c r="E171" i="18"/>
  <c r="E170" i="18"/>
  <c r="E169" i="18"/>
  <c r="E168" i="18"/>
  <c r="D168" i="18"/>
  <c r="E167" i="18"/>
  <c r="E166" i="18"/>
  <c r="C166" i="18"/>
  <c r="E165" i="18"/>
  <c r="E164" i="18"/>
  <c r="D164" i="18"/>
  <c r="E163" i="18"/>
  <c r="D163" i="18"/>
  <c r="D165" i="18" s="1" a="1"/>
  <c r="D165" i="18" s="1"/>
  <c r="E162" i="18"/>
  <c r="D162" i="18"/>
  <c r="E161" i="18"/>
  <c r="E160" i="18"/>
  <c r="C160" i="18"/>
  <c r="E159" i="18"/>
  <c r="C159" i="18"/>
  <c r="E156" i="18"/>
  <c r="E155" i="18"/>
  <c r="E154" i="18"/>
  <c r="E153" i="18"/>
  <c r="E152" i="18"/>
  <c r="D152" i="18" a="1"/>
  <c r="D152" i="18" s="1"/>
  <c r="E151" i="18"/>
  <c r="E150" i="18"/>
  <c r="E148" i="18"/>
  <c r="E147" i="18"/>
  <c r="C147" i="18"/>
  <c r="E146" i="18"/>
  <c r="E143" i="18"/>
  <c r="E142" i="18"/>
  <c r="E139" i="18"/>
  <c r="E138" i="18"/>
  <c r="D138" i="18"/>
  <c r="D146" i="18" s="1" a="1"/>
  <c r="D146" i="18" s="1"/>
  <c r="E137" i="18"/>
  <c r="E136" i="18"/>
  <c r="C136" i="18"/>
  <c r="E135" i="18"/>
  <c r="E134" i="18"/>
  <c r="E133" i="18"/>
  <c r="E132" i="18"/>
  <c r="D132" i="18"/>
  <c r="E131" i="18"/>
  <c r="E130" i="18"/>
  <c r="C130" i="18"/>
  <c r="E129" i="18"/>
  <c r="E128" i="18"/>
  <c r="D128" i="18"/>
  <c r="E127" i="18"/>
  <c r="D127" i="18"/>
  <c r="D129" i="18" s="1" a="1"/>
  <c r="D129" i="18" s="1"/>
  <c r="E126" i="18"/>
  <c r="D126" i="18"/>
  <c r="E125" i="18"/>
  <c r="E124" i="18"/>
  <c r="C124" i="18"/>
  <c r="E123" i="18"/>
  <c r="C123" i="18"/>
  <c r="E120" i="18"/>
  <c r="E119" i="18"/>
  <c r="E118" i="18"/>
  <c r="E117" i="18"/>
  <c r="E116" i="18"/>
  <c r="E115" i="18"/>
  <c r="E114" i="18"/>
  <c r="E112" i="18"/>
  <c r="E111" i="18"/>
  <c r="C111" i="18"/>
  <c r="E110" i="18"/>
  <c r="E107" i="18"/>
  <c r="E106" i="18"/>
  <c r="E103" i="18"/>
  <c r="E102" i="18"/>
  <c r="D102" i="18"/>
  <c r="D110" i="18" s="1" a="1"/>
  <c r="D110" i="18" s="1"/>
  <c r="E101" i="18"/>
  <c r="E100" i="18"/>
  <c r="C100" i="18"/>
  <c r="E99" i="18"/>
  <c r="E98" i="18"/>
  <c r="E97" i="18"/>
  <c r="E96" i="18"/>
  <c r="D96" i="18"/>
  <c r="D99" i="18" s="1" a="1"/>
  <c r="D99" i="18" s="1"/>
  <c r="F99" i="18" s="1"/>
  <c r="F99" i="1" s="1"/>
  <c r="E95" i="18"/>
  <c r="E94" i="18"/>
  <c r="C94" i="18"/>
  <c r="E93" i="18"/>
  <c r="E92" i="18"/>
  <c r="D92" i="18"/>
  <c r="E91" i="18"/>
  <c r="D91" i="18"/>
  <c r="D105" i="18" s="1"/>
  <c r="E90" i="18"/>
  <c r="D90" i="18"/>
  <c r="E89" i="18"/>
  <c r="E88" i="18"/>
  <c r="C88" i="18"/>
  <c r="E87" i="18"/>
  <c r="C87" i="18"/>
  <c r="E84" i="18"/>
  <c r="E83" i="18"/>
  <c r="E82" i="18"/>
  <c r="E81" i="18"/>
  <c r="E80" i="18"/>
  <c r="E79" i="18"/>
  <c r="E78" i="18"/>
  <c r="E76" i="18"/>
  <c r="E75" i="18"/>
  <c r="C75" i="18"/>
  <c r="E74" i="18"/>
  <c r="E71" i="18"/>
  <c r="E70" i="18"/>
  <c r="E67" i="18"/>
  <c r="E66" i="18"/>
  <c r="D66" i="18"/>
  <c r="E65" i="18"/>
  <c r="E64" i="18"/>
  <c r="C64" i="18"/>
  <c r="E63" i="18"/>
  <c r="E62" i="18"/>
  <c r="E61" i="18"/>
  <c r="E60" i="18"/>
  <c r="D60" i="18"/>
  <c r="D80" i="18" s="1" a="1"/>
  <c r="D80" i="18" s="1"/>
  <c r="E59" i="18"/>
  <c r="E58" i="18"/>
  <c r="C58" i="18"/>
  <c r="E57" i="18"/>
  <c r="E56" i="18"/>
  <c r="D56" i="18"/>
  <c r="E55" i="18"/>
  <c r="D55" i="18"/>
  <c r="D57" i="18" s="1" a="1"/>
  <c r="D57" i="18" s="1"/>
  <c r="E54" i="18"/>
  <c r="D54" i="18"/>
  <c r="E53" i="18"/>
  <c r="E52" i="18"/>
  <c r="C52" i="18"/>
  <c r="E51" i="18"/>
  <c r="C51" i="18"/>
  <c r="K58" i="21"/>
  <c r="I57" i="21"/>
  <c r="G57" i="21"/>
  <c r="K54" i="21"/>
  <c r="J54" i="21"/>
  <c r="H54" i="21"/>
  <c r="H70" i="21"/>
  <c r="G70" i="21"/>
  <c r="L69" i="21"/>
  <c r="G69" i="21"/>
  <c r="G68" i="21"/>
  <c r="G76" i="21"/>
  <c r="H75" i="21"/>
  <c r="G75" i="21"/>
  <c r="J52" i="21"/>
  <c r="I52" i="21"/>
  <c r="H52" i="21"/>
  <c r="K50" i="21"/>
  <c r="I49" i="21"/>
  <c r="H49" i="21"/>
  <c r="H46" i="21"/>
  <c r="G46" i="21"/>
  <c r="L45" i="21"/>
  <c r="L44" i="21"/>
  <c r="I43" i="21"/>
  <c r="K40" i="21"/>
  <c r="G40" i="21"/>
  <c r="L39" i="21"/>
  <c r="L38" i="21"/>
  <c r="K38" i="21"/>
  <c r="J38" i="21"/>
  <c r="K36" i="21"/>
  <c r="L35" i="21"/>
  <c r="K35" i="21"/>
  <c r="J35" i="21"/>
  <c r="G34" i="21"/>
  <c r="L33" i="21"/>
  <c r="K33" i="21"/>
  <c r="K31" i="21"/>
  <c r="K30" i="21"/>
  <c r="J30" i="21"/>
  <c r="I30" i="21"/>
  <c r="L65" i="21"/>
  <c r="L59" i="21" s="1"/>
  <c r="K65" i="21"/>
  <c r="K71" i="21" s="1"/>
  <c r="J65" i="21"/>
  <c r="J41" i="21" s="1"/>
  <c r="I65" i="21"/>
  <c r="I35" i="21" s="1"/>
  <c r="H65" i="21"/>
  <c r="H77" i="21" s="1"/>
  <c r="G65" i="21"/>
  <c r="G71" i="21" s="1"/>
  <c r="L64" i="21"/>
  <c r="L52" i="21" s="1"/>
  <c r="K64" i="21"/>
  <c r="K70" i="21" s="1"/>
  <c r="J64" i="21"/>
  <c r="J70" i="21" s="1"/>
  <c r="I64" i="21"/>
  <c r="I76" i="21" s="1"/>
  <c r="H64" i="21"/>
  <c r="H40" i="21" s="1"/>
  <c r="G64" i="21"/>
  <c r="G52" i="21" s="1"/>
  <c r="L63" i="21"/>
  <c r="L75" i="21" s="1"/>
  <c r="K63" i="21"/>
  <c r="K75" i="21" s="1"/>
  <c r="J63" i="21"/>
  <c r="J51" i="21" s="1"/>
  <c r="I63" i="21"/>
  <c r="I51" i="21" s="1"/>
  <c r="H63" i="21"/>
  <c r="H57" i="21" s="1"/>
  <c r="G63" i="21"/>
  <c r="G33" i="21" s="1"/>
  <c r="L62" i="21"/>
  <c r="L74" i="21" s="1"/>
  <c r="K62" i="21"/>
  <c r="K56" i="21" s="1"/>
  <c r="J62" i="21"/>
  <c r="J56" i="21" s="1"/>
  <c r="I62" i="21"/>
  <c r="I68" i="21" s="1"/>
  <c r="H62" i="21"/>
  <c r="H74" i="21" s="1"/>
  <c r="G62" i="21"/>
  <c r="G32" i="21" s="1"/>
  <c r="L61" i="21"/>
  <c r="L73" i="21" s="1"/>
  <c r="K61" i="21"/>
  <c r="K67" i="21" s="1"/>
  <c r="J61" i="21"/>
  <c r="J73" i="21" s="1"/>
  <c r="I61" i="21"/>
  <c r="I67" i="21" s="1"/>
  <c r="H61" i="21"/>
  <c r="H67" i="21" s="1"/>
  <c r="G61" i="21"/>
  <c r="G73" i="21" s="1"/>
  <c r="L60" i="21"/>
  <c r="L36" i="21" s="1"/>
  <c r="K60" i="21"/>
  <c r="K48" i="21" s="1"/>
  <c r="J60" i="21"/>
  <c r="J72" i="21" s="1"/>
  <c r="I60" i="21"/>
  <c r="I72" i="21" s="1"/>
  <c r="H60" i="21"/>
  <c r="H48" i="21" s="1"/>
  <c r="G60" i="21"/>
  <c r="G72" i="21" s="1"/>
  <c r="D80" i="1" l="1"/>
  <c r="D80" i="19" s="1"/>
  <c r="F80" i="18"/>
  <c r="D152" i="1"/>
  <c r="D152" i="19" s="1"/>
  <c r="F152" i="18"/>
  <c r="D74" i="18" a="1"/>
  <c r="D74" i="18" s="1"/>
  <c r="D351" i="18" a="1"/>
  <c r="D351" i="18" s="1"/>
  <c r="F351" i="18" s="1"/>
  <c r="F351" i="1" s="1"/>
  <c r="D368" i="18" a="1"/>
  <c r="D368" i="18" s="1"/>
  <c r="D371" i="18" s="1"/>
  <c r="F371" i="18" s="1"/>
  <c r="D182" i="1"/>
  <c r="D182" i="19" s="1"/>
  <c r="D201" i="1"/>
  <c r="D201" i="19" s="1" a="1"/>
  <c r="D201" i="19" s="1"/>
  <c r="D326" i="1"/>
  <c r="D326" i="19" s="1"/>
  <c r="D57" i="1"/>
  <c r="D57" i="19" s="1" a="1"/>
  <c r="D57" i="19" s="1"/>
  <c r="D309" i="1"/>
  <c r="D309" i="19" s="1" a="1"/>
  <c r="D309" i="19" s="1"/>
  <c r="H68" i="21"/>
  <c r="L54" i="21"/>
  <c r="K57" i="21"/>
  <c r="L30" i="21"/>
  <c r="K32" i="21"/>
  <c r="H34" i="21"/>
  <c r="H36" i="21"/>
  <c r="G39" i="21"/>
  <c r="L41" i="21"/>
  <c r="G45" i="21"/>
  <c r="K46" i="21"/>
  <c r="L50" i="21"/>
  <c r="K52" i="21"/>
  <c r="H76" i="21"/>
  <c r="J68" i="21"/>
  <c r="I71" i="21"/>
  <c r="I55" i="21"/>
  <c r="L57" i="21"/>
  <c r="L42" i="21"/>
  <c r="J57" i="21"/>
  <c r="H31" i="21"/>
  <c r="L32" i="21"/>
  <c r="J34" i="21"/>
  <c r="I36" i="21"/>
  <c r="H39" i="21"/>
  <c r="H42" i="21"/>
  <c r="H45" i="21"/>
  <c r="I48" i="21"/>
  <c r="G51" i="21"/>
  <c r="K72" i="21"/>
  <c r="J76" i="21"/>
  <c r="K68" i="21"/>
  <c r="J71" i="21"/>
  <c r="I56" i="21"/>
  <c r="G58" i="21"/>
  <c r="H32" i="21"/>
  <c r="L66" i="21"/>
  <c r="I32" i="21"/>
  <c r="J32" i="21"/>
  <c r="I31" i="21"/>
  <c r="K34" i="21"/>
  <c r="J36" i="21"/>
  <c r="I39" i="21"/>
  <c r="I42" i="21"/>
  <c r="I45" i="21"/>
  <c r="J48" i="21"/>
  <c r="H51" i="21"/>
  <c r="L72" i="21"/>
  <c r="K76" i="21"/>
  <c r="L68" i="21"/>
  <c r="L71" i="21"/>
  <c r="L56" i="21"/>
  <c r="H58" i="21"/>
  <c r="H33" i="21"/>
  <c r="J42" i="21"/>
  <c r="L48" i="21"/>
  <c r="H73" i="21"/>
  <c r="G35" i="21"/>
  <c r="J39" i="21"/>
  <c r="J45" i="21"/>
  <c r="K51" i="21"/>
  <c r="J66" i="21"/>
  <c r="H30" i="21"/>
  <c r="L31" i="21"/>
  <c r="J33" i="21"/>
  <c r="H35" i="21"/>
  <c r="I37" i="21"/>
  <c r="K39" i="21"/>
  <c r="K42" i="21"/>
  <c r="K45" i="21"/>
  <c r="G49" i="21"/>
  <c r="L51" i="21"/>
  <c r="I73" i="21"/>
  <c r="K66" i="21"/>
  <c r="H69" i="21"/>
  <c r="I54" i="21"/>
  <c r="K59" i="21"/>
  <c r="K49" i="21"/>
  <c r="I46" i="21"/>
  <c r="L49" i="21"/>
  <c r="H53" i="21"/>
  <c r="G30" i="21"/>
  <c r="H43" i="21"/>
  <c r="J46" i="21"/>
  <c r="G50" i="21"/>
  <c r="I53" i="21"/>
  <c r="I74" i="21"/>
  <c r="K77" i="21"/>
  <c r="G36" i="21"/>
  <c r="H50" i="21"/>
  <c r="J53" i="21"/>
  <c r="J74" i="21"/>
  <c r="L77" i="21"/>
  <c r="I69" i="21"/>
  <c r="G42" i="21"/>
  <c r="J43" i="21"/>
  <c r="L46" i="21"/>
  <c r="I50" i="21"/>
  <c r="K53" i="21"/>
  <c r="K74" i="21"/>
  <c r="H66" i="21"/>
  <c r="J69" i="21"/>
  <c r="G55" i="21"/>
  <c r="I58" i="21"/>
  <c r="G48" i="21"/>
  <c r="I33" i="21"/>
  <c r="K43" i="21"/>
  <c r="G47" i="21"/>
  <c r="J50" i="21"/>
  <c r="L53" i="21"/>
  <c r="I66" i="21"/>
  <c r="K69" i="21"/>
  <c r="H55" i="21"/>
  <c r="J58" i="21"/>
  <c r="G74" i="21"/>
  <c r="J77" i="21"/>
  <c r="G77" i="21"/>
  <c r="J49" i="21"/>
  <c r="I77" i="21"/>
  <c r="G43" i="21"/>
  <c r="G37" i="21"/>
  <c r="L43" i="21"/>
  <c r="G54" i="21"/>
  <c r="H37" i="21"/>
  <c r="G44" i="21"/>
  <c r="G66" i="21"/>
  <c r="J55" i="21"/>
  <c r="J47" i="21"/>
  <c r="J37" i="21"/>
  <c r="I44" i="21"/>
  <c r="J75" i="21"/>
  <c r="G67" i="21"/>
  <c r="L55" i="21"/>
  <c r="H59" i="21"/>
  <c r="G41" i="21"/>
  <c r="I59" i="21"/>
  <c r="K73" i="21"/>
  <c r="G53" i="21"/>
  <c r="I40" i="21"/>
  <c r="H47" i="21"/>
  <c r="J40" i="21"/>
  <c r="I47" i="21"/>
  <c r="L58" i="21"/>
  <c r="H44" i="21"/>
  <c r="I75" i="21"/>
  <c r="K55" i="21"/>
  <c r="G59" i="21"/>
  <c r="L40" i="21"/>
  <c r="K47" i="21"/>
  <c r="H72" i="21"/>
  <c r="I70" i="21"/>
  <c r="K37" i="21"/>
  <c r="J44" i="21"/>
  <c r="L47" i="21"/>
  <c r="G56" i="21"/>
  <c r="G31" i="21"/>
  <c r="I34" i="21"/>
  <c r="L37" i="21"/>
  <c r="H41" i="21"/>
  <c r="K44" i="21"/>
  <c r="H56" i="21"/>
  <c r="J59" i="21"/>
  <c r="L70" i="21"/>
  <c r="G38" i="21"/>
  <c r="I41" i="21"/>
  <c r="J67" i="21"/>
  <c r="H38" i="21"/>
  <c r="J31" i="21"/>
  <c r="L34" i="21"/>
  <c r="I38" i="21"/>
  <c r="K41" i="21"/>
  <c r="L67" i="21"/>
  <c r="H71" i="21"/>
  <c r="L76" i="21"/>
  <c r="D345" i="1"/>
  <c r="D345" i="19" s="1" a="1"/>
  <c r="D345" i="19" s="1"/>
  <c r="D362" i="1"/>
  <c r="D362" i="19" s="1"/>
  <c r="D286" i="19"/>
  <c r="D279" i="18" a="1"/>
  <c r="D279" i="18" s="1"/>
  <c r="F279" i="18" s="1"/>
  <c r="F279" i="1" s="1"/>
  <c r="D285" i="1"/>
  <c r="D285" i="19" s="1"/>
  <c r="D296" i="18" a="1"/>
  <c r="D296" i="18" s="1"/>
  <c r="D290" i="1"/>
  <c r="D290" i="19" s="1"/>
  <c r="D237" i="18" a="1"/>
  <c r="D237" i="18" s="1"/>
  <c r="D249" i="1"/>
  <c r="D249" i="19" s="1"/>
  <c r="D254" i="1"/>
  <c r="D254" i="19" s="1"/>
  <c r="D218" i="1"/>
  <c r="D218" i="19" s="1"/>
  <c r="D188" i="18" a="1"/>
  <c r="D188" i="18" s="1"/>
  <c r="D165" i="1"/>
  <c r="D165" i="19" s="1" a="1"/>
  <c r="D165" i="19" s="1"/>
  <c r="D178" i="19"/>
  <c r="D129" i="1"/>
  <c r="D129" i="19" s="1" a="1"/>
  <c r="D129" i="19" s="1"/>
  <c r="D146" i="1"/>
  <c r="D146" i="19" s="1"/>
  <c r="D99" i="1"/>
  <c r="D99" i="19" s="1"/>
  <c r="D93" i="18" a="1"/>
  <c r="D93" i="18" s="1"/>
  <c r="D105" i="1"/>
  <c r="D105" i="19" s="1"/>
  <c r="D107" i="1"/>
  <c r="D107" i="19" s="1"/>
  <c r="D110" i="1"/>
  <c r="D110" i="19" s="1"/>
  <c r="D63" i="18" a="1"/>
  <c r="D63" i="18" s="1"/>
  <c r="F63" i="18" s="1"/>
  <c r="F63" i="1" s="1"/>
  <c r="D357" i="18"/>
  <c r="D332" i="18" a="1"/>
  <c r="D332" i="18" s="1"/>
  <c r="D321" i="18"/>
  <c r="D315" i="18" a="1"/>
  <c r="D315" i="18" s="1"/>
  <c r="F315" i="18" s="1"/>
  <c r="F315" i="1" s="1"/>
  <c r="D273" i="18" a="1"/>
  <c r="D273" i="18" s="1"/>
  <c r="D260" i="18" a="1"/>
  <c r="D260" i="18" s="1"/>
  <c r="D243" i="18" a="1"/>
  <c r="D243" i="18" s="1"/>
  <c r="F243" i="18" s="1"/>
  <c r="F243" i="1" s="1"/>
  <c r="D224" i="18" a="1"/>
  <c r="D224" i="18" s="1"/>
  <c r="D213" i="18"/>
  <c r="D207" i="18" a="1"/>
  <c r="D207" i="18" s="1"/>
  <c r="F207" i="18" s="1"/>
  <c r="F207" i="1" s="1"/>
  <c r="D177" i="18"/>
  <c r="D171" i="18" a="1"/>
  <c r="D171" i="18" s="1"/>
  <c r="F171" i="18" s="1"/>
  <c r="F171" i="1" s="1"/>
  <c r="D155" i="18"/>
  <c r="F155" i="18" s="1"/>
  <c r="F152" i="1"/>
  <c r="D135" i="18" a="1"/>
  <c r="D135" i="18" s="1"/>
  <c r="F135" i="18" s="1"/>
  <c r="F135" i="1" s="1"/>
  <c r="D141" i="18"/>
  <c r="D116" i="18" a="1"/>
  <c r="D116" i="18" s="1"/>
  <c r="F80" i="1"/>
  <c r="D83" i="18"/>
  <c r="F83" i="18" s="1"/>
  <c r="D69" i="18"/>
  <c r="S12" i="13"/>
  <c r="T12" i="13"/>
  <c r="D296" i="1" l="1"/>
  <c r="D296" i="19" s="1"/>
  <c r="F296" i="18"/>
  <c r="D368" i="1"/>
  <c r="D368" i="19" s="1"/>
  <c r="F368" i="18"/>
  <c r="F368" i="1" s="1"/>
  <c r="D260" i="1"/>
  <c r="D260" i="19" s="1"/>
  <c r="F260" i="18"/>
  <c r="F260" i="1" s="1"/>
  <c r="D188" i="1"/>
  <c r="D188" i="19" s="1"/>
  <c r="F188" i="18"/>
  <c r="F188" i="1" s="1"/>
  <c r="D332" i="1"/>
  <c r="D332" i="19" s="1"/>
  <c r="F332" i="18"/>
  <c r="D116" i="1"/>
  <c r="D116" i="19" s="1"/>
  <c r="F116" i="18"/>
  <c r="F116" i="1" s="1"/>
  <c r="D224" i="1"/>
  <c r="D224" i="19" s="1"/>
  <c r="F224" i="18"/>
  <c r="F224" i="1" s="1"/>
  <c r="D191" i="18"/>
  <c r="F191" i="18" s="1"/>
  <c r="F191" i="1" s="1"/>
  <c r="D351" i="1"/>
  <c r="D351" i="19" s="1"/>
  <c r="D74" i="1"/>
  <c r="D74" i="19" s="1"/>
  <c r="D69" i="1"/>
  <c r="D299" i="18"/>
  <c r="D299" i="1" s="1"/>
  <c r="D299" i="19" s="1"/>
  <c r="F296" i="1"/>
  <c r="D357" i="1"/>
  <c r="D357" i="19" s="1"/>
  <c r="F371" i="1"/>
  <c r="D371" i="1"/>
  <c r="D371" i="19" s="1"/>
  <c r="D315" i="1"/>
  <c r="D315" i="19" s="1"/>
  <c r="D321" i="1"/>
  <c r="D321" i="19" s="1"/>
  <c r="D273" i="1"/>
  <c r="D273" i="19" s="1" a="1"/>
  <c r="D273" i="19" s="1"/>
  <c r="D279" i="1"/>
  <c r="D279" i="19" s="1"/>
  <c r="D243" i="1"/>
  <c r="D243" i="19" s="1"/>
  <c r="D237" i="1"/>
  <c r="D237" i="19" s="1" a="1"/>
  <c r="D237" i="19" s="1"/>
  <c r="D207" i="1"/>
  <c r="D207" i="19" s="1"/>
  <c r="D213" i="1"/>
  <c r="D213" i="19" s="1"/>
  <c r="D171" i="1"/>
  <c r="D171" i="19" s="1"/>
  <c r="D177" i="1"/>
  <c r="D177" i="19" s="1"/>
  <c r="D135" i="1"/>
  <c r="D135" i="19" s="1"/>
  <c r="D141" i="1"/>
  <c r="D141" i="19" s="1"/>
  <c r="F155" i="1"/>
  <c r="D155" i="1"/>
  <c r="D155" i="19" s="1"/>
  <c r="D93" i="1"/>
  <c r="D93" i="19" s="1" a="1"/>
  <c r="D93" i="19" s="1"/>
  <c r="D69" i="19"/>
  <c r="D63" i="1"/>
  <c r="D63" i="19" s="1"/>
  <c r="F83" i="1"/>
  <c r="D83" i="1"/>
  <c r="D83" i="19" s="1"/>
  <c r="F332" i="1"/>
  <c r="D335" i="18"/>
  <c r="F335" i="18" s="1"/>
  <c r="D263" i="18"/>
  <c r="F263" i="18" s="1"/>
  <c r="D227" i="18"/>
  <c r="F227" i="18" s="1"/>
  <c r="D119" i="18"/>
  <c r="F119" i="18" s="1"/>
  <c r="D191" i="1" l="1"/>
  <c r="D191" i="19" s="1"/>
  <c r="F299" i="18"/>
  <c r="F299" i="1" s="1"/>
  <c r="F335" i="1"/>
  <c r="D335" i="1"/>
  <c r="D335" i="19" s="1"/>
  <c r="F263" i="1"/>
  <c r="D263" i="1"/>
  <c r="D263" i="19" s="1"/>
  <c r="F227" i="1"/>
  <c r="D227" i="1"/>
  <c r="D227" i="19" s="1"/>
  <c r="F119" i="1"/>
  <c r="D119" i="1"/>
  <c r="D119" i="19" s="1"/>
  <c r="AK14" i="6"/>
  <c r="AK13" i="6"/>
  <c r="AK12" i="6"/>
  <c r="AK11" i="6"/>
  <c r="AK10" i="6"/>
  <c r="AK9" i="6"/>
  <c r="AK8" i="6"/>
  <c r="AK7" i="6"/>
  <c r="AK6" i="6"/>
  <c r="AU14" i="9"/>
  <c r="W14" i="9"/>
  <c r="AU13" i="9"/>
  <c r="W13" i="9"/>
  <c r="AU12" i="9"/>
  <c r="W12" i="9"/>
  <c r="AU11" i="9"/>
  <c r="W11" i="9"/>
  <c r="AU10" i="9"/>
  <c r="W10" i="9"/>
  <c r="AU9" i="9"/>
  <c r="W9" i="9"/>
  <c r="AU8" i="9"/>
  <c r="W8" i="9"/>
  <c r="AU7" i="9"/>
  <c r="W7" i="9"/>
  <c r="AU6" i="9"/>
  <c r="W6" i="9"/>
  <c r="D14" i="10"/>
  <c r="D13" i="10"/>
  <c r="D12" i="10"/>
  <c r="D11" i="10"/>
  <c r="D10" i="10"/>
  <c r="D9" i="10"/>
  <c r="D8" i="10"/>
  <c r="D7" i="10"/>
  <c r="D6" i="10"/>
  <c r="AC14" i="3"/>
  <c r="AA14" i="3"/>
  <c r="AC13" i="3"/>
  <c r="AA13" i="3"/>
  <c r="AC12" i="3"/>
  <c r="AA12" i="3"/>
  <c r="AC11" i="3"/>
  <c r="AA11" i="3"/>
  <c r="AC10" i="3"/>
  <c r="AA10" i="3"/>
  <c r="AC9" i="3"/>
  <c r="AA9" i="3"/>
  <c r="AC8" i="3"/>
  <c r="AA8" i="3"/>
  <c r="AC7" i="3"/>
  <c r="AA7" i="3"/>
  <c r="AC6" i="3"/>
  <c r="AA6" i="3"/>
  <c r="G4" i="5"/>
  <c r="D19" i="19" l="1"/>
  <c r="D42" i="1" l="1"/>
  <c r="D34" i="1"/>
  <c r="J29" i="1"/>
  <c r="J28" i="1"/>
  <c r="J27" i="1"/>
  <c r="J26" i="1"/>
  <c r="J25" i="1"/>
  <c r="J24" i="1"/>
  <c r="J21" i="1"/>
  <c r="J20" i="1"/>
  <c r="J19" i="1"/>
  <c r="T22" i="4" a="1"/>
  <c r="T22" i="4" s="1"/>
  <c r="H22" i="4" a="1"/>
  <c r="H22" i="4" s="1"/>
  <c r="E10" i="20"/>
  <c r="E11" i="20"/>
  <c r="E9" i="20"/>
  <c r="E8" i="20"/>
  <c r="E7" i="20"/>
  <c r="E6" i="20"/>
  <c r="E5" i="20"/>
  <c r="E4" i="20"/>
  <c r="E3" i="20"/>
  <c r="E2" i="20"/>
  <c r="D19" i="18"/>
  <c r="D18" i="18"/>
  <c r="C338" i="19"/>
  <c r="C337" i="19"/>
  <c r="C302" i="19"/>
  <c r="C301" i="19"/>
  <c r="C266" i="19"/>
  <c r="C265" i="19"/>
  <c r="C230" i="19"/>
  <c r="C229" i="19"/>
  <c r="C194" i="19"/>
  <c r="C193" i="19"/>
  <c r="C158" i="19"/>
  <c r="C157" i="19"/>
  <c r="C122" i="19"/>
  <c r="C121" i="19"/>
  <c r="C86" i="19"/>
  <c r="C85"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338" i="18"/>
  <c r="C337" i="18"/>
  <c r="C302" i="18"/>
  <c r="C301" i="18"/>
  <c r="C266" i="18"/>
  <c r="C265" i="18"/>
  <c r="C230" i="18"/>
  <c r="C229" i="18"/>
  <c r="C194" i="18"/>
  <c r="C193" i="18"/>
  <c r="C158" i="18"/>
  <c r="C157" i="18"/>
  <c r="C122" i="18"/>
  <c r="C121" i="18"/>
  <c r="C86" i="18"/>
  <c r="C85"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D21" i="18" l="1" a="1"/>
  <c r="D21" i="18" s="1"/>
  <c r="D21" i="1" s="1"/>
  <c r="D33" i="18"/>
  <c r="E4" i="4" l="1"/>
  <c r="E5" i="4"/>
  <c r="E6" i="4"/>
  <c r="E7" i="4"/>
  <c r="E8" i="4"/>
  <c r="E10" i="4"/>
  <c r="E11" i="4"/>
  <c r="E3" i="4"/>
  <c r="V6" i="13"/>
  <c r="E338" i="19" l="1"/>
  <c r="E337" i="19"/>
  <c r="E302" i="19"/>
  <c r="E301" i="19"/>
  <c r="E266" i="19"/>
  <c r="E265" i="19"/>
  <c r="E230" i="19"/>
  <c r="E229" i="19"/>
  <c r="E194" i="19"/>
  <c r="E193" i="19"/>
  <c r="E158" i="19"/>
  <c r="E157" i="19"/>
  <c r="E122" i="19"/>
  <c r="E121" i="19"/>
  <c r="E86" i="19"/>
  <c r="E85"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C9" i="19"/>
  <c r="E338" i="18"/>
  <c r="E337" i="18"/>
  <c r="E302" i="18"/>
  <c r="E301" i="18"/>
  <c r="E266" i="18"/>
  <c r="E265" i="18"/>
  <c r="E230" i="18"/>
  <c r="E229" i="18"/>
  <c r="E194" i="18"/>
  <c r="E193" i="18"/>
  <c r="E158" i="18"/>
  <c r="E157" i="18"/>
  <c r="E122" i="18"/>
  <c r="E121" i="18"/>
  <c r="E86" i="18"/>
  <c r="E85"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13" i="18"/>
  <c r="E12" i="18"/>
  <c r="E11" i="18"/>
  <c r="E10" i="18"/>
  <c r="E9" i="18"/>
  <c r="C9" i="18"/>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4" i="1"/>
  <c r="E55" i="1"/>
  <c r="E53"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4" i="1"/>
  <c r="C55" i="1"/>
  <c r="C53" i="1"/>
  <c r="R20" i="21"/>
  <c r="R19" i="21"/>
  <c r="C59" i="19" l="1"/>
  <c r="C59" i="18"/>
  <c r="C68" i="19"/>
  <c r="C68" i="18"/>
  <c r="E77" i="19"/>
  <c r="E77" i="18"/>
  <c r="C53" i="18"/>
  <c r="C53" i="19"/>
  <c r="E69" i="19"/>
  <c r="E69" i="18"/>
  <c r="C62" i="19"/>
  <c r="C62" i="18"/>
  <c r="C63" i="19"/>
  <c r="C63" i="18"/>
  <c r="C71" i="19"/>
  <c r="C71" i="18"/>
  <c r="C79" i="19"/>
  <c r="C79" i="18"/>
  <c r="C67" i="18"/>
  <c r="C67" i="19"/>
  <c r="C84" i="18"/>
  <c r="C84" i="19"/>
  <c r="C77" i="19"/>
  <c r="C77" i="18"/>
  <c r="C78" i="19"/>
  <c r="C78" i="18"/>
  <c r="C72" i="19"/>
  <c r="C72" i="18"/>
  <c r="C80" i="18"/>
  <c r="C80" i="19"/>
  <c r="E72" i="18"/>
  <c r="E72" i="19"/>
  <c r="C60" i="18"/>
  <c r="C60" i="19"/>
  <c r="E68" i="19"/>
  <c r="E68" i="18"/>
  <c r="C69" i="19"/>
  <c r="C69" i="18"/>
  <c r="C56" i="19"/>
  <c r="C56" i="18"/>
  <c r="C65" i="19"/>
  <c r="C65" i="18"/>
  <c r="C73" i="19"/>
  <c r="C73" i="18"/>
  <c r="E73" i="18"/>
  <c r="E73" i="19"/>
  <c r="C83" i="19"/>
  <c r="C83" i="18"/>
  <c r="C76" i="19"/>
  <c r="C76" i="18"/>
  <c r="C61" i="19"/>
  <c r="C61" i="18"/>
  <c r="C55" i="18"/>
  <c r="C55" i="19"/>
  <c r="C70" i="19"/>
  <c r="C70" i="18"/>
  <c r="C54" i="19"/>
  <c r="C54" i="18"/>
  <c r="C57" i="19"/>
  <c r="C57" i="18"/>
  <c r="C81" i="18"/>
  <c r="C81" i="19"/>
  <c r="C66" i="19"/>
  <c r="C66" i="18"/>
  <c r="C82" i="19"/>
  <c r="C82" i="18"/>
  <c r="C74" i="19"/>
  <c r="C74" i="18"/>
  <c r="D33" i="1"/>
  <c r="D33" i="19" s="1"/>
  <c r="C98" i="1"/>
  <c r="C114" i="1"/>
  <c r="C101" i="1"/>
  <c r="C117" i="1"/>
  <c r="C99" i="1"/>
  <c r="C115" i="1"/>
  <c r="T10" i="20"/>
  <c r="T4" i="20"/>
  <c r="T3" i="20"/>
  <c r="T7" i="20"/>
  <c r="T11" i="20"/>
  <c r="T6" i="20"/>
  <c r="T5" i="20"/>
  <c r="T9" i="20"/>
  <c r="T8" i="20"/>
  <c r="E102" i="1"/>
  <c r="C103" i="1"/>
  <c r="E103" i="1"/>
  <c r="C97" i="1"/>
  <c r="C113" i="1"/>
  <c r="E97" i="1"/>
  <c r="E113" i="1"/>
  <c r="C118" i="1"/>
  <c r="E118" i="1"/>
  <c r="C95" i="1"/>
  <c r="E111" i="1"/>
  <c r="C102" i="1"/>
  <c r="E110" i="1"/>
  <c r="C111" i="1"/>
  <c r="E119" i="1"/>
  <c r="C89" i="1"/>
  <c r="C105" i="1"/>
  <c r="E89" i="1"/>
  <c r="E105" i="1"/>
  <c r="C94" i="1"/>
  <c r="E94" i="1"/>
  <c r="C119" i="1"/>
  <c r="C110" i="1"/>
  <c r="E95" i="1"/>
  <c r="C96" i="1"/>
  <c r="C104" i="1"/>
  <c r="C112" i="1"/>
  <c r="C120" i="1"/>
  <c r="E96" i="1"/>
  <c r="E104" i="1"/>
  <c r="E112" i="1"/>
  <c r="E120" i="1"/>
  <c r="C91" i="1"/>
  <c r="C134" i="1"/>
  <c r="C106" i="1"/>
  <c r="E91" i="1"/>
  <c r="E98" i="1"/>
  <c r="E106" i="1"/>
  <c r="E114" i="1"/>
  <c r="C90" i="1"/>
  <c r="C107" i="1"/>
  <c r="C151" i="1"/>
  <c r="E90" i="1"/>
  <c r="E99" i="1"/>
  <c r="E107" i="1"/>
  <c r="E115" i="1"/>
  <c r="C92" i="1"/>
  <c r="C100" i="1"/>
  <c r="C108" i="1"/>
  <c r="C116" i="1"/>
  <c r="E92" i="1"/>
  <c r="E100" i="1"/>
  <c r="E108" i="1"/>
  <c r="E116" i="1"/>
  <c r="C93" i="1"/>
  <c r="C137" i="1"/>
  <c r="C109" i="1"/>
  <c r="C153" i="1"/>
  <c r="E93" i="1"/>
  <c r="E101" i="1"/>
  <c r="E109" i="1"/>
  <c r="E117" i="1"/>
  <c r="D35" i="1"/>
  <c r="E105" i="19" l="1"/>
  <c r="E105" i="18"/>
  <c r="C153" i="18"/>
  <c r="C153" i="19"/>
  <c r="C116" i="19"/>
  <c r="C116" i="18"/>
  <c r="C151" i="19"/>
  <c r="C151" i="18"/>
  <c r="C134" i="19"/>
  <c r="C134" i="18"/>
  <c r="C104" i="18"/>
  <c r="C104" i="19"/>
  <c r="C95" i="19"/>
  <c r="C95" i="18"/>
  <c r="C103" i="19"/>
  <c r="C103" i="18"/>
  <c r="C98" i="19"/>
  <c r="C98" i="18"/>
  <c r="C114" i="19"/>
  <c r="C114" i="18"/>
  <c r="C106" i="19"/>
  <c r="C106" i="18"/>
  <c r="C108" i="18"/>
  <c r="C108" i="19"/>
  <c r="C96" i="19"/>
  <c r="C96" i="18"/>
  <c r="C118" i="18"/>
  <c r="C118" i="19"/>
  <c r="C112" i="18"/>
  <c r="C112" i="19"/>
  <c r="C89" i="19"/>
  <c r="C89" i="18"/>
  <c r="C115" i="18"/>
  <c r="C115" i="19"/>
  <c r="E104" i="18"/>
  <c r="E104" i="19"/>
  <c r="C119" i="18"/>
  <c r="C119" i="19"/>
  <c r="C135" i="1"/>
  <c r="C171" i="1" s="1"/>
  <c r="C99" i="19"/>
  <c r="C99" i="18"/>
  <c r="C109" i="19"/>
  <c r="C109" i="18"/>
  <c r="C107" i="19"/>
  <c r="C107" i="18"/>
  <c r="C105" i="19"/>
  <c r="C105" i="18"/>
  <c r="C137" i="19"/>
  <c r="C137" i="18"/>
  <c r="C93" i="18"/>
  <c r="C93" i="19"/>
  <c r="E113" i="19"/>
  <c r="E113" i="18"/>
  <c r="E109" i="19"/>
  <c r="E109" i="18"/>
  <c r="C113" i="19"/>
  <c r="C113" i="18"/>
  <c r="C117" i="19"/>
  <c r="C117" i="18"/>
  <c r="C91" i="19"/>
  <c r="C91" i="18"/>
  <c r="C90" i="19"/>
  <c r="C90" i="18"/>
  <c r="C92" i="19"/>
  <c r="C92" i="18"/>
  <c r="E108" i="19"/>
  <c r="E108" i="18"/>
  <c r="C120" i="19"/>
  <c r="C120" i="18"/>
  <c r="C102" i="19"/>
  <c r="C102" i="18"/>
  <c r="C97" i="18"/>
  <c r="C97" i="19"/>
  <c r="C101" i="18"/>
  <c r="C101" i="19"/>
  <c r="C110" i="18"/>
  <c r="C110" i="19"/>
  <c r="C150" i="1"/>
  <c r="C189" i="1"/>
  <c r="C126" i="1"/>
  <c r="C187" i="1"/>
  <c r="C154" i="1"/>
  <c r="C149" i="1"/>
  <c r="C155" i="1"/>
  <c r="E140" i="1"/>
  <c r="C145" i="1"/>
  <c r="E136" i="1"/>
  <c r="E135" i="1"/>
  <c r="C173" i="1"/>
  <c r="C140" i="1"/>
  <c r="C131" i="1"/>
  <c r="C139" i="1"/>
  <c r="E145" i="1"/>
  <c r="E143" i="1"/>
  <c r="E142" i="1"/>
  <c r="E133" i="1"/>
  <c r="C148" i="1"/>
  <c r="E147" i="1"/>
  <c r="E139" i="1"/>
  <c r="E131" i="1"/>
  <c r="E137" i="1"/>
  <c r="C142" i="1"/>
  <c r="C136" i="1"/>
  <c r="E153" i="1"/>
  <c r="E152" i="1"/>
  <c r="E151" i="1"/>
  <c r="E150" i="1"/>
  <c r="E156" i="1"/>
  <c r="C146" i="1"/>
  <c r="C130" i="1"/>
  <c r="E125" i="1"/>
  <c r="E149" i="1"/>
  <c r="C133" i="1"/>
  <c r="C152" i="1"/>
  <c r="C127" i="1"/>
  <c r="C141" i="1"/>
  <c r="C144" i="1"/>
  <c r="E130" i="1"/>
  <c r="E134" i="1"/>
  <c r="E132" i="1"/>
  <c r="E146" i="1"/>
  <c r="E129" i="1"/>
  <c r="C129" i="1"/>
  <c r="E128" i="1"/>
  <c r="C128" i="1"/>
  <c r="E126" i="1"/>
  <c r="E127" i="1"/>
  <c r="C170" i="1"/>
  <c r="C156" i="1"/>
  <c r="E155" i="1"/>
  <c r="C138" i="1"/>
  <c r="E144" i="1"/>
  <c r="C147" i="1"/>
  <c r="E141" i="1"/>
  <c r="C143" i="1"/>
  <c r="C125" i="1"/>
  <c r="E148" i="1"/>
  <c r="C132" i="1"/>
  <c r="E154" i="1"/>
  <c r="E138" i="1"/>
  <c r="AC5" i="3"/>
  <c r="AA5" i="3"/>
  <c r="D35" i="19"/>
  <c r="T2" i="20" s="1"/>
  <c r="H16" i="5"/>
  <c r="H15" i="5"/>
  <c r="H14" i="5"/>
  <c r="H13" i="5"/>
  <c r="K7" i="5"/>
  <c r="K6" i="5"/>
  <c r="K5" i="5"/>
  <c r="K4" i="5"/>
  <c r="F82" i="21"/>
  <c r="F81" i="21"/>
  <c r="C126" i="19" l="1"/>
  <c r="C126" i="18"/>
  <c r="E141" i="19"/>
  <c r="E141" i="18"/>
  <c r="C171" i="19"/>
  <c r="C171" i="18"/>
  <c r="C189" i="19"/>
  <c r="C189" i="18"/>
  <c r="C135" i="18"/>
  <c r="C135" i="19"/>
  <c r="C128" i="18"/>
  <c r="C128" i="19"/>
  <c r="E149" i="18"/>
  <c r="E149" i="19"/>
  <c r="C145" i="19"/>
  <c r="C145" i="18"/>
  <c r="C144" i="19"/>
  <c r="C144" i="18"/>
  <c r="C138" i="19"/>
  <c r="C138" i="18"/>
  <c r="C141" i="19"/>
  <c r="C141" i="18"/>
  <c r="C139" i="19"/>
  <c r="C139" i="18"/>
  <c r="C155" i="19"/>
  <c r="C155" i="18"/>
  <c r="C143" i="19"/>
  <c r="C143" i="18"/>
  <c r="C150" i="18"/>
  <c r="C150" i="19"/>
  <c r="E144" i="19"/>
  <c r="E144" i="18"/>
  <c r="E140" i="19"/>
  <c r="E140" i="18"/>
  <c r="C129" i="19"/>
  <c r="C129" i="18"/>
  <c r="C131" i="18"/>
  <c r="C131" i="19"/>
  <c r="C149" i="19"/>
  <c r="C149" i="18"/>
  <c r="E145" i="18"/>
  <c r="E145" i="19"/>
  <c r="C132" i="19"/>
  <c r="C132" i="18"/>
  <c r="C156" i="19"/>
  <c r="C156" i="18"/>
  <c r="C140" i="19"/>
  <c r="C140" i="18"/>
  <c r="C154" i="19"/>
  <c r="C154" i="18"/>
  <c r="C142" i="18"/>
  <c r="C142" i="19"/>
  <c r="C127" i="19"/>
  <c r="C127" i="18"/>
  <c r="C152" i="19"/>
  <c r="C152" i="18"/>
  <c r="C125" i="18"/>
  <c r="C125" i="19"/>
  <c r="C170" i="19"/>
  <c r="C170" i="18"/>
  <c r="C133" i="19"/>
  <c r="C133" i="18"/>
  <c r="C148" i="19"/>
  <c r="C148" i="18"/>
  <c r="C173" i="19"/>
  <c r="C173" i="18"/>
  <c r="C187" i="19"/>
  <c r="C187" i="18"/>
  <c r="C146" i="19"/>
  <c r="C146" i="18"/>
  <c r="D367" i="18" a="1"/>
  <c r="D367" i="18" s="1"/>
  <c r="F367" i="18" s="1"/>
  <c r="D187" i="18" a="1"/>
  <c r="D187" i="18" s="1"/>
  <c r="F187" i="18" s="1"/>
  <c r="D295" i="18" a="1"/>
  <c r="D295" i="18" s="1"/>
  <c r="F295" i="18" s="1"/>
  <c r="D223" i="18" a="1"/>
  <c r="D223" i="18" s="1"/>
  <c r="F223" i="18" s="1"/>
  <c r="D331" i="18" a="1"/>
  <c r="D331" i="18" s="1"/>
  <c r="F331" i="18" s="1"/>
  <c r="D151" i="18" a="1"/>
  <c r="D151" i="18" s="1"/>
  <c r="F151" i="18" s="1"/>
  <c r="D79" i="18" a="1"/>
  <c r="D79" i="18" s="1"/>
  <c r="F79" i="18" s="1"/>
  <c r="D259" i="18" a="1"/>
  <c r="D259" i="18" s="1"/>
  <c r="F259" i="18" s="1"/>
  <c r="D115" i="18" a="1"/>
  <c r="D115" i="18" s="1"/>
  <c r="F115" i="18" s="1"/>
  <c r="D298" i="18" a="1"/>
  <c r="D298" i="18" s="1"/>
  <c r="F298" i="18" s="1"/>
  <c r="D82" i="18" a="1"/>
  <c r="D82" i="18" s="1"/>
  <c r="F82" i="18" s="1"/>
  <c r="D370" i="18" a="1"/>
  <c r="D370" i="18" s="1"/>
  <c r="F370" i="18" s="1"/>
  <c r="D334" i="18" a="1"/>
  <c r="D334" i="18" s="1"/>
  <c r="F334" i="18" s="1"/>
  <c r="D154" i="18" a="1"/>
  <c r="D154" i="18" s="1"/>
  <c r="F154" i="18" s="1"/>
  <c r="D262" i="18" a="1"/>
  <c r="D262" i="18" s="1"/>
  <c r="F262" i="18" s="1"/>
  <c r="D118" i="18" a="1"/>
  <c r="D118" i="18" s="1"/>
  <c r="F118" i="18" s="1"/>
  <c r="D190" i="18" a="1"/>
  <c r="D190" i="18" s="1"/>
  <c r="F190" i="18" s="1"/>
  <c r="D226" i="18" a="1"/>
  <c r="D226" i="18" s="1"/>
  <c r="F226" i="18" s="1"/>
  <c r="C186" i="1"/>
  <c r="E162" i="1"/>
  <c r="C169" i="1"/>
  <c r="E192" i="1"/>
  <c r="E169" i="1"/>
  <c r="C167" i="1"/>
  <c r="C181" i="1"/>
  <c r="C223" i="1"/>
  <c r="E177" i="1"/>
  <c r="E191" i="1"/>
  <c r="C165" i="1"/>
  <c r="E166" i="1"/>
  <c r="C172" i="1"/>
  <c r="E183" i="1"/>
  <c r="E161" i="1"/>
  <c r="E187" i="1"/>
  <c r="E173" i="1"/>
  <c r="C191" i="1"/>
  <c r="C163" i="1"/>
  <c r="E167" i="1"/>
  <c r="C161" i="1"/>
  <c r="E180" i="1"/>
  <c r="C164" i="1"/>
  <c r="E186" i="1"/>
  <c r="E188" i="1"/>
  <c r="E178" i="1"/>
  <c r="C176" i="1"/>
  <c r="C162" i="1"/>
  <c r="C206" i="1"/>
  <c r="E184" i="1"/>
  <c r="C183" i="1"/>
  <c r="C192" i="1"/>
  <c r="E165" i="1"/>
  <c r="C180" i="1"/>
  <c r="E185" i="1"/>
  <c r="C178" i="1"/>
  <c r="C184" i="1"/>
  <c r="E176" i="1"/>
  <c r="E182" i="1"/>
  <c r="E163" i="1"/>
  <c r="E168" i="1"/>
  <c r="E181" i="1"/>
  <c r="C185" i="1"/>
  <c r="C168" i="1"/>
  <c r="C207" i="1"/>
  <c r="C188" i="1"/>
  <c r="C182" i="1"/>
  <c r="C175" i="1"/>
  <c r="E172" i="1"/>
  <c r="C190" i="1"/>
  <c r="C177" i="1"/>
  <c r="E190" i="1"/>
  <c r="C166" i="1"/>
  <c r="E171" i="1"/>
  <c r="E174" i="1"/>
  <c r="C179" i="1"/>
  <c r="C174" i="1"/>
  <c r="E164" i="1"/>
  <c r="E170" i="1"/>
  <c r="E189" i="1"/>
  <c r="E175" i="1"/>
  <c r="E179" i="1"/>
  <c r="C209" i="1"/>
  <c r="C225" i="1"/>
  <c r="J29" i="19"/>
  <c r="J28" i="19"/>
  <c r="J26" i="19"/>
  <c r="J18" i="1"/>
  <c r="U6" i="13"/>
  <c r="T6" i="13"/>
  <c r="R12" i="21"/>
  <c r="C175" i="19" l="1"/>
  <c r="C175" i="18"/>
  <c r="C188" i="19"/>
  <c r="C188" i="18"/>
  <c r="E176" i="19"/>
  <c r="E176" i="18"/>
  <c r="E180" i="19"/>
  <c r="E180" i="18"/>
  <c r="C167" i="19"/>
  <c r="C167" i="18"/>
  <c r="C225" i="18"/>
  <c r="C225" i="19"/>
  <c r="C192" i="19"/>
  <c r="C192" i="18"/>
  <c r="C164" i="19"/>
  <c r="C164" i="18"/>
  <c r="C207" i="19"/>
  <c r="C207" i="18"/>
  <c r="C161" i="19"/>
  <c r="C161" i="18"/>
  <c r="C162" i="19"/>
  <c r="C162" i="18"/>
  <c r="C206" i="18"/>
  <c r="C206" i="19"/>
  <c r="C178" i="19"/>
  <c r="C178" i="18"/>
  <c r="C177" i="19"/>
  <c r="C177" i="18"/>
  <c r="C185" i="18"/>
  <c r="C185" i="19"/>
  <c r="E185" i="19"/>
  <c r="E185" i="18"/>
  <c r="C176" i="19"/>
  <c r="C176" i="18"/>
  <c r="C163" i="18"/>
  <c r="C163" i="19"/>
  <c r="C165" i="19"/>
  <c r="C165" i="18"/>
  <c r="C169" i="19"/>
  <c r="C169" i="18"/>
  <c r="C209" i="19"/>
  <c r="C209" i="18"/>
  <c r="C168" i="19"/>
  <c r="C168" i="18"/>
  <c r="C190" i="18"/>
  <c r="C190" i="19"/>
  <c r="E181" i="19"/>
  <c r="E181" i="18"/>
  <c r="C180" i="19"/>
  <c r="C180" i="18"/>
  <c r="C191" i="19"/>
  <c r="C191" i="18"/>
  <c r="C179" i="19"/>
  <c r="C179" i="18"/>
  <c r="C223" i="19"/>
  <c r="C223" i="18"/>
  <c r="C181" i="18"/>
  <c r="C181" i="19"/>
  <c r="C184" i="19"/>
  <c r="C184" i="18"/>
  <c r="C174" i="19"/>
  <c r="C174" i="18"/>
  <c r="E177" i="19"/>
  <c r="E177" i="18"/>
  <c r="C222" i="1"/>
  <c r="C186" i="18"/>
  <c r="C186" i="19"/>
  <c r="C182" i="19"/>
  <c r="C182" i="18"/>
  <c r="D262" i="1"/>
  <c r="D262" i="19" s="1"/>
  <c r="F262" i="1"/>
  <c r="F331" i="1"/>
  <c r="D331" i="1"/>
  <c r="D331" i="19" s="1"/>
  <c r="F259" i="1"/>
  <c r="D259" i="1"/>
  <c r="D259" i="19" s="1"/>
  <c r="F334" i="1"/>
  <c r="D334" i="1"/>
  <c r="D334" i="19" s="1"/>
  <c r="F370" i="1"/>
  <c r="D370" i="1"/>
  <c r="D370" i="19" s="1"/>
  <c r="F223" i="1"/>
  <c r="D223" i="1"/>
  <c r="D223" i="19" s="1"/>
  <c r="D151" i="1"/>
  <c r="D151" i="19" s="1"/>
  <c r="F151" i="1"/>
  <c r="F82" i="1"/>
  <c r="D82" i="1"/>
  <c r="D82" i="19" s="1"/>
  <c r="F295" i="1"/>
  <c r="D295" i="1"/>
  <c r="D295" i="19" s="1"/>
  <c r="F118" i="1"/>
  <c r="D118" i="1"/>
  <c r="D118" i="19" s="1"/>
  <c r="F154" i="1"/>
  <c r="D154" i="1"/>
  <c r="D154" i="19" s="1"/>
  <c r="F226" i="1"/>
  <c r="D226" i="1"/>
  <c r="D226" i="19" s="1"/>
  <c r="F298" i="1"/>
  <c r="D298" i="1"/>
  <c r="D298" i="19" s="1"/>
  <c r="D187" i="1"/>
  <c r="D187" i="19" s="1"/>
  <c r="F187" i="1"/>
  <c r="D79" i="1"/>
  <c r="D79" i="19" s="1"/>
  <c r="F79" i="1"/>
  <c r="F190" i="1"/>
  <c r="D190" i="1"/>
  <c r="D190" i="19" s="1"/>
  <c r="D115" i="1"/>
  <c r="D115" i="19" s="1"/>
  <c r="F115" i="1"/>
  <c r="F367" i="1"/>
  <c r="D367" i="1"/>
  <c r="D367" i="19" s="1"/>
  <c r="B40" i="4"/>
  <c r="S6" i="13"/>
  <c r="E204" i="1"/>
  <c r="C219" i="1"/>
  <c r="C197" i="1"/>
  <c r="C259" i="1"/>
  <c r="C205" i="1"/>
  <c r="E200" i="1"/>
  <c r="E225" i="1"/>
  <c r="E210" i="1"/>
  <c r="C243" i="1"/>
  <c r="E199" i="1"/>
  <c r="E212" i="1"/>
  <c r="E220" i="1"/>
  <c r="E224" i="1"/>
  <c r="E203" i="1"/>
  <c r="E197" i="1"/>
  <c r="E205" i="1"/>
  <c r="C245" i="1"/>
  <c r="C227" i="1"/>
  <c r="C202" i="1"/>
  <c r="C211" i="1"/>
  <c r="E201" i="1"/>
  <c r="E227" i="1"/>
  <c r="E215" i="1"/>
  <c r="C212" i="1"/>
  <c r="E209" i="1"/>
  <c r="E202" i="1"/>
  <c r="C217" i="1"/>
  <c r="E198" i="1"/>
  <c r="C213" i="1"/>
  <c r="C214" i="1"/>
  <c r="C226" i="1"/>
  <c r="E221" i="1"/>
  <c r="C210" i="1"/>
  <c r="C218" i="1"/>
  <c r="E217" i="1"/>
  <c r="C228" i="1"/>
  <c r="E216" i="1"/>
  <c r="C221" i="1"/>
  <c r="C200" i="1"/>
  <c r="C261" i="1"/>
  <c r="E226" i="1"/>
  <c r="C204" i="1"/>
  <c r="C220" i="1"/>
  <c r="C242" i="1"/>
  <c r="E222" i="1"/>
  <c r="C199" i="1"/>
  <c r="E219" i="1"/>
  <c r="E213" i="1"/>
  <c r="E228" i="1"/>
  <c r="E211" i="1"/>
  <c r="C215" i="1"/>
  <c r="C224" i="1"/>
  <c r="E223" i="1"/>
  <c r="C198" i="1"/>
  <c r="C208" i="1"/>
  <c r="E206" i="1"/>
  <c r="E207" i="1"/>
  <c r="E208" i="1"/>
  <c r="E218" i="1"/>
  <c r="C216" i="1"/>
  <c r="E214" i="1"/>
  <c r="C201" i="1"/>
  <c r="C203" i="1"/>
  <c r="C258" i="1"/>
  <c r="G5" i="5"/>
  <c r="G6" i="5"/>
  <c r="G7" i="5"/>
  <c r="C216" i="19" l="1"/>
  <c r="C216" i="18"/>
  <c r="C224" i="19"/>
  <c r="C224" i="18"/>
  <c r="C242" i="19"/>
  <c r="C242" i="18"/>
  <c r="C228" i="19"/>
  <c r="C228" i="18"/>
  <c r="C211" i="19"/>
  <c r="C211" i="18"/>
  <c r="C259" i="19"/>
  <c r="C259" i="18"/>
  <c r="E216" i="18"/>
  <c r="E216" i="19"/>
  <c r="C215" i="19"/>
  <c r="C215" i="18"/>
  <c r="E212" i="19"/>
  <c r="E212" i="18"/>
  <c r="C227" i="19"/>
  <c r="C227" i="18"/>
  <c r="C220" i="18"/>
  <c r="C220" i="19"/>
  <c r="C197" i="19"/>
  <c r="C197" i="18"/>
  <c r="C243" i="19"/>
  <c r="C243" i="18"/>
  <c r="C205" i="19"/>
  <c r="C205" i="18"/>
  <c r="E217" i="18"/>
  <c r="E217" i="19"/>
  <c r="C210" i="18"/>
  <c r="C210" i="19"/>
  <c r="C258" i="19"/>
  <c r="C258" i="18"/>
  <c r="C261" i="19"/>
  <c r="C261" i="18"/>
  <c r="C212" i="18"/>
  <c r="C212" i="19"/>
  <c r="C217" i="18"/>
  <c r="C217" i="19"/>
  <c r="C204" i="19"/>
  <c r="C204" i="18"/>
  <c r="C245" i="18"/>
  <c r="C245" i="19"/>
  <c r="E213" i="18"/>
  <c r="E213" i="19"/>
  <c r="E221" i="18"/>
  <c r="E221" i="19"/>
  <c r="C203" i="18"/>
  <c r="C203" i="19"/>
  <c r="C200" i="19"/>
  <c r="C200" i="18"/>
  <c r="C226" i="19"/>
  <c r="C226" i="18"/>
  <c r="C213" i="18"/>
  <c r="C213" i="19"/>
  <c r="C201" i="19"/>
  <c r="C201" i="18"/>
  <c r="C198" i="19"/>
  <c r="C198" i="18"/>
  <c r="C199" i="18"/>
  <c r="C199" i="19"/>
  <c r="C221" i="18"/>
  <c r="C221" i="19"/>
  <c r="C214" i="18"/>
  <c r="C214" i="19"/>
  <c r="C222" i="18"/>
  <c r="C222" i="19"/>
  <c r="C218" i="19"/>
  <c r="C218" i="18"/>
  <c r="E241" i="1"/>
  <c r="E264" i="1"/>
  <c r="C254" i="1"/>
  <c r="E238" i="1"/>
  <c r="C233" i="1"/>
  <c r="E244" i="1"/>
  <c r="C264" i="1"/>
  <c r="C262" i="1"/>
  <c r="E251" i="1"/>
  <c r="E260" i="1"/>
  <c r="E246" i="1"/>
  <c r="C252" i="1"/>
  <c r="C235" i="1"/>
  <c r="E262" i="1"/>
  <c r="E234" i="1"/>
  <c r="C247" i="1"/>
  <c r="E233" i="1"/>
  <c r="C241" i="1"/>
  <c r="E235" i="1"/>
  <c r="C255" i="1"/>
  <c r="C278" i="1"/>
  <c r="C263" i="1"/>
  <c r="E248" i="1"/>
  <c r="E242" i="1"/>
  <c r="C237" i="1"/>
  <c r="E259" i="1"/>
  <c r="C244" i="1"/>
  <c r="E249" i="1"/>
  <c r="C250" i="1"/>
  <c r="E263" i="1"/>
  <c r="E256" i="1"/>
  <c r="E261" i="1"/>
  <c r="C234" i="1"/>
  <c r="E237" i="1"/>
  <c r="E236" i="1"/>
  <c r="C236" i="1"/>
  <c r="C251" i="1"/>
  <c r="C257" i="1"/>
  <c r="C246" i="1"/>
  <c r="E245" i="1"/>
  <c r="C294" i="1"/>
  <c r="E243" i="1"/>
  <c r="E247" i="1"/>
  <c r="E258" i="1"/>
  <c r="C297" i="1"/>
  <c r="E253" i="1"/>
  <c r="C253" i="1"/>
  <c r="C238" i="1"/>
  <c r="E239" i="1"/>
  <c r="C295" i="1"/>
  <c r="E250" i="1"/>
  <c r="E255" i="1"/>
  <c r="C249" i="1"/>
  <c r="C239" i="1"/>
  <c r="C256" i="1"/>
  <c r="C281" i="1"/>
  <c r="E254" i="1"/>
  <c r="C260" i="1"/>
  <c r="C240" i="1"/>
  <c r="E252" i="1"/>
  <c r="E257" i="1"/>
  <c r="C248" i="1"/>
  <c r="C279" i="1"/>
  <c r="E240" i="1"/>
  <c r="R18" i="21"/>
  <c r="R11" i="21"/>
  <c r="R10" i="21"/>
  <c r="R9" i="21"/>
  <c r="I25" i="21"/>
  <c r="H25" i="21"/>
  <c r="G25" i="21"/>
  <c r="F25" i="21"/>
  <c r="I24" i="21"/>
  <c r="H24" i="21"/>
  <c r="G24" i="21"/>
  <c r="F24" i="21"/>
  <c r="I23" i="21"/>
  <c r="H23" i="21"/>
  <c r="G23" i="21"/>
  <c r="F23" i="21"/>
  <c r="I22" i="21"/>
  <c r="H22" i="21"/>
  <c r="G22" i="21"/>
  <c r="F22" i="21"/>
  <c r="I21" i="21"/>
  <c r="H21" i="21"/>
  <c r="G21" i="21"/>
  <c r="F21" i="21"/>
  <c r="I20" i="21"/>
  <c r="H20" i="21"/>
  <c r="G20" i="21"/>
  <c r="F20" i="21"/>
  <c r="I19" i="21"/>
  <c r="H19" i="21"/>
  <c r="G19" i="21"/>
  <c r="F19" i="21"/>
  <c r="I18" i="21"/>
  <c r="H18" i="21"/>
  <c r="G18" i="21"/>
  <c r="F18" i="21"/>
  <c r="I17" i="21"/>
  <c r="H17" i="21"/>
  <c r="G17" i="21"/>
  <c r="F17" i="21"/>
  <c r="I16" i="21"/>
  <c r="H16" i="21"/>
  <c r="G16" i="21"/>
  <c r="F16" i="21"/>
  <c r="F7" i="21"/>
  <c r="I7" i="21"/>
  <c r="H7" i="21"/>
  <c r="G7" i="21"/>
  <c r="I6" i="21"/>
  <c r="G6" i="21"/>
  <c r="H6" i="21"/>
  <c r="F6" i="21"/>
  <c r="J5" i="5"/>
  <c r="J6" i="5"/>
  <c r="J7" i="5"/>
  <c r="J4" i="5"/>
  <c r="O11" i="20"/>
  <c r="K11" i="20"/>
  <c r="I11" i="20"/>
  <c r="O10" i="20"/>
  <c r="K10" i="20"/>
  <c r="I10" i="20"/>
  <c r="O9" i="20"/>
  <c r="K9" i="20"/>
  <c r="I9" i="20"/>
  <c r="O8" i="20"/>
  <c r="K8" i="20"/>
  <c r="I8" i="20"/>
  <c r="O7" i="20"/>
  <c r="K7" i="20"/>
  <c r="I7" i="20"/>
  <c r="Z4" i="20"/>
  <c r="Z3" i="20"/>
  <c r="J11" i="20"/>
  <c r="H17" i="13" s="1" a="1"/>
  <c r="H17" i="13" s="1"/>
  <c r="J10" i="20"/>
  <c r="H16" i="13" s="1" a="1"/>
  <c r="H16" i="13" s="1"/>
  <c r="J9" i="20"/>
  <c r="H15" i="13" s="1" a="1"/>
  <c r="H15" i="13" s="1"/>
  <c r="J8" i="20"/>
  <c r="H14" i="13" s="1" a="1"/>
  <c r="H14" i="13" s="1"/>
  <c r="J7" i="20"/>
  <c r="H13" i="13" s="1" a="1"/>
  <c r="H13" i="13" s="1"/>
  <c r="J6" i="20"/>
  <c r="H12" i="13" s="1" a="1"/>
  <c r="H12" i="13" s="1"/>
  <c r="J5" i="20"/>
  <c r="H11" i="13" s="1" a="1"/>
  <c r="H11" i="13" s="1"/>
  <c r="J4" i="20"/>
  <c r="H10" i="13" s="1" a="1"/>
  <c r="H10" i="13" s="1"/>
  <c r="J3" i="20"/>
  <c r="H9" i="13" s="1" a="1"/>
  <c r="H9" i="13" s="1"/>
  <c r="D21" i="19" a="1"/>
  <c r="D21" i="19" s="1"/>
  <c r="O6" i="20"/>
  <c r="O5" i="20"/>
  <c r="O4" i="20"/>
  <c r="O3" i="20"/>
  <c r="D30" i="19"/>
  <c r="O2" i="20" s="1"/>
  <c r="K6" i="20"/>
  <c r="K5" i="20"/>
  <c r="K4" i="20"/>
  <c r="K3" i="20"/>
  <c r="D24" i="19"/>
  <c r="K2" i="20" s="1"/>
  <c r="J27" i="19"/>
  <c r="J25" i="19"/>
  <c r="J24" i="19"/>
  <c r="J18" i="19"/>
  <c r="J21" i="19"/>
  <c r="J20" i="19"/>
  <c r="J19" i="19"/>
  <c r="D41" i="19"/>
  <c r="AA2" i="20" s="1"/>
  <c r="D42" i="19"/>
  <c r="Z2" i="20" s="1"/>
  <c r="R2" i="20"/>
  <c r="D24" i="18"/>
  <c r="D30" i="18"/>
  <c r="D12" i="19"/>
  <c r="I6" i="20"/>
  <c r="I5" i="20"/>
  <c r="I4" i="20"/>
  <c r="I3" i="20"/>
  <c r="D20" i="19"/>
  <c r="I2" i="20" s="1"/>
  <c r="D20" i="18"/>
  <c r="C294" i="19" l="1"/>
  <c r="C294" i="18"/>
  <c r="C281" i="19"/>
  <c r="C281" i="18"/>
  <c r="C247" i="19"/>
  <c r="C247" i="18"/>
  <c r="C262" i="19"/>
  <c r="C262" i="18"/>
  <c r="C260" i="18"/>
  <c r="C260" i="19"/>
  <c r="C279" i="19"/>
  <c r="C279" i="18"/>
  <c r="C256" i="18"/>
  <c r="C256" i="19"/>
  <c r="C253" i="19"/>
  <c r="C253" i="18"/>
  <c r="C246" i="19"/>
  <c r="C246" i="18"/>
  <c r="E248" i="18"/>
  <c r="E248" i="19"/>
  <c r="C264" i="18"/>
  <c r="C264" i="19"/>
  <c r="C237" i="18"/>
  <c r="C237" i="19"/>
  <c r="C248" i="18"/>
  <c r="C248" i="19"/>
  <c r="C239" i="19"/>
  <c r="C239" i="18"/>
  <c r="E253" i="19"/>
  <c r="E253" i="18"/>
  <c r="C257" i="18"/>
  <c r="C257" i="19"/>
  <c r="C263" i="19"/>
  <c r="C263" i="18"/>
  <c r="C234" i="19"/>
  <c r="C234" i="18"/>
  <c r="E257" i="19"/>
  <c r="E257" i="18"/>
  <c r="C249" i="18"/>
  <c r="C249" i="19"/>
  <c r="C297" i="19"/>
  <c r="C297" i="18"/>
  <c r="C251" i="19"/>
  <c r="C251" i="18"/>
  <c r="C250" i="19"/>
  <c r="C250" i="18"/>
  <c r="C278" i="19"/>
  <c r="C278" i="18"/>
  <c r="C235" i="18"/>
  <c r="C235" i="19"/>
  <c r="C233" i="19"/>
  <c r="C233" i="18"/>
  <c r="C241" i="18"/>
  <c r="C241" i="19"/>
  <c r="E252" i="18"/>
  <c r="E252" i="19"/>
  <c r="C236" i="19"/>
  <c r="C236" i="18"/>
  <c r="E249" i="19"/>
  <c r="E249" i="18"/>
  <c r="C252" i="18"/>
  <c r="C252" i="19"/>
  <c r="C295" i="18"/>
  <c r="C295" i="19"/>
  <c r="C240" i="19"/>
  <c r="C240" i="18"/>
  <c r="C254" i="19"/>
  <c r="C254" i="18"/>
  <c r="D44" i="18" a="1"/>
  <c r="D44" i="18" s="1"/>
  <c r="D43" i="18" a="1"/>
  <c r="D43" i="18" s="1"/>
  <c r="F43" i="18" s="1"/>
  <c r="D46" i="18" a="1"/>
  <c r="D46" i="18" s="1"/>
  <c r="F46" i="18" s="1"/>
  <c r="D342" i="19"/>
  <c r="F11" i="20" s="1"/>
  <c r="D270" i="19"/>
  <c r="D90" i="19"/>
  <c r="F4" i="20" s="1"/>
  <c r="D306" i="19"/>
  <c r="D234" i="19"/>
  <c r="D54" i="19"/>
  <c r="F3" i="20" s="1"/>
  <c r="D162" i="19"/>
  <c r="F6" i="20" s="1"/>
  <c r="D126" i="19"/>
  <c r="F5" i="20" s="1"/>
  <c r="D198" i="19"/>
  <c r="J2" i="20"/>
  <c r="H8" i="13" s="1" a="1"/>
  <c r="H8" i="13" s="1"/>
  <c r="D18" i="19"/>
  <c r="F2" i="20" s="1"/>
  <c r="B2" i="20" s="1"/>
  <c r="P9" i="13"/>
  <c r="O9" i="13"/>
  <c r="N9" i="13"/>
  <c r="E275" i="1"/>
  <c r="E276" i="1"/>
  <c r="C290" i="1"/>
  <c r="E293" i="1"/>
  <c r="E286" i="1"/>
  <c r="C270" i="1"/>
  <c r="E285" i="1"/>
  <c r="C271" i="1"/>
  <c r="C298" i="1"/>
  <c r="C296" i="1"/>
  <c r="C285" i="1"/>
  <c r="C274" i="1"/>
  <c r="E283" i="1"/>
  <c r="C293" i="1"/>
  <c r="E299" i="1"/>
  <c r="C273" i="1"/>
  <c r="E284" i="1"/>
  <c r="E270" i="1"/>
  <c r="C269" i="1"/>
  <c r="C315" i="1"/>
  <c r="C333" i="1"/>
  <c r="C291" i="1"/>
  <c r="E296" i="1"/>
  <c r="E300" i="1"/>
  <c r="C275" i="1"/>
  <c r="C282" i="1"/>
  <c r="E292" i="1"/>
  <c r="C283" i="1"/>
  <c r="E282" i="1"/>
  <c r="E277" i="1"/>
  <c r="E289" i="1"/>
  <c r="C317" i="1"/>
  <c r="E272" i="1"/>
  <c r="C331" i="1"/>
  <c r="E281" i="1"/>
  <c r="C300" i="1"/>
  <c r="E280" i="1"/>
  <c r="C314" i="1"/>
  <c r="E291" i="1"/>
  <c r="C289" i="1"/>
  <c r="C287" i="1"/>
  <c r="C286" i="1"/>
  <c r="C299" i="1"/>
  <c r="E274" i="1"/>
  <c r="C276" i="1"/>
  <c r="E295" i="1"/>
  <c r="C330" i="1"/>
  <c r="C277" i="1"/>
  <c r="E288" i="1"/>
  <c r="C292" i="1"/>
  <c r="E297" i="1"/>
  <c r="C280" i="1"/>
  <c r="E269" i="1"/>
  <c r="C288" i="1"/>
  <c r="C284" i="1"/>
  <c r="E290" i="1"/>
  <c r="E294" i="1"/>
  <c r="E279" i="1"/>
  <c r="C272" i="1"/>
  <c r="E273" i="1"/>
  <c r="E278" i="1"/>
  <c r="E271" i="1"/>
  <c r="E298" i="1"/>
  <c r="E287" i="1"/>
  <c r="W11" i="20"/>
  <c r="AA3" i="20"/>
  <c r="AA4" i="20"/>
  <c r="AA5" i="20"/>
  <c r="AA6" i="20"/>
  <c r="AA7" i="20"/>
  <c r="AA9" i="20"/>
  <c r="AA8" i="20"/>
  <c r="Z6" i="20"/>
  <c r="AA11" i="20"/>
  <c r="AA10" i="20"/>
  <c r="R3" i="20"/>
  <c r="R4" i="20"/>
  <c r="R5" i="20"/>
  <c r="R6" i="20"/>
  <c r="R7" i="20"/>
  <c r="R8" i="20"/>
  <c r="R9" i="20"/>
  <c r="R10" i="20"/>
  <c r="R11" i="20"/>
  <c r="Z5" i="20"/>
  <c r="Z7" i="20"/>
  <c r="Z8" i="20"/>
  <c r="Z9" i="20"/>
  <c r="Z10" i="20"/>
  <c r="Z11" i="20"/>
  <c r="D27" i="18" a="1"/>
  <c r="D27" i="18" s="1"/>
  <c r="F27" i="18" s="1"/>
  <c r="F27" i="1" s="1"/>
  <c r="D38" i="18" a="1"/>
  <c r="D38" i="18" s="1"/>
  <c r="D38" i="1" s="1"/>
  <c r="D47" i="18" l="1"/>
  <c r="F44" i="18"/>
  <c r="F44" i="1" s="1"/>
  <c r="E288" i="19"/>
  <c r="E288" i="18"/>
  <c r="E284" i="19"/>
  <c r="E284" i="18"/>
  <c r="C289" i="19"/>
  <c r="C289" i="18"/>
  <c r="C317" i="19"/>
  <c r="C317" i="18"/>
  <c r="C271" i="19"/>
  <c r="C271" i="18"/>
  <c r="C284" i="18"/>
  <c r="C284" i="19"/>
  <c r="C330" i="19"/>
  <c r="C330" i="18"/>
  <c r="E289" i="19"/>
  <c r="E289" i="18"/>
  <c r="E285" i="19"/>
  <c r="E285" i="18"/>
  <c r="C314" i="19"/>
  <c r="C314" i="18"/>
  <c r="C293" i="19"/>
  <c r="C293" i="18"/>
  <c r="C287" i="18"/>
  <c r="C287" i="19"/>
  <c r="C298" i="19"/>
  <c r="C298" i="18"/>
  <c r="C277" i="19"/>
  <c r="C277" i="18"/>
  <c r="C273" i="18"/>
  <c r="C273" i="19"/>
  <c r="C288" i="19"/>
  <c r="C288" i="18"/>
  <c r="C270" i="18"/>
  <c r="C270" i="19"/>
  <c r="C276" i="18"/>
  <c r="C276" i="19"/>
  <c r="C333" i="19"/>
  <c r="C333" i="18"/>
  <c r="C300" i="19"/>
  <c r="C300" i="18"/>
  <c r="C283" i="18"/>
  <c r="C283" i="19"/>
  <c r="C315" i="19"/>
  <c r="C315" i="18"/>
  <c r="E293" i="19"/>
  <c r="E293" i="18"/>
  <c r="D44" i="1"/>
  <c r="D44" i="19" s="1"/>
  <c r="AB2" i="20" s="1"/>
  <c r="C275" i="19"/>
  <c r="C275" i="18"/>
  <c r="C272" i="19"/>
  <c r="C272" i="18"/>
  <c r="C299" i="18"/>
  <c r="C299" i="19"/>
  <c r="C269" i="19"/>
  <c r="C269" i="18"/>
  <c r="C285" i="19"/>
  <c r="C285" i="18"/>
  <c r="C292" i="18"/>
  <c r="C292" i="19"/>
  <c r="C286" i="19"/>
  <c r="C286" i="18"/>
  <c r="C331" i="19"/>
  <c r="C331" i="18"/>
  <c r="C282" i="19"/>
  <c r="C282" i="18"/>
  <c r="C296" i="19"/>
  <c r="C296" i="18"/>
  <c r="C290" i="18"/>
  <c r="C290" i="19"/>
  <c r="P8" i="13"/>
  <c r="C14" i="3"/>
  <c r="B14" i="3"/>
  <c r="C9" i="3"/>
  <c r="B9" i="3"/>
  <c r="C8" i="3"/>
  <c r="B8" i="3"/>
  <c r="C6" i="3"/>
  <c r="B6" i="3"/>
  <c r="C7" i="3"/>
  <c r="B7" i="3"/>
  <c r="E8" i="13"/>
  <c r="C5" i="3"/>
  <c r="B5" i="3"/>
  <c r="F46" i="1"/>
  <c r="D46" i="1"/>
  <c r="D46" i="19" s="1"/>
  <c r="X2" i="20" s="1"/>
  <c r="D27" i="1"/>
  <c r="D27" i="19" s="1"/>
  <c r="L2" i="20" s="1"/>
  <c r="F43" i="1"/>
  <c r="D43" i="1"/>
  <c r="D43" i="19" s="1"/>
  <c r="Y2" i="20" s="1"/>
  <c r="F7" i="20"/>
  <c r="F10" i="20"/>
  <c r="F9" i="20"/>
  <c r="G2" i="20"/>
  <c r="H2" i="20"/>
  <c r="F8" i="20"/>
  <c r="D38" i="19"/>
  <c r="W2" i="20" s="1"/>
  <c r="AB3" i="20"/>
  <c r="AB8" i="20"/>
  <c r="AB4" i="20"/>
  <c r="AB11" i="20"/>
  <c r="AB7" i="20"/>
  <c r="AB6" i="20"/>
  <c r="E9" i="13"/>
  <c r="E11" i="13"/>
  <c r="E12" i="13"/>
  <c r="E10" i="13"/>
  <c r="AB5" i="20"/>
  <c r="AB10" i="20"/>
  <c r="C308" i="1"/>
  <c r="E324" i="1"/>
  <c r="C323" i="1"/>
  <c r="C319" i="1"/>
  <c r="E335" i="1"/>
  <c r="C332" i="1"/>
  <c r="E314" i="1"/>
  <c r="E333" i="1"/>
  <c r="C311" i="1"/>
  <c r="E322" i="1"/>
  <c r="E334" i="1"/>
  <c r="C312" i="1"/>
  <c r="C335" i="1"/>
  <c r="E317" i="1"/>
  <c r="E313" i="1"/>
  <c r="C327" i="1"/>
  <c r="E320" i="1"/>
  <c r="C310" i="1"/>
  <c r="E321" i="1"/>
  <c r="C336" i="1"/>
  <c r="C324" i="1"/>
  <c r="C326" i="1"/>
  <c r="E326" i="1"/>
  <c r="E331" i="1"/>
  <c r="C350" i="1"/>
  <c r="E315" i="1"/>
  <c r="E305" i="1"/>
  <c r="C313" i="1"/>
  <c r="C325" i="1"/>
  <c r="C305" i="1"/>
  <c r="C334" i="1"/>
  <c r="E312" i="1"/>
  <c r="E309" i="1"/>
  <c r="E316" i="1"/>
  <c r="E336" i="1"/>
  <c r="E310" i="1"/>
  <c r="E332" i="1"/>
  <c r="E308" i="1"/>
  <c r="C353" i="1"/>
  <c r="E328" i="1"/>
  <c r="C329" i="1"/>
  <c r="C320" i="1"/>
  <c r="C328" i="1"/>
  <c r="AB9" i="20"/>
  <c r="E307" i="1"/>
  <c r="C322" i="1"/>
  <c r="C367" i="1"/>
  <c r="E318" i="1"/>
  <c r="C369" i="1"/>
  <c r="C309" i="1"/>
  <c r="C321" i="1"/>
  <c r="C306" i="1"/>
  <c r="E329" i="1"/>
  <c r="E319" i="1"/>
  <c r="C351" i="1"/>
  <c r="E323" i="1"/>
  <c r="E330" i="1"/>
  <c r="C316" i="1"/>
  <c r="C366" i="1"/>
  <c r="E327" i="1"/>
  <c r="E325" i="1"/>
  <c r="C318" i="1"/>
  <c r="E306" i="1"/>
  <c r="C307" i="1"/>
  <c r="E311" i="1"/>
  <c r="L4" i="20"/>
  <c r="L9" i="20"/>
  <c r="X5" i="20"/>
  <c r="L11" i="20"/>
  <c r="L3" i="20"/>
  <c r="L5" i="20"/>
  <c r="L10" i="20"/>
  <c r="L7" i="20"/>
  <c r="L6" i="20"/>
  <c r="W6" i="20"/>
  <c r="L8" i="20"/>
  <c r="AD9" i="20"/>
  <c r="AD6" i="20"/>
  <c r="AD5" i="20"/>
  <c r="AD10" i="20"/>
  <c r="AD4" i="20"/>
  <c r="AD7" i="20"/>
  <c r="AD8" i="20"/>
  <c r="AD11" i="20"/>
  <c r="AD3" i="20"/>
  <c r="X3" i="20"/>
  <c r="Y8" i="20"/>
  <c r="Y5" i="20"/>
  <c r="X4" i="20"/>
  <c r="Y7" i="20"/>
  <c r="Y10" i="20"/>
  <c r="Y9" i="20"/>
  <c r="Y11" i="20"/>
  <c r="Y4" i="20"/>
  <c r="W3" i="20"/>
  <c r="W5" i="20"/>
  <c r="Y6" i="20"/>
  <c r="B3" i="20"/>
  <c r="W5" i="9"/>
  <c r="B4" i="20"/>
  <c r="B5" i="20"/>
  <c r="D5" i="10"/>
  <c r="AK5" i="6"/>
  <c r="AU5" i="9"/>
  <c r="A38" i="5" a="1"/>
  <c r="B22" i="4"/>
  <c r="D47" i="1" l="1"/>
  <c r="D47" i="19" s="1"/>
  <c r="AD2" i="20" s="1"/>
  <c r="F47" i="18"/>
  <c r="F47" i="1" s="1"/>
  <c r="C351" i="18"/>
  <c r="C351" i="19"/>
  <c r="C367" i="18"/>
  <c r="C367" i="19"/>
  <c r="C353" i="18"/>
  <c r="C353" i="19"/>
  <c r="C334" i="19"/>
  <c r="C334" i="18"/>
  <c r="C322" i="19"/>
  <c r="C322" i="18"/>
  <c r="E325" i="19"/>
  <c r="E325" i="18"/>
  <c r="E329" i="19"/>
  <c r="E329" i="18"/>
  <c r="C325" i="19"/>
  <c r="C325" i="18"/>
  <c r="C324" i="19"/>
  <c r="C324" i="18"/>
  <c r="C335" i="19"/>
  <c r="C335" i="18"/>
  <c r="C306" i="19"/>
  <c r="C306" i="18"/>
  <c r="C307" i="19"/>
  <c r="C307" i="18"/>
  <c r="C318" i="19"/>
  <c r="C318" i="18"/>
  <c r="C332" i="19"/>
  <c r="C332" i="18"/>
  <c r="C313" i="19"/>
  <c r="C313" i="18"/>
  <c r="C336" i="19"/>
  <c r="C336" i="18"/>
  <c r="C319" i="18"/>
  <c r="C319" i="19"/>
  <c r="C366" i="19"/>
  <c r="C366" i="18"/>
  <c r="C321" i="19"/>
  <c r="C321" i="18"/>
  <c r="C328" i="19"/>
  <c r="C328" i="18"/>
  <c r="E321" i="19"/>
  <c r="E321" i="18"/>
  <c r="C323" i="19"/>
  <c r="C323" i="18"/>
  <c r="C305" i="18"/>
  <c r="C305" i="19"/>
  <c r="C309" i="19"/>
  <c r="C309" i="18"/>
  <c r="C320" i="19"/>
  <c r="C320" i="18"/>
  <c r="E324" i="19"/>
  <c r="E324" i="18"/>
  <c r="C312" i="18"/>
  <c r="C312" i="19"/>
  <c r="C369" i="19"/>
  <c r="C369" i="18"/>
  <c r="C329" i="19"/>
  <c r="C329" i="18"/>
  <c r="C350" i="19"/>
  <c r="C350" i="18"/>
  <c r="E320" i="19"/>
  <c r="E320" i="18"/>
  <c r="C311" i="19"/>
  <c r="C311" i="18"/>
  <c r="C308" i="19"/>
  <c r="C308" i="18"/>
  <c r="C326" i="19"/>
  <c r="C326" i="18"/>
  <c r="P7" i="13"/>
  <c r="C10" i="3"/>
  <c r="B10" i="3"/>
  <c r="C6" i="9"/>
  <c r="C6" i="6"/>
  <c r="C6" i="10"/>
  <c r="C9" i="6"/>
  <c r="C9" i="9"/>
  <c r="C9" i="10"/>
  <c r="E14" i="13"/>
  <c r="C11" i="3"/>
  <c r="B11" i="3"/>
  <c r="P7" i="3"/>
  <c r="U7" i="3"/>
  <c r="N7" i="3"/>
  <c r="S7" i="3"/>
  <c r="F7" i="3"/>
  <c r="G7" i="3" s="1"/>
  <c r="K7" i="3"/>
  <c r="H7" i="3"/>
  <c r="I7" i="3"/>
  <c r="F14" i="3"/>
  <c r="G14" i="3" s="1"/>
  <c r="N14" i="3"/>
  <c r="S14" i="3"/>
  <c r="I14" i="3"/>
  <c r="AI14" i="3"/>
  <c r="AC14" i="9" s="1"/>
  <c r="H14" i="3"/>
  <c r="U14" i="3"/>
  <c r="P14" i="3"/>
  <c r="F6" i="3"/>
  <c r="G6" i="3" s="1"/>
  <c r="U6" i="3"/>
  <c r="H6" i="3"/>
  <c r="I6" i="3"/>
  <c r="AI6" i="3"/>
  <c r="AC6" i="9" s="1"/>
  <c r="N6" i="3"/>
  <c r="K6" i="3"/>
  <c r="S6" i="3"/>
  <c r="K8" i="3"/>
  <c r="F8" i="3"/>
  <c r="G8" i="3" s="1"/>
  <c r="AI8" i="3"/>
  <c r="AC8" i="9" s="1"/>
  <c r="P8" i="3"/>
  <c r="N8" i="3"/>
  <c r="I8" i="3"/>
  <c r="U8" i="3"/>
  <c r="H8" i="3"/>
  <c r="S8" i="3"/>
  <c r="E16" i="13"/>
  <c r="C13" i="3"/>
  <c r="B13" i="3"/>
  <c r="C8" i="6"/>
  <c r="C8" i="10"/>
  <c r="C8" i="9"/>
  <c r="B12" i="3"/>
  <c r="C12" i="3"/>
  <c r="H9" i="3"/>
  <c r="F9" i="3"/>
  <c r="G9" i="3" s="1"/>
  <c r="AI9" i="3"/>
  <c r="AC9" i="9" s="1"/>
  <c r="I9" i="3"/>
  <c r="S9" i="3"/>
  <c r="U9" i="3"/>
  <c r="N9" i="3"/>
  <c r="P9" i="3"/>
  <c r="C7" i="10"/>
  <c r="C7" i="9"/>
  <c r="C7" i="6"/>
  <c r="C14" i="6"/>
  <c r="C14" i="9"/>
  <c r="C14" i="10"/>
  <c r="I5" i="3"/>
  <c r="E5" i="3"/>
  <c r="AG5" i="3" s="1"/>
  <c r="N8" i="13"/>
  <c r="C2" i="20"/>
  <c r="D5" i="3"/>
  <c r="O8" i="13"/>
  <c r="AI5" i="3"/>
  <c r="F5" i="3"/>
  <c r="G5" i="3" s="1"/>
  <c r="Z5" i="3"/>
  <c r="K5" i="3"/>
  <c r="S5" i="3"/>
  <c r="H5" i="3"/>
  <c r="P5" i="3"/>
  <c r="N5" i="3"/>
  <c r="U5" i="3"/>
  <c r="C5" i="10"/>
  <c r="C5" i="9"/>
  <c r="C5" i="6"/>
  <c r="P6" i="13"/>
  <c r="B6" i="20"/>
  <c r="X8" i="20"/>
  <c r="X9" i="20"/>
  <c r="W7" i="20"/>
  <c r="B9" i="20"/>
  <c r="B8" i="20"/>
  <c r="B7" i="20"/>
  <c r="E15" i="13"/>
  <c r="E13" i="13"/>
  <c r="X6" i="20"/>
  <c r="K9" i="3" s="1"/>
  <c r="W4" i="20"/>
  <c r="AI7" i="3" s="1"/>
  <c r="AC7" i="9" s="1"/>
  <c r="X10" i="20"/>
  <c r="W10" i="20"/>
  <c r="W8" i="20"/>
  <c r="X11" i="20"/>
  <c r="K14" i="3" s="1"/>
  <c r="W9" i="20"/>
  <c r="X7" i="20"/>
  <c r="Y3" i="20"/>
  <c r="P6" i="3" s="1"/>
  <c r="B10" i="20"/>
  <c r="B11" i="20"/>
  <c r="F12" i="20"/>
  <c r="H8" i="20"/>
  <c r="E11" i="3" s="1"/>
  <c r="G8" i="20"/>
  <c r="D11" i="3" s="1"/>
  <c r="G6" i="20"/>
  <c r="D9" i="3" s="1"/>
  <c r="H6" i="20"/>
  <c r="E9" i="3" s="1"/>
  <c r="AG9" i="3" s="1"/>
  <c r="E17" i="13"/>
  <c r="H3" i="20"/>
  <c r="G3" i="20"/>
  <c r="H5" i="20"/>
  <c r="E8" i="3" s="1"/>
  <c r="AG8" i="3" s="1"/>
  <c r="G5" i="20"/>
  <c r="D8" i="3" s="1"/>
  <c r="H11" i="20"/>
  <c r="E14" i="3" s="1"/>
  <c r="AG14" i="3" s="1"/>
  <c r="G11" i="20"/>
  <c r="D14" i="3" s="1"/>
  <c r="G4" i="20"/>
  <c r="D7" i="3" s="1"/>
  <c r="H4" i="20"/>
  <c r="E7" i="3" s="1"/>
  <c r="AG7" i="3" s="1"/>
  <c r="H10" i="20"/>
  <c r="E13" i="3" s="1"/>
  <c r="G10" i="20"/>
  <c r="D13" i="3" s="1"/>
  <c r="H7" i="20"/>
  <c r="E10" i="3" s="1"/>
  <c r="G7" i="20"/>
  <c r="D10" i="3" s="1"/>
  <c r="H9" i="20"/>
  <c r="E12" i="3" s="1"/>
  <c r="G9" i="20"/>
  <c r="D12" i="3" s="1"/>
  <c r="E359" i="1"/>
  <c r="E372" i="1"/>
  <c r="C359" i="1"/>
  <c r="E348" i="1"/>
  <c r="E356" i="1"/>
  <c r="E367" i="1"/>
  <c r="E358" i="1"/>
  <c r="E354" i="1"/>
  <c r="C356" i="1"/>
  <c r="E352" i="1"/>
  <c r="C360" i="1"/>
  <c r="E353" i="1"/>
  <c r="C362" i="1"/>
  <c r="E349" i="1"/>
  <c r="E361" i="1"/>
  <c r="C358" i="1"/>
  <c r="E364" i="1"/>
  <c r="C348" i="1"/>
  <c r="C361" i="1"/>
  <c r="E347" i="1"/>
  <c r="E363" i="1"/>
  <c r="E365" i="1"/>
  <c r="E343" i="1"/>
  <c r="C370" i="1"/>
  <c r="E351" i="1"/>
  <c r="C363" i="1"/>
  <c r="E350" i="1"/>
  <c r="E360" i="1"/>
  <c r="E342" i="1"/>
  <c r="C357" i="1"/>
  <c r="E357" i="1"/>
  <c r="C354" i="1"/>
  <c r="E366" i="1"/>
  <c r="C345" i="1"/>
  <c r="E346" i="1"/>
  <c r="C349" i="1"/>
  <c r="E362" i="1"/>
  <c r="C346" i="1"/>
  <c r="E370" i="1"/>
  <c r="C347" i="1"/>
  <c r="C355" i="1"/>
  <c r="E368" i="1"/>
  <c r="E371" i="1"/>
  <c r="C365" i="1"/>
  <c r="E345" i="1"/>
  <c r="C372" i="1"/>
  <c r="C371" i="1"/>
  <c r="E355" i="1"/>
  <c r="C364" i="1"/>
  <c r="E341" i="1"/>
  <c r="E369" i="1"/>
  <c r="C352" i="1"/>
  <c r="C343" i="1"/>
  <c r="C342" i="1"/>
  <c r="E344" i="1"/>
  <c r="C341" i="1"/>
  <c r="C368" i="1"/>
  <c r="C344" i="1"/>
  <c r="B47" i="5"/>
  <c r="AA6" i="21" s="1"/>
  <c r="B48" i="5"/>
  <c r="AB6" i="21" s="1"/>
  <c r="B41" i="5"/>
  <c r="U6" i="21" s="1"/>
  <c r="B49" i="5"/>
  <c r="AC6" i="21" s="1"/>
  <c r="B44" i="5"/>
  <c r="X6" i="21" s="1"/>
  <c r="B46" i="5"/>
  <c r="Z6" i="21" s="1"/>
  <c r="B42" i="5"/>
  <c r="V6" i="21" s="1"/>
  <c r="B40" i="5"/>
  <c r="T6" i="21" s="1"/>
  <c r="B43" i="5"/>
  <c r="W6" i="21" s="1"/>
  <c r="B45" i="5"/>
  <c r="Y6" i="21" s="1"/>
  <c r="X5" i="21"/>
  <c r="W5" i="21"/>
  <c r="V5" i="21"/>
  <c r="AC5" i="21"/>
  <c r="U5" i="21"/>
  <c r="AB5" i="21"/>
  <c r="T5" i="21"/>
  <c r="AA5" i="21"/>
  <c r="S5" i="21"/>
  <c r="Z5" i="21"/>
  <c r="Y5" i="21"/>
  <c r="A38" i="5"/>
  <c r="E365" i="19" l="1"/>
  <c r="E365" i="18"/>
  <c r="C343" i="18"/>
  <c r="C343" i="19"/>
  <c r="E356" i="18"/>
  <c r="E356" i="19"/>
  <c r="C342" i="19"/>
  <c r="C342" i="18"/>
  <c r="C372" i="19"/>
  <c r="C372" i="18"/>
  <c r="C349" i="18"/>
  <c r="C349" i="19"/>
  <c r="C344" i="18"/>
  <c r="C344" i="19"/>
  <c r="C345" i="18"/>
  <c r="C345" i="19"/>
  <c r="C348" i="18"/>
  <c r="C348" i="19"/>
  <c r="C365" i="19"/>
  <c r="C365" i="18"/>
  <c r="C360" i="18"/>
  <c r="C360" i="19"/>
  <c r="C359" i="18"/>
  <c r="C359" i="19"/>
  <c r="C368" i="19"/>
  <c r="C368" i="18"/>
  <c r="C364" i="19"/>
  <c r="C364" i="18"/>
  <c r="C355" i="19"/>
  <c r="C355" i="18"/>
  <c r="C356" i="18"/>
  <c r="C356" i="19"/>
  <c r="E360" i="19"/>
  <c r="E360" i="18"/>
  <c r="C361" i="19"/>
  <c r="C361" i="18"/>
  <c r="C341" i="19"/>
  <c r="C341" i="18"/>
  <c r="C354" i="19"/>
  <c r="C354" i="18"/>
  <c r="C358" i="19"/>
  <c r="C358" i="18"/>
  <c r="C357" i="19"/>
  <c r="C357" i="18"/>
  <c r="C347" i="19"/>
  <c r="C347" i="18"/>
  <c r="C370" i="18"/>
  <c r="C370" i="19"/>
  <c r="C371" i="19"/>
  <c r="C371" i="18"/>
  <c r="E357" i="19"/>
  <c r="E357" i="18"/>
  <c r="E361" i="19"/>
  <c r="E361" i="18"/>
  <c r="P10" i="13"/>
  <c r="C362" i="18"/>
  <c r="C362" i="19"/>
  <c r="B8" i="9"/>
  <c r="D6" i="3"/>
  <c r="AH6" i="3" s="1"/>
  <c r="O7" i="13"/>
  <c r="E6" i="3"/>
  <c r="AG6" i="3" s="1"/>
  <c r="N7" i="13"/>
  <c r="B9" i="9"/>
  <c r="B7" i="6"/>
  <c r="B7" i="10"/>
  <c r="AH7" i="3"/>
  <c r="B7" i="9"/>
  <c r="C13" i="10"/>
  <c r="C13" i="9"/>
  <c r="C13" i="6"/>
  <c r="C12" i="6"/>
  <c r="C12" i="9"/>
  <c r="C12" i="10"/>
  <c r="N11" i="3"/>
  <c r="B11" i="9"/>
  <c r="AG11" i="3"/>
  <c r="P11" i="3"/>
  <c r="AI11" i="3"/>
  <c r="AC11" i="9" s="1"/>
  <c r="I11" i="3"/>
  <c r="H11" i="3"/>
  <c r="S11" i="3"/>
  <c r="F11" i="3"/>
  <c r="G11" i="3" s="1"/>
  <c r="K11" i="3"/>
  <c r="U11" i="3"/>
  <c r="B10" i="6"/>
  <c r="AH10" i="3"/>
  <c r="B10" i="10"/>
  <c r="B13" i="10"/>
  <c r="AH13" i="3"/>
  <c r="B13" i="6"/>
  <c r="U12" i="3"/>
  <c r="AI12" i="3"/>
  <c r="AC12" i="9" s="1"/>
  <c r="I12" i="3"/>
  <c r="S12" i="3"/>
  <c r="N12" i="3"/>
  <c r="B12" i="9"/>
  <c r="H12" i="3"/>
  <c r="P12" i="3"/>
  <c r="K12" i="3"/>
  <c r="F12" i="3"/>
  <c r="G12" i="3" s="1"/>
  <c r="AG12" i="3"/>
  <c r="C11" i="9"/>
  <c r="C11" i="6"/>
  <c r="C11" i="10"/>
  <c r="U10" i="3"/>
  <c r="S10" i="3"/>
  <c r="I10" i="3"/>
  <c r="B10" i="9"/>
  <c r="F10" i="3"/>
  <c r="G10" i="3" s="1"/>
  <c r="AI10" i="3"/>
  <c r="AC10" i="9" s="1"/>
  <c r="AG10" i="3"/>
  <c r="H10" i="3"/>
  <c r="N10" i="3"/>
  <c r="K10" i="3"/>
  <c r="P10" i="3"/>
  <c r="AH12" i="3"/>
  <c r="B12" i="10"/>
  <c r="B12" i="6"/>
  <c r="B14" i="6"/>
  <c r="AH14" i="3"/>
  <c r="B14" i="10"/>
  <c r="B9" i="10"/>
  <c r="AH9" i="3"/>
  <c r="B9" i="6"/>
  <c r="AI13" i="3"/>
  <c r="AC13" i="9" s="1"/>
  <c r="N13" i="3"/>
  <c r="S13" i="3"/>
  <c r="F13" i="3"/>
  <c r="G13" i="3" s="1"/>
  <c r="P13" i="3"/>
  <c r="I13" i="3"/>
  <c r="U13" i="3"/>
  <c r="AG13" i="3"/>
  <c r="H13" i="3"/>
  <c r="K13" i="3"/>
  <c r="B13" i="9"/>
  <c r="AH11" i="3"/>
  <c r="B11" i="6"/>
  <c r="B11" i="10"/>
  <c r="B14" i="9"/>
  <c r="AH8" i="3"/>
  <c r="B8" i="10"/>
  <c r="B8" i="6"/>
  <c r="C10" i="10"/>
  <c r="C10" i="9"/>
  <c r="C10" i="6"/>
  <c r="B5" i="9"/>
  <c r="N6" i="13"/>
  <c r="O6" i="13"/>
  <c r="D11" i="20"/>
  <c r="D8" i="20"/>
  <c r="D9" i="20"/>
  <c r="D10" i="20"/>
  <c r="G12" i="20"/>
  <c r="C5" i="20"/>
  <c r="C3" i="20"/>
  <c r="C8" i="20"/>
  <c r="C9" i="20"/>
  <c r="C4" i="20"/>
  <c r="C10" i="20"/>
  <c r="C11" i="20"/>
  <c r="C6" i="20"/>
  <c r="C7" i="20"/>
  <c r="H12" i="20"/>
  <c r="D4" i="20"/>
  <c r="D3" i="20"/>
  <c r="D6" i="20"/>
  <c r="D5" i="20"/>
  <c r="D7" i="20"/>
  <c r="D2" i="20"/>
  <c r="R5" i="21"/>
  <c r="D86" i="4"/>
  <c r="B6" i="9" l="1"/>
  <c r="B6" i="10"/>
  <c r="E6" i="10" s="1" a="1"/>
  <c r="E6" i="10" s="1"/>
  <c r="J6" i="10" s="1"/>
  <c r="K6" i="10" s="1" a="1"/>
  <c r="K6" i="10" s="1"/>
  <c r="V6" i="10" s="1" a="1"/>
  <c r="V6" i="10" s="1"/>
  <c r="B6" i="6"/>
  <c r="O10" i="13"/>
  <c r="N10" i="13"/>
  <c r="C9" i="4"/>
  <c r="AB8" i="6" a="1"/>
  <c r="AB8" i="6" s="1"/>
  <c r="J8" i="6"/>
  <c r="P8" i="6" a="1"/>
  <c r="P8" i="6" s="1"/>
  <c r="AD8" i="6" a="1"/>
  <c r="AD8" i="6" s="1"/>
  <c r="Q8" i="6"/>
  <c r="AC8" i="6" a="1"/>
  <c r="AC8" i="6" s="1"/>
  <c r="AE8" i="6"/>
  <c r="N8" i="6" a="1"/>
  <c r="N8" i="6" s="1"/>
  <c r="O8" i="6" a="1"/>
  <c r="O8" i="6" s="1"/>
  <c r="K8" i="6"/>
  <c r="E8" i="10" a="1"/>
  <c r="E8" i="10" s="1"/>
  <c r="J8" i="10" s="1"/>
  <c r="K8" i="10" s="1" a="1"/>
  <c r="K8" i="10" s="1"/>
  <c r="V8" i="10" s="1" a="1"/>
  <c r="V8" i="10" s="1"/>
  <c r="AB12" i="6" a="1"/>
  <c r="AB12" i="6" s="1"/>
  <c r="Q12" i="6"/>
  <c r="J12" i="6"/>
  <c r="AC12" i="6" a="1"/>
  <c r="AC12" i="6" s="1"/>
  <c r="P12" i="6" a="1"/>
  <c r="P12" i="6" s="1"/>
  <c r="AD12" i="6" a="1"/>
  <c r="AD12" i="6" s="1"/>
  <c r="K12" i="6"/>
  <c r="N12" i="6" a="1"/>
  <c r="N12" i="6" s="1"/>
  <c r="O12" i="6" a="1"/>
  <c r="O12" i="6" s="1"/>
  <c r="AE12" i="6"/>
  <c r="E12" i="10" a="1"/>
  <c r="E12" i="10" s="1"/>
  <c r="J12" i="10" s="1"/>
  <c r="K12" i="10" s="1" a="1"/>
  <c r="K12" i="10" s="1"/>
  <c r="V12" i="10" s="1" a="1"/>
  <c r="V12" i="10" s="1"/>
  <c r="AB6" i="6" a="1"/>
  <c r="AB6" i="6" s="1"/>
  <c r="K9" i="6"/>
  <c r="P9" i="6" a="1"/>
  <c r="P9" i="6" s="1"/>
  <c r="AB9" i="6" a="1"/>
  <c r="AB9" i="6" s="1"/>
  <c r="J9" i="6"/>
  <c r="AC9" i="6" a="1"/>
  <c r="AC9" i="6" s="1"/>
  <c r="AL9" i="6" s="1"/>
  <c r="AD9" i="6" a="1"/>
  <c r="AD9" i="6" s="1"/>
  <c r="N9" i="6" a="1"/>
  <c r="N9" i="6" s="1"/>
  <c r="O9" i="6" a="1"/>
  <c r="O9" i="6" s="1"/>
  <c r="Q9" i="6"/>
  <c r="AE9" i="6"/>
  <c r="E14" i="10" a="1"/>
  <c r="E14" i="10" s="1"/>
  <c r="F14" i="10" s="1"/>
  <c r="G14" i="10" s="1" a="1"/>
  <c r="G14" i="10" s="1"/>
  <c r="N14" i="10" s="1" a="1"/>
  <c r="N14" i="10" s="1"/>
  <c r="E13" i="10" a="1"/>
  <c r="E13" i="10" s="1"/>
  <c r="J13" i="10" s="1"/>
  <c r="K13" i="10" s="1" a="1"/>
  <c r="K13" i="10" s="1"/>
  <c r="V13" i="10" s="1" a="1"/>
  <c r="V13" i="10" s="1"/>
  <c r="O10" i="6" a="1"/>
  <c r="O10" i="6" s="1"/>
  <c r="AE10" i="6"/>
  <c r="K10" i="6"/>
  <c r="AB10" i="6" a="1"/>
  <c r="AB10" i="6" s="1"/>
  <c r="P10" i="6" a="1"/>
  <c r="P10" i="6" s="1"/>
  <c r="Q10" i="6"/>
  <c r="AC10" i="6" a="1"/>
  <c r="AC10" i="6" s="1"/>
  <c r="J10" i="6"/>
  <c r="N10" i="6" a="1"/>
  <c r="N10" i="6" s="1"/>
  <c r="AD10" i="6" a="1"/>
  <c r="AD10" i="6" s="1"/>
  <c r="E11" i="10" a="1"/>
  <c r="E11" i="10" s="1"/>
  <c r="J11" i="10" s="1"/>
  <c r="K11" i="10" s="1" a="1"/>
  <c r="K11" i="10" s="1"/>
  <c r="V11" i="10" s="1" a="1"/>
  <c r="V11" i="10" s="1"/>
  <c r="E7" i="10" a="1"/>
  <c r="E7" i="10" s="1"/>
  <c r="J7" i="10" s="1"/>
  <c r="K7" i="10" s="1" a="1"/>
  <c r="K7" i="10" s="1"/>
  <c r="V7" i="10" s="1" a="1"/>
  <c r="V7" i="10" s="1"/>
  <c r="O11" i="6" a="1"/>
  <c r="O11" i="6" s="1"/>
  <c r="AE11" i="6"/>
  <c r="K11" i="6"/>
  <c r="J11" i="6"/>
  <c r="Q11" i="6"/>
  <c r="AC11" i="6" a="1"/>
  <c r="AC11" i="6" s="1"/>
  <c r="P11" i="6" a="1"/>
  <c r="P11" i="6" s="1"/>
  <c r="AB11" i="6" a="1"/>
  <c r="AB11" i="6" s="1"/>
  <c r="N11" i="6" a="1"/>
  <c r="N11" i="6" s="1"/>
  <c r="AD11" i="6" a="1"/>
  <c r="AD11" i="6" s="1"/>
  <c r="Q14" i="6"/>
  <c r="AE14" i="6"/>
  <c r="O14" i="6" a="1"/>
  <c r="O14" i="6" s="1"/>
  <c r="P14" i="6" a="1"/>
  <c r="P14" i="6" s="1"/>
  <c r="AB14" i="6" a="1"/>
  <c r="AB14" i="6" s="1"/>
  <c r="N14" i="6" a="1"/>
  <c r="N14" i="6" s="1"/>
  <c r="K14" i="6"/>
  <c r="AD14" i="6" a="1"/>
  <c r="AD14" i="6" s="1"/>
  <c r="J14" i="6"/>
  <c r="AC14" i="6" a="1"/>
  <c r="AC14" i="6" s="1"/>
  <c r="AL14" i="6" s="1"/>
  <c r="AC7" i="6" a="1"/>
  <c r="AC7" i="6" s="1"/>
  <c r="AL7" i="6" s="1"/>
  <c r="O7" i="6" a="1"/>
  <c r="O7" i="6" s="1"/>
  <c r="AE7" i="6"/>
  <c r="K7" i="6"/>
  <c r="P7" i="6" a="1"/>
  <c r="P7" i="6" s="1"/>
  <c r="AB7" i="6" a="1"/>
  <c r="AB7" i="6" s="1"/>
  <c r="N7" i="6" a="1"/>
  <c r="N7" i="6" s="1"/>
  <c r="J7" i="6"/>
  <c r="AD7" i="6" a="1"/>
  <c r="AD7" i="6" s="1"/>
  <c r="Q7" i="6"/>
  <c r="J13" i="6"/>
  <c r="N13" i="6" a="1"/>
  <c r="N13" i="6" s="1"/>
  <c r="Q13" i="6"/>
  <c r="O13" i="6" a="1"/>
  <c r="O13" i="6" s="1"/>
  <c r="AE13" i="6"/>
  <c r="AB13" i="6" a="1"/>
  <c r="AB13" i="6" s="1"/>
  <c r="P13" i="6" a="1"/>
  <c r="P13" i="6" s="1"/>
  <c r="K13" i="6"/>
  <c r="AD13" i="6" a="1"/>
  <c r="AD13" i="6" s="1"/>
  <c r="AC13" i="6" a="1"/>
  <c r="AC13" i="6" s="1"/>
  <c r="E10" i="10" a="1"/>
  <c r="E10" i="10" s="1"/>
  <c r="F10" i="10" s="1"/>
  <c r="G10" i="10" s="1" a="1"/>
  <c r="G10" i="10" s="1"/>
  <c r="N10" i="10" s="1" a="1"/>
  <c r="N10" i="10" s="1"/>
  <c r="E9" i="10" a="1"/>
  <c r="E9" i="10" s="1"/>
  <c r="J9" i="10" s="1"/>
  <c r="K9" i="10" s="1" a="1"/>
  <c r="K9" i="10" s="1"/>
  <c r="V9" i="10" s="1" a="1"/>
  <c r="V9" i="10" s="1"/>
  <c r="E86" i="4"/>
  <c r="I86" i="4"/>
  <c r="J86" i="4"/>
  <c r="G86" i="4"/>
  <c r="M86" i="4"/>
  <c r="L86" i="4"/>
  <c r="N86" i="4"/>
  <c r="O86" i="4"/>
  <c r="H86" i="4"/>
  <c r="T86" i="4"/>
  <c r="Q86" i="4"/>
  <c r="K86" i="4"/>
  <c r="P86" i="4"/>
  <c r="R86" i="4"/>
  <c r="F86" i="4"/>
  <c r="AL10" i="6" l="1"/>
  <c r="AL13" i="6"/>
  <c r="AL12" i="6"/>
  <c r="AL8" i="6"/>
  <c r="AL11" i="6"/>
  <c r="P10" i="10" a="1"/>
  <c r="P10" i="10" s="1"/>
  <c r="AD6" i="6" a="1"/>
  <c r="AD6" i="6" s="1"/>
  <c r="Y8" i="6"/>
  <c r="P6" i="6" a="1"/>
  <c r="P6" i="6" s="1"/>
  <c r="AC6" i="6" a="1"/>
  <c r="AC6" i="6" s="1"/>
  <c r="AM13" i="6"/>
  <c r="K6" i="6"/>
  <c r="O6" i="6" a="1"/>
  <c r="O6" i="6" s="1"/>
  <c r="J6" i="6"/>
  <c r="AE6" i="6"/>
  <c r="Q6" i="6"/>
  <c r="N6" i="6" a="1"/>
  <c r="N6" i="6" s="1"/>
  <c r="U14" i="6"/>
  <c r="U8" i="6"/>
  <c r="X13" i="6"/>
  <c r="AM9" i="6"/>
  <c r="AI14" i="6"/>
  <c r="X14" i="6"/>
  <c r="AM14" i="6"/>
  <c r="AM10" i="6"/>
  <c r="X9" i="6"/>
  <c r="AI7" i="6"/>
  <c r="F9" i="10"/>
  <c r="G9" i="10" s="1" a="1"/>
  <c r="G9" i="10" s="1"/>
  <c r="N9" i="10" s="1" a="1"/>
  <c r="N9" i="10" s="1"/>
  <c r="Y13" i="6"/>
  <c r="X8" i="6"/>
  <c r="U13" i="6"/>
  <c r="AI11" i="6"/>
  <c r="U11" i="6"/>
  <c r="AM11" i="6"/>
  <c r="X11" i="6"/>
  <c r="U12" i="6"/>
  <c r="AI12" i="6"/>
  <c r="AM8" i="6"/>
  <c r="Y9" i="6"/>
  <c r="AI8" i="6"/>
  <c r="AI13" i="6"/>
  <c r="X12" i="6"/>
  <c r="Y12" i="6"/>
  <c r="AM12" i="6"/>
  <c r="F11" i="10"/>
  <c r="G11" i="10" s="1" a="1"/>
  <c r="G11" i="10" s="1"/>
  <c r="N11" i="10" s="1" a="1"/>
  <c r="N11" i="10" s="1"/>
  <c r="X13" i="10" a="1"/>
  <c r="X13" i="10" s="1"/>
  <c r="Y13" i="10" a="1"/>
  <c r="Y13" i="10" s="1"/>
  <c r="AB13" i="10" a="1"/>
  <c r="AB13" i="10" s="1"/>
  <c r="W13" i="10" a="1"/>
  <c r="W13" i="10" s="1"/>
  <c r="L13" i="10" a="1"/>
  <c r="L13" i="10" s="1"/>
  <c r="Q14" i="10" a="1"/>
  <c r="Q14" i="10" s="1"/>
  <c r="H14" i="10" a="1"/>
  <c r="H14" i="10" s="1"/>
  <c r="P14" i="10" a="1"/>
  <c r="P14" i="10" s="1"/>
  <c r="T14" i="10" a="1"/>
  <c r="T14" i="10" s="1"/>
  <c r="O14" i="10" a="1"/>
  <c r="O14" i="10" s="1"/>
  <c r="F13" i="10"/>
  <c r="G13" i="10" s="1" a="1"/>
  <c r="G13" i="10" s="1"/>
  <c r="N13" i="10" s="1" a="1"/>
  <c r="N13" i="10" s="1"/>
  <c r="Y14" i="6"/>
  <c r="J14" i="10"/>
  <c r="K14" i="10" s="1" a="1"/>
  <c r="K14" i="10" s="1"/>
  <c r="V14" i="10" s="1" a="1"/>
  <c r="V14" i="10" s="1"/>
  <c r="Y12" i="10" a="1"/>
  <c r="Y12" i="10" s="1"/>
  <c r="AB12" i="10" a="1"/>
  <c r="AB12" i="10" s="1"/>
  <c r="W12" i="10" a="1"/>
  <c r="W12" i="10" s="1"/>
  <c r="L12" i="10" a="1"/>
  <c r="L12" i="10" s="1"/>
  <c r="X12" i="10" a="1"/>
  <c r="X12" i="10" s="1"/>
  <c r="J10" i="10"/>
  <c r="K10" i="10" s="1" a="1"/>
  <c r="K10" i="10" s="1"/>
  <c r="V10" i="10" s="1" a="1"/>
  <c r="V10" i="10" s="1"/>
  <c r="F12" i="10"/>
  <c r="G12" i="10" s="1" a="1"/>
  <c r="G12" i="10" s="1"/>
  <c r="N12" i="10" s="1" a="1"/>
  <c r="N12" i="10" s="1"/>
  <c r="F8" i="10"/>
  <c r="G8" i="10" s="1" a="1"/>
  <c r="G8" i="10" s="1"/>
  <c r="N8" i="10" s="1" a="1"/>
  <c r="N8" i="10" s="1"/>
  <c r="AB11" i="10" a="1"/>
  <c r="AB11" i="10" s="1"/>
  <c r="W11" i="10" a="1"/>
  <c r="W11" i="10" s="1"/>
  <c r="Y11" i="10" a="1"/>
  <c r="Y11" i="10" s="1"/>
  <c r="L11" i="10" a="1"/>
  <c r="L11" i="10" s="1"/>
  <c r="X11" i="10" a="1"/>
  <c r="X11" i="10" s="1"/>
  <c r="Y11" i="6"/>
  <c r="O10" i="10" a="1"/>
  <c r="O10" i="10" s="1"/>
  <c r="Y10" i="6"/>
  <c r="Q10" i="10" a="1"/>
  <c r="Q10" i="10" s="1"/>
  <c r="X10" i="6"/>
  <c r="T10" i="10" a="1"/>
  <c r="T10" i="10" s="1"/>
  <c r="AI10" i="6"/>
  <c r="H10" i="10" a="1"/>
  <c r="H10" i="10" s="1"/>
  <c r="U10" i="6"/>
  <c r="Y8" i="10" a="1"/>
  <c r="Y8" i="10" s="1"/>
  <c r="L8" i="10" a="1"/>
  <c r="L8" i="10" s="1"/>
  <c r="W8" i="10" a="1"/>
  <c r="W8" i="10" s="1"/>
  <c r="AB8" i="10" a="1"/>
  <c r="AB8" i="10" s="1"/>
  <c r="X8" i="10" a="1"/>
  <c r="X8" i="10" s="1"/>
  <c r="Y9" i="10" a="1"/>
  <c r="Y9" i="10" s="1"/>
  <c r="L9" i="10" a="1"/>
  <c r="L9" i="10" s="1"/>
  <c r="AB9" i="10" a="1"/>
  <c r="AB9" i="10" s="1"/>
  <c r="X9" i="10" a="1"/>
  <c r="X9" i="10" s="1"/>
  <c r="W9" i="10" a="1"/>
  <c r="W9" i="10" s="1"/>
  <c r="U9" i="6"/>
  <c r="AI9" i="6"/>
  <c r="X7" i="10" a="1"/>
  <c r="X7" i="10" s="1"/>
  <c r="Y7" i="10" a="1"/>
  <c r="Y7" i="10" s="1"/>
  <c r="AB7" i="10" a="1"/>
  <c r="AB7" i="10" s="1"/>
  <c r="L7" i="10" a="1"/>
  <c r="L7" i="10" s="1"/>
  <c r="W7" i="10" a="1"/>
  <c r="W7" i="10" s="1"/>
  <c r="U7" i="6"/>
  <c r="X7" i="6"/>
  <c r="Y7" i="6"/>
  <c r="AM7" i="6"/>
  <c r="F7" i="10"/>
  <c r="G7" i="10" s="1" a="1"/>
  <c r="G7" i="10" s="1"/>
  <c r="N7" i="10" s="1" a="1"/>
  <c r="N7" i="10" s="1"/>
  <c r="Y6" i="6"/>
  <c r="F6" i="10"/>
  <c r="G6" i="10" s="1" a="1"/>
  <c r="G6" i="10" s="1"/>
  <c r="N6" i="10" s="1" a="1"/>
  <c r="N6" i="10" s="1"/>
  <c r="AB6" i="10" a="1"/>
  <c r="AB6" i="10" s="1"/>
  <c r="L6" i="10" a="1"/>
  <c r="L6" i="10" s="1"/>
  <c r="W6" i="10" a="1"/>
  <c r="W6" i="10" s="1"/>
  <c r="Y6" i="10" a="1"/>
  <c r="Y6" i="10" s="1"/>
  <c r="X6" i="10" a="1"/>
  <c r="X6" i="10" s="1"/>
  <c r="X6" i="6"/>
  <c r="U6" i="6"/>
  <c r="C7" i="17"/>
  <c r="B7" i="17"/>
  <c r="B6" i="17" a="1"/>
  <c r="B6" i="17" s="1"/>
  <c r="B3" i="17" a="1"/>
  <c r="B3" i="17" s="1"/>
  <c r="AL6" i="6" l="1"/>
  <c r="H6" i="10" a="1"/>
  <c r="H6" i="10" s="1"/>
  <c r="H9" i="10" a="1"/>
  <c r="H9" i="10" s="1"/>
  <c r="H11" i="10" a="1"/>
  <c r="H11" i="10" s="1"/>
  <c r="D175" i="18" a="1"/>
  <c r="D175" i="18" s="1"/>
  <c r="D319" i="18" a="1"/>
  <c r="D319" i="18" s="1"/>
  <c r="D72" i="18" a="1"/>
  <c r="D72" i="18" s="1"/>
  <c r="D360" i="18" a="1"/>
  <c r="D360" i="18" s="1"/>
  <c r="D181" i="18" a="1"/>
  <c r="D181" i="18" s="1"/>
  <c r="F181" i="18" s="1"/>
  <c r="F181" i="1" s="1"/>
  <c r="D180" i="18" a="1"/>
  <c r="D180" i="18" s="1"/>
  <c r="D144" i="18" a="1"/>
  <c r="D144" i="18" s="1"/>
  <c r="D145" i="18" a="1"/>
  <c r="D145" i="18" s="1"/>
  <c r="F145" i="18" s="1"/>
  <c r="F145" i="1" s="1"/>
  <c r="D247" i="18" a="1"/>
  <c r="D247" i="18" s="1"/>
  <c r="D67" i="18" a="1"/>
  <c r="D67" i="18" s="1"/>
  <c r="D325" i="18" a="1"/>
  <c r="D325" i="18" s="1"/>
  <c r="F325" i="18" s="1"/>
  <c r="F325" i="1" s="1"/>
  <c r="D253" i="18" a="1"/>
  <c r="D253" i="18" s="1"/>
  <c r="F253" i="18" s="1"/>
  <c r="F253" i="1" s="1"/>
  <c r="D252" i="18" a="1"/>
  <c r="D252" i="18" s="1"/>
  <c r="D103" i="18" a="1"/>
  <c r="D103" i="18" s="1"/>
  <c r="D73" i="18" a="1"/>
  <c r="D73" i="18" s="1"/>
  <c r="F73" i="18" s="1"/>
  <c r="F73" i="1" s="1"/>
  <c r="D288" i="18" a="1"/>
  <c r="D288" i="18" s="1"/>
  <c r="D216" i="18" a="1"/>
  <c r="D216" i="18" s="1"/>
  <c r="D109" i="18" a="1"/>
  <c r="D109" i="18" s="1"/>
  <c r="F109" i="18" s="1"/>
  <c r="F109" i="1" s="1"/>
  <c r="D324" i="18" a="1"/>
  <c r="D324" i="18" s="1"/>
  <c r="D355" i="18" a="1"/>
  <c r="D355" i="18" s="1"/>
  <c r="D289" i="18" a="1"/>
  <c r="D289" i="18" s="1"/>
  <c r="F289" i="18" s="1"/>
  <c r="F289" i="1" s="1"/>
  <c r="D217" i="18" a="1"/>
  <c r="D217" i="18" s="1"/>
  <c r="F217" i="18" s="1"/>
  <c r="F217" i="1" s="1"/>
  <c r="D139" i="18" a="1"/>
  <c r="D139" i="18" s="1"/>
  <c r="D108" i="18" a="1"/>
  <c r="D108" i="18" s="1"/>
  <c r="D283" i="18" a="1"/>
  <c r="D283" i="18" s="1"/>
  <c r="D361" i="18" a="1"/>
  <c r="D361" i="18" s="1"/>
  <c r="F361" i="18" s="1"/>
  <c r="F361" i="1" s="1"/>
  <c r="D211" i="18" a="1"/>
  <c r="D211" i="18" s="1"/>
  <c r="D68" i="18" a="1"/>
  <c r="D68" i="18" s="1"/>
  <c r="D356" i="18" a="1"/>
  <c r="D356" i="18" s="1"/>
  <c r="D248" i="18" a="1"/>
  <c r="D248" i="18" s="1"/>
  <c r="D284" i="18" a="1"/>
  <c r="D284" i="18" s="1"/>
  <c r="D176" i="18" a="1"/>
  <c r="D176" i="18" s="1"/>
  <c r="D212" i="18" a="1"/>
  <c r="D212" i="18" s="1"/>
  <c r="D320" i="18" a="1"/>
  <c r="D320" i="18" s="1"/>
  <c r="D104" i="18" a="1"/>
  <c r="D104" i="18" s="1"/>
  <c r="D140" i="18" a="1"/>
  <c r="D140" i="18" s="1"/>
  <c r="AM6" i="6"/>
  <c r="AI6" i="6"/>
  <c r="O9" i="10" a="1"/>
  <c r="O9" i="10" s="1"/>
  <c r="T9" i="10" a="1"/>
  <c r="T9" i="10" s="1"/>
  <c r="P9" i="10" a="1"/>
  <c r="P9" i="10" s="1"/>
  <c r="Q9" i="10" a="1"/>
  <c r="Q9" i="10" s="1"/>
  <c r="T11" i="10" a="1"/>
  <c r="T11" i="10" s="1"/>
  <c r="Q11" i="10" a="1"/>
  <c r="Q11" i="10" s="1"/>
  <c r="P11" i="10" a="1"/>
  <c r="P11" i="10" s="1"/>
  <c r="O11" i="10" a="1"/>
  <c r="O11" i="10" s="1"/>
  <c r="Q8" i="10" a="1"/>
  <c r="Q8" i="10" s="1"/>
  <c r="X10" i="10" a="1"/>
  <c r="X10" i="10" s="1"/>
  <c r="P8" i="10" a="1"/>
  <c r="P8" i="10" s="1"/>
  <c r="W10" i="10" a="1"/>
  <c r="W10" i="10" s="1"/>
  <c r="O8" i="10" a="1"/>
  <c r="O8" i="10" s="1"/>
  <c r="AB10" i="10" a="1"/>
  <c r="AB10" i="10" s="1"/>
  <c r="H8" i="10" a="1"/>
  <c r="H8" i="10" s="1"/>
  <c r="Y10" i="10" a="1"/>
  <c r="Y10" i="10" s="1"/>
  <c r="W14" i="10" a="1"/>
  <c r="W14" i="10" s="1"/>
  <c r="L14" i="10" a="1"/>
  <c r="L14" i="10" s="1"/>
  <c r="X14" i="10" a="1"/>
  <c r="X14" i="10" s="1"/>
  <c r="AB14" i="10" a="1"/>
  <c r="AB14" i="10" s="1"/>
  <c r="Y14" i="10" a="1"/>
  <c r="Y14" i="10" s="1"/>
  <c r="T8" i="10" a="1"/>
  <c r="T8" i="10" s="1"/>
  <c r="L10" i="10" a="1"/>
  <c r="L10" i="10" s="1"/>
  <c r="H13" i="10" a="1"/>
  <c r="H13" i="10" s="1"/>
  <c r="T13" i="10" a="1"/>
  <c r="T13" i="10" s="1"/>
  <c r="P13" i="10" a="1"/>
  <c r="P13" i="10" s="1"/>
  <c r="Q13" i="10" a="1"/>
  <c r="Q13" i="10" s="1"/>
  <c r="O13" i="10" a="1"/>
  <c r="O13" i="10" s="1"/>
  <c r="H12" i="10" a="1"/>
  <c r="H12" i="10" s="1"/>
  <c r="O12" i="10" a="1"/>
  <c r="O12" i="10" s="1"/>
  <c r="P12" i="10" a="1"/>
  <c r="P12" i="10" s="1"/>
  <c r="Q12" i="10" a="1"/>
  <c r="Q12" i="10" s="1"/>
  <c r="T12" i="10" a="1"/>
  <c r="T12" i="10" s="1"/>
  <c r="H7" i="10" a="1"/>
  <c r="H7" i="10" s="1"/>
  <c r="T7" i="10" a="1"/>
  <c r="T7" i="10" s="1"/>
  <c r="P7" i="10" a="1"/>
  <c r="P7" i="10" s="1"/>
  <c r="O7" i="10" a="1"/>
  <c r="O7" i="10" s="1"/>
  <c r="Q7" i="10" a="1"/>
  <c r="Q7" i="10" s="1"/>
  <c r="O6" i="10" a="1"/>
  <c r="O6" i="10" s="1"/>
  <c r="Q6" i="10" a="1"/>
  <c r="Q6" i="10" s="1"/>
  <c r="T6" i="10" a="1"/>
  <c r="T6" i="10" s="1"/>
  <c r="P6" i="10" a="1"/>
  <c r="P6" i="10" s="1"/>
  <c r="AH5" i="3"/>
  <c r="AC5" i="9"/>
  <c r="D37" i="18" a="1"/>
  <c r="D37" i="18" s="1"/>
  <c r="D36" i="18" a="1"/>
  <c r="D36" i="18" s="1"/>
  <c r="S8" i="20"/>
  <c r="Z11" i="3" s="1"/>
  <c r="AB11" i="3" s="1"/>
  <c r="S7" i="20"/>
  <c r="Z10" i="3" s="1"/>
  <c r="AB10" i="3" s="1"/>
  <c r="S11" i="20"/>
  <c r="Z14" i="3" s="1"/>
  <c r="AB14" i="3" s="1"/>
  <c r="S10" i="20"/>
  <c r="Z13" i="3" s="1"/>
  <c r="AB13" i="3" s="1"/>
  <c r="S9" i="20"/>
  <c r="Z12" i="3" s="1"/>
  <c r="AB12" i="3" s="1"/>
  <c r="D32" i="18" a="1"/>
  <c r="D32" i="18" s="1"/>
  <c r="D31" i="18" a="1"/>
  <c r="D31" i="18" s="1"/>
  <c r="S4" i="20"/>
  <c r="Z7" i="3" s="1"/>
  <c r="AB7" i="3" s="1"/>
  <c r="S3" i="20"/>
  <c r="Z6" i="3" s="1"/>
  <c r="AB6" i="3" s="1"/>
  <c r="S6" i="20"/>
  <c r="Z9" i="3" s="1"/>
  <c r="AB9" i="3" s="1"/>
  <c r="S5" i="20"/>
  <c r="Z8" i="3" s="1"/>
  <c r="AB8" i="3" s="1"/>
  <c r="D37" i="1" l="1"/>
  <c r="D37" i="19" s="1"/>
  <c r="V2" i="20" s="1"/>
  <c r="F37" i="18"/>
  <c r="F37" i="1" s="1"/>
  <c r="D289" i="1"/>
  <c r="D289" i="19" s="1"/>
  <c r="D68" i="1"/>
  <c r="D68" i="19" s="1"/>
  <c r="D176" i="1"/>
  <c r="D176" i="19" s="1"/>
  <c r="F108" i="1"/>
  <c r="D108" i="1"/>
  <c r="D108" i="19" s="1"/>
  <c r="F288" i="1"/>
  <c r="D288" i="1"/>
  <c r="D288" i="19" s="1"/>
  <c r="D145" i="1"/>
  <c r="D145" i="19" s="1"/>
  <c r="D284" i="1"/>
  <c r="D284" i="19" s="1"/>
  <c r="D139" i="1"/>
  <c r="D139" i="19" s="1"/>
  <c r="D156" i="18" a="1"/>
  <c r="D156" i="18" s="1"/>
  <c r="F156" i="18" s="1"/>
  <c r="F156" i="1" s="1"/>
  <c r="F139" i="1"/>
  <c r="D153" i="18" a="1"/>
  <c r="D153" i="18" s="1"/>
  <c r="F153" i="18" s="1"/>
  <c r="F153" i="1" s="1"/>
  <c r="D73" i="1"/>
  <c r="D73" i="19" s="1"/>
  <c r="F144" i="1"/>
  <c r="D144" i="1"/>
  <c r="D144" i="19" s="1"/>
  <c r="D248" i="1"/>
  <c r="D248" i="19" s="1"/>
  <c r="D217" i="1"/>
  <c r="D217" i="19" s="1"/>
  <c r="D103" i="1"/>
  <c r="D103" i="19" s="1"/>
  <c r="D117" i="18" a="1"/>
  <c r="D117" i="18" s="1"/>
  <c r="F117" i="18" s="1"/>
  <c r="F117" i="1" s="1"/>
  <c r="F103" i="1"/>
  <c r="D120" i="18" a="1"/>
  <c r="D120" i="18" s="1"/>
  <c r="F120" i="18" s="1"/>
  <c r="F120" i="1" s="1"/>
  <c r="F180" i="1"/>
  <c r="D180" i="1"/>
  <c r="D180" i="19" s="1"/>
  <c r="D181" i="1"/>
  <c r="D181" i="19" s="1"/>
  <c r="D356" i="1"/>
  <c r="D356" i="19" s="1"/>
  <c r="D140" i="1"/>
  <c r="D140" i="19" s="1"/>
  <c r="D253" i="1"/>
  <c r="D253" i="19" s="1"/>
  <c r="F360" i="1"/>
  <c r="D360" i="1"/>
  <c r="D360" i="19" s="1"/>
  <c r="F252" i="1"/>
  <c r="D252" i="1"/>
  <c r="D252" i="19" s="1"/>
  <c r="D355" i="1"/>
  <c r="D355" i="19" s="1"/>
  <c r="F355" i="1"/>
  <c r="D369" i="18" a="1"/>
  <c r="D369" i="18" s="1"/>
  <c r="F369" i="18" s="1"/>
  <c r="F369" i="1" s="1"/>
  <c r="D372" i="18" a="1"/>
  <c r="D372" i="18" s="1"/>
  <c r="F372" i="18" s="1"/>
  <c r="F372" i="1" s="1"/>
  <c r="D104" i="1"/>
  <c r="D104" i="19" s="1"/>
  <c r="D211" i="1"/>
  <c r="D211" i="19" s="1"/>
  <c r="F211" i="1"/>
  <c r="D228" i="18" a="1"/>
  <c r="D228" i="18" s="1"/>
  <c r="F228" i="18" s="1"/>
  <c r="F228" i="1" s="1"/>
  <c r="D225" i="18" a="1"/>
  <c r="D225" i="18" s="1"/>
  <c r="F225" i="18" s="1"/>
  <c r="F225" i="1" s="1"/>
  <c r="D324" i="1"/>
  <c r="D324" i="19" s="1"/>
  <c r="F324" i="1"/>
  <c r="D325" i="1"/>
  <c r="D325" i="19" s="1"/>
  <c r="F72" i="1"/>
  <c r="D72" i="1"/>
  <c r="D72" i="19" s="1"/>
  <c r="U3" i="20" s="1"/>
  <c r="D320" i="1"/>
  <c r="D320" i="19" s="1"/>
  <c r="Q10" i="20" s="1"/>
  <c r="T13" i="3" s="1"/>
  <c r="D361" i="1"/>
  <c r="D361" i="19" s="1"/>
  <c r="D109" i="1"/>
  <c r="D109" i="19" s="1"/>
  <c r="D67" i="1"/>
  <c r="D67" i="19" s="1"/>
  <c r="F67" i="1"/>
  <c r="D81" i="18" a="1"/>
  <c r="D81" i="18" s="1"/>
  <c r="F81" i="18" s="1"/>
  <c r="F81" i="1" s="1"/>
  <c r="D84" i="18" a="1"/>
  <c r="D84" i="18" s="1"/>
  <c r="F84" i="18" s="1"/>
  <c r="F84" i="1" s="1"/>
  <c r="D319" i="1"/>
  <c r="D319" i="19" s="1"/>
  <c r="F319" i="1"/>
  <c r="D336" i="18" a="1"/>
  <c r="D336" i="18" s="1"/>
  <c r="F336" i="18" s="1"/>
  <c r="F336" i="1" s="1"/>
  <c r="D333" i="18" a="1"/>
  <c r="D333" i="18" s="1"/>
  <c r="F333" i="18" s="1"/>
  <c r="F333" i="1" s="1"/>
  <c r="D212" i="1"/>
  <c r="D212" i="19" s="1"/>
  <c r="D283" i="1"/>
  <c r="D283" i="19" s="1"/>
  <c r="D300" i="18" a="1"/>
  <c r="D300" i="18" s="1"/>
  <c r="F300" i="18" s="1"/>
  <c r="F300" i="1" s="1"/>
  <c r="F283" i="1"/>
  <c r="D297" i="18" a="1"/>
  <c r="D297" i="18" s="1"/>
  <c r="F297" i="18" s="1"/>
  <c r="F297" i="1" s="1"/>
  <c r="D216" i="1"/>
  <c r="D216" i="19" s="1"/>
  <c r="F216" i="1"/>
  <c r="D247" i="1"/>
  <c r="D247" i="19" s="1"/>
  <c r="F247" i="1"/>
  <c r="D264" i="18" a="1"/>
  <c r="D264" i="18" s="1"/>
  <c r="F264" i="18" s="1"/>
  <c r="F264" i="1" s="1"/>
  <c r="D261" i="18" a="1"/>
  <c r="D261" i="18" s="1"/>
  <c r="F261" i="18" s="1"/>
  <c r="F261" i="1" s="1"/>
  <c r="D175" i="1"/>
  <c r="D175" i="19" s="1"/>
  <c r="F175" i="1"/>
  <c r="D192" i="18" a="1"/>
  <c r="D192" i="18" s="1"/>
  <c r="F192" i="18" s="1"/>
  <c r="F192" i="1" s="1"/>
  <c r="D189" i="18" a="1"/>
  <c r="D189" i="18" s="1"/>
  <c r="F189" i="18" s="1"/>
  <c r="F189" i="1" s="1"/>
  <c r="U11" i="20"/>
  <c r="P8" i="20"/>
  <c r="W11" i="3" s="1"/>
  <c r="U5" i="20"/>
  <c r="AD8" i="3" s="1"/>
  <c r="U9" i="20"/>
  <c r="P9" i="20"/>
  <c r="W12" i="3" s="1"/>
  <c r="P5" i="20"/>
  <c r="W8" i="3" s="1"/>
  <c r="P3" i="20"/>
  <c r="W6" i="3" s="1"/>
  <c r="P4" i="20"/>
  <c r="W7" i="3" s="1"/>
  <c r="U4" i="20"/>
  <c r="AD7" i="3" s="1"/>
  <c r="U7" i="20"/>
  <c r="D45" i="18" a="1"/>
  <c r="D45" i="18" s="1"/>
  <c r="D48" i="18" a="1"/>
  <c r="D48" i="18" s="1"/>
  <c r="D31" i="1"/>
  <c r="D31" i="19" s="1"/>
  <c r="P2" i="20" s="1"/>
  <c r="W5" i="3" s="1"/>
  <c r="F36" i="1"/>
  <c r="D36" i="1"/>
  <c r="D36" i="19" s="1"/>
  <c r="U2" i="20" s="1"/>
  <c r="D32" i="1"/>
  <c r="D32" i="19" s="1"/>
  <c r="Q2" i="20" s="1"/>
  <c r="T5" i="3" s="1"/>
  <c r="F31" i="1"/>
  <c r="P7" i="20"/>
  <c r="W10" i="3" s="1"/>
  <c r="Q9" i="20"/>
  <c r="T12" i="3" s="1"/>
  <c r="Q8" i="20"/>
  <c r="T11" i="3" s="1"/>
  <c r="Q3" i="20"/>
  <c r="T6" i="3" s="1"/>
  <c r="Q6" i="20"/>
  <c r="T9" i="3" s="1"/>
  <c r="U8" i="20"/>
  <c r="Q7" i="20"/>
  <c r="T10" i="3" s="1"/>
  <c r="Q5" i="20"/>
  <c r="T8" i="3" s="1"/>
  <c r="Q4" i="20"/>
  <c r="T7" i="3" s="1"/>
  <c r="Q11" i="20"/>
  <c r="T14" i="3" s="1"/>
  <c r="D34" i="19"/>
  <c r="S2" i="20" s="1"/>
  <c r="G39" i="5"/>
  <c r="E14" i="5" a="1"/>
  <c r="E14" i="5" s="1"/>
  <c r="G14" i="5" s="1" a="1"/>
  <c r="G14" i="5" s="1"/>
  <c r="E15" i="5" a="1"/>
  <c r="E15" i="5" s="1"/>
  <c r="F15" i="5" s="1" a="1"/>
  <c r="F15" i="5" s="1"/>
  <c r="E16" i="5" a="1"/>
  <c r="E16" i="5" s="1"/>
  <c r="F16" i="5" s="1" a="1"/>
  <c r="F16" i="5" s="1"/>
  <c r="E13" i="5" a="1"/>
  <c r="E13" i="5" s="1"/>
  <c r="F13" i="5" s="1" a="1"/>
  <c r="F13" i="5" s="1"/>
  <c r="E4" i="5" a="1"/>
  <c r="E4" i="5" s="1"/>
  <c r="E5" i="5" a="1"/>
  <c r="E5" i="5" s="1"/>
  <c r="H5" i="5" s="1" a="1"/>
  <c r="H5" i="5" s="1"/>
  <c r="E6" i="5" a="1"/>
  <c r="E6" i="5" s="1"/>
  <c r="E7" i="5" a="1"/>
  <c r="E7" i="5" s="1"/>
  <c r="M8" i="9" l="1"/>
  <c r="N8" i="9" s="1"/>
  <c r="AE8" i="3"/>
  <c r="M7" i="9"/>
  <c r="N7" i="9" s="1"/>
  <c r="AE7" i="3"/>
  <c r="D48" i="1"/>
  <c r="F48" i="18"/>
  <c r="F48" i="1" s="1"/>
  <c r="D45" i="1"/>
  <c r="F45" i="18"/>
  <c r="F45" i="1" s="1"/>
  <c r="D297" i="1"/>
  <c r="D372" i="1"/>
  <c r="D156" i="1"/>
  <c r="D369" i="1"/>
  <c r="D369" i="19" s="1"/>
  <c r="D261" i="1"/>
  <c r="D261" i="19" s="1"/>
  <c r="D300" i="1"/>
  <c r="D84" i="1"/>
  <c r="D225" i="1"/>
  <c r="D225" i="19" s="1"/>
  <c r="D120" i="1"/>
  <c r="D264" i="1"/>
  <c r="D81" i="1"/>
  <c r="D81" i="19" s="1"/>
  <c r="D228" i="1"/>
  <c r="D117" i="1"/>
  <c r="D117" i="19" s="1"/>
  <c r="D189" i="1"/>
  <c r="D153" i="1"/>
  <c r="D333" i="1"/>
  <c r="D333" i="19" s="1"/>
  <c r="D192" i="1"/>
  <c r="D336" i="1"/>
  <c r="D170" i="18" a="1"/>
  <c r="D170" i="18" s="1"/>
  <c r="F170" i="18" s="1"/>
  <c r="D314" i="18" a="1"/>
  <c r="D314" i="18" s="1"/>
  <c r="F314" i="18" s="1"/>
  <c r="D98" i="18" a="1"/>
  <c r="D98" i="18" s="1"/>
  <c r="F98" i="18" s="1"/>
  <c r="D134" i="18" a="1"/>
  <c r="D134" i="18" s="1"/>
  <c r="F134" i="18" s="1"/>
  <c r="D350" i="18" a="1"/>
  <c r="D350" i="18" s="1"/>
  <c r="F350" i="18" s="1"/>
  <c r="D278" i="18" a="1"/>
  <c r="D278" i="18" s="1"/>
  <c r="F278" i="18" s="1"/>
  <c r="D206" i="18" a="1"/>
  <c r="D206" i="18" s="1"/>
  <c r="F206" i="18" s="1"/>
  <c r="D62" i="18" a="1"/>
  <c r="D62" i="18" s="1"/>
  <c r="F62" i="18" s="1"/>
  <c r="D242" i="18" a="1"/>
  <c r="D242" i="18" s="1"/>
  <c r="F242" i="18" s="1"/>
  <c r="V14" i="3"/>
  <c r="J17" i="13"/>
  <c r="AD14" i="3"/>
  <c r="AE14" i="3" s="1"/>
  <c r="V13" i="3"/>
  <c r="V12" i="3"/>
  <c r="J15" i="13"/>
  <c r="AD12" i="3"/>
  <c r="AE12" i="3" s="1"/>
  <c r="V11" i="3"/>
  <c r="J14" i="13"/>
  <c r="AD11" i="3"/>
  <c r="AE11" i="3" s="1"/>
  <c r="V10" i="3"/>
  <c r="J13" i="13"/>
  <c r="AD10" i="3"/>
  <c r="AE10" i="3" s="1"/>
  <c r="V9" i="3"/>
  <c r="V8" i="3"/>
  <c r="V7" i="3"/>
  <c r="X7" i="3" s="1"/>
  <c r="V6" i="3"/>
  <c r="X6" i="3" s="1"/>
  <c r="Y6" i="3" s="1"/>
  <c r="V10" i="20"/>
  <c r="V7" i="20"/>
  <c r="V3" i="20"/>
  <c r="J9" i="13"/>
  <c r="AD6" i="3"/>
  <c r="AE6" i="3" s="1"/>
  <c r="D189" i="19"/>
  <c r="D153" i="19"/>
  <c r="D297" i="19"/>
  <c r="J8" i="13"/>
  <c r="AD5" i="3"/>
  <c r="I8" i="13"/>
  <c r="AF5" i="3"/>
  <c r="L5" i="9" s="1"/>
  <c r="B5" i="10"/>
  <c r="E5" i="10" s="1" a="1"/>
  <c r="E5" i="10" s="1"/>
  <c r="B5" i="6"/>
  <c r="J10" i="13"/>
  <c r="J11" i="13"/>
  <c r="U10" i="20"/>
  <c r="AD13" i="3" s="1"/>
  <c r="AE13" i="3" s="1"/>
  <c r="P10" i="20"/>
  <c r="W13" i="3" s="1"/>
  <c r="V4" i="20"/>
  <c r="AF7" i="3" s="1"/>
  <c r="V5" i="20"/>
  <c r="AF8" i="3" s="1"/>
  <c r="P11" i="20"/>
  <c r="W14" i="3" s="1"/>
  <c r="U6" i="20"/>
  <c r="V9" i="20"/>
  <c r="AF12" i="3" s="1"/>
  <c r="V11" i="20"/>
  <c r="AF14" i="3" s="1"/>
  <c r="V8" i="20"/>
  <c r="AF11" i="3" s="1"/>
  <c r="P6" i="20"/>
  <c r="W9" i="3" s="1"/>
  <c r="V6" i="20"/>
  <c r="AF9" i="3" s="1"/>
  <c r="G10" i="13"/>
  <c r="G15" i="13"/>
  <c r="G14" i="13"/>
  <c r="G13" i="13"/>
  <c r="G9" i="13"/>
  <c r="G11" i="13"/>
  <c r="AB5" i="3"/>
  <c r="I10" i="21"/>
  <c r="H10" i="21"/>
  <c r="G11" i="21"/>
  <c r="G8" i="21"/>
  <c r="F10" i="21"/>
  <c r="G8" i="13"/>
  <c r="H4" i="5" a="1"/>
  <c r="H4" i="5" s="1"/>
  <c r="I7" i="5" a="1"/>
  <c r="I7" i="5" s="1"/>
  <c r="H7" i="5" a="1"/>
  <c r="H7" i="5" s="1"/>
  <c r="H6" i="5" a="1"/>
  <c r="H6" i="5" s="1"/>
  <c r="F14" i="5" a="1"/>
  <c r="F14" i="5" s="1"/>
  <c r="D25" i="18" s="1" a="1"/>
  <c r="D25" i="18" s="1"/>
  <c r="F25" i="18" s="1"/>
  <c r="I4" i="5" a="1"/>
  <c r="I4" i="5" s="1"/>
  <c r="G13" i="5" a="1"/>
  <c r="G13" i="5" s="1"/>
  <c r="G16" i="5" a="1"/>
  <c r="G16" i="5" s="1"/>
  <c r="G15" i="5" a="1"/>
  <c r="G15" i="5" s="1"/>
  <c r="I6" i="5" a="1"/>
  <c r="I6" i="5" s="1"/>
  <c r="I5" i="5" a="1"/>
  <c r="I5" i="5" s="1"/>
  <c r="M5" i="9" l="1"/>
  <c r="N5" i="9" s="1"/>
  <c r="AE5" i="3"/>
  <c r="M6" i="10"/>
  <c r="I6" i="10"/>
  <c r="D206" i="1"/>
  <c r="D206" i="19" s="1"/>
  <c r="F206" i="1"/>
  <c r="F278" i="1"/>
  <c r="D278" i="1"/>
  <c r="D278" i="19" s="1"/>
  <c r="F350" i="1"/>
  <c r="D350" i="1"/>
  <c r="D350" i="19" s="1"/>
  <c r="F134" i="1"/>
  <c r="D134" i="1"/>
  <c r="D134" i="19" s="1"/>
  <c r="F98" i="1"/>
  <c r="D98" i="1"/>
  <c r="D98" i="19" s="1"/>
  <c r="F62" i="1"/>
  <c r="D62" i="1"/>
  <c r="D62" i="19" s="1"/>
  <c r="F314" i="1"/>
  <c r="D314" i="1"/>
  <c r="D314" i="19" s="1"/>
  <c r="D349" i="18" a="1"/>
  <c r="D349" i="18" s="1"/>
  <c r="F349" i="18" s="1"/>
  <c r="D133" i="18" a="1"/>
  <c r="D133" i="18" s="1"/>
  <c r="F133" i="18" s="1"/>
  <c r="D169" i="18" a="1"/>
  <c r="D169" i="18" s="1"/>
  <c r="F169" i="18" s="1"/>
  <c r="D277" i="18" a="1"/>
  <c r="D277" i="18" s="1"/>
  <c r="F277" i="18" s="1"/>
  <c r="D313" i="18" a="1"/>
  <c r="D313" i="18" s="1"/>
  <c r="F313" i="18" s="1"/>
  <c r="D97" i="18" a="1"/>
  <c r="D97" i="18" s="1"/>
  <c r="F97" i="18" s="1"/>
  <c r="D241" i="18" a="1"/>
  <c r="D241" i="18" s="1"/>
  <c r="F241" i="18" s="1"/>
  <c r="D205" i="18" a="1"/>
  <c r="D205" i="18" s="1"/>
  <c r="F205" i="18" s="1"/>
  <c r="D61" i="18" a="1"/>
  <c r="D61" i="18" s="1"/>
  <c r="F61" i="18" s="1"/>
  <c r="F242" i="1"/>
  <c r="D242" i="1"/>
  <c r="D242" i="19" s="1"/>
  <c r="F170" i="1"/>
  <c r="D170" i="1"/>
  <c r="D170" i="19" s="1"/>
  <c r="D300" i="19"/>
  <c r="AE9" i="20" s="1"/>
  <c r="L12" i="3" s="1"/>
  <c r="M12" i="3" s="1"/>
  <c r="R12" i="6" s="1" a="1"/>
  <c r="R12" i="6" s="1"/>
  <c r="S12" i="6" s="1"/>
  <c r="D156" i="19"/>
  <c r="AE5" i="20" s="1"/>
  <c r="L8" i="3" s="1"/>
  <c r="M8" i="3" s="1"/>
  <c r="R8" i="6" s="1" a="1"/>
  <c r="R8" i="6" s="1"/>
  <c r="S8" i="6" s="1"/>
  <c r="D192" i="19"/>
  <c r="AE6" i="20" s="1"/>
  <c r="L9" i="3" s="1"/>
  <c r="M9" i="3" s="1"/>
  <c r="R9" i="6" s="1" a="1"/>
  <c r="R9" i="6" s="1"/>
  <c r="S9" i="6" s="1"/>
  <c r="D228" i="19"/>
  <c r="AE7" i="20" s="1"/>
  <c r="L10" i="3" s="1"/>
  <c r="M10" i="3" s="1"/>
  <c r="R10" i="6" s="1" a="1"/>
  <c r="R10" i="6" s="1"/>
  <c r="S10" i="6" s="1"/>
  <c r="D336" i="19"/>
  <c r="AE10" i="20" s="1"/>
  <c r="L13" i="3" s="1"/>
  <c r="M13" i="3" s="1"/>
  <c r="R13" i="6" s="1" a="1"/>
  <c r="R13" i="6" s="1"/>
  <c r="S13" i="6" s="1"/>
  <c r="D264" i="19"/>
  <c r="AE8" i="20" s="1"/>
  <c r="L11" i="3" s="1"/>
  <c r="M11" i="3" s="1"/>
  <c r="R11" i="6" s="1" a="1"/>
  <c r="R11" i="6" s="1"/>
  <c r="S11" i="6" s="1"/>
  <c r="D120" i="19"/>
  <c r="AE4" i="20" s="1"/>
  <c r="L7" i="3" s="1"/>
  <c r="M7" i="3" s="1"/>
  <c r="R7" i="6" s="1" a="1"/>
  <c r="R7" i="6" s="1"/>
  <c r="S7" i="6" s="1"/>
  <c r="D84" i="19"/>
  <c r="AE3" i="20" s="1"/>
  <c r="L6" i="3" s="1"/>
  <c r="M6" i="3" s="1"/>
  <c r="R6" i="6" s="1" a="1"/>
  <c r="R6" i="6" s="1"/>
  <c r="S6" i="6" s="1"/>
  <c r="D372" i="19"/>
  <c r="AE11" i="20" s="1"/>
  <c r="L14" i="3" s="1"/>
  <c r="M14" i="3" s="1"/>
  <c r="R14" i="6" s="1" a="1"/>
  <c r="R14" i="6" s="1"/>
  <c r="S14" i="6" s="1"/>
  <c r="L7" i="6"/>
  <c r="T7" i="6" s="1"/>
  <c r="Z7" i="6"/>
  <c r="AH7" i="6" s="1"/>
  <c r="X14" i="3"/>
  <c r="L14" i="6" s="1"/>
  <c r="T14" i="6" s="1"/>
  <c r="Z6" i="6"/>
  <c r="AH6" i="6" s="1"/>
  <c r="L6" i="6"/>
  <c r="T6" i="6" s="1"/>
  <c r="X13" i="3"/>
  <c r="M12" i="9"/>
  <c r="N12" i="9" s="1"/>
  <c r="M14" i="9"/>
  <c r="N14" i="9" s="1"/>
  <c r="X12" i="3"/>
  <c r="M13" i="9"/>
  <c r="N13" i="9" s="1"/>
  <c r="K14" i="9"/>
  <c r="L14" i="9"/>
  <c r="I16" i="13"/>
  <c r="AF13" i="3"/>
  <c r="K12" i="9"/>
  <c r="L12" i="9"/>
  <c r="X10" i="3"/>
  <c r="L10" i="6" s="1"/>
  <c r="T10" i="6" s="1"/>
  <c r="M10" i="9"/>
  <c r="N10" i="9" s="1"/>
  <c r="M11" i="9"/>
  <c r="N11" i="9" s="1"/>
  <c r="K11" i="9"/>
  <c r="L11" i="9"/>
  <c r="Y7" i="3"/>
  <c r="X11" i="3"/>
  <c r="I13" i="13"/>
  <c r="AF10" i="3"/>
  <c r="K9" i="9"/>
  <c r="L9" i="9"/>
  <c r="J12" i="13"/>
  <c r="AD9" i="3"/>
  <c r="AE9" i="3" s="1"/>
  <c r="K8" i="9"/>
  <c r="L8" i="9"/>
  <c r="X8" i="3"/>
  <c r="X9" i="3"/>
  <c r="K7" i="9"/>
  <c r="L7" i="9"/>
  <c r="AF6" i="3"/>
  <c r="L6" i="9" s="1"/>
  <c r="I9" i="13"/>
  <c r="M6" i="9"/>
  <c r="N6" i="9" s="1"/>
  <c r="AD5" i="6" a="1"/>
  <c r="AD5" i="6" s="1"/>
  <c r="N5" i="6" a="1"/>
  <c r="N5" i="6" s="1"/>
  <c r="AC5" i="6" a="1"/>
  <c r="AC5" i="6" s="1"/>
  <c r="P5" i="6" a="1"/>
  <c r="P5" i="6" s="1"/>
  <c r="O5" i="6" a="1"/>
  <c r="O5" i="6" s="1"/>
  <c r="K5" i="6"/>
  <c r="J5" i="6"/>
  <c r="AB5" i="6" a="1"/>
  <c r="AB5" i="6" s="1"/>
  <c r="Q5" i="6"/>
  <c r="B3" i="4" s="1"/>
  <c r="AE5" i="6"/>
  <c r="C3" i="4" s="1"/>
  <c r="J5" i="10"/>
  <c r="K5" i="10" s="1" a="1"/>
  <c r="K5" i="10" s="1"/>
  <c r="V5" i="10" s="1" a="1"/>
  <c r="V5" i="10" s="1"/>
  <c r="F25" i="1"/>
  <c r="D25" i="1"/>
  <c r="D25" i="19" s="1"/>
  <c r="N2" i="20" s="1"/>
  <c r="O5" i="3" s="1"/>
  <c r="J16" i="13"/>
  <c r="D48" i="19"/>
  <c r="AE2" i="20" s="1"/>
  <c r="L5" i="3" s="1"/>
  <c r="G16" i="13"/>
  <c r="I17" i="13"/>
  <c r="I15" i="13"/>
  <c r="I12" i="13"/>
  <c r="G12" i="13"/>
  <c r="G17" i="13"/>
  <c r="I11" i="13"/>
  <c r="I14" i="13"/>
  <c r="I10" i="13"/>
  <c r="AC11" i="20"/>
  <c r="AC3" i="20"/>
  <c r="AC6" i="20"/>
  <c r="AC10" i="20"/>
  <c r="AC4" i="20"/>
  <c r="AC7" i="20"/>
  <c r="AC8" i="20"/>
  <c r="AC9" i="20"/>
  <c r="AC5" i="20"/>
  <c r="D45" i="19"/>
  <c r="AC2" i="20" s="1"/>
  <c r="G9" i="21"/>
  <c r="H9" i="21"/>
  <c r="F9" i="21"/>
  <c r="G10" i="21"/>
  <c r="H11" i="21"/>
  <c r="I11" i="21"/>
  <c r="I8" i="21"/>
  <c r="F11" i="21"/>
  <c r="H8" i="21"/>
  <c r="I9" i="21"/>
  <c r="F8" i="21"/>
  <c r="D26" i="18" a="1"/>
  <c r="D26" i="18" s="1"/>
  <c r="K5" i="9"/>
  <c r="V5" i="3"/>
  <c r="G40" i="5"/>
  <c r="G41" i="5"/>
  <c r="G42" i="5"/>
  <c r="G43" i="5"/>
  <c r="G44" i="5"/>
  <c r="G45" i="5"/>
  <c r="G46" i="5"/>
  <c r="G38" i="5"/>
  <c r="J39" i="5"/>
  <c r="K39" i="5" s="1"/>
  <c r="J38" i="5"/>
  <c r="K38" i="5" s="1"/>
  <c r="J46" i="5"/>
  <c r="K46" i="5" s="1"/>
  <c r="J45" i="5"/>
  <c r="K45" i="5" s="1"/>
  <c r="J44" i="5"/>
  <c r="K44" i="5" s="1"/>
  <c r="J43" i="5"/>
  <c r="K43" i="5" s="1"/>
  <c r="J42" i="5"/>
  <c r="K42" i="5" s="1"/>
  <c r="J41" i="5"/>
  <c r="K41" i="5" s="1"/>
  <c r="J40" i="5"/>
  <c r="K40" i="5" s="1"/>
  <c r="AL5" i="6" l="1"/>
  <c r="Q7" i="3"/>
  <c r="R7" i="3" s="1"/>
  <c r="AF7" i="6" s="1" a="1"/>
  <c r="AF7" i="6" s="1"/>
  <c r="AG7" i="6" s="1"/>
  <c r="Q5" i="3"/>
  <c r="R5" i="3" s="1"/>
  <c r="Q6" i="3"/>
  <c r="R6" i="3" s="1"/>
  <c r="AF6" i="6" s="1" a="1"/>
  <c r="AF6" i="6" s="1"/>
  <c r="AG6" i="6" s="1"/>
  <c r="Q13" i="3"/>
  <c r="R13" i="3" s="1"/>
  <c r="AF13" i="6" s="1" a="1"/>
  <c r="AF13" i="6" s="1"/>
  <c r="AG13" i="6" s="1"/>
  <c r="Q9" i="3"/>
  <c r="R9" i="3" s="1"/>
  <c r="AF9" i="6" s="1" a="1"/>
  <c r="AF9" i="6" s="1"/>
  <c r="AG9" i="6" s="1"/>
  <c r="Q8" i="3"/>
  <c r="R8" i="3" s="1"/>
  <c r="AF8" i="6" s="1" a="1"/>
  <c r="AF8" i="6" s="1"/>
  <c r="AG8" i="6" s="1"/>
  <c r="Q14" i="3"/>
  <c r="R14" i="3" s="1"/>
  <c r="AF14" i="6" s="1" a="1"/>
  <c r="AF14" i="6" s="1"/>
  <c r="AG14" i="6" s="1"/>
  <c r="Q12" i="3"/>
  <c r="R12" i="3" s="1"/>
  <c r="AF12" i="6" s="1" a="1"/>
  <c r="AF12" i="6" s="1"/>
  <c r="AG12" i="6" s="1"/>
  <c r="Q10" i="3"/>
  <c r="R10" i="3" s="1"/>
  <c r="AF10" i="6" s="1" a="1"/>
  <c r="AF10" i="6" s="1"/>
  <c r="AG10" i="6" s="1"/>
  <c r="Q11" i="3"/>
  <c r="R11" i="3" s="1"/>
  <c r="AF11" i="6" s="1" a="1"/>
  <c r="AF11" i="6" s="1"/>
  <c r="AG11" i="6" s="1"/>
  <c r="D26" i="1"/>
  <c r="F26" i="18"/>
  <c r="F26" i="1" s="1"/>
  <c r="M7" i="10"/>
  <c r="I7" i="10"/>
  <c r="Y14" i="3"/>
  <c r="F133" i="1"/>
  <c r="D133" i="1"/>
  <c r="D133" i="19" s="1"/>
  <c r="N5" i="20" s="1"/>
  <c r="O8" i="3" s="1"/>
  <c r="H8" i="6" s="1"/>
  <c r="D61" i="1"/>
  <c r="D61" i="19" s="1"/>
  <c r="N3" i="20" s="1"/>
  <c r="O6" i="3" s="1"/>
  <c r="F61" i="1"/>
  <c r="F349" i="1"/>
  <c r="D349" i="1"/>
  <c r="D349" i="19" s="1"/>
  <c r="N11" i="20" s="1"/>
  <c r="O14" i="3" s="1"/>
  <c r="H14" i="6" s="1"/>
  <c r="F205" i="1"/>
  <c r="D205" i="1"/>
  <c r="D205" i="19" s="1"/>
  <c r="N7" i="20" s="1"/>
  <c r="O10" i="3" s="1"/>
  <c r="H10" i="6" s="1"/>
  <c r="F241" i="1"/>
  <c r="D241" i="1"/>
  <c r="D241" i="19" s="1"/>
  <c r="N8" i="20" s="1"/>
  <c r="O11" i="3" s="1"/>
  <c r="H11" i="6" s="1"/>
  <c r="F97" i="1"/>
  <c r="D97" i="1"/>
  <c r="D97" i="19" s="1"/>
  <c r="N4" i="20" s="1"/>
  <c r="O7" i="3" s="1"/>
  <c r="H7" i="6" s="1"/>
  <c r="F313" i="1"/>
  <c r="D313" i="1"/>
  <c r="D313" i="19" s="1"/>
  <c r="N10" i="20" s="1"/>
  <c r="O13" i="3" s="1"/>
  <c r="H13" i="6" s="1"/>
  <c r="D277" i="1"/>
  <c r="D277" i="19" s="1"/>
  <c r="F277" i="1"/>
  <c r="D169" i="1"/>
  <c r="D169" i="19" s="1"/>
  <c r="N6" i="20" s="1"/>
  <c r="O9" i="3" s="1"/>
  <c r="H9" i="6" s="1"/>
  <c r="F169" i="1"/>
  <c r="Z14" i="6"/>
  <c r="AH14" i="6" s="1"/>
  <c r="Z10" i="6"/>
  <c r="AH10" i="6" s="1"/>
  <c r="L13" i="9"/>
  <c r="K13" i="9"/>
  <c r="Y12" i="3"/>
  <c r="L12" i="6"/>
  <c r="T12" i="6" s="1"/>
  <c r="Z12" i="6"/>
  <c r="AH12" i="6" s="1"/>
  <c r="L13" i="6"/>
  <c r="T13" i="6" s="1"/>
  <c r="Z13" i="6"/>
  <c r="AH13" i="6" s="1"/>
  <c r="Y13" i="3"/>
  <c r="M9" i="9"/>
  <c r="N9" i="9" s="1"/>
  <c r="L11" i="6"/>
  <c r="T11" i="6" s="1"/>
  <c r="Z11" i="6"/>
  <c r="AH11" i="6" s="1"/>
  <c r="Y11" i="3"/>
  <c r="Y10" i="3"/>
  <c r="K10" i="9"/>
  <c r="L10" i="9"/>
  <c r="Z9" i="6"/>
  <c r="AH9" i="6" s="1"/>
  <c r="L9" i="6"/>
  <c r="T9" i="6" s="1"/>
  <c r="Y9" i="3"/>
  <c r="Y8" i="3"/>
  <c r="L8" i="6"/>
  <c r="T8" i="6" s="1"/>
  <c r="Z8" i="6"/>
  <c r="AH8" i="6" s="1"/>
  <c r="K6" i="9"/>
  <c r="X5" i="6"/>
  <c r="AM5" i="6"/>
  <c r="Y5" i="6"/>
  <c r="R6" i="10" a="1"/>
  <c r="R6" i="10" s="1"/>
  <c r="S6" i="10" a="1"/>
  <c r="S6" i="10" s="1"/>
  <c r="AA6" i="10" a="1"/>
  <c r="AA6" i="10" s="1"/>
  <c r="Z6" i="10" a="1"/>
  <c r="Z6" i="10" s="1"/>
  <c r="AI5" i="6"/>
  <c r="U5" i="6"/>
  <c r="M7" i="20"/>
  <c r="J10" i="3" s="1"/>
  <c r="D10" i="9" s="1"/>
  <c r="M6" i="20"/>
  <c r="J9" i="3" s="1"/>
  <c r="D9" i="9" s="1"/>
  <c r="S9" i="9" s="1"/>
  <c r="M3" i="20"/>
  <c r="J6" i="3" s="1"/>
  <c r="F5" i="10"/>
  <c r="G5" i="10" s="1" a="1"/>
  <c r="G5" i="10" s="1"/>
  <c r="N5" i="10" s="1" a="1"/>
  <c r="N5" i="10" s="1"/>
  <c r="AB5" i="10" a="1"/>
  <c r="AB5" i="10" s="1"/>
  <c r="Y5" i="10" a="1"/>
  <c r="Y5" i="10" s="1"/>
  <c r="L5" i="10" a="1"/>
  <c r="L5" i="10" s="1"/>
  <c r="X5" i="10" a="1"/>
  <c r="X5" i="10" s="1"/>
  <c r="W5" i="10" a="1"/>
  <c r="W5" i="10" s="1"/>
  <c r="D26" i="19"/>
  <c r="M2" i="20" s="1"/>
  <c r="J5" i="3" s="1"/>
  <c r="M5" i="3"/>
  <c r="N9" i="20"/>
  <c r="O12" i="3" s="1"/>
  <c r="H12" i="6" s="1"/>
  <c r="M5" i="20"/>
  <c r="J8" i="3" s="1"/>
  <c r="D8" i="9" s="1"/>
  <c r="S8" i="9" s="1"/>
  <c r="M11" i="20"/>
  <c r="J14" i="3" s="1"/>
  <c r="B39" i="5"/>
  <c r="B38" i="5"/>
  <c r="X5" i="3"/>
  <c r="L5" i="6" s="1"/>
  <c r="H5" i="6"/>
  <c r="I14" i="6" l="1"/>
  <c r="AA14" i="6" s="1"/>
  <c r="AJ14" i="6" s="1"/>
  <c r="I14" i="10"/>
  <c r="S14" i="10" s="1" a="1"/>
  <c r="S14" i="10" s="1"/>
  <c r="M14" i="10"/>
  <c r="Z14" i="10" s="1" a="1"/>
  <c r="Z14" i="10" s="1"/>
  <c r="I10" i="10"/>
  <c r="M10" i="10"/>
  <c r="M11" i="10"/>
  <c r="I11" i="10"/>
  <c r="M8" i="10"/>
  <c r="I8" i="10"/>
  <c r="I9" i="10"/>
  <c r="M9" i="10"/>
  <c r="M12" i="10"/>
  <c r="I12" i="10"/>
  <c r="M13" i="10"/>
  <c r="I13" i="10"/>
  <c r="Q5" i="10" a="1"/>
  <c r="Q5" i="10" s="1"/>
  <c r="I11" i="6"/>
  <c r="AA11" i="6" s="1"/>
  <c r="AJ11" i="6" s="1"/>
  <c r="I8" i="6"/>
  <c r="AA8" i="6" s="1"/>
  <c r="AJ8" i="6" s="1"/>
  <c r="I13" i="6"/>
  <c r="AA13" i="6" s="1"/>
  <c r="AJ13" i="6" s="1"/>
  <c r="I9" i="6"/>
  <c r="AA9" i="6" s="1"/>
  <c r="AJ9" i="6" s="1"/>
  <c r="I7" i="6"/>
  <c r="AA7" i="6" s="1"/>
  <c r="AJ7" i="6" s="1"/>
  <c r="I10" i="6"/>
  <c r="AA10" i="6" s="1"/>
  <c r="AJ10" i="6" s="1"/>
  <c r="I12" i="6"/>
  <c r="AA12" i="6" s="1"/>
  <c r="AJ12" i="6" s="1"/>
  <c r="D10" i="6"/>
  <c r="S10" i="9"/>
  <c r="V10" i="9" s="1"/>
  <c r="Q32" i="13" s="1"/>
  <c r="R32" i="13" s="1"/>
  <c r="G14" i="9"/>
  <c r="E14" i="9"/>
  <c r="F14" i="9" s="1"/>
  <c r="I14" i="9" s="1"/>
  <c r="D14" i="9"/>
  <c r="D14" i="6"/>
  <c r="T9" i="9"/>
  <c r="D9" i="6"/>
  <c r="T10" i="9"/>
  <c r="Y10" i="9" s="1"/>
  <c r="Z10" i="9" s="1" a="1"/>
  <c r="Z10" i="9" s="1"/>
  <c r="T8" i="9"/>
  <c r="D8" i="6"/>
  <c r="G8" i="9"/>
  <c r="H8" i="9" s="1"/>
  <c r="E8" i="9"/>
  <c r="F8" i="9" s="1"/>
  <c r="I8" i="9" s="1"/>
  <c r="G9" i="9"/>
  <c r="J9" i="9" s="1"/>
  <c r="E9" i="9"/>
  <c r="F9" i="9" s="1"/>
  <c r="I9" i="9" s="1"/>
  <c r="G10" i="9"/>
  <c r="E10" i="9"/>
  <c r="F10" i="9" s="1"/>
  <c r="I10" i="9" s="1"/>
  <c r="R7" i="10" a="1"/>
  <c r="R7" i="10" s="1"/>
  <c r="S7" i="10" a="1"/>
  <c r="S7" i="10" s="1"/>
  <c r="Z7" i="10" a="1"/>
  <c r="Z7" i="10" s="1"/>
  <c r="AA7" i="10" a="1"/>
  <c r="AA7" i="10" s="1"/>
  <c r="V8" i="9"/>
  <c r="Q30" i="13" s="1"/>
  <c r="R30" i="13" s="1"/>
  <c r="E8" i="6"/>
  <c r="V9" i="9"/>
  <c r="Q31" i="13" s="1"/>
  <c r="R31" i="13" s="1"/>
  <c r="E9" i="6"/>
  <c r="I6" i="6"/>
  <c r="AA6" i="6" s="1"/>
  <c r="AJ6" i="6" s="1"/>
  <c r="H6" i="6"/>
  <c r="G6" i="9"/>
  <c r="D6" i="6"/>
  <c r="E6" i="9"/>
  <c r="F6" i="9" s="1"/>
  <c r="I6" i="9" s="1"/>
  <c r="D6" i="9"/>
  <c r="T6" i="9" s="1"/>
  <c r="Y6" i="9" s="1"/>
  <c r="Z6" i="9" s="1" a="1"/>
  <c r="Z6" i="9" s="1"/>
  <c r="U6" i="10"/>
  <c r="AC6" i="10"/>
  <c r="T5" i="10" a="1"/>
  <c r="T5" i="10" s="1"/>
  <c r="H5" i="10" a="1"/>
  <c r="H5" i="10" s="1"/>
  <c r="P5" i="10" a="1"/>
  <c r="P5" i="10" s="1"/>
  <c r="O5" i="10" a="1"/>
  <c r="O5" i="10" s="1"/>
  <c r="M4" i="20"/>
  <c r="J7" i="3" s="1"/>
  <c r="M9" i="20"/>
  <c r="J12" i="3" s="1"/>
  <c r="M8" i="20"/>
  <c r="J11" i="3" s="1"/>
  <c r="M10" i="20"/>
  <c r="J13" i="3" s="1"/>
  <c r="R6" i="21"/>
  <c r="S6" i="21"/>
  <c r="E5" i="9"/>
  <c r="F5" i="9" s="1"/>
  <c r="I5" i="9" s="1"/>
  <c r="D5" i="9"/>
  <c r="G5" i="9"/>
  <c r="Y5" i="3"/>
  <c r="M5" i="10" s="1"/>
  <c r="Z5" i="6"/>
  <c r="AH5" i="6" s="1"/>
  <c r="T5" i="6"/>
  <c r="D5" i="6"/>
  <c r="I5" i="6"/>
  <c r="AA5" i="6" s="1"/>
  <c r="AJ5" i="6" s="1"/>
  <c r="I5" i="10" l="1"/>
  <c r="R5" i="10" s="1" a="1"/>
  <c r="R5" i="10" s="1"/>
  <c r="C51" i="4"/>
  <c r="G51" i="4" s="1"/>
  <c r="C46" i="4"/>
  <c r="G46" i="4" s="1"/>
  <c r="B46" i="4"/>
  <c r="F46" i="4" s="1"/>
  <c r="T5" i="9"/>
  <c r="Y5" i="9" s="1"/>
  <c r="Z5" i="9" s="1" a="1"/>
  <c r="Z5" i="9" s="1"/>
  <c r="X8" i="9"/>
  <c r="Y8" i="9"/>
  <c r="X9" i="9"/>
  <c r="Y9" i="9"/>
  <c r="R14" i="10" a="1"/>
  <c r="R14" i="10" s="1"/>
  <c r="U14" i="10" s="1"/>
  <c r="AA14" i="10" a="1"/>
  <c r="AA14" i="10" s="1"/>
  <c r="AC14" i="10" s="1"/>
  <c r="J8" i="9"/>
  <c r="O8" i="9" s="1"/>
  <c r="H9" i="9"/>
  <c r="O9" i="9" s="1"/>
  <c r="AC7" i="10"/>
  <c r="E10" i="6"/>
  <c r="G13" i="9"/>
  <c r="E13" i="9"/>
  <c r="F13" i="9" s="1"/>
  <c r="I13" i="9" s="1"/>
  <c r="D13" i="9"/>
  <c r="D13" i="6"/>
  <c r="G12" i="9"/>
  <c r="E12" i="9"/>
  <c r="F12" i="9" s="1"/>
  <c r="I12" i="9" s="1"/>
  <c r="D12" i="9"/>
  <c r="D12" i="6"/>
  <c r="AA13" i="10" a="1"/>
  <c r="AA13" i="10" s="1"/>
  <c r="Z13" i="10" a="1"/>
  <c r="Z13" i="10" s="1"/>
  <c r="D7" i="9"/>
  <c r="D7" i="6"/>
  <c r="D11" i="9"/>
  <c r="D11" i="6"/>
  <c r="S13" i="10" a="1"/>
  <c r="S13" i="10" s="1"/>
  <c r="R13" i="10" a="1"/>
  <c r="R13" i="10" s="1"/>
  <c r="U7" i="10"/>
  <c r="Z12" i="10" a="1"/>
  <c r="Z12" i="10" s="1"/>
  <c r="AA12" i="10" a="1"/>
  <c r="AA12" i="10" s="1"/>
  <c r="S12" i="10" a="1"/>
  <c r="S12" i="10" s="1"/>
  <c r="R12" i="10" a="1"/>
  <c r="R12" i="10" s="1"/>
  <c r="S14" i="9"/>
  <c r="T14" i="9"/>
  <c r="Y14" i="9" s="1"/>
  <c r="Z14" i="9" s="1" a="1"/>
  <c r="Z14" i="9" s="1"/>
  <c r="H14" i="9"/>
  <c r="J14" i="9"/>
  <c r="X10" i="9"/>
  <c r="G11" i="9"/>
  <c r="E11" i="9"/>
  <c r="F11" i="9" s="1"/>
  <c r="I11" i="9" s="1"/>
  <c r="G7" i="9"/>
  <c r="J7" i="9" s="1"/>
  <c r="E7" i="9"/>
  <c r="F7" i="9" s="1"/>
  <c r="I7" i="9" s="1"/>
  <c r="S9" i="10" a="1"/>
  <c r="S9" i="10" s="1"/>
  <c r="R9" i="10" a="1"/>
  <c r="R9" i="10" s="1"/>
  <c r="AA9" i="10" a="1"/>
  <c r="AA9" i="10" s="1"/>
  <c r="Z9" i="10" a="1"/>
  <c r="Z9" i="10" s="1"/>
  <c r="S8" i="10" a="1"/>
  <c r="S8" i="10" s="1"/>
  <c r="R8" i="10" a="1"/>
  <c r="R8" i="10" s="1"/>
  <c r="AA8" i="10" a="1"/>
  <c r="AA8" i="10" s="1"/>
  <c r="Z8" i="10" a="1"/>
  <c r="Z8" i="10" s="1"/>
  <c r="AN9" i="6"/>
  <c r="AP9" i="6"/>
  <c r="AZ9" i="6" s="1"/>
  <c r="AP8" i="6"/>
  <c r="AZ8" i="6" s="1"/>
  <c r="AN8" i="6"/>
  <c r="R11" i="10" a="1"/>
  <c r="R11" i="10" s="1"/>
  <c r="S11" i="10" a="1"/>
  <c r="S11" i="10" s="1"/>
  <c r="AA11" i="10" a="1"/>
  <c r="AA11" i="10" s="1"/>
  <c r="Z11" i="10" a="1"/>
  <c r="Z11" i="10" s="1"/>
  <c r="AP10" i="6"/>
  <c r="AZ10" i="6" s="1"/>
  <c r="AN10" i="6"/>
  <c r="R10" i="10" a="1"/>
  <c r="R10" i="10" s="1"/>
  <c r="S10" i="10" a="1"/>
  <c r="S10" i="10" s="1"/>
  <c r="AA10" i="10" a="1"/>
  <c r="AA10" i="10" s="1"/>
  <c r="Z10" i="10" a="1"/>
  <c r="Z10" i="10" s="1"/>
  <c r="J10" i="9"/>
  <c r="H10" i="9"/>
  <c r="S6" i="9"/>
  <c r="J6" i="9"/>
  <c r="H6" i="9"/>
  <c r="X6" i="9"/>
  <c r="B48" i="4"/>
  <c r="F48" i="4" s="1"/>
  <c r="C48" i="4"/>
  <c r="G48" i="4" s="1"/>
  <c r="C47" i="4"/>
  <c r="G47" i="4" s="1"/>
  <c r="B47" i="4"/>
  <c r="F47" i="4" s="1"/>
  <c r="B51" i="4"/>
  <c r="F51" i="4" s="1"/>
  <c r="G9" i="4"/>
  <c r="F3" i="4"/>
  <c r="G3" i="4"/>
  <c r="J5" i="9"/>
  <c r="H5" i="9"/>
  <c r="S5" i="9"/>
  <c r="S28" i="13" l="1"/>
  <c r="S30" i="13"/>
  <c r="S31" i="13"/>
  <c r="S32" i="13"/>
  <c r="Z9" i="9" a="1"/>
  <c r="Z9" i="9" s="1"/>
  <c r="T31" i="13" s="1"/>
  <c r="Z8" i="9" a="1"/>
  <c r="Z8" i="9" s="1"/>
  <c r="T30" i="13" s="1"/>
  <c r="T28" i="13"/>
  <c r="H7" i="9"/>
  <c r="O7" i="9" s="1"/>
  <c r="AC9" i="10"/>
  <c r="U12" i="10"/>
  <c r="AC13" i="10"/>
  <c r="U9" i="10"/>
  <c r="AC10" i="10"/>
  <c r="U13" i="10"/>
  <c r="O6" i="9"/>
  <c r="T32" i="13"/>
  <c r="S12" i="9"/>
  <c r="T12" i="9"/>
  <c r="Y12" i="9" s="1"/>
  <c r="Z12" i="9" s="1" a="1"/>
  <c r="Z12" i="9" s="1"/>
  <c r="H12" i="9"/>
  <c r="J12" i="9"/>
  <c r="U10" i="10"/>
  <c r="AC12" i="10"/>
  <c r="V14" i="9"/>
  <c r="Q36" i="13" s="1"/>
  <c r="R36" i="13" s="1"/>
  <c r="E14" i="6"/>
  <c r="U11" i="10"/>
  <c r="AC8" i="10"/>
  <c r="T11" i="9"/>
  <c r="Y11" i="9" s="1"/>
  <c r="Z11" i="9" s="1" a="1"/>
  <c r="Z11" i="9" s="1"/>
  <c r="S11" i="9"/>
  <c r="S7" i="9"/>
  <c r="T7" i="9"/>
  <c r="Y7" i="9" s="1"/>
  <c r="Z7" i="9" s="1" a="1"/>
  <c r="Z7" i="9" s="1"/>
  <c r="S13" i="9"/>
  <c r="T13" i="9"/>
  <c r="Y13" i="9" s="1"/>
  <c r="Z13" i="9" s="1" a="1"/>
  <c r="Z13" i="9" s="1"/>
  <c r="O14" i="9"/>
  <c r="O10" i="9"/>
  <c r="AC11" i="10"/>
  <c r="U8" i="10"/>
  <c r="X14" i="9"/>
  <c r="J13" i="9"/>
  <c r="H13" i="9"/>
  <c r="H11" i="9"/>
  <c r="J11" i="9"/>
  <c r="E6" i="6"/>
  <c r="V6" i="9"/>
  <c r="Q28" i="13" s="1"/>
  <c r="R28" i="13" s="1"/>
  <c r="X5" i="9"/>
  <c r="S5" i="10" a="1"/>
  <c r="S5" i="10" s="1"/>
  <c r="O5" i="9"/>
  <c r="V5" i="9"/>
  <c r="E5" i="6"/>
  <c r="R5" i="6" a="1"/>
  <c r="R5" i="6" s="1"/>
  <c r="AF5" i="6" a="1"/>
  <c r="AF5" i="6" s="1"/>
  <c r="AA5" i="10" a="1"/>
  <c r="AA5" i="10" s="1"/>
  <c r="Z5" i="10" a="1"/>
  <c r="Z5" i="10" s="1"/>
  <c r="S36" i="13" l="1"/>
  <c r="S27" i="13"/>
  <c r="B26" i="4" a="1"/>
  <c r="B26" i="4" s="1"/>
  <c r="B32" i="4" s="1"/>
  <c r="G32" i="4" s="1"/>
  <c r="AJ25" i="4"/>
  <c r="B25" i="4" a="1"/>
  <c r="B25" i="4" s="1"/>
  <c r="B31" i="4" s="1"/>
  <c r="G31" i="4" s="1"/>
  <c r="Q27" i="13"/>
  <c r="R27" i="13" s="1"/>
  <c r="T36" i="13"/>
  <c r="AK25" i="4"/>
  <c r="X11" i="9"/>
  <c r="X7" i="9"/>
  <c r="AN14" i="6"/>
  <c r="AP14" i="6"/>
  <c r="AZ14" i="6" s="1"/>
  <c r="V12" i="9"/>
  <c r="Q34" i="13" s="1"/>
  <c r="R34" i="13" s="1"/>
  <c r="E12" i="6"/>
  <c r="O13" i="9"/>
  <c r="V7" i="9"/>
  <c r="Q29" i="13" s="1"/>
  <c r="R29" i="13" s="1"/>
  <c r="E7" i="6"/>
  <c r="O12" i="9"/>
  <c r="V13" i="9"/>
  <c r="Q35" i="13" s="1"/>
  <c r="R35" i="13" s="1"/>
  <c r="E13" i="6"/>
  <c r="X12" i="9"/>
  <c r="AJ26" i="4"/>
  <c r="AP6" i="6"/>
  <c r="AN6" i="6"/>
  <c r="X13" i="9"/>
  <c r="V11" i="9"/>
  <c r="Q33" i="13" s="1"/>
  <c r="R33" i="13" s="1"/>
  <c r="E11" i="6"/>
  <c r="AK26" i="4"/>
  <c r="O11" i="9"/>
  <c r="B49" i="4"/>
  <c r="F49" i="4" s="1"/>
  <c r="C50" i="4"/>
  <c r="G50" i="4" s="1"/>
  <c r="B50" i="4"/>
  <c r="F50" i="4" s="1"/>
  <c r="C49" i="4"/>
  <c r="G49" i="4" s="1"/>
  <c r="S5" i="6"/>
  <c r="AG5" i="6"/>
  <c r="AN5" i="6"/>
  <c r="AP5" i="6"/>
  <c r="AC5" i="10"/>
  <c r="U5" i="10"/>
  <c r="S35" i="13" l="1"/>
  <c r="S29" i="13"/>
  <c r="S33" i="13"/>
  <c r="S34" i="13"/>
  <c r="T27" i="13"/>
  <c r="B23" i="4"/>
  <c r="B24" i="4" s="1"/>
  <c r="T35" i="13"/>
  <c r="T33" i="13"/>
  <c r="G52" i="4"/>
  <c r="AN11" i="6"/>
  <c r="AP11" i="6"/>
  <c r="AZ11" i="6" s="1"/>
  <c r="AP13" i="6"/>
  <c r="AZ13" i="6" s="1"/>
  <c r="AN13" i="6"/>
  <c r="T34" i="13"/>
  <c r="AP7" i="6"/>
  <c r="AZ7" i="6" s="1"/>
  <c r="AN7" i="6"/>
  <c r="AN12" i="6"/>
  <c r="AP12" i="6"/>
  <c r="AZ12" i="6" s="1"/>
  <c r="T29" i="13"/>
  <c r="D25" i="4" l="1" a="1"/>
  <c r="D25" i="4" s="1"/>
  <c r="D23" i="4" a="1"/>
  <c r="D23" i="4" s="1"/>
  <c r="C23" i="4" a="1"/>
  <c r="C23" i="4" s="1"/>
  <c r="C26" i="4" a="1"/>
  <c r="C26" i="4" s="1"/>
  <c r="C25" i="4" a="1"/>
  <c r="C25" i="4" s="1"/>
  <c r="D26" i="4" a="1"/>
  <c r="D26" i="4" s="1"/>
  <c r="C31" i="4" l="1"/>
  <c r="C32" i="4"/>
  <c r="C24" i="4"/>
  <c r="D24" i="4"/>
  <c r="C11" i="4" l="1"/>
  <c r="G11" i="4" s="1"/>
  <c r="B6" i="4"/>
  <c r="F6" i="4" s="1"/>
  <c r="C6" i="4"/>
  <c r="G6" i="4" s="1"/>
  <c r="C8" i="4"/>
  <c r="G8" i="4" s="1"/>
  <c r="B11" i="4"/>
  <c r="F11" i="4" s="1"/>
  <c r="B7" i="4"/>
  <c r="F7" i="4" s="1"/>
  <c r="C10" i="4"/>
  <c r="G10" i="4" s="1"/>
  <c r="C7" i="4"/>
  <c r="G7" i="4" s="1"/>
  <c r="B10" i="4"/>
  <c r="F10" i="4" s="1"/>
  <c r="C4" i="4" l="1"/>
  <c r="G4" i="4" s="1"/>
  <c r="B5" i="4" l="1"/>
  <c r="F5" i="4" s="1"/>
  <c r="B4" i="4"/>
  <c r="F4" i="4" s="1"/>
  <c r="C5" i="4"/>
  <c r="G5" i="4" s="1"/>
  <c r="B37" i="4" l="1"/>
  <c r="F37" i="4"/>
  <c r="B27" i="4"/>
  <c r="B28" i="4" s="1"/>
  <c r="F38" i="4" l="1"/>
  <c r="F39" i="4" s="1"/>
  <c r="BA13" i="6" s="1"/>
  <c r="AS9" i="6"/>
  <c r="AS8" i="6"/>
  <c r="AS7" i="6"/>
  <c r="AS14" i="6"/>
  <c r="AS6" i="6"/>
  <c r="AS13" i="6"/>
  <c r="AS12" i="6"/>
  <c r="AS11" i="6"/>
  <c r="AS10" i="6"/>
  <c r="BA12" i="6" l="1"/>
  <c r="BA6" i="6"/>
  <c r="BA14" i="6"/>
  <c r="BA10" i="6"/>
  <c r="BA7" i="6"/>
  <c r="BA8" i="6"/>
  <c r="BA11" i="6"/>
  <c r="BA9" i="6"/>
  <c r="B60" i="4" l="1"/>
  <c r="B52" i="4" l="1"/>
  <c r="B57" i="4" s="1"/>
  <c r="F52" i="4"/>
  <c r="G13" i="4"/>
  <c r="C13" i="4"/>
  <c r="C18" i="4" s="1"/>
  <c r="C52" i="4"/>
  <c r="B61" i="4"/>
  <c r="G34" i="4" l="1"/>
  <c r="G53" i="4"/>
  <c r="G54" i="4" s="1"/>
  <c r="G55" i="4" s="1"/>
  <c r="F53" i="4"/>
  <c r="F54" i="4" s="1"/>
  <c r="F55" i="4" s="1"/>
  <c r="C57" i="4"/>
  <c r="C53" i="4"/>
  <c r="C54" i="4" s="1"/>
  <c r="B53" i="4"/>
  <c r="B54" i="4" s="1"/>
  <c r="B55" i="4" s="1"/>
  <c r="C55" i="4" l="1"/>
  <c r="B41" i="4"/>
  <c r="AZ6" i="6" s="1"/>
  <c r="D27" i="13"/>
  <c r="G27" i="13" l="1"/>
  <c r="E27" i="13"/>
  <c r="F27" i="13" l="1"/>
  <c r="BA5" i="6"/>
  <c r="AZ5" i="6" l="1"/>
  <c r="AS5" i="6" l="1"/>
  <c r="P6" i="9" l="1"/>
  <c r="Q6" i="9" s="1"/>
  <c r="R6" i="9" s="1"/>
  <c r="P8" i="9"/>
  <c r="Q8" i="9" s="1"/>
  <c r="G8" i="6" s="1"/>
  <c r="P10" i="9"/>
  <c r="Q10" i="9" s="1"/>
  <c r="P12" i="9"/>
  <c r="Q12" i="9" s="1"/>
  <c r="U12" i="9" s="1"/>
  <c r="AK12" i="9" s="1"/>
  <c r="P14" i="9"/>
  <c r="Q14" i="9" s="1"/>
  <c r="G14" i="6" s="1"/>
  <c r="P5" i="9"/>
  <c r="Q5" i="9" s="1"/>
  <c r="P7" i="9"/>
  <c r="Q7" i="9" s="1"/>
  <c r="G7" i="6" s="1"/>
  <c r="P9" i="9"/>
  <c r="Q9" i="9" s="1"/>
  <c r="G9" i="6" s="1"/>
  <c r="P11" i="9"/>
  <c r="Q11" i="9" s="1"/>
  <c r="U11" i="9" s="1"/>
  <c r="AG11" i="9" s="1"/>
  <c r="P13" i="9"/>
  <c r="Q13" i="9" s="1"/>
  <c r="AS12" i="9" l="1"/>
  <c r="U7" i="9"/>
  <c r="AK7" i="9" s="1"/>
  <c r="R7" i="9"/>
  <c r="AM26" i="4"/>
  <c r="E32" i="4" s="1"/>
  <c r="U5" i="9"/>
  <c r="G5" i="6"/>
  <c r="AM25" i="4"/>
  <c r="E31" i="4" s="1"/>
  <c r="J31" i="4" s="1"/>
  <c r="G26" i="13" s="1"/>
  <c r="R5" i="9"/>
  <c r="R10" i="9"/>
  <c r="U10" i="9"/>
  <c r="G10" i="6"/>
  <c r="AL12" i="9"/>
  <c r="U6" i="9"/>
  <c r="R14" i="9"/>
  <c r="AE11" i="9"/>
  <c r="AF11" i="9" s="1" a="1"/>
  <c r="AF11" i="9" s="1"/>
  <c r="V33" i="13" s="1"/>
  <c r="G13" i="6"/>
  <c r="U13" i="9"/>
  <c r="AG12" i="9"/>
  <c r="AJ11" i="9"/>
  <c r="AD11" i="9"/>
  <c r="AK11" i="9"/>
  <c r="F11" i="6"/>
  <c r="AJ12" i="9"/>
  <c r="AD12" i="9"/>
  <c r="F12" i="6"/>
  <c r="AE12" i="9"/>
  <c r="AF12" i="9" s="1" a="1"/>
  <c r="AF12" i="9" s="1"/>
  <c r="V34" i="13" s="1"/>
  <c r="R11" i="9"/>
  <c r="G11" i="6"/>
  <c r="G6" i="6"/>
  <c r="R9" i="9"/>
  <c r="U9" i="9"/>
  <c r="R8" i="9"/>
  <c r="U8" i="9"/>
  <c r="AS11" i="9"/>
  <c r="U14" i="9"/>
  <c r="G12" i="6"/>
  <c r="R12" i="9"/>
  <c r="R13" i="9"/>
  <c r="AJ7" i="9" l="1"/>
  <c r="AD7" i="9"/>
  <c r="U29" i="13" s="1"/>
  <c r="AE7" i="9"/>
  <c r="AF7" i="9" s="1" a="1"/>
  <c r="AF7" i="9" s="1"/>
  <c r="V29" i="13" s="1"/>
  <c r="AS7" i="9"/>
  <c r="AM12" i="9"/>
  <c r="AN12" i="9" s="1"/>
  <c r="AO12" i="9" s="1"/>
  <c r="AL7" i="9"/>
  <c r="AG7" i="9"/>
  <c r="F7" i="6"/>
  <c r="AD14" i="9"/>
  <c r="AJ14" i="9"/>
  <c r="AE14" i="9"/>
  <c r="AF14" i="9" s="1" a="1"/>
  <c r="AF14" i="9" s="1"/>
  <c r="V36" i="13" s="1"/>
  <c r="F14" i="6"/>
  <c r="AS14" i="9"/>
  <c r="AK14" i="9"/>
  <c r="AG14" i="9"/>
  <c r="AL11" i="9"/>
  <c r="AM11" i="9" s="1"/>
  <c r="AQ11" i="6"/>
  <c r="AY11" i="6" s="1"/>
  <c r="M11" i="6" s="1" a="1"/>
  <c r="M11" i="6" s="1"/>
  <c r="V11" i="6" s="1"/>
  <c r="AO11" i="6"/>
  <c r="U33" i="13"/>
  <c r="AU11" i="6"/>
  <c r="AJ13" i="9"/>
  <c r="AD13" i="9"/>
  <c r="AG13" i="9"/>
  <c r="AK13" i="9"/>
  <c r="AS13" i="9"/>
  <c r="F13" i="6"/>
  <c r="AE13" i="9"/>
  <c r="AF13" i="9" s="1" a="1"/>
  <c r="AF13" i="9" s="1"/>
  <c r="V35" i="13" s="1"/>
  <c r="AJ10" i="9"/>
  <c r="AD10" i="9"/>
  <c r="F10" i="6"/>
  <c r="AS10" i="9"/>
  <c r="AE10" i="9"/>
  <c r="AF10" i="9" s="1" a="1"/>
  <c r="AF10" i="9" s="1"/>
  <c r="V32" i="13" s="1"/>
  <c r="AG10" i="9"/>
  <c r="AK10" i="9"/>
  <c r="U34" i="13"/>
  <c r="AQ12" i="6"/>
  <c r="AY12" i="6" s="1"/>
  <c r="M12" i="6" s="1" a="1"/>
  <c r="M12" i="6" s="1"/>
  <c r="V12" i="6" s="1"/>
  <c r="AU12" i="6"/>
  <c r="AO12" i="6"/>
  <c r="J32" i="4"/>
  <c r="AJ5" i="9"/>
  <c r="AD5" i="9"/>
  <c r="AG5" i="9"/>
  <c r="F5" i="6"/>
  <c r="AE5" i="9"/>
  <c r="AF5" i="9" s="1" a="1"/>
  <c r="AF5" i="9" s="1"/>
  <c r="AS5" i="9"/>
  <c r="AK5" i="9"/>
  <c r="AL25" i="4"/>
  <c r="AL26" i="4"/>
  <c r="AJ8" i="9"/>
  <c r="AD8" i="9"/>
  <c r="AG8" i="9"/>
  <c r="F8" i="6"/>
  <c r="AE8" i="9"/>
  <c r="AF8" i="9" s="1" a="1"/>
  <c r="AF8" i="9" s="1"/>
  <c r="V30" i="13" s="1"/>
  <c r="AS8" i="9"/>
  <c r="AK8" i="9"/>
  <c r="AJ9" i="9"/>
  <c r="AD9" i="9"/>
  <c r="AE9" i="9"/>
  <c r="AF9" i="9" s="1" a="1"/>
  <c r="AF9" i="9" s="1"/>
  <c r="V31" i="13" s="1"/>
  <c r="AK9" i="9"/>
  <c r="AS9" i="9"/>
  <c r="F9" i="6"/>
  <c r="AG9" i="9"/>
  <c r="AJ6" i="9"/>
  <c r="AD6" i="9"/>
  <c r="AE6" i="9"/>
  <c r="AF6" i="9" s="1" a="1"/>
  <c r="AF6" i="9" s="1"/>
  <c r="V28" i="13" s="1"/>
  <c r="AK6" i="9"/>
  <c r="AG6" i="9"/>
  <c r="F6" i="6"/>
  <c r="AS6" i="9"/>
  <c r="AM7" i="9" l="1"/>
  <c r="AN7" i="9" s="1"/>
  <c r="AO7" i="6"/>
  <c r="AQ7" i="6"/>
  <c r="AY7" i="6" s="1"/>
  <c r="M7" i="6" s="1" a="1"/>
  <c r="M7" i="6" s="1"/>
  <c r="V7" i="6" s="1"/>
  <c r="AU7" i="6"/>
  <c r="AP12" i="9"/>
  <c r="AR12" i="9" s="1"/>
  <c r="J34" i="4"/>
  <c r="AL10" i="9"/>
  <c r="AM10" i="9" s="1"/>
  <c r="AL13" i="9"/>
  <c r="AM13" i="9" s="1"/>
  <c r="AL6" i="9"/>
  <c r="AM6" i="9" s="1"/>
  <c r="AL9" i="9"/>
  <c r="AM9" i="9" s="1"/>
  <c r="R25" i="4" a="1"/>
  <c r="R25" i="4" s="1"/>
  <c r="AD25" i="4" s="1"/>
  <c r="K25" i="4" a="1"/>
  <c r="K25" i="4" s="1"/>
  <c r="W25" i="4" s="1"/>
  <c r="P26" i="4" a="1"/>
  <c r="P26" i="4" s="1"/>
  <c r="J26" i="4" a="1"/>
  <c r="J26" i="4" s="1"/>
  <c r="V26" i="4" s="1"/>
  <c r="Q25" i="4" a="1"/>
  <c r="Q25" i="4" s="1"/>
  <c r="AC25" i="4" s="1"/>
  <c r="S23" i="4" a="1"/>
  <c r="S23" i="4" s="1"/>
  <c r="I25" i="4" a="1"/>
  <c r="I25" i="4" s="1"/>
  <c r="U25" i="4" s="1"/>
  <c r="N26" i="4" a="1"/>
  <c r="N26" i="4" s="1"/>
  <c r="O25" i="4" a="1"/>
  <c r="O25" i="4" s="1"/>
  <c r="AA25" i="4" s="1"/>
  <c r="L23" i="4" a="1"/>
  <c r="L23" i="4" s="1"/>
  <c r="O23" i="4" a="1"/>
  <c r="O23" i="4" s="1"/>
  <c r="N23" i="4" a="1"/>
  <c r="N23" i="4" s="1"/>
  <c r="H25" i="4" a="1"/>
  <c r="H25" i="4" s="1"/>
  <c r="S26" i="4" a="1"/>
  <c r="S26" i="4" s="1"/>
  <c r="AE26" i="4" s="1"/>
  <c r="O26" i="4" a="1"/>
  <c r="O26" i="4" s="1"/>
  <c r="AA26" i="4" s="1"/>
  <c r="J23" i="4" a="1"/>
  <c r="J23" i="4" s="1"/>
  <c r="P25" i="4" a="1"/>
  <c r="P25" i="4" s="1"/>
  <c r="L26" i="4" a="1"/>
  <c r="L26" i="4" s="1"/>
  <c r="X26" i="4" s="1"/>
  <c r="R23" i="4" a="1"/>
  <c r="R23" i="4" s="1"/>
  <c r="M23" i="4" a="1"/>
  <c r="M23" i="4" s="1"/>
  <c r="H26" i="4" a="1"/>
  <c r="H26" i="4" s="1"/>
  <c r="V27" i="13"/>
  <c r="M25" i="4" a="1"/>
  <c r="M25" i="4" s="1"/>
  <c r="Y25" i="4" s="1"/>
  <c r="J25" i="4" a="1"/>
  <c r="J25" i="4" s="1"/>
  <c r="V25" i="4" s="1"/>
  <c r="K26" i="4" a="1"/>
  <c r="K26" i="4" s="1"/>
  <c r="W26" i="4" s="1"/>
  <c r="L25" i="4" a="1"/>
  <c r="L25" i="4" s="1"/>
  <c r="X25" i="4" s="1"/>
  <c r="I23" i="4" a="1"/>
  <c r="I23" i="4" s="1"/>
  <c r="I26" i="4" a="1"/>
  <c r="I26" i="4" s="1"/>
  <c r="U26" i="4" s="1"/>
  <c r="P23" i="4" a="1"/>
  <c r="P23" i="4" s="1"/>
  <c r="N25" i="4" a="1"/>
  <c r="N25" i="4" s="1"/>
  <c r="H23" i="4" a="1"/>
  <c r="H23" i="4" s="1"/>
  <c r="M26" i="4" a="1"/>
  <c r="M26" i="4" s="1"/>
  <c r="Y26" i="4" s="1"/>
  <c r="S25" i="4" a="1"/>
  <c r="S25" i="4" s="1"/>
  <c r="AE25" i="4" s="1"/>
  <c r="Q23" i="4" a="1"/>
  <c r="Q23" i="4" s="1"/>
  <c r="R26" i="4" a="1"/>
  <c r="R26" i="4" s="1"/>
  <c r="AD26" i="4" s="1"/>
  <c r="Q26" i="4" a="1"/>
  <c r="Q26" i="4" s="1"/>
  <c r="AC26" i="4" s="1"/>
  <c r="K23" i="4" a="1"/>
  <c r="K23" i="4" s="1"/>
  <c r="AO6" i="6"/>
  <c r="AQ6" i="6"/>
  <c r="AY6" i="6" s="1"/>
  <c r="M6" i="6" s="1" a="1"/>
  <c r="M6" i="6" s="1"/>
  <c r="V6" i="6" s="1"/>
  <c r="AU6" i="6"/>
  <c r="U28" i="13"/>
  <c r="AU9" i="6"/>
  <c r="AQ9" i="6"/>
  <c r="AY9" i="6" s="1"/>
  <c r="M9" i="6" s="1" a="1"/>
  <c r="M9" i="6" s="1"/>
  <c r="V9" i="6" s="1"/>
  <c r="AO9" i="6"/>
  <c r="U31" i="13"/>
  <c r="AQ5" i="6"/>
  <c r="AY5" i="6" s="1"/>
  <c r="M5" i="6" s="1" a="1"/>
  <c r="M5" i="6" s="1"/>
  <c r="V5" i="6" s="1"/>
  <c r="AU5" i="6"/>
  <c r="U27" i="13"/>
  <c r="AO5" i="6"/>
  <c r="AO10" i="6"/>
  <c r="U32" i="13"/>
  <c r="AU10" i="6"/>
  <c r="AQ10" i="6"/>
  <c r="AY10" i="6" s="1"/>
  <c r="M10" i="6" s="1" a="1"/>
  <c r="M10" i="6" s="1"/>
  <c r="V10" i="6" s="1"/>
  <c r="AQ14" i="6"/>
  <c r="AY14" i="6" s="1"/>
  <c r="M14" i="6" s="1" a="1"/>
  <c r="M14" i="6" s="1"/>
  <c r="V14" i="6" s="1"/>
  <c r="AO14" i="6"/>
  <c r="U36" i="13"/>
  <c r="AU14" i="6"/>
  <c r="AL5" i="9"/>
  <c r="AM5" i="9" s="1"/>
  <c r="AO13" i="6"/>
  <c r="AU13" i="6"/>
  <c r="U35" i="13"/>
  <c r="AQ13" i="6"/>
  <c r="AY13" i="6" s="1"/>
  <c r="M13" i="6" s="1" a="1"/>
  <c r="M13" i="6" s="1"/>
  <c r="V13" i="6" s="1"/>
  <c r="AN11" i="9"/>
  <c r="AO11" i="9" s="1"/>
  <c r="AL14" i="9"/>
  <c r="AM14" i="9" s="1"/>
  <c r="AU8" i="6"/>
  <c r="AQ8" i="6"/>
  <c r="AY8" i="6" s="1"/>
  <c r="M8" i="6" s="1" a="1"/>
  <c r="M8" i="6" s="1"/>
  <c r="V8" i="6" s="1"/>
  <c r="U30" i="13"/>
  <c r="AO8" i="6"/>
  <c r="AL8" i="9"/>
  <c r="AO7" i="9" l="1"/>
  <c r="AP7" i="9" s="1"/>
  <c r="AR7" i="9" s="1"/>
  <c r="AN9" i="9"/>
  <c r="AO9" i="9" s="1"/>
  <c r="AN6" i="9"/>
  <c r="AO6" i="9" s="1"/>
  <c r="B8" i="4"/>
  <c r="AN10" i="9"/>
  <c r="AO10" i="9" s="1"/>
  <c r="V24" i="4"/>
  <c r="J24" i="4"/>
  <c r="V23" i="4"/>
  <c r="V28" i="4" s="1"/>
  <c r="E23" i="4"/>
  <c r="E24" i="4" s="1"/>
  <c r="H24" i="4"/>
  <c r="Z25" i="4"/>
  <c r="AH25" i="4" s="1"/>
  <c r="F25" i="4"/>
  <c r="AE23" i="4"/>
  <c r="AE28" i="4" s="1"/>
  <c r="S24" i="4"/>
  <c r="AE24" i="4"/>
  <c r="AN5" i="9"/>
  <c r="AO5" i="9" s="1"/>
  <c r="W23" i="4"/>
  <c r="W28" i="4" s="1"/>
  <c r="W24" i="4"/>
  <c r="K24" i="4"/>
  <c r="AB23" i="4"/>
  <c r="AB28" i="4" s="1"/>
  <c r="P24" i="4"/>
  <c r="G23" i="4"/>
  <c r="G24" i="4" s="1"/>
  <c r="AB24" i="4"/>
  <c r="D32" i="4"/>
  <c r="T26" i="4"/>
  <c r="E26" i="4"/>
  <c r="D31" i="4"/>
  <c r="F31" i="4" s="1"/>
  <c r="E25" i="4"/>
  <c r="T25" i="4"/>
  <c r="AG25" i="4"/>
  <c r="Z26" i="4"/>
  <c r="AH26" i="4" s="1"/>
  <c r="F26" i="4"/>
  <c r="AM8" i="9"/>
  <c r="Y24" i="4"/>
  <c r="Y23" i="4"/>
  <c r="Y28" i="4" s="1"/>
  <c r="M24" i="4"/>
  <c r="Z23" i="4"/>
  <c r="Z28" i="4" s="1"/>
  <c r="F23" i="4"/>
  <c r="F24" i="4" s="1"/>
  <c r="Z24" i="4"/>
  <c r="N24" i="4"/>
  <c r="AG26" i="4"/>
  <c r="AN14" i="9"/>
  <c r="AO14" i="9" s="1"/>
  <c r="AD24" i="4"/>
  <c r="AD23" i="4"/>
  <c r="AD28" i="4" s="1"/>
  <c r="R24" i="4"/>
  <c r="G26" i="4"/>
  <c r="AB26" i="4"/>
  <c r="AI26" i="4" s="1"/>
  <c r="C40" i="4"/>
  <c r="U23" i="4"/>
  <c r="I24" i="4"/>
  <c r="T23" i="4"/>
  <c r="AA23" i="4"/>
  <c r="AA28" i="4" s="1"/>
  <c r="O24" i="4"/>
  <c r="AA24" i="4"/>
  <c r="Q24" i="4"/>
  <c r="AC24" i="4"/>
  <c r="AC23" i="4"/>
  <c r="AC28" i="4" s="1"/>
  <c r="X23" i="4"/>
  <c r="X28" i="4" s="1"/>
  <c r="L24" i="4"/>
  <c r="X24" i="4"/>
  <c r="AQ12" i="9"/>
  <c r="AT12" i="9" s="1"/>
  <c r="AP11" i="9"/>
  <c r="AR11" i="9" s="1"/>
  <c r="AB25" i="4"/>
  <c r="AI25" i="4" s="1"/>
  <c r="G25" i="4"/>
  <c r="AN13" i="9"/>
  <c r="AO13" i="9" s="1"/>
  <c r="AQ11" i="9" l="1"/>
  <c r="AT11" i="9" s="1"/>
  <c r="AH24" i="4"/>
  <c r="U44" i="13" s="1"/>
  <c r="U45" i="13" s="1"/>
  <c r="I32" i="4"/>
  <c r="I34" i="4" s="1"/>
  <c r="AP13" i="9"/>
  <c r="AR13" i="9" s="1"/>
  <c r="AP10" i="9"/>
  <c r="AR10" i="9" s="1"/>
  <c r="AP14" i="9"/>
  <c r="AQ14" i="9" s="1"/>
  <c r="AT14" i="9" s="1"/>
  <c r="AP5" i="9"/>
  <c r="AR5" i="9" s="1"/>
  <c r="AP9" i="9"/>
  <c r="AR9" i="9" s="1"/>
  <c r="F32" i="4"/>
  <c r="D33" i="4" s="1"/>
  <c r="I37" i="4"/>
  <c r="AI24" i="4"/>
  <c r="V44" i="13" s="1"/>
  <c r="V45" i="13" s="1"/>
  <c r="U28" i="4"/>
  <c r="U24" i="4"/>
  <c r="F8" i="4"/>
  <c r="AQ7" i="9"/>
  <c r="AT7" i="9" s="1"/>
  <c r="H31" i="4"/>
  <c r="AF25" i="4"/>
  <c r="AH9" i="9"/>
  <c r="AI9" i="9" s="1"/>
  <c r="AH8" i="9"/>
  <c r="AI8" i="9" s="1"/>
  <c r="AH14" i="9"/>
  <c r="AI14" i="9" s="1"/>
  <c r="AH6" i="9"/>
  <c r="AI6" i="9" s="1"/>
  <c r="AH5" i="9"/>
  <c r="AI5" i="9" s="1"/>
  <c r="AH7" i="9"/>
  <c r="AI7" i="9" s="1"/>
  <c r="AH12" i="9"/>
  <c r="AI12" i="9" s="1"/>
  <c r="AH11" i="9"/>
  <c r="AI11" i="9" s="1"/>
  <c r="AH13" i="9"/>
  <c r="AI13" i="9" s="1"/>
  <c r="AH10" i="9"/>
  <c r="AI10" i="9" s="1"/>
  <c r="AN8" i="9"/>
  <c r="AO8" i="9" s="1"/>
  <c r="AP6" i="9"/>
  <c r="AR6" i="9" s="1"/>
  <c r="H32" i="4"/>
  <c r="AF26" i="4"/>
  <c r="I31" i="4"/>
  <c r="T24" i="4"/>
  <c r="H37" i="4"/>
  <c r="AG24" i="4"/>
  <c r="T44" i="13" s="1"/>
  <c r="T45" i="13" s="1"/>
  <c r="AQ5" i="9" l="1"/>
  <c r="AT5" i="9" s="1"/>
  <c r="AR14" i="9"/>
  <c r="AQ13" i="9"/>
  <c r="AT13" i="9" s="1"/>
  <c r="AQ6" i="9"/>
  <c r="AT6" i="9" s="1"/>
  <c r="AP8" i="9"/>
  <c r="AQ8" i="9" s="1"/>
  <c r="AT8" i="9" s="1"/>
  <c r="AQ10" i="9"/>
  <c r="AT10" i="9" s="1"/>
  <c r="I39" i="4"/>
  <c r="I38" i="4"/>
  <c r="H39" i="4"/>
  <c r="H38" i="4"/>
  <c r="F33" i="4"/>
  <c r="C33" i="4"/>
  <c r="B33" i="4"/>
  <c r="E33" i="4"/>
  <c r="E28" i="13" a="1"/>
  <c r="E28" i="13" s="1"/>
  <c r="G37" i="4"/>
  <c r="AA5" i="9"/>
  <c r="AB5" i="9" s="1"/>
  <c r="AR5" i="6" s="1"/>
  <c r="AA6" i="9"/>
  <c r="AB6" i="9" s="1"/>
  <c r="AR6" i="6" s="1"/>
  <c r="AA11" i="9"/>
  <c r="AB11" i="9" s="1"/>
  <c r="AR11" i="6" s="1"/>
  <c r="T27" i="4" a="1"/>
  <c r="T27" i="4" s="1"/>
  <c r="T28" i="4" s="1"/>
  <c r="AA9" i="9"/>
  <c r="AB9" i="9" s="1"/>
  <c r="AR9" i="6" s="1"/>
  <c r="AA7" i="9"/>
  <c r="AB7" i="9" s="1"/>
  <c r="AR7" i="6" s="1"/>
  <c r="AF24" i="4"/>
  <c r="S44" i="13" s="1"/>
  <c r="S45" i="13" s="1"/>
  <c r="AA12" i="9"/>
  <c r="AB12" i="9" s="1"/>
  <c r="AR12" i="6" s="1"/>
  <c r="AA14" i="9"/>
  <c r="AB14" i="9" s="1"/>
  <c r="AR14" i="6" s="1"/>
  <c r="AA10" i="9"/>
  <c r="AB10" i="9" s="1"/>
  <c r="AR10" i="6" s="1"/>
  <c r="AA13" i="9"/>
  <c r="AB13" i="9" s="1"/>
  <c r="AR13" i="6" s="1"/>
  <c r="AA8" i="9"/>
  <c r="AB8" i="9" s="1"/>
  <c r="AR8" i="6" s="1"/>
  <c r="AQ9" i="9"/>
  <c r="AT9" i="9" s="1"/>
  <c r="K32" i="4"/>
  <c r="H33" i="4" s="1"/>
  <c r="H34" i="4"/>
  <c r="K31" i="4"/>
  <c r="AR8" i="9" l="1"/>
  <c r="K33" i="4"/>
  <c r="G33" i="4"/>
  <c r="J33" i="4"/>
  <c r="I33" i="4"/>
  <c r="C37" i="4"/>
  <c r="C38" i="4" s="1"/>
  <c r="J37" i="4"/>
  <c r="G38" i="4"/>
  <c r="J38" i="4" s="1"/>
  <c r="F28" i="13" a="1"/>
  <c r="F28" i="13" s="1"/>
  <c r="G28" i="13" a="1"/>
  <c r="G28" i="13" s="1"/>
  <c r="D28" i="13" a="1"/>
  <c r="D28" i="13" s="1"/>
  <c r="AT8" i="6"/>
  <c r="AV8" i="6" s="1"/>
  <c r="AT6" i="6"/>
  <c r="AV6" i="6" s="1"/>
  <c r="AT7" i="6"/>
  <c r="AV7" i="6" s="1"/>
  <c r="AT9" i="6"/>
  <c r="AV9" i="6" s="1"/>
  <c r="AT12" i="6"/>
  <c r="AV12" i="6" s="1"/>
  <c r="AT11" i="6"/>
  <c r="AV11" i="6" s="1"/>
  <c r="AT5" i="6"/>
  <c r="AV5" i="6" s="1"/>
  <c r="AT13" i="6"/>
  <c r="AV13" i="6" s="1"/>
  <c r="AT14" i="6"/>
  <c r="AV14" i="6" s="1"/>
  <c r="AT10" i="6"/>
  <c r="AV10" i="6" s="1"/>
  <c r="J39" i="4" l="1"/>
  <c r="BC12" i="6" s="1"/>
  <c r="AW7" i="6"/>
  <c r="AX7" i="6"/>
  <c r="AX10" i="6"/>
  <c r="AW10" i="6"/>
  <c r="AX8" i="6"/>
  <c r="AW8" i="6"/>
  <c r="F42" i="13"/>
  <c r="C39" i="4"/>
  <c r="C41" i="4" s="1"/>
  <c r="AW6" i="6"/>
  <c r="AX6" i="6"/>
  <c r="AX14" i="6"/>
  <c r="AW14" i="6"/>
  <c r="AX11" i="6"/>
  <c r="AW11" i="6"/>
  <c r="AX12" i="6"/>
  <c r="AW12" i="6"/>
  <c r="AW13" i="6"/>
  <c r="AX13" i="6"/>
  <c r="AX5" i="6"/>
  <c r="AW5" i="6"/>
  <c r="AX9" i="6"/>
  <c r="AW9" i="6"/>
  <c r="G39" i="4"/>
  <c r="BC9" i="6" l="1"/>
  <c r="BC6" i="6"/>
  <c r="BC7" i="6"/>
  <c r="BC11" i="6"/>
  <c r="BC10" i="6"/>
  <c r="BC5" i="6"/>
  <c r="BC8" i="6"/>
  <c r="BC13" i="6"/>
  <c r="BC14" i="6"/>
  <c r="BB14" i="6"/>
  <c r="BB5" i="6"/>
  <c r="BB8" i="6"/>
  <c r="BB13" i="6"/>
  <c r="BB12" i="6"/>
  <c r="BD12" i="6" s="1"/>
  <c r="BB9" i="6"/>
  <c r="BB6" i="6"/>
  <c r="BB7" i="6"/>
  <c r="BB11" i="6"/>
  <c r="BB10" i="6"/>
  <c r="BD10" i="6" l="1"/>
  <c r="BE10" i="6" s="1"/>
  <c r="W10" i="6" s="1" a="1"/>
  <c r="W10" i="6" s="1"/>
  <c r="BD11" i="6"/>
  <c r="BE11" i="6" s="1"/>
  <c r="BD6" i="6"/>
  <c r="BE6" i="6" s="1"/>
  <c r="W6" i="6" s="1" a="1"/>
  <c r="W6" i="6" s="1"/>
  <c r="BD7" i="6"/>
  <c r="BE7" i="6" s="1"/>
  <c r="W7" i="6" s="1" a="1"/>
  <c r="W7" i="6" s="1"/>
  <c r="BD9" i="6"/>
  <c r="BE9" i="6" s="1"/>
  <c r="BD14" i="6"/>
  <c r="BE14" i="6" s="1"/>
  <c r="BD5" i="6"/>
  <c r="BD13" i="6"/>
  <c r="BE13" i="6" s="1"/>
  <c r="BD8" i="6"/>
  <c r="BE12" i="6"/>
  <c r="W12" i="6" s="1" a="1"/>
  <c r="W12" i="6" s="1"/>
  <c r="W11" i="6" l="1" a="1"/>
  <c r="W11" i="6" s="1"/>
  <c r="W14" i="6" a="1"/>
  <c r="W14" i="6" s="1"/>
  <c r="W9" i="6" a="1"/>
  <c r="W9" i="6" s="1"/>
  <c r="BE5" i="6"/>
  <c r="W5" i="6" s="1" a="1"/>
  <c r="W5" i="6" s="1"/>
  <c r="W13" i="6" a="1"/>
  <c r="W13" i="6" s="1"/>
  <c r="BE8" i="6"/>
  <c r="W8" i="6" s="1" a="1"/>
  <c r="W8" i="6" s="1"/>
  <c r="B9" i="4" l="1"/>
  <c r="B13" i="4" s="1"/>
  <c r="F9" i="4" l="1"/>
  <c r="F13" i="4" s="1"/>
  <c r="G14" i="4" s="1"/>
  <c r="G15" i="4" s="1"/>
  <c r="G16" i="4" s="1"/>
  <c r="C14" i="4"/>
  <c r="C15" i="4" s="1"/>
  <c r="C16" i="4" s="1"/>
  <c r="B18" i="4"/>
  <c r="B14" i="4"/>
  <c r="B15" i="4" s="1"/>
  <c r="B16" i="4" s="1"/>
  <c r="F14" i="4" l="1"/>
  <c r="F15" i="4" s="1"/>
  <c r="F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Julien McTighe</author>
  </authors>
  <commentList>
    <comment ref="I5" authorId="0" shapeId="0" xr:uid="{A7D745F8-AD77-46B5-B0E1-3F537611F467}">
      <text>
        <r>
          <rPr>
            <b/>
            <sz val="9"/>
            <color indexed="81"/>
            <rFont val="Tahoma"/>
            <family val="2"/>
          </rPr>
          <t>Julien McTighe:</t>
        </r>
        <r>
          <rPr>
            <sz val="9"/>
            <color indexed="81"/>
            <rFont val="Tahoma"/>
            <family val="2"/>
          </rPr>
          <t xml:space="preserve">
Size Large mit Verbrauch / Batteriegrösse entsprechend BFE TCO Studie Kategorie SUV</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<sst xmlns="http://schemas.openxmlformats.org/spreadsheetml/2006/main" count="1327" uniqueCount="636">
  <si>
    <t>Flotte</t>
  </si>
  <si>
    <t>Segment A</t>
  </si>
  <si>
    <t>Energiekosten</t>
  </si>
  <si>
    <t>Anzahl Fahrzeuge</t>
  </si>
  <si>
    <t>CHF/l</t>
  </si>
  <si>
    <t>Einsatzart</t>
  </si>
  <si>
    <t>Durchschnittliche Stromkosten Wohnort</t>
  </si>
  <si>
    <t>CHF/kWh</t>
  </si>
  <si>
    <t>Einsatzgebiet</t>
  </si>
  <si>
    <t>Durchschnittliche Stromkosten Firmenstandort</t>
  </si>
  <si>
    <t>Fahrzeuggrösse</t>
  </si>
  <si>
    <t>Mittelklasse</t>
  </si>
  <si>
    <t>kW</t>
  </si>
  <si>
    <t>l/100 km</t>
  </si>
  <si>
    <t>kWh/100 km</t>
  </si>
  <si>
    <t>kWh</t>
  </si>
  <si>
    <t>kVA</t>
  </si>
  <si>
    <t>Nutzungsmuster</t>
  </si>
  <si>
    <t>Anzahl Arbeitstage pro Jahr</t>
  </si>
  <si>
    <t>Anzahl Einsätze pro Tag</t>
  </si>
  <si>
    <t>Anzahl Pausen pro Tag</t>
  </si>
  <si>
    <t>Stunden</t>
  </si>
  <si>
    <t>Laufzeit</t>
  </si>
  <si>
    <t>Monate</t>
  </si>
  <si>
    <t>CHF</t>
  </si>
  <si>
    <t>CHF/km</t>
  </si>
  <si>
    <t>Segment B</t>
  </si>
  <si>
    <t>Segment C</t>
  </si>
  <si>
    <t>Segment D</t>
  </si>
  <si>
    <t>Segment E</t>
  </si>
  <si>
    <t>Segment F</t>
  </si>
  <si>
    <t>Segment G</t>
  </si>
  <si>
    <t>Segment H</t>
  </si>
  <si>
    <t>Segment I</t>
  </si>
  <si>
    <t>Segment J</t>
  </si>
  <si>
    <t>Fahrzeug-grösse</t>
  </si>
  <si>
    <t>Total</t>
  </si>
  <si>
    <t>Wohnort</t>
  </si>
  <si>
    <t>Ladepunkte</t>
  </si>
  <si>
    <t>-</t>
  </si>
  <si>
    <t>CHF / km</t>
  </si>
  <si>
    <t>1)</t>
  </si>
  <si>
    <t>2.1)</t>
  </si>
  <si>
    <t>3)</t>
  </si>
  <si>
    <t>Gesamte Flotte</t>
  </si>
  <si>
    <t>Treibstoffkosten</t>
  </si>
  <si>
    <t>Stromkosten (öffentlich)</t>
  </si>
  <si>
    <t>Ladegeräte</t>
  </si>
  <si>
    <t>Max. Ladeleistung pro Ladepunkt (Wohnort)</t>
  </si>
  <si>
    <t>Max. Ladeleistung pro Ladepunkt (Firmenstandort, AC)</t>
  </si>
  <si>
    <t>Max. Ladeleistung pro Ladepunkt (Firmenstandort, DC)</t>
  </si>
  <si>
    <t>Anschlusskapazität (Firmenstandort, heute)</t>
  </si>
  <si>
    <t>Fahrzeuge pro Ladepunkt (Wohnort, AC)</t>
  </si>
  <si>
    <t>Fahrzeuge pro Ladepunkt (Firmenstandort, AC)</t>
  </si>
  <si>
    <t>2.2)</t>
  </si>
  <si>
    <t>2.3)</t>
  </si>
  <si>
    <t>2.4)</t>
  </si>
  <si>
    <t>2.5)</t>
  </si>
  <si>
    <t>2.6)</t>
  </si>
  <si>
    <t>2.7)</t>
  </si>
  <si>
    <t>2.8)</t>
  </si>
  <si>
    <t>2.9)</t>
  </si>
  <si>
    <t>2.10)</t>
  </si>
  <si>
    <t>… davon Poolfahrzeug</t>
  </si>
  <si>
    <t>… davon Dienstfahrzeuge</t>
  </si>
  <si>
    <t>Laden am Wohnort möglich?</t>
  </si>
  <si>
    <t>Batteriekapazität (nutzbar)</t>
  </si>
  <si>
    <t>Energieverbrauch (E-Fahrzeug)</t>
  </si>
  <si>
    <t>Treibstoffverbrauch (Verbrenner)</t>
  </si>
  <si>
    <t>Ø Fahrleistung während der Arbeitszeit</t>
  </si>
  <si>
    <t>Ø Pendeldistanz (Hin- und Rückfahrt)</t>
  </si>
  <si>
    <t>Ø Standzeit pro Pause</t>
  </si>
  <si>
    <t>Ø Standzeit über Nacht</t>
  </si>
  <si>
    <t>Fahrzeuge pro Ladepunkt</t>
  </si>
  <si>
    <t>Anschaffung (E-Fahrzeug, netto)</t>
  </si>
  <si>
    <t>Anschaffung (Verbrenner, netto)</t>
  </si>
  <si>
    <t>Zinssatz</t>
  </si>
  <si>
    <t>Wartungs- und Betriebskosten (Verbrenner)</t>
  </si>
  <si>
    <t>Restwert (Verbrenner)</t>
  </si>
  <si>
    <t>Wartungs- und Betriebskosten (E-Fzg.)</t>
  </si>
  <si>
    <t>Restwert (E-Fzg.)</t>
  </si>
  <si>
    <t>Running Sums (above)</t>
  </si>
  <si>
    <t>User</t>
  </si>
  <si>
    <t>Einsatzzweck</t>
  </si>
  <si>
    <t>Ladeleistung (pro LP)</t>
  </si>
  <si>
    <t>Heimladen</t>
  </si>
  <si>
    <t>Default Werte</t>
  </si>
  <si>
    <t>Aussendienst</t>
  </si>
  <si>
    <t>Kleinwagen</t>
  </si>
  <si>
    <t>Compact</t>
  </si>
  <si>
    <t>AC</t>
  </si>
  <si>
    <t>Eigene Eingaben</t>
  </si>
  <si>
    <t>Lieferdienst</t>
  </si>
  <si>
    <t>Medium</t>
  </si>
  <si>
    <t>Oberklasse</t>
  </si>
  <si>
    <t>Large</t>
  </si>
  <si>
    <t>DC</t>
  </si>
  <si>
    <t>SUV</t>
  </si>
  <si>
    <t>Defaultwerte werden von Dropdownauswahl beeinflusst</t>
  </si>
  <si>
    <t>Ø Fahrleistung während der Arbeitszeit (km)</t>
  </si>
  <si>
    <t>Anzahl Werktage</t>
  </si>
  <si>
    <t>Standzeit (übernacht)</t>
  </si>
  <si>
    <t>Anzahl Fzg pro LP</t>
  </si>
  <si>
    <t>wird ausgeblendet ?</t>
  </si>
  <si>
    <t>Fahrzeugtyp</t>
  </si>
  <si>
    <t>Technische Details</t>
  </si>
  <si>
    <t>Fahrleistung</t>
  </si>
  <si>
    <t>Ladekonzept</t>
  </si>
  <si>
    <t>E-Fahrzeug</t>
  </si>
  <si>
    <t>Verbrenner</t>
  </si>
  <si>
    <t>Used?</t>
  </si>
  <si>
    <t>Anzahl Fahrzeug</t>
  </si>
  <si>
    <t>Pool-fahrzeug</t>
  </si>
  <si>
    <t>Dienst-fahrzeug</t>
  </si>
  <si>
    <t>Fahrzeug-grösse Index</t>
  </si>
  <si>
    <t>Batterie-kapazität (nutzbar)</t>
  </si>
  <si>
    <t>Energie-verbrauch</t>
  </si>
  <si>
    <t>Anschaffungs-kosten</t>
  </si>
  <si>
    <t>Restwert</t>
  </si>
  <si>
    <t>Endwert</t>
  </si>
  <si>
    <t>Unterhalts-kosten</t>
  </si>
  <si>
    <t>Treibstoff-verbrauch</t>
  </si>
  <si>
    <t>Fahrleistung während der Arbeit</t>
  </si>
  <si>
    <t>Pendeldistanz  (Hin- und Rückfahrt)</t>
  </si>
  <si>
    <t>Tägliche Fahrleistung</t>
  </si>
  <si>
    <t>Jährliche Fahrleistung</t>
  </si>
  <si>
    <t>Fahrleistung während der Nutzungsdauer</t>
  </si>
  <si>
    <t>Anzahl Einsätze</t>
  </si>
  <si>
    <t>Anzahl Pausen vor 1. Einsatz</t>
  </si>
  <si>
    <t>Anzahl Pausen am Firmen-standort (tagsüber)</t>
  </si>
  <si>
    <t>Anzahl Pausen nach letzter Einsatz</t>
  </si>
  <si>
    <t>Standzeit pro Pause</t>
  </si>
  <si>
    <t>Standzeit am Firmen-standort (tagsüber)</t>
  </si>
  <si>
    <t>Standzeit (über Nacht)</t>
  </si>
  <si>
    <t>Laden am Wohnort (über Nacht) möglich</t>
  </si>
  <si>
    <t>Laden am Firmen-standort (über Nacht) möglich</t>
  </si>
  <si>
    <t>Fahrzeuge pro Ladepunkt, Firmenstandort (tagsüber)</t>
  </si>
  <si>
    <t>Segment</t>
  </si>
  <si>
    <t>%</t>
  </si>
  <si>
    <t>km</t>
  </si>
  <si>
    <t>pro Tag</t>
  </si>
  <si>
    <t>Stunden/Tag</t>
  </si>
  <si>
    <t>Segment 1</t>
  </si>
  <si>
    <t>Segment 2</t>
  </si>
  <si>
    <t>Segment 3</t>
  </si>
  <si>
    <t>Segment 4</t>
  </si>
  <si>
    <t>Segment 5</t>
  </si>
  <si>
    <t>Segment 6</t>
  </si>
  <si>
    <t>Segment 7</t>
  </si>
  <si>
    <t>Segment 8</t>
  </si>
  <si>
    <t>Segment 9</t>
  </si>
  <si>
    <t>Segment 10</t>
  </si>
  <si>
    <t>Arbeitsblatt wird ausgeblendet</t>
  </si>
  <si>
    <t>Quelle: SIA 2060</t>
  </si>
  <si>
    <t>Verbrauch</t>
  </si>
  <si>
    <t>Trips</t>
  </si>
  <si>
    <t>Max. Energiemenge (inkl. Verlust Fzg -&gt; Batterie)</t>
  </si>
  <si>
    <t>öffentliches Laden</t>
  </si>
  <si>
    <t>Wohnort / Firmenstandort Laden</t>
  </si>
  <si>
    <t>LIS Wohnort</t>
  </si>
  <si>
    <t>Ladeinfrastruktur Firmenstandort</t>
  </si>
  <si>
    <t>Check</t>
  </si>
  <si>
    <t>In Use?</t>
  </si>
  <si>
    <t>Verbrauch (Arbeitszeit)</t>
  </si>
  <si>
    <t>Verbrauch (Arbeitszeit, pro Einsatz)</t>
  </si>
  <si>
    <t>Verbrauch (Pendeln, einfache Fahrt)</t>
  </si>
  <si>
    <t>Pendeln</t>
  </si>
  <si>
    <t>Einsätze</t>
  </si>
  <si>
    <t>Firmenstandort (über Nacht)</t>
  </si>
  <si>
    <t>Firmenstandort (tagsüber, pro Pause)</t>
  </si>
  <si>
    <t>Firmenstandort (tagsüber, total)</t>
  </si>
  <si>
    <t>öffentlich (fehlende Reichweite)</t>
  </si>
  <si>
    <t>öffentlich (Ladeleistung begrenzt)</t>
  </si>
  <si>
    <t>öffentlich (total)</t>
  </si>
  <si>
    <t>öffentliches Laden nötig</t>
  </si>
  <si>
    <t>Anzahl LP (Wohnort)</t>
  </si>
  <si>
    <t>Fzg pro LP (über Nacht)</t>
  </si>
  <si>
    <t>Anzahl LP (über Nacht)</t>
  </si>
  <si>
    <t>Ø Nennleistung (über Nacht)</t>
  </si>
  <si>
    <t>Gleichzeitigkeits-faktor (über Nacht)</t>
  </si>
  <si>
    <t>Anschlussleistung (über Nacht)</t>
  </si>
  <si>
    <t>Fzg pro LP (tagsüber)</t>
  </si>
  <si>
    <t>Anzahl LP (tagsüber)</t>
  </si>
  <si>
    <t>Ø Nennleistung (tagsüber)</t>
  </si>
  <si>
    <t>Gerundete Nenn-leistung (tagsüber)</t>
  </si>
  <si>
    <t>Ladevorgänge (tagsüber)</t>
  </si>
  <si>
    <t>Gleichzeitigkeits-faktor (tagsüber)</t>
  </si>
  <si>
    <t>Anschlussleistung (tagsüber)</t>
  </si>
  <si>
    <t>Batterie Stand Tagesbeginn</t>
  </si>
  <si>
    <t>öffentlich (Pendeln)</t>
  </si>
  <si>
    <t>Batterie Stand vor 1. Einsatz</t>
  </si>
  <si>
    <t>öffentlich (Andere Einsätze)</t>
  </si>
  <si>
    <t>Batterie Stand vor letzter Einsatz</t>
  </si>
  <si>
    <t>Batterie Stand Tagesende</t>
  </si>
  <si>
    <t>CHECK öff. Ladebedarf</t>
  </si>
  <si>
    <t>CHECK Ladebedarf</t>
  </si>
  <si>
    <t>CHECK Stand Tagesende</t>
  </si>
  <si>
    <t>kWh/Tag</t>
  </si>
  <si>
    <t>Kosten</t>
  </si>
  <si>
    <t>E-Fzg</t>
  </si>
  <si>
    <t>Leasing</t>
  </si>
  <si>
    <t>Ladeinfrastruktur</t>
  </si>
  <si>
    <t>Energiebedarf (inkl. Verluste)</t>
  </si>
  <si>
    <t>Anteil Wohnort</t>
  </si>
  <si>
    <t>Anteil Firmenstandort</t>
  </si>
  <si>
    <t>Anteil öffentlich</t>
  </si>
  <si>
    <t>Unterhaltskosten</t>
  </si>
  <si>
    <t>Flottenverwaltungskosten</t>
  </si>
  <si>
    <t>Versicherung</t>
  </si>
  <si>
    <t>Reifen</t>
  </si>
  <si>
    <t>Anschaffung</t>
  </si>
  <si>
    <t>Anschaffung abzgl. Restwert</t>
  </si>
  <si>
    <t>Unterhalt</t>
  </si>
  <si>
    <t>Infrastruktur</t>
  </si>
  <si>
    <t>Anschaffungskosten</t>
  </si>
  <si>
    <t>Ladeinfrastruktur (Wohnort)</t>
  </si>
  <si>
    <t>Ladeinfrastruktur (Firmenstandort)</t>
  </si>
  <si>
    <t>Installierte Ladeleistung (Wohnort)</t>
  </si>
  <si>
    <t>Installierte Ladeleistung (Firmenstandort)</t>
  </si>
  <si>
    <t>Anschlussleistung (Firmenstandort)</t>
  </si>
  <si>
    <t>Ladeinfrastruktur Anschaffung</t>
  </si>
  <si>
    <t>Ladeinfrastruktur Restwert</t>
  </si>
  <si>
    <t>Ladeinfrastruktur Unterhalt</t>
  </si>
  <si>
    <t>Ladeanschluss Stromtarif Auswirkung</t>
  </si>
  <si>
    <t>Ladeanschluss (Wohnort)</t>
  </si>
  <si>
    <t>Ausbaustufe C1-C2 (Wohnort)</t>
  </si>
  <si>
    <t>Ladeanschluss (Firmenstandort)</t>
  </si>
  <si>
    <t>Ausbaustufe C1-C2 (Firmenstandort)</t>
  </si>
  <si>
    <t>Basisinfrastruktur</t>
  </si>
  <si>
    <t>Basisinfrastruktur Restwert</t>
  </si>
  <si>
    <t>kWh/Jahr</t>
  </si>
  <si>
    <t>l/Tag</t>
  </si>
  <si>
    <t>l/Jahr</t>
  </si>
  <si>
    <t>Jahren</t>
  </si>
  <si>
    <t>CHF/Jahr</t>
  </si>
  <si>
    <t>Lebensdauer</t>
  </si>
  <si>
    <t>Lebensfahrleistung</t>
  </si>
  <si>
    <t>Direct</t>
  </si>
  <si>
    <t>Direct NonExhaust</t>
  </si>
  <si>
    <t>Energy Chain</t>
  </si>
  <si>
    <t>Maintenance</t>
  </si>
  <si>
    <t>Vehicle</t>
  </si>
  <si>
    <t>End-Of-Life</t>
  </si>
  <si>
    <t>Infrastructure</t>
  </si>
  <si>
    <t>Sum</t>
  </si>
  <si>
    <t>g CO2-eq./vkm</t>
  </si>
  <si>
    <t>Fahrzeug Annahmen</t>
  </si>
  <si>
    <t>*Umweltrechner Verkehr</t>
  </si>
  <si>
    <t>Batteriekapazität, netto (kWh)</t>
  </si>
  <si>
    <t>Batteriekapazität, nutzbar (kWh)</t>
  </si>
  <si>
    <t>Verbrauch (kWh/100 km)</t>
  </si>
  <si>
    <t>Lebensfahrleistung (km)</t>
  </si>
  <si>
    <t>Anschaffungskosten Faktor</t>
  </si>
  <si>
    <t>Anschaffungskosten (CHF)</t>
  </si>
  <si>
    <t>Reifen (CHF/Jahr)</t>
  </si>
  <si>
    <t>Service/Unterhalt (CHF/Jahr)</t>
  </si>
  <si>
    <t xml:space="preserve">Δ Restwert </t>
  </si>
  <si>
    <t>Personenwagen</t>
  </si>
  <si>
    <t>BEV</t>
  </si>
  <si>
    <t>Passenger carBEVCompact</t>
  </si>
  <si>
    <t>Passenger carBEVMedium</t>
  </si>
  <si>
    <t>Passenger carBEVLarge</t>
  </si>
  <si>
    <t>Passenger carBEVSUV</t>
  </si>
  <si>
    <t>Verbrauchskatalog</t>
  </si>
  <si>
    <t>Umweltrechner Verkehr</t>
  </si>
  <si>
    <t>sffv</t>
  </si>
  <si>
    <t>BFE TCO Studie</t>
  </si>
  <si>
    <t>news.admin.ch/de/nsb?id=93890</t>
  </si>
  <si>
    <t>Bsp. 20‘000km/p.a. 48 Mt. LZ</t>
  </si>
  <si>
    <t>Verbrauch (l/100 km)</t>
  </si>
  <si>
    <t>ICEV-p</t>
  </si>
  <si>
    <t>Passenger carICEV-pCompact</t>
  </si>
  <si>
    <t>Passenger carICEV-pMedium</t>
  </si>
  <si>
    <t>Passenger carICEV-pLarge</t>
  </si>
  <si>
    <t>Passenger carICEV-pSUV</t>
  </si>
  <si>
    <t>E-Fahrzeug &amp; Verbrenner</t>
  </si>
  <si>
    <t>Versicherung (CHF/Jahr)</t>
  </si>
  <si>
    <t>Flottenverwaltung (CHF/Jahr)</t>
  </si>
  <si>
    <t>Rabatt E-Fzg</t>
  </si>
  <si>
    <t>Rabatt Verbrenner</t>
  </si>
  <si>
    <t>Ladeinfrastruktur Annahmen</t>
  </si>
  <si>
    <t>Kosten pro Ladepunkt</t>
  </si>
  <si>
    <t>*Basisdaten (aus 4018a)</t>
  </si>
  <si>
    <t>Annahme 2x LP pro LS</t>
  </si>
  <si>
    <t>Ladepunkt Leistung</t>
  </si>
  <si>
    <t>Kosten pro LP</t>
  </si>
  <si>
    <t>Ladestation Leistung</t>
  </si>
  <si>
    <t>Typ</t>
  </si>
  <si>
    <t>[kW]</t>
  </si>
  <si>
    <t>Ladestation mit 2 LP</t>
  </si>
  <si>
    <t>Installation pro LS</t>
  </si>
  <si>
    <t>Gesamttotal</t>
  </si>
  <si>
    <t>Gesamttotal pro LP</t>
  </si>
  <si>
    <t>Sonstige Annahmen</t>
  </si>
  <si>
    <t>Quelle:</t>
  </si>
  <si>
    <t>Ladeinfrastruktur in Mietobjekten</t>
  </si>
  <si>
    <t>78059.pdf</t>
  </si>
  <si>
    <t>Unterhaltkosten (pro Jahr)</t>
  </si>
  <si>
    <t>(als % of LP-Anschaffungskosten)</t>
  </si>
  <si>
    <t>Wirkungsgrad</t>
  </si>
  <si>
    <t>(Stromnetz --&gt; Fahrzeug)</t>
  </si>
  <si>
    <t>4018a</t>
  </si>
  <si>
    <t>Ladeverluste beim Elektroauto: So viel geht beim Laden verloren</t>
  </si>
  <si>
    <t>swisscharge</t>
  </si>
  <si>
    <t>(Fahrzeug --&gt; Batterie)</t>
  </si>
  <si>
    <t>Netzanschluss</t>
  </si>
  <si>
    <t>Fixkosten</t>
  </si>
  <si>
    <t>Variablekosten</t>
  </si>
  <si>
    <t>CHF/kVA</t>
  </si>
  <si>
    <t>CHF/LP</t>
  </si>
  <si>
    <t>Stromtarif (Variable)</t>
  </si>
  <si>
    <t>CHF/kW / Monat</t>
  </si>
  <si>
    <t>Stromtarife – Niedertarife &amp; Hochtarife in Zürich &amp; Graubünden</t>
  </si>
  <si>
    <t>Fahrzeugkosten</t>
  </si>
  <si>
    <t>Fahrzeug Restwert (Verbrenner)</t>
  </si>
  <si>
    <t>Kilometer</t>
  </si>
  <si>
    <t>Berechnet, TCO Studie und Umweltrechner Verkehr</t>
  </si>
  <si>
    <t>Batteriegrösse (brutto, kWh)</t>
  </si>
  <si>
    <t>Batteriegrösse (netto, kWh)</t>
  </si>
  <si>
    <t>name</t>
  </si>
  <si>
    <t>type</t>
  </si>
  <si>
    <t>subtype</t>
  </si>
  <si>
    <t>powertrain</t>
  </si>
  <si>
    <t>description</t>
  </si>
  <si>
    <t>further_description</t>
  </si>
  <si>
    <t>speed</t>
  </si>
  <si>
    <t>powerClass</t>
  </si>
  <si>
    <t>size</t>
  </si>
  <si>
    <t>geography</t>
  </si>
  <si>
    <t>trafficCharacteristics</t>
  </si>
  <si>
    <t>year</t>
  </si>
  <si>
    <t>emissionStandard</t>
  </si>
  <si>
    <t>id</t>
  </si>
  <si>
    <t>amount [FU]</t>
  </si>
  <si>
    <t>functionalUnit</t>
  </si>
  <si>
    <t>lifetimeKilometers [km]</t>
  </si>
  <si>
    <t>kilometersPerYear [km/a]</t>
  </si>
  <si>
    <t>passengers</t>
  </si>
  <si>
    <t>cargoMass [kg]</t>
  </si>
  <si>
    <t>fuelConsumption [l/100km] / [kg/100km]</t>
  </si>
  <si>
    <t>electricityConsumption [kWh/100km]</t>
  </si>
  <si>
    <t>electricEnergyStored [kWh]</t>
  </si>
  <si>
    <t>batteryLifetimeReplacements</t>
  </si>
  <si>
    <t>fuelCellLifetimeReplacements</t>
  </si>
  <si>
    <t>batteryChemistry</t>
  </si>
  <si>
    <t>fuelBlend</t>
  </si>
  <si>
    <t>electricityMix</t>
  </si>
  <si>
    <t>gwp100a_direct_[g]</t>
  </si>
  <si>
    <t>gwp100a_directNonExhaust_[g]</t>
  </si>
  <si>
    <t>gwp100a_energyChain_[g]</t>
  </si>
  <si>
    <t>gwp100a_maintenance_[g]</t>
  </si>
  <si>
    <t>gwp100a_vehicle_[g]</t>
  </si>
  <si>
    <t>gwp100a_endOfLife_[g]</t>
  </si>
  <si>
    <t>gwp100a_infrastructure_[g]</t>
  </si>
  <si>
    <t>primaryEnergy_direct_[kWh]</t>
  </si>
  <si>
    <t>primaryEnergy_directNonExhaust_[kWh]</t>
  </si>
  <si>
    <t>primaryEnergy_energyChain_[kWh]</t>
  </si>
  <si>
    <t>primaryEnergy_maintenance_[kWh]</t>
  </si>
  <si>
    <t>primaryEnergy_vehicle_[kWh]</t>
  </si>
  <si>
    <t>primaryEnergy_endOfLife_[kWh]</t>
  </si>
  <si>
    <t>primaryEnergy_infrastructure_[kWh]</t>
  </si>
  <si>
    <t>ubp21_direct_[UBP21]</t>
  </si>
  <si>
    <t>ubp21_directNonExhaust_[UBP21]</t>
  </si>
  <si>
    <t>ubp21_energyChain_[UBP21]</t>
  </si>
  <si>
    <t>ubp21_maintenance_[UBP21]</t>
  </si>
  <si>
    <t>ubp21_vehicle_[UBP21]</t>
  </si>
  <si>
    <t>ubp21_endOfLife_[UBP21]</t>
  </si>
  <si>
    <t>ubp21_infrastructure_[UBP21]</t>
  </si>
  <si>
    <t>primaryEnergyNonRenewable_direct_[kWh]</t>
  </si>
  <si>
    <t>primaryEnergyNonRenewable_directNonExhaust_[kWh]</t>
  </si>
  <si>
    <t>primaryEnergyNonRenewable_energyChain_[kWh]</t>
  </si>
  <si>
    <t>primaryEnergyNonRenewable_maintenance_[kWh]</t>
  </si>
  <si>
    <t>primaryEnergyNonRenewable_vehicle_[kWh]</t>
  </si>
  <si>
    <t>primaryEnergyNonRenewable_endOfLife_[kWh]</t>
  </si>
  <si>
    <t>primaryEnergyNonRenewable_infrastructure_[kWh]</t>
  </si>
  <si>
    <t>pm10_direct_[mg]</t>
  </si>
  <si>
    <t>pm10_directNonExhaust_[mg]</t>
  </si>
  <si>
    <t>pm10_energyChain_[mg]</t>
  </si>
  <si>
    <t>pm10_maintenance_[mg]</t>
  </si>
  <si>
    <t>pm10_vehicle_[mg]</t>
  </si>
  <si>
    <t>pm10_endOfLife_[mg]</t>
  </si>
  <si>
    <t>pm10_infrastructure_[mg]</t>
  </si>
  <si>
    <t>pm25_direct_[mg]</t>
  </si>
  <si>
    <t>pm25_directNonExhaust_[mg]</t>
  </si>
  <si>
    <t>pm25_energyChain_[mg]</t>
  </si>
  <si>
    <t>pm25_maintenance_[mg]</t>
  </si>
  <si>
    <t>pm25_vehicle_[mg]</t>
  </si>
  <si>
    <t>pm25_endOfLife_[mg]</t>
  </si>
  <si>
    <t>pm25_infrastructure_[mg]</t>
  </si>
  <si>
    <t>nmvoc_direct_[mg]</t>
  </si>
  <si>
    <t>nmvoc_directNonExhaust_[mg]</t>
  </si>
  <si>
    <t>nmvoc_energyChain_[mg]</t>
  </si>
  <si>
    <t>nmvoc_maintenance_[mg]</t>
  </si>
  <si>
    <t>nmvoc_vehicle_[mg]</t>
  </si>
  <si>
    <t>nmvoc_endOfLife_[mg]</t>
  </si>
  <si>
    <t>nmvoc_infrastructure_[mg]</t>
  </si>
  <si>
    <t>nox_direct_[mg]</t>
  </si>
  <si>
    <t>nox_directNonExhaust_[mg]</t>
  </si>
  <si>
    <t>nox_energyChain_[mg]</t>
  </si>
  <si>
    <t>nox_maintenance_[mg]</t>
  </si>
  <si>
    <t>nox_vehicle_[mg]</t>
  </si>
  <si>
    <t>nox_endOfLife_[mg]</t>
  </si>
  <si>
    <t>nox_infrastructure_[mg]</t>
  </si>
  <si>
    <t>Auto 1</t>
  </si>
  <si>
    <t>Passenger car</t>
  </si>
  <si>
    <t>CH</t>
  </si>
  <si>
    <t>bc8f7ada-7cc7-47ca-bfa1-6d387acdd391</t>
  </si>
  <si>
    <t>vkm</t>
  </si>
  <si>
    <t>NMC</t>
  </si>
  <si>
    <t>CONSUMER_PHYSICAL</t>
  </si>
  <si>
    <t>Auto 2</t>
  </si>
  <si>
    <t>f64694d8-7e95-4124-98d9-7e8e0529474a</t>
  </si>
  <si>
    <t>Auto 3</t>
  </si>
  <si>
    <t>0c5ceda5-8251-49da-a005-50cba01fe861</t>
  </si>
  <si>
    <t>Auto 4</t>
  </si>
  <si>
    <t>Auto 5</t>
  </si>
  <si>
    <t>EURO-6 d</t>
  </si>
  <si>
    <t>bf07ba4d-b321-4a0f-aa13-abb6fb28d877</t>
  </si>
  <si>
    <t>GASOLINE_AVERAGE</t>
  </si>
  <si>
    <t>Auto 6</t>
  </si>
  <si>
    <t>7503459a-8c38-4445-a247-08df1e94dfbc</t>
  </si>
  <si>
    <t>Auto 7</t>
  </si>
  <si>
    <t>75f459e8-4fbf-492c-a835-1949b2490afc</t>
  </si>
  <si>
    <t>Auto 8</t>
  </si>
  <si>
    <t>NBW (CHF)</t>
  </si>
  <si>
    <t>NBW (CHF/vkm)</t>
  </si>
  <si>
    <t>NBW</t>
  </si>
  <si>
    <t>Mehrkosten</t>
  </si>
  <si>
    <t>Wohnort (AC)</t>
  </si>
  <si>
    <t>Firmenstandort (tagsüber)</t>
  </si>
  <si>
    <t>Firmenstandort (AC)</t>
  </si>
  <si>
    <t>Leistung (kW)</t>
  </si>
  <si>
    <t>≤ 100</t>
  </si>
  <si>
    <t>≤ 150</t>
  </si>
  <si>
    <t>&gt; 150</t>
  </si>
  <si>
    <t>≤ 22</t>
  </si>
  <si>
    <t>22-80</t>
  </si>
  <si>
    <t>80-150</t>
  </si>
  <si>
    <t>kWh pro Tag</t>
  </si>
  <si>
    <t>kWh pro Jahr</t>
  </si>
  <si>
    <t>Investitionskosten (CHF)</t>
  </si>
  <si>
    <t>Investitionskosten (CHF/LP)</t>
  </si>
  <si>
    <t>Anteil</t>
  </si>
  <si>
    <t>kWh pro Jahr (Grafik)</t>
  </si>
  <si>
    <t>Anschlussleistung (pro Standort)</t>
  </si>
  <si>
    <t>Basisinfrastruktur (pro Standort)</t>
  </si>
  <si>
    <t>Total (kW)</t>
  </si>
  <si>
    <t>Total (LP)</t>
  </si>
  <si>
    <t>Erhöhung (kW)</t>
  </si>
  <si>
    <t>Stromtarif (effektiv)</t>
  </si>
  <si>
    <t>Investitionskosten (CHF/kW total)</t>
  </si>
  <si>
    <t>LCA</t>
  </si>
  <si>
    <t>GWP100 (kg CO2-eq)</t>
  </si>
  <si>
    <t>GWP100 (g CO2-eq / vkm)</t>
  </si>
  <si>
    <t>Einsparrung über Lebensdauer</t>
  </si>
  <si>
    <t>BEV ggu. Verbrenner</t>
  </si>
  <si>
    <t>Direkte Emissionen</t>
  </si>
  <si>
    <r>
      <t xml:space="preserve">Firmenstandort (DC, </t>
    </r>
    <r>
      <rPr>
        <sz val="11"/>
        <color theme="1"/>
        <rFont val="Aptos Narrow"/>
        <family val="2"/>
      </rPr>
      <t>≥</t>
    </r>
    <r>
      <rPr>
        <sz val="11"/>
        <color theme="1"/>
        <rFont val="Arial"/>
        <family val="2"/>
        <scheme val="minor"/>
      </rPr>
      <t>150 kW)</t>
    </r>
  </si>
  <si>
    <t>Firmenstandort (DC, &lt;150 kW)</t>
  </si>
  <si>
    <t>Firmenstandort, &lt; 50 kW</t>
  </si>
  <si>
    <t>Firmenstandort, 50 - 150 kW</t>
  </si>
  <si>
    <t>Firmenstandort, &gt; 150 kW</t>
  </si>
  <si>
    <t>Firmenstandort, alle</t>
  </si>
  <si>
    <t>Anzahl (unrounded)</t>
  </si>
  <si>
    <t>Anzahl (rounded)</t>
  </si>
  <si>
    <t>Gerundete Nennleistung (über Nacht)</t>
  </si>
  <si>
    <t>Ladeinfrastruktur (Firmenstandort, Nacht)</t>
  </si>
  <si>
    <t>Ladeinfrastruktur (Firmenstandort, Tag)</t>
  </si>
  <si>
    <t>Correction Factor</t>
  </si>
  <si>
    <t>Saisie</t>
  </si>
  <si>
    <t>Champ de saisie obligatoire</t>
  </si>
  <si>
    <t>Champ de saisie optionnel</t>
  </si>
  <si>
    <t>Champ calculé</t>
  </si>
  <si>
    <t>Veuillez remplir ou sélectionner une option.</t>
  </si>
  <si>
    <t>Une valeur par défaut est affichée et peut être modifiée si nécessaire.</t>
  </si>
  <si>
    <t>La valeur est calculée et ne peut pas être modifiée.</t>
  </si>
  <si>
    <t>Structure de la flotte</t>
  </si>
  <si>
    <t>Nombre de segments</t>
  </si>
  <si>
    <t>Les segments de flotte sont classés selon différents types de véhicules ou profils de conduite et d’utilisation. Il est possible de définir au maximum 10 segments (A, B, C, etc.). Chaque segment doit être complété séparément ci-dessous.</t>
  </si>
  <si>
    <t>Structure des segments</t>
  </si>
  <si>
    <t>Nombre de véhicules</t>
  </si>
  <si>
    <t>Type d’utilisation</t>
  </si>
  <si>
    <t>Domaine d’utilisation</t>
  </si>
  <si>
    <t>Possibilité de recharge à domicile</t>
  </si>
  <si>
    <t>Indiquer si les véhicules peuvent être rechargés au domicile des utilisatrices et utilisateurs. Ne concerne que les véhicules de service. Les véhicules de pool ne sont jamais rechargés au domicile.</t>
  </si>
  <si>
    <t>Données du véhicule</t>
  </si>
  <si>
    <t>Taille du véhicule</t>
  </si>
  <si>
    <t>Consommation de carburant du véhicule thermique</t>
  </si>
  <si>
    <t>Consommation énergétique du véhicule électrique</t>
  </si>
  <si>
    <t>Capacité de la batterie (nette)</t>
  </si>
  <si>
    <t>Profil de conduite et d’utilisation (indication par véhicule)</t>
  </si>
  <si>
    <t>Modèle d’utilisation</t>
  </si>
  <si>
    <t>Nombre de jours de travail par an</t>
  </si>
  <si>
    <t>Distance parcourue pendant le temps de travail</t>
  </si>
  <si>
    <t>Distance domicile-travail (aller-retour)</t>
  </si>
  <si>
    <t>Nombre d’utilisations par jour</t>
  </si>
  <si>
    <t>Nombre de pauses par jour</t>
  </si>
  <si>
    <t>Durée d’immobilisation par pause sur le site de l’entreprise</t>
  </si>
  <si>
    <t>Durée d’immobilisation pendant la nuit</t>
  </si>
  <si>
    <t>Le modèle d’utilisation décrit l’intensité d’utilisation des véhicules pendant les heures de travail. Différentes valeurs standard sont adaptées en conséquence ci-dessous. L’outil ne tient pas compte de l’utilisation privée des véhicules de service.</t>
  </si>
  <si>
    <t>Coûts (indication par véhicule)</t>
  </si>
  <si>
    <t>Durée</t>
  </si>
  <si>
    <t>Taux d’intérêt du leasing</t>
  </si>
  <si>
    <t>Prix d’acquisition, rabais de flotte du véhicule thermique inclus</t>
  </si>
  <si>
    <t>Frais d’entretien et de réparation du véhicule thermique</t>
  </si>
  <si>
    <t>Valeur résiduelle du véhicule thermique</t>
  </si>
  <si>
    <t>Prix d’acquisition, rabais de flotte du véhicule électrique inclus</t>
  </si>
  <si>
    <t>Frais d’entretien et de réparation du véhicule électrique</t>
  </si>
  <si>
    <t>Valeur résiduelle du véhicule électrique</t>
  </si>
  <si>
    <t>Véhicules de pool</t>
  </si>
  <si>
    <t>Niveau régional</t>
  </si>
  <si>
    <t>Exploitation pendant les jours ouvrables</t>
  </si>
  <si>
    <t>Catégorie moyenne</t>
  </si>
  <si>
    <t>km/jour</t>
  </si>
  <si>
    <t>Heures</t>
  </si>
  <si>
    <t>Mois</t>
  </si>
  <si>
    <t>Coûts énergétiques et infrastructure de recharge (concerne tous les segments ou l’ensemble de la flotte)</t>
  </si>
  <si>
    <t>Coûts énergétiques</t>
  </si>
  <si>
    <t>Coûts moyens de carburant</t>
  </si>
  <si>
    <t>Coûts d’électricité moyens au domicile</t>
  </si>
  <si>
    <t>Coûts d’électricité moyens sur le site de l’entreprise</t>
  </si>
  <si>
    <t>Prix de recharge moyens aux points de recharge publics</t>
  </si>
  <si>
    <t>Infrastructure de recharge et raccordement au réseau</t>
  </si>
  <si>
    <t>Puissance de charge max. par point de recharge au domicile</t>
  </si>
  <si>
    <t>Puissance de charge max. par point de recharge sur le site de l’entreprise (CA)</t>
  </si>
  <si>
    <t>Puissance de charge max. par point de recharge sur le site de l’entreprise (CC)</t>
  </si>
  <si>
    <t>Puissance de raccordement sur le site de l’entreprise (actuellement disponible)</t>
  </si>
  <si>
    <t>Récapitulatif des données saisies</t>
  </si>
  <si>
    <t>Segments</t>
  </si>
  <si>
    <t>Distance annuelle parcourue (km)</t>
  </si>
  <si>
    <t>Temps de recharge pendant la nuit
(heures)</t>
  </si>
  <si>
    <t>Temps de recharge sur le site de l’entreprise pendant la journée (heures)</t>
  </si>
  <si>
    <t>Infrastructure de recharge nécessaire pour la flotte</t>
  </si>
  <si>
    <t>Points de recharge</t>
  </si>
  <si>
    <t>Nombre</t>
  </si>
  <si>
    <t>Puissance de charge (kW)</t>
  </si>
  <si>
    <t>CA/CC</t>
  </si>
  <si>
    <t>Besoins énergétiques par jour (kWh)</t>
  </si>
  <si>
    <t>public</t>
  </si>
  <si>
    <t>Domicile</t>
  </si>
  <si>
    <t>Site de l’entreprise</t>
  </si>
  <si>
    <t>Besoins énergétiques</t>
  </si>
  <si>
    <t>Infrastructure de base sur le site de l’entreprise</t>
  </si>
  <si>
    <t>Augmentation de la puissance du raccordement au réseau (kVA)</t>
  </si>
  <si>
    <t>Coûts totaux (Total Cost of Ownership, TCO) de la flotte</t>
  </si>
  <si>
    <t>Coûts supplémentaires indexés</t>
  </si>
  <si>
    <t>Émissions de gaz à effet de serre de la flotte</t>
  </si>
  <si>
    <t>Voitures compactes</t>
  </si>
  <si>
    <t>Catégorie supérieure</t>
  </si>
  <si>
    <t>Véhicule</t>
  </si>
  <si>
    <t>Motorisation</t>
  </si>
  <si>
    <t>Véhicule électrique</t>
  </si>
  <si>
    <t>Véhicule thermique</t>
  </si>
  <si>
    <t>Paramètres</t>
  </si>
  <si>
    <t>Capacité nette de la batterie (kWh)</t>
  </si>
  <si>
    <t>Capacité de la batterie utilisable (kWh)</t>
  </si>
  <si>
    <t>Consommation (kWh/100 km)</t>
  </si>
  <si>
    <t>Kilométrage parcouru (km)</t>
  </si>
  <si>
    <t>Consommation (l/100 km)</t>
  </si>
  <si>
    <t>Coûts d’acquisition hors rabais (CHF)</t>
  </si>
  <si>
    <t>Pneus (CHF/an)</t>
  </si>
  <si>
    <t>Service et réparation (CHF/an)</t>
  </si>
  <si>
    <t>Assurance (CHF/an)</t>
  </si>
  <si>
    <t>Gestion de flotte (CHF/an)</t>
  </si>
  <si>
    <t>Valeur</t>
  </si>
  <si>
    <t>Valeur résiduelle du véhicule</t>
  </si>
  <si>
    <t>Rabais de flotte à l’achat</t>
  </si>
  <si>
    <t>Source</t>
  </si>
  <si>
    <t>Hypothèse INFRAS</t>
  </si>
  <si>
    <t>Durée (mois)</t>
  </si>
  <si>
    <t>Infrastructure de recharge</t>
  </si>
  <si>
    <t>Coûts d’investissement, installation comprise (CHF/point de recharge)</t>
  </si>
  <si>
    <t>Puissance du point de recharge (kW)</t>
  </si>
  <si>
    <t>Durée de vie (années)</t>
  </si>
  <si>
    <t>Frais d’entretien (CHF/an)</t>
  </si>
  <si>
    <t>Infrastructure de base</t>
  </si>
  <si>
    <t>Coûts fixes de l’extension du raccordement au réseau (CHF)</t>
  </si>
  <si>
    <t>Coûts variables de l’extension du raccordement au réseau (CHF/kVA)</t>
  </si>
  <si>
    <t>Valeurs pratiques/hypothèse INFRAS</t>
  </si>
  <si>
    <t>Non</t>
  </si>
  <si>
    <t>Remarque: ces valeurs peuvent être transférées dans l’outil «Calculateur de coûts de l’infrastructure de recharge».</t>
  </si>
  <si>
    <t>Nombre de points de recharge</t>
  </si>
  <si>
    <t>Besoins énergétiques annuels par point de recharge (kWh)</t>
  </si>
  <si>
    <t>Émissions de gaz à effet de serre indexées</t>
  </si>
  <si>
    <t>Électricité</t>
  </si>
  <si>
    <t>Carburant</t>
  </si>
  <si>
    <t>Unité</t>
  </si>
  <si>
    <t>Véhicules de service</t>
  </si>
  <si>
    <t>Niveau national</t>
  </si>
  <si>
    <t>Niveau international</t>
  </si>
  <si>
    <t>Exploitation 24/7</t>
  </si>
  <si>
    <t>Travail par équipes</t>
  </si>
  <si>
    <t>Oui</t>
  </si>
  <si>
    <t>indépendamment du site</t>
  </si>
  <si>
    <t>Émissions d’échappement</t>
  </si>
  <si>
    <t>Approvisionnement en énergie</t>
  </si>
  <si>
    <t>Élimination du véhicule</t>
  </si>
  <si>
    <t>Infrastructure routière</t>
  </si>
  <si>
    <t>Site de l’entreprise CA</t>
  </si>
  <si>
    <t>Site de l’entreprise CC</t>
  </si>
  <si>
    <t>Les véhicules de pool sont utilisés exclusivement à des fins professionnelles et sont habituellement stationnés la nuit sur le site de l’entreprise.
Les véhicules de service sont utilisés par une ou plusieurs personnes à des fins professionnelles et privées et peuvent généralement aussi être employés pour se rendre au travail.</t>
  </si>
  <si>
    <t>Véhicules par point de recharge au domicile (pendant la nuit)</t>
  </si>
  <si>
    <t>Véhicules par point de recharge, site de l’entreprise (pendant la nuit)</t>
  </si>
  <si>
    <t>Véhicules par point de recharge, site de l’entreprise (pendant la journée)</t>
  </si>
  <si>
    <t>Site de l’entreprise 
(pendant la nuit)</t>
  </si>
  <si>
    <t>Infrastructure de recharge pour immeubles locatifs (OFEN)</t>
  </si>
  <si>
    <t>Coûts fixes phase d’extension C1–C2, &lt; 50 kW puissance de charge max. (CHF)</t>
  </si>
  <si>
    <t>Coûts fixes phase d’extension C1–C2, 50–150 kW puissance de charge max. (CHF)</t>
  </si>
  <si>
    <t>Coûts fixes phase d’extension C1–C2, &gt; 150 kW puissance de charge max. (CHF)</t>
  </si>
  <si>
    <t>Coûts variables phase d’extension C1–C2, point de charge AC (CHF/point de charge)</t>
  </si>
  <si>
    <t>Coûts variables phase d’extension C1–C2, point de charge DC (CHF/point de charge)</t>
  </si>
  <si>
    <t>Coûts totaux de possession des voitures de tourisme (OFEN)</t>
  </si>
  <si>
    <t>Catalogue de la consommation (OFEN)</t>
  </si>
  <si>
    <t>Calculateur environnemental transport (OFEN)</t>
  </si>
  <si>
    <t>Acquisition (déduction faite de la valeur résiduelle)</t>
  </si>
  <si>
    <t>Service et réparations</t>
  </si>
  <si>
    <t>Pneus</t>
  </si>
  <si>
    <t>Énergie</t>
  </si>
  <si>
    <t>Assurance</t>
  </si>
  <si>
    <t>Gestion de flotte</t>
  </si>
  <si>
    <t>11-22 kW
CA</t>
  </si>
  <si>
    <t>22-80 kW 
CC</t>
  </si>
  <si>
    <t>80-150 kW
CC</t>
  </si>
  <si>
    <t>&gt;150 kW 
CC</t>
  </si>
  <si>
    <t>Site de l’entreprise 
(pendant la journée)</t>
  </si>
  <si>
    <t>CA</t>
  </si>
  <si>
    <t>CC</t>
  </si>
  <si>
    <t>Remarque: les coûts sont calculés sur la base des valeurs nettes et se réfèrent à l’ensemble de la flotte.
Les principales hypothèses reposent sur les données du catalogue de la consommation [OFEN 2025], de l’étude Coûts totaux de possession des voitures de tourisme (TCO) [OFEN 2023], du guide Infrastructure de recharge pour immeubles locatifs [OFEN 2024], ainsi que sur des valeurs pratiques tirées de l’expérience d’INFRAS et de l’association suisse pour la mobilité sffv.</t>
  </si>
  <si>
    <t>Rendement (réseau électrique &gt; véhicule)</t>
  </si>
  <si>
    <t>Rendement (véhicule &gt; batterie)</t>
  </si>
  <si>
    <t>Remarque: l’impact climatique des émissions de gaz à effet de serre sur l’ensemble du cycle de vie du véhicule est converti en équivalents CO2 (éq.-CO2) à l’aide des données d’écobilan du calculateur environnemental Transport de SuisseEnergie. Les valeurs se rapportent à l’ensemble de la flotte. 
Les principales hypothèses reposent sur les données du catalogue consommation [OFEN 2025], de l’étude Coûts totaux de possession des voitures de tourisme (TCO) [OFEN 2023], du guide Infrastructure de recharge pour immeubles locatifs [OFEN 2024], ainsi que sur des valeurs pratiques tirées de l’expérience d’INFRAS et de l’association suisse pour la mobilité sffv.</t>
  </si>
  <si>
    <t>g éq.-CO2 / km</t>
  </si>
  <si>
    <t>kg éq.-CO2</t>
  </si>
  <si>
    <t>Points de recharge par segment</t>
  </si>
  <si>
    <t>Points de recharge et consommation énergétique sur le site de l’entreprise par classe de puissance</t>
  </si>
  <si>
    <t>Puissance de 
charge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</si>
</sst>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CHF&quot;\ #,##0.00;[Red]&quot;CHF&quot;\ \-#,##0.00"/>
    <numFmt numFmtId="164" formatCode="\+0%;\-0%;0%"/>
    <numFmt numFmtId="165" formatCode="0.000"/>
    <numFmt numFmtId="166" formatCode="0.0%"/>
    <numFmt numFmtId="167" formatCode="0.0"/>
    <numFmt numFmtId="168" formatCode="#,##0.0"/>
    <numFmt numFmtId="169" formatCode="#,##0.000"/>
    <numFmt numFmtId="170" formatCode="0.0;\-0.0;&quot;-&quot;;@"/>
    <numFmt numFmtId="171" formatCode="0;\-0;&quot;-&quot;;@"/>
  </numFmts>
  <fonts count="42" x14ac:knownFonts="1">
    <font>
      <sz val="11"/>
      <color theme="1"/>
      <name val="Arial"/>
      <family val="2"/>
      <scheme val="minor"/>
    </font>
    <font>
      <sz val="11"/>
      <color theme="1"/>
      <name val="Arial"/>
      <family val="2"/>
    </font>
    <font>
      <sz val="11"/>
      <color theme="1"/>
      <name val="Arial"/>
      <family val="2"/>
    </font>
    <font>
      <sz val="11"/>
      <color theme="1"/>
      <name val="Arial"/>
      <family val="2"/>
      <scheme val="minor"/>
    </font>
    <font>
      <b/>
      <sz val="11"/>
      <color theme="1"/>
      <name val="Arial"/>
      <family val="2"/>
      <scheme val="minor"/>
    </font>
    <font>
      <i/>
      <sz val="11"/>
      <color theme="1"/>
      <name val="Arial"/>
      <family val="2"/>
      <scheme val="minor"/>
    </font>
    <font>
      <sz val="8"/>
      <name val="Arial"/>
      <family val="2"/>
      <scheme val="minor"/>
    </font>
    <font>
      <u/>
      <sz val="11"/>
      <color theme="10"/>
      <name val="Arial"/>
      <family val="2"/>
      <scheme val="minor"/>
    </font>
    <font>
      <sz val="11"/>
      <color rgb="FFFF0000"/>
      <name val="Arial"/>
      <family val="2"/>
      <scheme val="minor"/>
    </font>
    <font>
      <sz val="11"/>
      <color theme="1"/>
      <name val="Aptos Narrow"/>
      <family val="2"/>
    </font>
    <font>
      <sz val="11"/>
      <color theme="1"/>
      <name val="Arial"/>
      <family val="2"/>
    </font>
    <font>
      <b/>
      <sz val="11"/>
      <color theme="1"/>
      <name val="Arial"/>
      <family val="2"/>
    </font>
    <font>
      <i/>
      <sz val="11"/>
      <color theme="1"/>
      <name val="Arial"/>
      <family val="2"/>
    </font>
    <font>
      <b/>
      <sz val="12"/>
      <color theme="1"/>
      <name val="Arial"/>
      <family val="2"/>
    </font>
    <font>
      <sz val="12"/>
      <color theme="1"/>
      <name val="Arial"/>
      <family val="2"/>
    </font>
    <font>
      <sz val="10"/>
      <color theme="1"/>
      <name val="Arial"/>
      <family val="2"/>
    </font>
    <font>
      <i/>
      <sz val="10"/>
      <color theme="1"/>
      <name val="Arial"/>
      <family val="2"/>
    </font>
    <font>
      <sz val="11"/>
      <name val="Arial"/>
      <family val="2"/>
    </font>
    <font>
      <i/>
      <sz val="11"/>
      <name val="Arial"/>
      <family val="2"/>
    </font>
    <font>
      <b/>
      <sz val="28"/>
      <color theme="1"/>
      <name val="Arial"/>
      <family val="2"/>
    </font>
    <font>
      <b/>
      <sz val="11"/>
      <color rgb="FFFF0000"/>
      <name val="Arial"/>
      <family val="2"/>
    </font>
    <font>
      <sz val="11"/>
      <color rgb="FFFF0000"/>
      <name val="Arial"/>
      <family val="2"/>
    </font>
    <font>
      <i/>
      <sz val="15"/>
      <color theme="1"/>
      <name val="Arial"/>
      <family val="2"/>
    </font>
    <font>
      <sz val="15"/>
      <color theme="1"/>
      <name val="Arial"/>
      <family val="2"/>
    </font>
    <font>
      <i/>
      <sz val="12"/>
      <color theme="1"/>
      <name val="Arial"/>
      <family val="2"/>
    </font>
    <font>
      <sz val="9"/>
      <color indexed="81"/>
      <name val="Tahoma"/>
      <family val="2"/>
    </font>
    <font>
      <b/>
      <sz val="9"/>
      <color indexed="81"/>
      <name val="Tahoma"/>
      <family val="2"/>
    </font>
    <font>
      <b/>
      <i/>
      <sz val="11"/>
      <color theme="1"/>
      <name val="Arial"/>
      <family val="2"/>
    </font>
    <font>
      <i/>
      <sz val="11"/>
      <color rgb="FFFF0000"/>
      <name val="Arial"/>
      <family val="2"/>
    </font>
    <font>
      <u/>
      <sz val="11"/>
      <color theme="10"/>
      <name val="Arial"/>
      <family val="2"/>
    </font>
    <font>
      <sz val="11"/>
      <color rgb="FFD85509"/>
      <name val="Arial"/>
      <family val="2"/>
    </font>
    <font>
      <sz val="11"/>
      <color indexed="8"/>
      <name val="Arial"/>
      <family val="2"/>
    </font>
    <font>
      <b/>
      <sz val="11"/>
      <color indexed="8"/>
      <name val="Arial"/>
      <family val="2"/>
    </font>
    <font>
      <b/>
      <sz val="11"/>
      <color theme="0"/>
      <name val="Arial"/>
      <family val="2"/>
    </font>
    <font>
      <b/>
      <sz val="12"/>
      <color theme="0"/>
      <name val="Arial"/>
      <family val="2"/>
    </font>
    <font>
      <sz val="12"/>
      <color theme="0"/>
      <name val="Arial"/>
      <family val="2"/>
    </font>
    <font>
      <sz val="11"/>
      <color theme="0"/>
      <name val="Arial"/>
      <family val="2"/>
    </font>
    <font>
      <b/>
      <sz val="14"/>
      <color theme="0"/>
      <name val="Arial"/>
      <family val="2"/>
    </font>
    <font>
      <b/>
      <sz val="16"/>
      <color theme="0"/>
      <name val="Arial"/>
      <family val="2"/>
    </font>
    <font>
      <b/>
      <sz val="11"/>
      <name val="Arial"/>
      <family val="2"/>
    </font>
    <font>
      <i/>
      <sz val="8"/>
      <color theme="1"/>
      <name val="Arial"/>
      <family val="2"/>
    </font>
    <font>
      <sz val="11"/>
      <color theme="8"/>
      <name val="Arial"/>
      <family val="2"/>
    </font>
  </fonts>
  <fills count="23">
    <fill>
      <patternFill patternType="none"/>
    </fill>
    <fill>
      <patternFill patternType="gray125"/>
    </fill>
    <fill>
      <patternFill patternType="solid">
        <fgColor theme="5" tint="0.79998168889431442"/>
        <bgColor indexed="64"/>
      </patternFill>
    </fill>
    <fill>
      <patternFill patternType="solid">
        <fgColor rgb="FFF2B992"/>
        <bgColor indexed="64"/>
      </patternFill>
    </fill>
    <fill>
      <patternFill patternType="solid">
        <fgColor rgb="FFEECC72"/>
        <bgColor indexed="64"/>
      </patternFill>
    </fill>
    <fill>
      <patternFill patternType="solid">
        <fgColor rgb="FFF8E7BF"/>
        <bgColor indexed="64"/>
      </patternFill>
    </fill>
    <fill>
      <patternFill patternType="solid">
        <fgColor theme="0"/>
        <bgColor indexed="64"/>
      </patternFill>
    </fill>
    <fill>
      <patternFill patternType="solid">
        <fgColor rgb="FFC0CBE3"/>
        <bgColor indexed="64"/>
      </patternFill>
    </fill>
    <fill>
      <patternFill patternType="solid">
        <fgColor rgb="FFDEE8C8"/>
        <bgColor indexed="64"/>
      </patternFill>
    </fill>
    <fill>
      <patternFill patternType="solid">
        <fgColor rgb="FFF4DB9E"/>
        <bgColor indexed="64"/>
      </patternFill>
    </fill>
    <fill>
      <patternFill patternType="solid">
        <fgColor rgb="FFB1CB76"/>
        <bgColor indexed="64"/>
      </patternFill>
    </fill>
    <fill>
      <patternFill patternType="solid">
        <fgColor rgb="FFC7D9A0"/>
        <bgColor indexed="64"/>
      </patternFill>
    </fill>
    <fill>
      <patternFill patternType="solid">
        <fgColor rgb="FF5D83B3"/>
        <bgColor indexed="64"/>
      </patternFill>
    </fill>
    <fill>
      <patternFill patternType="solid">
        <fgColor rgb="FF8FA4CA"/>
        <bgColor indexed="64"/>
      </patternFill>
    </fill>
    <fill>
      <patternFill patternType="solid">
        <fgColor rgb="FFD0D0D0"/>
        <bgColor indexed="64"/>
      </patternFill>
    </fill>
    <fill>
      <patternFill patternType="solid">
        <fgColor rgb="FFEDEDED"/>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3"/>
        <bgColor indexed="64"/>
      </patternFill>
    </fill>
    <fill>
      <patternFill patternType="solid">
        <fgColor theme="3" tint="0.79998168889431442"/>
        <bgColor indexed="64"/>
      </patternFill>
    </fill>
    <fill>
      <patternFill patternType="solid">
        <fgColor rgb="FFEAC6DE"/>
        <bgColor indexed="64"/>
      </patternFill>
    </fill>
    <fill>
      <patternFill patternType="solid">
        <fgColor theme="2"/>
        <bgColor indexed="64"/>
      </patternFill>
    </fill>
    <fill>
      <patternFill patternType="solid">
        <fgColor theme="0" tint="-0.14999847407452621"/>
        <bgColor indexed="64"/>
      </patternFill>
    </fill>
  </fills>
  <borders count="5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right style="dashed">
        <color indexed="64"/>
      </right>
      <top/>
      <bottom/>
      <diagonal/>
    </border>
    <border>
      <left/>
      <right style="medium">
        <color indexed="64"/>
      </right>
      <top/>
      <bottom/>
      <diagonal/>
    </border>
    <border>
      <left style="medium">
        <color indexed="64"/>
      </left>
      <right/>
      <top/>
      <bottom/>
      <diagonal/>
    </border>
    <border>
      <left style="medium">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thin">
        <color rgb="FFA8A8A8"/>
      </bottom>
      <diagonal/>
    </border>
    <border>
      <left/>
      <right style="medium">
        <color indexed="64"/>
      </right>
      <top style="thin">
        <color rgb="FFA8A8A8"/>
      </top>
      <bottom style="thin">
        <color rgb="FFA8A8A8"/>
      </bottom>
      <diagonal/>
    </border>
    <border>
      <left style="medium">
        <color indexed="64"/>
      </left>
      <right style="dashed">
        <color indexed="64"/>
      </right>
      <top style="thin">
        <color rgb="FFA8A8A8"/>
      </top>
      <bottom style="thin">
        <color rgb="FFA8A8A8"/>
      </bottom>
      <diagonal/>
    </border>
    <border>
      <left style="dashed">
        <color indexed="64"/>
      </left>
      <right style="dashed">
        <color indexed="64"/>
      </right>
      <top style="thin">
        <color rgb="FFA8A8A8"/>
      </top>
      <bottom style="thin">
        <color rgb="FFA8A8A8"/>
      </bottom>
      <diagonal/>
    </border>
    <border>
      <left style="dashed">
        <color indexed="64"/>
      </left>
      <right style="medium">
        <color indexed="64"/>
      </right>
      <top style="thin">
        <color rgb="FFA8A8A8"/>
      </top>
      <bottom style="thin">
        <color rgb="FFA8A8A8"/>
      </bottom>
      <diagonal/>
    </border>
    <border>
      <left style="dashed">
        <color indexed="64"/>
      </left>
      <right style="thin">
        <color indexed="64"/>
      </right>
      <top style="thin">
        <color rgb="FFA8A8A8"/>
      </top>
      <bottom style="thin">
        <color rgb="FFA8A8A8"/>
      </bottom>
      <diagonal/>
    </border>
    <border>
      <left/>
      <right style="dashed">
        <color indexed="64"/>
      </right>
      <top style="thin">
        <color rgb="FFA8A8A8"/>
      </top>
      <bottom style="thin">
        <color rgb="FFA8A8A8"/>
      </bottom>
      <diagonal/>
    </border>
    <border>
      <left/>
      <right style="thin">
        <color indexed="64"/>
      </right>
      <top style="thin">
        <color indexed="64"/>
      </top>
      <bottom style="thin">
        <color rgb="FFA8A8A8"/>
      </bottom>
      <diagonal/>
    </border>
    <border>
      <left/>
      <right/>
      <top style="thin">
        <color indexed="64"/>
      </top>
      <bottom style="thin">
        <color rgb="FFA8A8A8"/>
      </bottom>
      <diagonal/>
    </border>
    <border>
      <left/>
      <right style="thin">
        <color indexed="64"/>
      </right>
      <top style="thin">
        <color rgb="FFA8A8A8"/>
      </top>
      <bottom style="thin">
        <color rgb="FFA8A8A8"/>
      </bottom>
      <diagonal/>
    </border>
    <border>
      <left/>
      <right/>
      <top style="thin">
        <color rgb="FFA8A8A8"/>
      </top>
      <bottom style="thin">
        <color rgb="FFA8A8A8"/>
      </bottom>
      <diagonal/>
    </border>
    <border>
      <left style="dashed">
        <color indexed="64"/>
      </left>
      <right style="thin">
        <color theme="0" tint="-0.499984740745262"/>
      </right>
      <top style="thin">
        <color rgb="FFA8A8A8"/>
      </top>
      <bottom style="thin">
        <color rgb="FFA8A8A8"/>
      </bottom>
      <diagonal/>
    </border>
    <border>
      <left style="thin">
        <color theme="0" tint="-0.499984740745262"/>
      </left>
      <right style="dashed">
        <color indexed="64"/>
      </right>
      <top style="thin">
        <color rgb="FFA8A8A8"/>
      </top>
      <bottom style="thin">
        <color rgb="FFA8A8A8"/>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thin">
        <color indexed="64"/>
      </right>
      <top style="medium">
        <color indexed="64"/>
      </top>
      <bottom/>
      <diagonal/>
    </border>
    <border>
      <left/>
      <right style="dashed">
        <color indexed="64"/>
      </right>
      <top style="medium">
        <color indexed="64"/>
      </top>
      <bottom/>
      <diagonal/>
    </border>
    <border>
      <left/>
      <right/>
      <top style="thin">
        <color indexed="64"/>
      </top>
      <bottom/>
      <diagonal/>
    </border>
    <border>
      <left style="dashed">
        <color indexed="64"/>
      </left>
      <right/>
      <top/>
      <bottom/>
      <diagonal/>
    </border>
    <border>
      <left style="dashed">
        <color indexed="64"/>
      </left>
      <right/>
      <top style="medium">
        <color indexed="64"/>
      </top>
      <bottom/>
      <diagonal/>
    </border>
    <border>
      <left/>
      <right style="thin">
        <color indexed="64"/>
      </right>
      <top style="thin">
        <color indexed="64"/>
      </top>
      <bottom/>
      <diagonal/>
    </border>
    <border>
      <left style="dashed">
        <color indexed="64"/>
      </left>
      <right/>
      <top/>
      <bottom style="thin">
        <color indexed="64"/>
      </bottom>
      <diagonal/>
    </border>
    <border>
      <left/>
      <right/>
      <top style="dashed">
        <color indexed="64"/>
      </top>
      <bottom/>
      <diagonal/>
    </border>
    <border>
      <left/>
      <right style="thin">
        <color indexed="64"/>
      </right>
      <top style="dashed">
        <color indexed="64"/>
      </top>
      <bottom/>
      <diagonal/>
    </border>
    <border>
      <left style="dotted">
        <color theme="3"/>
      </left>
      <right style="dotted">
        <color theme="3"/>
      </right>
      <top style="dotted">
        <color theme="3"/>
      </top>
      <bottom style="dotted">
        <color theme="3"/>
      </bottom>
      <diagonal/>
    </border>
    <border>
      <left/>
      <right/>
      <top style="dotted">
        <color theme="3"/>
      </top>
      <bottom style="dotted">
        <color theme="3"/>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diagonal/>
    </border>
    <border>
      <left/>
      <right/>
      <top style="dotted">
        <color auto="1"/>
      </top>
      <bottom/>
      <diagonal/>
    </border>
    <border>
      <left style="thin">
        <color indexed="64"/>
      </left>
      <right/>
      <top style="dotted">
        <color auto="1"/>
      </top>
      <bottom/>
      <diagonal/>
    </border>
    <border>
      <left style="thin">
        <color indexed="64"/>
      </left>
      <right style="thin">
        <color indexed="64"/>
      </right>
      <top/>
      <bottom/>
      <diagonal/>
    </border>
    <border>
      <left style="dotted">
        <color theme="3"/>
      </left>
      <right/>
      <top style="dotted">
        <color theme="3"/>
      </top>
      <bottom style="dotted">
        <color theme="3"/>
      </bottom>
      <diagonal/>
    </border>
    <border>
      <left/>
      <right style="dotted">
        <color theme="3"/>
      </right>
      <top style="dotted">
        <color theme="3"/>
      </top>
      <bottom style="dotted">
        <color theme="3"/>
      </bottom>
      <diagonal/>
    </border>
    <border>
      <left style="dashed">
        <color indexed="64"/>
      </left>
      <right/>
      <top style="thin">
        <color rgb="FFA8A8A8"/>
      </top>
      <bottom style="thin">
        <color rgb="FFA8A8A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s>
  <cellStyleXfs count="5">
    <xf numFmtId="0" fontId="0" fillId="0" borderId="0"/>
    <xf numFmtId="9" fontId="3" fillId="0" borderId="0" applyFont="0" applyFill="0" applyBorder="0" applyAlignment="0" applyProtection="0"/>
    <xf numFmtId="0" fontId="7" fillId="0" borderId="0" applyNumberFormat="0" applyFill="0" applyBorder="0" applyAlignment="0" applyProtection="0"/>
    <xf numFmtId="0" fontId="3" fillId="19" borderId="41">
      <alignment horizontal="center"/>
    </xf>
    <xf numFmtId="3" fontId="3" fillId="6" borderId="42"/>
  </cellStyleXfs>
  <cellXfs count="581">
    <xf numFmtId="0" fontId="0" fillId="0" borderId="0" xfId="0"/>
    <xf numFmtId="0" fontId="24" fillId="7" borderId="0" xfId="0" applyFont="1" applyFill="1" applyAlignment="1" applyProtection="1">
      <alignment horizontal="left"/>
      <protection hidden="1"/>
    </xf>
    <xf numFmtId="0" fontId="24" fillId="7" borderId="0" xfId="0" applyFont="1" applyFill="1" applyProtection="1">
      <protection hidden="1"/>
    </xf>
    <xf numFmtId="0" fontId="10" fillId="6" borderId="0" xfId="0" applyFont="1" applyFill="1" applyProtection="1">
      <protection hidden="1"/>
    </xf>
    <xf numFmtId="0" fontId="12" fillId="7" borderId="0" xfId="0" applyFont="1" applyFill="1" applyAlignment="1" applyProtection="1">
      <alignment horizontal="left"/>
      <protection hidden="1"/>
    </xf>
    <xf numFmtId="0" fontId="27" fillId="7" borderId="0" xfId="0" applyFont="1" applyFill="1" applyProtection="1">
      <protection hidden="1"/>
    </xf>
    <xf numFmtId="0" fontId="11" fillId="7" borderId="0" xfId="0" applyFont="1" applyFill="1" applyProtection="1">
      <protection hidden="1"/>
    </xf>
    <xf numFmtId="0" fontId="12" fillId="7" borderId="0" xfId="0" applyFont="1" applyFill="1" applyProtection="1">
      <protection hidden="1"/>
    </xf>
    <xf numFmtId="0" fontId="12" fillId="6" borderId="0" xfId="0" applyFont="1" applyFill="1" applyProtection="1">
      <protection hidden="1"/>
    </xf>
    <xf numFmtId="0" fontId="10" fillId="6" borderId="0" xfId="0" applyFont="1" applyFill="1" applyAlignment="1" applyProtection="1">
      <alignment horizontal="left"/>
      <protection hidden="1"/>
    </xf>
    <xf numFmtId="0" fontId="20" fillId="6" borderId="0" xfId="0" applyFont="1" applyFill="1" applyProtection="1">
      <protection hidden="1"/>
    </xf>
    <xf numFmtId="0" fontId="24" fillId="8" borderId="0" xfId="0" applyFont="1" applyFill="1" applyProtection="1">
      <protection hidden="1"/>
    </xf>
    <xf numFmtId="0" fontId="14" fillId="8" borderId="0" xfId="0" applyFont="1" applyFill="1" applyAlignment="1" applyProtection="1">
      <alignment horizontal="left"/>
      <protection hidden="1"/>
    </xf>
    <xf numFmtId="0" fontId="14" fillId="8" borderId="0" xfId="0" applyFont="1" applyFill="1" applyProtection="1">
      <protection hidden="1"/>
    </xf>
    <xf numFmtId="0" fontId="14" fillId="6" borderId="0" xfId="0" applyFont="1" applyFill="1" applyProtection="1">
      <protection hidden="1"/>
    </xf>
    <xf numFmtId="0" fontId="24" fillId="5" borderId="0" xfId="0" applyFont="1" applyFill="1" applyProtection="1">
      <protection hidden="1"/>
    </xf>
    <xf numFmtId="0" fontId="14" fillId="5" borderId="0" xfId="0" applyFont="1" applyFill="1" applyAlignment="1" applyProtection="1">
      <alignment horizontal="left"/>
      <protection hidden="1"/>
    </xf>
    <xf numFmtId="0" fontId="14" fillId="5" borderId="0" xfId="0" applyFont="1" applyFill="1" applyProtection="1">
      <protection hidden="1"/>
    </xf>
    <xf numFmtId="0" fontId="12" fillId="8" borderId="0" xfId="0" applyFont="1" applyFill="1" applyProtection="1">
      <protection hidden="1"/>
    </xf>
    <xf numFmtId="0" fontId="12" fillId="5" borderId="0" xfId="0" applyFont="1" applyFill="1" applyProtection="1">
      <protection hidden="1"/>
    </xf>
    <xf numFmtId="0" fontId="11" fillId="8" borderId="0" xfId="0" applyFont="1" applyFill="1" applyProtection="1">
      <protection hidden="1"/>
    </xf>
    <xf numFmtId="0" fontId="11" fillId="5" borderId="0" xfId="0" applyFont="1" applyFill="1" applyProtection="1">
      <protection hidden="1"/>
    </xf>
    <xf numFmtId="0" fontId="32" fillId="8" borderId="0" xfId="0" applyFont="1" applyFill="1" applyProtection="1">
      <protection hidden="1"/>
    </xf>
    <xf numFmtId="0" fontId="22" fillId="8" borderId="0" xfId="0" applyFont="1" applyFill="1" applyProtection="1">
      <protection hidden="1"/>
    </xf>
    <xf numFmtId="0" fontId="23" fillId="8" borderId="0" xfId="0" applyFont="1" applyFill="1" applyAlignment="1" applyProtection="1">
      <alignment horizontal="left"/>
      <protection hidden="1"/>
    </xf>
    <xf numFmtId="0" fontId="23" fillId="8" borderId="0" xfId="0" applyFont="1" applyFill="1" applyProtection="1">
      <protection hidden="1"/>
    </xf>
    <xf numFmtId="0" fontId="12" fillId="16" borderId="0" xfId="0" applyFont="1" applyFill="1" applyAlignment="1" applyProtection="1">
      <alignment horizontal="center" vertical="center"/>
      <protection hidden="1"/>
    </xf>
    <xf numFmtId="0" fontId="31" fillId="8" borderId="0" xfId="0" applyFont="1" applyFill="1" applyProtection="1">
      <protection hidden="1"/>
    </xf>
    <xf numFmtId="0" fontId="10" fillId="0" borderId="0" xfId="0" applyFont="1" applyProtection="1">
      <protection hidden="1"/>
    </xf>
    <xf numFmtId="0" fontId="10" fillId="0" borderId="0" xfId="0" applyFont="1" applyAlignment="1" applyProtection="1">
      <alignment horizontal="center"/>
      <protection hidden="1"/>
    </xf>
    <xf numFmtId="0" fontId="4" fillId="0" borderId="0" xfId="0" applyFont="1" applyProtection="1">
      <protection hidden="1"/>
    </xf>
    <xf numFmtId="0" fontId="0" fillId="0" borderId="0" xfId="0" applyProtection="1">
      <protection hidden="1"/>
    </xf>
    <xf numFmtId="1" fontId="0" fillId="0" borderId="0" xfId="0" applyNumberFormat="1" applyProtection="1">
      <protection hidden="1"/>
    </xf>
    <xf numFmtId="0" fontId="0" fillId="0" borderId="0" xfId="0" quotePrefix="1" applyProtection="1">
      <protection hidden="1"/>
    </xf>
    <xf numFmtId="0" fontId="9" fillId="0" borderId="0" xfId="0" applyFont="1" applyProtection="1">
      <protection hidden="1"/>
    </xf>
    <xf numFmtId="0" fontId="5" fillId="0" borderId="0" xfId="0" applyFont="1" applyProtection="1">
      <protection hidden="1"/>
    </xf>
    <xf numFmtId="0" fontId="8" fillId="0" borderId="2" xfId="0" applyFont="1" applyBorder="1" applyProtection="1">
      <protection hidden="1"/>
    </xf>
    <xf numFmtId="0" fontId="8" fillId="0" borderId="0" xfId="0" applyFont="1" applyProtection="1">
      <protection hidden="1"/>
    </xf>
    <xf numFmtId="0" fontId="0" fillId="0" borderId="2" xfId="0" applyBorder="1" applyProtection="1">
      <protection hidden="1"/>
    </xf>
    <xf numFmtId="0" fontId="0" fillId="7" borderId="0" xfId="0" applyFill="1" applyProtection="1">
      <protection hidden="1"/>
    </xf>
    <xf numFmtId="0" fontId="5" fillId="0" borderId="2" xfId="0" applyFont="1" applyBorder="1" applyAlignment="1" applyProtection="1">
      <alignment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0" fillId="6" borderId="0" xfId="0" applyFill="1" applyAlignment="1" applyProtection="1">
      <alignment wrapText="1"/>
      <protection hidden="1"/>
    </xf>
    <xf numFmtId="0" fontId="0" fillId="6" borderId="1" xfId="0" applyFill="1" applyBorder="1" applyProtection="1">
      <protection hidden="1"/>
    </xf>
    <xf numFmtId="0" fontId="0" fillId="0" borderId="21" xfId="0" applyBorder="1" applyProtection="1">
      <protection hidden="1"/>
    </xf>
    <xf numFmtId="0" fontId="0" fillId="0" borderId="34" xfId="0" applyBorder="1" applyAlignment="1" applyProtection="1">
      <alignment horizontal="center"/>
      <protection hidden="1"/>
    </xf>
    <xf numFmtId="1" fontId="0" fillId="15" borderId="34" xfId="0" applyNumberFormat="1" applyFill="1" applyBorder="1" applyProtection="1">
      <protection hidden="1"/>
    </xf>
    <xf numFmtId="1" fontId="0" fillId="5" borderId="34" xfId="0" applyNumberFormat="1" applyFill="1" applyBorder="1" applyProtection="1">
      <protection hidden="1"/>
    </xf>
    <xf numFmtId="1" fontId="0" fillId="9" borderId="34" xfId="0" applyNumberFormat="1" applyFill="1" applyBorder="1" applyProtection="1">
      <protection hidden="1"/>
    </xf>
    <xf numFmtId="0" fontId="0" fillId="9" borderId="34" xfId="0" applyFill="1" applyBorder="1" applyProtection="1">
      <protection hidden="1"/>
    </xf>
    <xf numFmtId="1" fontId="0" fillId="4" borderId="34" xfId="0" applyNumberFormat="1" applyFill="1" applyBorder="1" applyProtection="1">
      <protection hidden="1"/>
    </xf>
    <xf numFmtId="0" fontId="0" fillId="7" borderId="34" xfId="0" applyFill="1" applyBorder="1" applyProtection="1">
      <protection hidden="1"/>
    </xf>
    <xf numFmtId="1" fontId="0" fillId="13" borderId="34" xfId="0" applyNumberFormat="1" applyFill="1" applyBorder="1" applyProtection="1">
      <protection hidden="1"/>
    </xf>
    <xf numFmtId="0" fontId="0" fillId="13" borderId="34" xfId="0" applyFill="1" applyBorder="1" applyProtection="1">
      <protection hidden="1"/>
    </xf>
    <xf numFmtId="2" fontId="0" fillId="13" borderId="34" xfId="0" applyNumberFormat="1" applyFill="1" applyBorder="1" applyProtection="1">
      <protection hidden="1"/>
    </xf>
    <xf numFmtId="1" fontId="0" fillId="0" borderId="34" xfId="0" applyNumberFormat="1" applyBorder="1" applyProtection="1">
      <protection hidden="1"/>
    </xf>
    <xf numFmtId="0" fontId="0" fillId="0" borderId="34" xfId="0" applyBorder="1" applyProtection="1">
      <protection hidden="1"/>
    </xf>
    <xf numFmtId="0" fontId="0" fillId="0" borderId="23" xfId="0" applyBorder="1" applyProtection="1">
      <protection hidden="1"/>
    </xf>
    <xf numFmtId="0" fontId="0" fillId="0" borderId="24" xfId="0" applyBorder="1" applyAlignment="1" applyProtection="1">
      <alignment horizontal="center"/>
      <protection hidden="1"/>
    </xf>
    <xf numFmtId="1" fontId="0" fillId="15" borderId="24" xfId="0" applyNumberFormat="1" applyFill="1" applyBorder="1" applyProtection="1">
      <protection hidden="1"/>
    </xf>
    <xf numFmtId="1" fontId="0" fillId="5" borderId="24" xfId="0" applyNumberFormat="1" applyFill="1" applyBorder="1" applyProtection="1">
      <protection hidden="1"/>
    </xf>
    <xf numFmtId="1" fontId="0" fillId="9" borderId="24" xfId="0" applyNumberFormat="1" applyFill="1" applyBorder="1" applyProtection="1">
      <protection hidden="1"/>
    </xf>
    <xf numFmtId="0" fontId="0" fillId="9" borderId="24" xfId="0" applyFill="1" applyBorder="1" applyProtection="1">
      <protection hidden="1"/>
    </xf>
    <xf numFmtId="1" fontId="0" fillId="4" borderId="24" xfId="0" applyNumberFormat="1" applyFill="1" applyBorder="1" applyProtection="1">
      <protection hidden="1"/>
    </xf>
    <xf numFmtId="0" fontId="0" fillId="7" borderId="24" xfId="0" applyFill="1" applyBorder="1" applyProtection="1">
      <protection hidden="1"/>
    </xf>
    <xf numFmtId="1" fontId="0" fillId="13" borderId="24" xfId="0" applyNumberFormat="1" applyFill="1" applyBorder="1" applyProtection="1">
      <protection hidden="1"/>
    </xf>
    <xf numFmtId="0" fontId="0" fillId="13" borderId="24" xfId="0" applyFill="1" applyBorder="1" applyProtection="1">
      <protection hidden="1"/>
    </xf>
    <xf numFmtId="2" fontId="0" fillId="13" borderId="24" xfId="0" applyNumberFormat="1" applyFill="1" applyBorder="1" applyProtection="1">
      <protection hidden="1"/>
    </xf>
    <xf numFmtId="1" fontId="0" fillId="0" borderId="24" xfId="0" applyNumberFormat="1" applyBorder="1" applyProtection="1">
      <protection hidden="1"/>
    </xf>
    <xf numFmtId="0" fontId="0" fillId="0" borderId="24" xfId="0" applyBorder="1" applyProtection="1">
      <protection hidden="1"/>
    </xf>
    <xf numFmtId="0" fontId="0" fillId="15" borderId="24" xfId="0" applyFill="1" applyBorder="1" applyProtection="1">
      <protection hidden="1"/>
    </xf>
    <xf numFmtId="0" fontId="0" fillId="5" borderId="24" xfId="0" applyFill="1" applyBorder="1" applyProtection="1">
      <protection hidden="1"/>
    </xf>
    <xf numFmtId="0" fontId="0" fillId="4" borderId="24" xfId="0" applyFill="1" applyBorder="1" applyProtection="1">
      <protection hidden="1"/>
    </xf>
    <xf numFmtId="0" fontId="0" fillId="12" borderId="0" xfId="0" applyFill="1" applyProtection="1">
      <protection hidden="1"/>
    </xf>
    <xf numFmtId="0" fontId="4" fillId="10" borderId="0" xfId="0" applyFont="1" applyFill="1" applyProtection="1">
      <protection hidden="1"/>
    </xf>
    <xf numFmtId="0" fontId="0" fillId="10" borderId="0" xfId="0" applyFill="1" applyProtection="1">
      <protection hidden="1"/>
    </xf>
    <xf numFmtId="0" fontId="0" fillId="4" borderId="0" xfId="0" applyFill="1" applyProtection="1">
      <protection hidden="1"/>
    </xf>
    <xf numFmtId="0" fontId="0" fillId="4" borderId="0" xfId="0" applyFill="1" applyAlignment="1" applyProtection="1">
      <alignment horizontal="right" vertical="top"/>
      <protection hidden="1"/>
    </xf>
    <xf numFmtId="0" fontId="5" fillId="7" borderId="0" xfId="0" applyFont="1" applyFill="1" applyProtection="1">
      <protection hidden="1"/>
    </xf>
    <xf numFmtId="0" fontId="5" fillId="13" borderId="0" xfId="0" applyFont="1" applyFill="1" applyProtection="1">
      <protection hidden="1"/>
    </xf>
    <xf numFmtId="0" fontId="5" fillId="8" borderId="0" xfId="0" applyFont="1" applyFill="1" applyProtection="1">
      <protection hidden="1"/>
    </xf>
    <xf numFmtId="0" fontId="0" fillId="8" borderId="0" xfId="0" applyFill="1" applyProtection="1">
      <protection hidden="1"/>
    </xf>
    <xf numFmtId="0" fontId="5" fillId="11" borderId="0" xfId="0" applyFont="1" applyFill="1" applyProtection="1">
      <protection hidden="1"/>
    </xf>
    <xf numFmtId="0" fontId="0" fillId="11" borderId="0" xfId="0" applyFill="1" applyProtection="1">
      <protection hidden="1"/>
    </xf>
    <xf numFmtId="0" fontId="5" fillId="5" borderId="0" xfId="0" applyFont="1" applyFill="1" applyProtection="1">
      <protection hidden="1"/>
    </xf>
    <xf numFmtId="0" fontId="5" fillId="5" borderId="0" xfId="0" applyFont="1" applyFill="1" applyAlignment="1" applyProtection="1">
      <alignment horizontal="right" vertical="top"/>
      <protection hidden="1"/>
    </xf>
    <xf numFmtId="0" fontId="0" fillId="5" borderId="0" xfId="0" applyFill="1" applyProtection="1">
      <protection hidden="1"/>
    </xf>
    <xf numFmtId="0" fontId="0" fillId="0" borderId="2" xfId="0" applyBorder="1" applyAlignment="1" applyProtection="1">
      <alignment wrapText="1"/>
      <protection hidden="1"/>
    </xf>
    <xf numFmtId="0" fontId="0" fillId="0" borderId="0" xfId="0" applyAlignment="1" applyProtection="1">
      <alignment horizontal="center" vertical="top"/>
      <protection hidden="1"/>
    </xf>
    <xf numFmtId="0" fontId="0" fillId="0" borderId="0" xfId="0" applyAlignment="1" applyProtection="1">
      <alignment horizontal="right" vertical="top"/>
      <protection hidden="1"/>
    </xf>
    <xf numFmtId="0" fontId="0" fillId="0" borderId="22" xfId="0" applyBorder="1" applyAlignment="1" applyProtection="1">
      <alignment horizontal="center"/>
      <protection hidden="1"/>
    </xf>
    <xf numFmtId="3" fontId="0" fillId="7" borderId="22" xfId="0" applyNumberFormat="1" applyFill="1" applyBorder="1" applyProtection="1">
      <protection hidden="1"/>
    </xf>
    <xf numFmtId="9" fontId="0" fillId="7" borderId="22" xfId="1" applyFont="1" applyFill="1" applyBorder="1" applyProtection="1">
      <protection hidden="1"/>
    </xf>
    <xf numFmtId="2" fontId="0" fillId="13" borderId="22" xfId="0" applyNumberFormat="1" applyFill="1" applyBorder="1" applyProtection="1">
      <protection hidden="1"/>
    </xf>
    <xf numFmtId="3" fontId="0" fillId="13" borderId="22" xfId="0" applyNumberFormat="1" applyFill="1" applyBorder="1" applyProtection="1">
      <protection hidden="1"/>
    </xf>
    <xf numFmtId="10" fontId="0" fillId="8" borderId="22" xfId="1" applyNumberFormat="1" applyFont="1" applyFill="1" applyBorder="1" applyProtection="1">
      <protection hidden="1"/>
    </xf>
    <xf numFmtId="3" fontId="0" fillId="8" borderId="22" xfId="0" applyNumberFormat="1" applyFill="1" applyBorder="1" applyProtection="1">
      <protection hidden="1"/>
    </xf>
    <xf numFmtId="3" fontId="0" fillId="11" borderId="22" xfId="0" applyNumberFormat="1" applyFill="1" applyBorder="1" applyProtection="1">
      <protection hidden="1"/>
    </xf>
    <xf numFmtId="8" fontId="0" fillId="5" borderId="22" xfId="1" applyNumberFormat="1" applyFont="1" applyFill="1" applyBorder="1" applyProtection="1">
      <protection hidden="1"/>
    </xf>
    <xf numFmtId="1" fontId="0" fillId="5" borderId="22" xfId="1" applyNumberFormat="1" applyFont="1" applyFill="1" applyBorder="1" applyAlignment="1" applyProtection="1">
      <alignment horizontal="right" vertical="top"/>
      <protection hidden="1"/>
    </xf>
    <xf numFmtId="3" fontId="0" fillId="5" borderId="22" xfId="0" applyNumberFormat="1" applyFill="1" applyBorder="1" applyProtection="1">
      <protection hidden="1"/>
    </xf>
    <xf numFmtId="3" fontId="0" fillId="6" borderId="0" xfId="0" applyNumberFormat="1" applyFill="1" applyProtection="1">
      <protection hidden="1"/>
    </xf>
    <xf numFmtId="8" fontId="0" fillId="6" borderId="0" xfId="0" applyNumberFormat="1" applyFill="1" applyProtection="1">
      <protection hidden="1"/>
    </xf>
    <xf numFmtId="3" fontId="0" fillId="7" borderId="24" xfId="0" applyNumberFormat="1" applyFill="1" applyBorder="1" applyProtection="1">
      <protection hidden="1"/>
    </xf>
    <xf numFmtId="9" fontId="0" fillId="7" borderId="24" xfId="1" applyFont="1" applyFill="1" applyBorder="1" applyProtection="1">
      <protection hidden="1"/>
    </xf>
    <xf numFmtId="3" fontId="0" fillId="13" borderId="24" xfId="0" applyNumberFormat="1" applyFill="1" applyBorder="1" applyProtection="1">
      <protection hidden="1"/>
    </xf>
    <xf numFmtId="10" fontId="0" fillId="8" borderId="24" xfId="1" applyNumberFormat="1" applyFont="1" applyFill="1" applyBorder="1" applyProtection="1">
      <protection hidden="1"/>
    </xf>
    <xf numFmtId="3" fontId="0" fillId="8" borderId="24" xfId="0" applyNumberFormat="1" applyFill="1" applyBorder="1" applyProtection="1">
      <protection hidden="1"/>
    </xf>
    <xf numFmtId="3" fontId="0" fillId="11" borderId="24" xfId="0" applyNumberFormat="1" applyFill="1" applyBorder="1" applyProtection="1">
      <protection hidden="1"/>
    </xf>
    <xf numFmtId="8" fontId="0" fillId="5" borderId="24" xfId="1" applyNumberFormat="1" applyFont="1" applyFill="1" applyBorder="1" applyProtection="1">
      <protection hidden="1"/>
    </xf>
    <xf numFmtId="1" fontId="0" fillId="5" borderId="24" xfId="1" applyNumberFormat="1" applyFont="1" applyFill="1" applyBorder="1" applyAlignment="1" applyProtection="1">
      <alignment horizontal="right" vertical="top"/>
      <protection hidden="1"/>
    </xf>
    <xf numFmtId="3" fontId="0" fillId="5" borderId="24" xfId="0" applyNumberFormat="1" applyFill="1" applyBorder="1" applyProtection="1">
      <protection hidden="1"/>
    </xf>
    <xf numFmtId="0" fontId="0" fillId="8" borderId="24" xfId="0" applyFill="1" applyBorder="1" applyProtection="1">
      <protection hidden="1"/>
    </xf>
    <xf numFmtId="0" fontId="0" fillId="11" borderId="24" xfId="0" applyFill="1" applyBorder="1" applyProtection="1">
      <protection hidden="1"/>
    </xf>
    <xf numFmtId="0" fontId="0" fillId="5" borderId="24" xfId="0" applyFill="1" applyBorder="1" applyAlignment="1" applyProtection="1">
      <alignment horizontal="right" vertical="top"/>
      <protection hidden="1"/>
    </xf>
    <xf numFmtId="0" fontId="5" fillId="9" borderId="0" xfId="0" applyFont="1" applyFill="1" applyProtection="1">
      <protection hidden="1"/>
    </xf>
    <xf numFmtId="0" fontId="0" fillId="0" borderId="22" xfId="0" applyBorder="1" applyProtection="1">
      <protection hidden="1"/>
    </xf>
    <xf numFmtId="3" fontId="0" fillId="0" borderId="22" xfId="0" applyNumberFormat="1" applyBorder="1" applyProtection="1">
      <protection hidden="1"/>
    </xf>
    <xf numFmtId="0" fontId="0" fillId="5" borderId="22" xfId="0" applyFill="1" applyBorder="1" applyProtection="1">
      <protection hidden="1"/>
    </xf>
    <xf numFmtId="4" fontId="0" fillId="5" borderId="22" xfId="0" applyNumberFormat="1" applyFill="1" applyBorder="1" applyProtection="1">
      <protection hidden="1"/>
    </xf>
    <xf numFmtId="0" fontId="0" fillId="9" borderId="22" xfId="0" applyFill="1" applyBorder="1" applyProtection="1">
      <protection hidden="1"/>
    </xf>
    <xf numFmtId="2" fontId="0" fillId="9" borderId="22" xfId="0" applyNumberFormat="1" applyFill="1" applyBorder="1" applyProtection="1">
      <protection hidden="1"/>
    </xf>
    <xf numFmtId="168" fontId="0" fillId="7" borderId="22" xfId="0" applyNumberFormat="1" applyFill="1" applyBorder="1" applyProtection="1">
      <protection hidden="1"/>
    </xf>
    <xf numFmtId="168" fontId="0" fillId="13" borderId="22" xfId="0" applyNumberFormat="1" applyFill="1" applyBorder="1" applyProtection="1">
      <protection hidden="1"/>
    </xf>
    <xf numFmtId="3" fontId="0" fillId="0" borderId="24" xfId="0" applyNumberFormat="1" applyBorder="1" applyProtection="1">
      <protection hidden="1"/>
    </xf>
    <xf numFmtId="4" fontId="0" fillId="5" borderId="24" xfId="0" applyNumberFormat="1" applyFill="1" applyBorder="1" applyProtection="1">
      <protection hidden="1"/>
    </xf>
    <xf numFmtId="2" fontId="0" fillId="9" borderId="24" xfId="0" applyNumberFormat="1" applyFill="1" applyBorder="1" applyProtection="1">
      <protection hidden="1"/>
    </xf>
    <xf numFmtId="168" fontId="0" fillId="7" borderId="24" xfId="0" applyNumberFormat="1" applyFill="1" applyBorder="1" applyProtection="1">
      <protection hidden="1"/>
    </xf>
    <xf numFmtId="168" fontId="0" fillId="13" borderId="24" xfId="0" applyNumberFormat="1" applyFill="1" applyBorder="1" applyProtection="1">
      <protection hidden="1"/>
    </xf>
    <xf numFmtId="0" fontId="0" fillId="3" borderId="0" xfId="0" applyFill="1" applyProtection="1">
      <protection hidden="1"/>
    </xf>
    <xf numFmtId="9" fontId="4" fillId="0" borderId="0" xfId="1" applyFont="1" applyProtection="1">
      <protection hidden="1"/>
    </xf>
    <xf numFmtId="0" fontId="5" fillId="0" borderId="0" xfId="0" applyFont="1" applyAlignment="1" applyProtection="1">
      <alignment horizontal="left"/>
      <protection hidden="1"/>
    </xf>
    <xf numFmtId="167" fontId="0" fillId="0" borderId="0" xfId="0" applyNumberFormat="1" applyProtection="1">
      <protection hidden="1"/>
    </xf>
    <xf numFmtId="9" fontId="0" fillId="5" borderId="0" xfId="1" applyFont="1" applyFill="1" applyProtection="1">
      <protection hidden="1"/>
    </xf>
    <xf numFmtId="3" fontId="0" fillId="5" borderId="0" xfId="0" applyNumberFormat="1" applyFill="1" applyProtection="1">
      <protection hidden="1"/>
    </xf>
    <xf numFmtId="166" fontId="0" fillId="0" borderId="0" xfId="1" applyNumberFormat="1" applyFont="1" applyProtection="1">
      <protection hidden="1"/>
    </xf>
    <xf numFmtId="3" fontId="0" fillId="0" borderId="0" xfId="0" applyNumberFormat="1" applyProtection="1">
      <protection hidden="1"/>
    </xf>
    <xf numFmtId="0" fontId="7" fillId="0" borderId="0" xfId="2" applyProtection="1">
      <protection hidden="1"/>
    </xf>
    <xf numFmtId="9" fontId="0" fillId="0" borderId="0" xfId="0" applyNumberFormat="1" applyProtection="1">
      <protection hidden="1"/>
    </xf>
    <xf numFmtId="3" fontId="0" fillId="2" borderId="0" xfId="0" applyNumberFormat="1" applyFill="1" applyProtection="1">
      <protection hidden="1"/>
    </xf>
    <xf numFmtId="9" fontId="0" fillId="0" borderId="0" xfId="1" applyFont="1" applyProtection="1">
      <protection hidden="1"/>
    </xf>
    <xf numFmtId="2" fontId="0" fillId="0" borderId="0" xfId="0" applyNumberFormat="1" applyProtection="1">
      <protection hidden="1"/>
    </xf>
    <xf numFmtId="0" fontId="5" fillId="2" borderId="0" xfId="0" applyFont="1" applyFill="1" applyProtection="1">
      <protection hidden="1"/>
    </xf>
    <xf numFmtId="0" fontId="4" fillId="0" borderId="3" xfId="0" applyFont="1" applyBorder="1" applyProtection="1">
      <protection hidden="1"/>
    </xf>
    <xf numFmtId="0" fontId="4" fillId="0" borderId="1" xfId="0" applyFont="1" applyBorder="1" applyProtection="1">
      <protection hidden="1"/>
    </xf>
    <xf numFmtId="0" fontId="4" fillId="0" borderId="2" xfId="0" applyFont="1" applyBorder="1" applyProtection="1">
      <protection hidden="1"/>
    </xf>
    <xf numFmtId="11" fontId="0" fillId="0" borderId="0" xfId="0" applyNumberFormat="1" applyProtection="1">
      <protection hidden="1"/>
    </xf>
    <xf numFmtId="11" fontId="5" fillId="0" borderId="0" xfId="0" applyNumberFormat="1" applyFont="1" applyProtection="1">
      <protection hidden="1"/>
    </xf>
    <xf numFmtId="0" fontId="4" fillId="0" borderId="0" xfId="0" applyFont="1" applyAlignment="1" applyProtection="1">
      <alignment wrapText="1"/>
      <protection hidden="1"/>
    </xf>
    <xf numFmtId="0" fontId="0" fillId="0" borderId="0" xfId="0" applyAlignment="1" applyProtection="1">
      <alignment horizontal="left"/>
      <protection hidden="1"/>
    </xf>
    <xf numFmtId="2" fontId="0" fillId="0" borderId="0" xfId="0" quotePrefix="1" applyNumberFormat="1" applyProtection="1">
      <protection hidden="1"/>
    </xf>
    <xf numFmtId="11" fontId="0" fillId="0" borderId="0" xfId="0" quotePrefix="1" applyNumberFormat="1" applyProtection="1">
      <protection hidden="1"/>
    </xf>
    <xf numFmtId="0" fontId="5" fillId="0" borderId="3" xfId="0" applyFont="1" applyBorder="1" applyProtection="1">
      <protection hidden="1"/>
    </xf>
    <xf numFmtId="4" fontId="0" fillId="0" borderId="0" xfId="0" applyNumberFormat="1" applyProtection="1">
      <protection hidden="1"/>
    </xf>
    <xf numFmtId="165" fontId="0" fillId="0" borderId="0" xfId="0" applyNumberFormat="1" applyProtection="1">
      <protection hidden="1"/>
    </xf>
    <xf numFmtId="0" fontId="0" fillId="0" borderId="0" xfId="0" applyAlignment="1" applyProtection="1">
      <alignment horizontal="center"/>
      <protection hidden="1"/>
    </xf>
    <xf numFmtId="0" fontId="5" fillId="0" borderId="3" xfId="0" applyFont="1" applyBorder="1" applyAlignment="1" applyProtection="1">
      <alignment wrapText="1"/>
      <protection hidden="1"/>
    </xf>
    <xf numFmtId="0" fontId="0" fillId="0" borderId="6" xfId="0" applyBorder="1" applyAlignment="1" applyProtection="1">
      <alignment wrapText="1"/>
      <protection hidden="1"/>
    </xf>
    <xf numFmtId="0" fontId="0" fillId="0" borderId="27" xfId="0" applyBorder="1" applyProtection="1">
      <protection hidden="1"/>
    </xf>
    <xf numFmtId="0" fontId="0" fillId="0" borderId="1" xfId="0" applyBorder="1" applyAlignment="1" applyProtection="1">
      <alignment wrapText="1"/>
      <protection hidden="1"/>
    </xf>
    <xf numFmtId="0" fontId="0" fillId="0" borderId="1" xfId="0" applyBorder="1" applyProtection="1">
      <protection hidden="1"/>
    </xf>
    <xf numFmtId="0" fontId="0" fillId="0" borderId="5" xfId="0" applyBorder="1" applyProtection="1">
      <protection hidden="1"/>
    </xf>
    <xf numFmtId="3" fontId="0" fillId="0" borderId="5" xfId="0" applyNumberFormat="1" applyBorder="1" applyProtection="1">
      <protection hidden="1"/>
    </xf>
    <xf numFmtId="1" fontId="0" fillId="0" borderId="28" xfId="0" applyNumberFormat="1" applyBorder="1" applyProtection="1">
      <protection hidden="1"/>
    </xf>
    <xf numFmtId="1" fontId="0" fillId="0" borderId="0" xfId="0" applyNumberFormat="1" applyAlignment="1" applyProtection="1">
      <alignment wrapText="1"/>
      <protection hidden="1"/>
    </xf>
    <xf numFmtId="1" fontId="0" fillId="0" borderId="5" xfId="0" applyNumberFormat="1" applyBorder="1" applyProtection="1">
      <protection hidden="1"/>
    </xf>
    <xf numFmtId="9" fontId="0" fillId="0" borderId="5" xfId="1" applyFont="1" applyBorder="1" applyProtection="1">
      <protection hidden="1"/>
    </xf>
    <xf numFmtId="0" fontId="0" fillId="0" borderId="37" xfId="0" applyBorder="1" applyProtection="1">
      <protection hidden="1"/>
    </xf>
    <xf numFmtId="3" fontId="0" fillId="0" borderId="0" xfId="0" applyNumberFormat="1" applyAlignment="1" applyProtection="1">
      <alignment horizontal="center"/>
      <protection hidden="1"/>
    </xf>
    <xf numFmtId="0" fontId="28" fillId="6" borderId="10" xfId="0" applyFont="1" applyFill="1" applyBorder="1" applyAlignment="1" applyProtection="1">
      <alignment horizontal="left"/>
      <protection hidden="1"/>
    </xf>
    <xf numFmtId="0" fontId="17" fillId="13" borderId="12" xfId="0" applyFont="1" applyFill="1" applyBorder="1" applyAlignment="1" applyProtection="1">
      <alignment horizontal="center" wrapText="1"/>
      <protection hidden="1"/>
    </xf>
    <xf numFmtId="0" fontId="17" fillId="13" borderId="7" xfId="0" applyFont="1" applyFill="1" applyBorder="1" applyAlignment="1" applyProtection="1">
      <alignment horizontal="center" wrapText="1"/>
      <protection hidden="1"/>
    </xf>
    <xf numFmtId="0" fontId="17" fillId="13" borderId="13"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13" xfId="0" applyFont="1" applyFill="1" applyBorder="1" applyAlignment="1" applyProtection="1">
      <alignment horizontal="center" wrapText="1"/>
      <protection hidden="1"/>
    </xf>
    <xf numFmtId="0" fontId="10" fillId="6" borderId="0" xfId="0" applyFont="1" applyFill="1" applyAlignment="1" applyProtection="1">
      <alignment wrapText="1"/>
      <protection hidden="1"/>
    </xf>
    <xf numFmtId="0" fontId="12" fillId="6" borderId="10" xfId="0" applyFont="1" applyFill="1" applyBorder="1" applyAlignment="1" applyProtection="1">
      <alignment horizontal="left" indent="1"/>
      <protection hidden="1"/>
    </xf>
    <xf numFmtId="0" fontId="12" fillId="15" borderId="12" xfId="0" quotePrefix="1" applyFont="1" applyFill="1" applyBorder="1" applyAlignment="1" applyProtection="1">
      <alignment horizontal="center"/>
      <protection hidden="1"/>
    </xf>
    <xf numFmtId="0" fontId="12" fillId="15" borderId="7" xfId="0" quotePrefix="1" applyFont="1" applyFill="1" applyBorder="1" applyAlignment="1" applyProtection="1">
      <alignment horizontal="center"/>
      <protection hidden="1"/>
    </xf>
    <xf numFmtId="0" fontId="12" fillId="15" borderId="35" xfId="0" quotePrefix="1" applyFont="1" applyFill="1" applyBorder="1" applyAlignment="1" applyProtection="1">
      <alignment horizontal="center"/>
      <protection hidden="1"/>
    </xf>
    <xf numFmtId="0" fontId="12" fillId="15" borderId="13" xfId="0" quotePrefix="1" applyFont="1" applyFill="1" applyBorder="1" applyAlignment="1" applyProtection="1">
      <alignment horizontal="center"/>
      <protection hidden="1"/>
    </xf>
    <xf numFmtId="0" fontId="12" fillId="7" borderId="12" xfId="0" applyFont="1" applyFill="1" applyBorder="1" applyAlignment="1" applyProtection="1">
      <alignment horizontal="center"/>
      <protection hidden="1"/>
    </xf>
    <xf numFmtId="0" fontId="12" fillId="7" borderId="7" xfId="0" applyFont="1" applyFill="1" applyBorder="1" applyAlignment="1" applyProtection="1">
      <alignment horizontal="center"/>
      <protection hidden="1"/>
    </xf>
    <xf numFmtId="0" fontId="12" fillId="7" borderId="8" xfId="0" applyFont="1" applyFill="1" applyBorder="1" applyAlignment="1" applyProtection="1">
      <alignment horizontal="center"/>
      <protection hidden="1"/>
    </xf>
    <xf numFmtId="0" fontId="12" fillId="7" borderId="9" xfId="0" applyFont="1" applyFill="1" applyBorder="1" applyAlignment="1" applyProtection="1">
      <alignment horizontal="center"/>
      <protection hidden="1"/>
    </xf>
    <xf numFmtId="0" fontId="12" fillId="7" borderId="13" xfId="0" applyFont="1" applyFill="1" applyBorder="1" applyAlignment="1" applyProtection="1">
      <alignment horizontal="center"/>
      <protection hidden="1"/>
    </xf>
    <xf numFmtId="0" fontId="18" fillId="13" borderId="12" xfId="0" applyFont="1" applyFill="1" applyBorder="1" applyAlignment="1" applyProtection="1">
      <alignment horizontal="center"/>
      <protection hidden="1"/>
    </xf>
    <xf numFmtId="0" fontId="18" fillId="13" borderId="7" xfId="0" applyFont="1" applyFill="1" applyBorder="1" applyAlignment="1" applyProtection="1">
      <alignment horizontal="center"/>
      <protection hidden="1"/>
    </xf>
    <xf numFmtId="0" fontId="18" fillId="13" borderId="7" xfId="0" quotePrefix="1" applyFont="1" applyFill="1" applyBorder="1" applyAlignment="1" applyProtection="1">
      <alignment horizontal="center"/>
      <protection hidden="1"/>
    </xf>
    <xf numFmtId="0" fontId="18" fillId="13" borderId="13" xfId="0" quotePrefix="1" applyFont="1" applyFill="1" applyBorder="1" applyAlignment="1" applyProtection="1">
      <alignment horizontal="center"/>
      <protection hidden="1"/>
    </xf>
    <xf numFmtId="0" fontId="18" fillId="5" borderId="12" xfId="0" applyFont="1" applyFill="1" applyBorder="1" applyAlignment="1" applyProtection="1">
      <alignment horizontal="center"/>
      <protection hidden="1"/>
    </xf>
    <xf numFmtId="0" fontId="18" fillId="5" borderId="9" xfId="0" applyFont="1" applyFill="1" applyBorder="1" applyAlignment="1" applyProtection="1">
      <alignment horizontal="center"/>
      <protection hidden="1"/>
    </xf>
    <xf numFmtId="0" fontId="18" fillId="5" borderId="7" xfId="0" applyFont="1" applyFill="1" applyBorder="1" applyAlignment="1" applyProtection="1">
      <alignment horizontal="center"/>
      <protection hidden="1"/>
    </xf>
    <xf numFmtId="0" fontId="18" fillId="5" borderId="7" xfId="0" quotePrefix="1" applyFont="1" applyFill="1" applyBorder="1" applyAlignment="1" applyProtection="1">
      <alignment horizontal="center"/>
      <protection hidden="1"/>
    </xf>
    <xf numFmtId="0" fontId="18" fillId="5" borderId="13" xfId="0" quotePrefix="1" applyFont="1" applyFill="1" applyBorder="1" applyAlignment="1" applyProtection="1">
      <alignment horizontal="center"/>
      <protection hidden="1"/>
    </xf>
    <xf numFmtId="1" fontId="10" fillId="0" borderId="16" xfId="0" applyNumberFormat="1" applyFont="1" applyBorder="1" applyAlignment="1" applyProtection="1">
      <alignment horizontal="center" vertical="center"/>
      <protection hidden="1"/>
    </xf>
    <xf numFmtId="1" fontId="10" fillId="0" borderId="17" xfId="0" applyNumberFormat="1" applyFont="1" applyBorder="1" applyAlignment="1" applyProtection="1">
      <alignment horizontal="center" vertical="center"/>
      <protection hidden="1"/>
    </xf>
    <xf numFmtId="167" fontId="10" fillId="0" borderId="17" xfId="0" applyNumberFormat="1" applyFont="1" applyBorder="1" applyAlignment="1" applyProtection="1">
      <alignment horizontal="center" vertical="center"/>
      <protection hidden="1"/>
    </xf>
    <xf numFmtId="1" fontId="10" fillId="0" borderId="18" xfId="0" applyNumberFormat="1" applyFont="1" applyBorder="1" applyAlignment="1" applyProtection="1">
      <alignment horizontal="center" vertical="center"/>
      <protection hidden="1"/>
    </xf>
    <xf numFmtId="0" fontId="10" fillId="0" borderId="15" xfId="0" applyFont="1" applyBorder="1" applyAlignment="1" applyProtection="1">
      <alignment horizontal="left"/>
      <protection hidden="1"/>
    </xf>
    <xf numFmtId="0" fontId="10" fillId="0" borderId="24" xfId="0" applyFont="1" applyBorder="1" applyAlignment="1" applyProtection="1">
      <alignment horizontal="left"/>
      <protection hidden="1"/>
    </xf>
    <xf numFmtId="0" fontId="10" fillId="14" borderId="16" xfId="0" applyFont="1" applyFill="1" applyBorder="1" applyAlignment="1" applyProtection="1">
      <alignment horizontal="center" vertical="center"/>
      <protection hidden="1"/>
    </xf>
    <xf numFmtId="0" fontId="10" fillId="14" borderId="17" xfId="0" applyFont="1" applyFill="1" applyBorder="1" applyAlignment="1" applyProtection="1">
      <alignment horizontal="center" vertical="center"/>
      <protection hidden="1"/>
    </xf>
    <xf numFmtId="0" fontId="10" fillId="14" borderId="51" xfId="0" applyFont="1" applyFill="1" applyBorder="1" applyAlignment="1" applyProtection="1">
      <alignment horizontal="center" vertical="center"/>
      <protection hidden="1"/>
    </xf>
    <xf numFmtId="0" fontId="10" fillId="14" borderId="18" xfId="0" applyFont="1" applyFill="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0" fontId="10" fillId="0" borderId="25" xfId="0" applyFont="1" applyBorder="1" applyAlignment="1" applyProtection="1">
      <alignment horizontal="center" vertical="center"/>
      <protection hidden="1"/>
    </xf>
    <xf numFmtId="0" fontId="10" fillId="0" borderId="26" xfId="0" applyFont="1" applyBorder="1" applyAlignment="1" applyProtection="1">
      <alignment horizontal="center" vertical="center"/>
      <protection hidden="1"/>
    </xf>
    <xf numFmtId="0" fontId="10" fillId="0" borderId="18" xfId="0" applyFont="1" applyBorder="1" applyAlignment="1" applyProtection="1">
      <alignment horizontal="center" vertical="center"/>
      <protection hidden="1"/>
    </xf>
    <xf numFmtId="1" fontId="10" fillId="0" borderId="20" xfId="0" applyNumberFormat="1" applyFont="1" applyBorder="1" applyAlignment="1" applyProtection="1">
      <alignment horizontal="center" vertical="center"/>
      <protection hidden="1"/>
    </xf>
    <xf numFmtId="0" fontId="19" fillId="6" borderId="0" xfId="0" applyFont="1" applyFill="1" applyProtection="1">
      <protection hidden="1"/>
    </xf>
    <xf numFmtId="0" fontId="21" fillId="6" borderId="0" xfId="0" applyFont="1" applyFill="1" applyProtection="1">
      <protection hidden="1"/>
    </xf>
    <xf numFmtId="0" fontId="30" fillId="6" borderId="0" xfId="0" applyFont="1" applyFill="1" applyProtection="1">
      <protection hidden="1"/>
    </xf>
    <xf numFmtId="0" fontId="41" fillId="6" borderId="0" xfId="0" applyFont="1" applyFill="1" applyProtection="1">
      <protection hidden="1"/>
    </xf>
    <xf numFmtId="0" fontId="37" fillId="18" borderId="0" xfId="0" applyFont="1" applyFill="1" applyAlignment="1" applyProtection="1">
      <alignment horizontal="left" vertical="top"/>
      <protection hidden="1"/>
    </xf>
    <xf numFmtId="0" fontId="37" fillId="18" borderId="0" xfId="0" applyFont="1" applyFill="1" applyAlignment="1" applyProtection="1">
      <alignment vertical="top"/>
      <protection hidden="1"/>
    </xf>
    <xf numFmtId="0" fontId="37" fillId="18" borderId="0" xfId="0" applyFont="1" applyFill="1" applyAlignment="1" applyProtection="1">
      <alignment vertical="center"/>
      <protection hidden="1"/>
    </xf>
    <xf numFmtId="0" fontId="10" fillId="21" borderId="0" xfId="0" applyFont="1" applyFill="1" applyAlignment="1" applyProtection="1">
      <alignment vertical="top"/>
      <protection hidden="1"/>
    </xf>
    <xf numFmtId="0" fontId="40" fillId="6" borderId="0" xfId="0" applyFont="1" applyFill="1" applyAlignment="1" applyProtection="1">
      <alignment horizontal="left" vertical="center" wrapText="1"/>
      <protection hidden="1"/>
    </xf>
    <xf numFmtId="0" fontId="11" fillId="6" borderId="0" xfId="0" applyFont="1" applyFill="1" applyAlignment="1" applyProtection="1">
      <alignment horizontal="left" vertical="top"/>
      <protection hidden="1"/>
    </xf>
    <xf numFmtId="0" fontId="11" fillId="6" borderId="0" xfId="0" applyFont="1" applyFill="1" applyAlignment="1" applyProtection="1">
      <alignment vertical="top"/>
      <protection hidden="1"/>
    </xf>
    <xf numFmtId="0" fontId="40" fillId="0" borderId="0" xfId="0" applyFont="1" applyAlignment="1" applyProtection="1">
      <alignment vertical="center" wrapText="1"/>
      <protection hidden="1"/>
    </xf>
    <xf numFmtId="0" fontId="10" fillId="21" borderId="0" xfId="0" applyFont="1" applyFill="1" applyAlignment="1" applyProtection="1">
      <alignment horizontal="left" vertical="top"/>
      <protection hidden="1"/>
    </xf>
    <xf numFmtId="0" fontId="10" fillId="21" borderId="0" xfId="0" applyFont="1" applyFill="1" applyAlignment="1" applyProtection="1">
      <alignment vertical="center"/>
      <protection hidden="1"/>
    </xf>
    <xf numFmtId="0" fontId="20" fillId="21" borderId="0" xfId="0" applyFont="1" applyFill="1" applyAlignment="1" applyProtection="1">
      <alignment vertical="top"/>
      <protection hidden="1"/>
    </xf>
    <xf numFmtId="0" fontId="14" fillId="21" borderId="0" xfId="0" applyFont="1" applyFill="1" applyAlignment="1" applyProtection="1">
      <alignment vertical="top"/>
      <protection hidden="1"/>
    </xf>
    <xf numFmtId="0" fontId="12" fillId="6" borderId="0" xfId="0" applyFont="1" applyFill="1" applyAlignment="1" applyProtection="1">
      <alignment horizontal="left" vertical="top"/>
      <protection hidden="1"/>
    </xf>
    <xf numFmtId="0" fontId="12" fillId="6" borderId="0" xfId="0" applyFont="1" applyFill="1" applyAlignment="1" applyProtection="1">
      <alignment vertical="top"/>
      <protection hidden="1"/>
    </xf>
    <xf numFmtId="0" fontId="40" fillId="6" borderId="0" xfId="0" applyFont="1" applyFill="1" applyAlignment="1" applyProtection="1">
      <alignment vertical="center" wrapText="1"/>
      <protection hidden="1"/>
    </xf>
    <xf numFmtId="0" fontId="17" fillId="18" borderId="0" xfId="0" applyFont="1" applyFill="1" applyProtection="1">
      <protection hidden="1"/>
    </xf>
    <xf numFmtId="0" fontId="38" fillId="18" borderId="0" xfId="0" applyFont="1" applyFill="1" applyProtection="1">
      <protection hidden="1"/>
    </xf>
    <xf numFmtId="0" fontId="36" fillId="18" borderId="0" xfId="0" applyFont="1" applyFill="1" applyProtection="1">
      <protection hidden="1"/>
    </xf>
    <xf numFmtId="0" fontId="10" fillId="21" borderId="0" xfId="0" applyFont="1" applyFill="1" applyProtection="1">
      <protection hidden="1"/>
    </xf>
    <xf numFmtId="0" fontId="39" fillId="19" borderId="0" xfId="0" applyFont="1" applyFill="1" applyProtection="1">
      <protection hidden="1"/>
    </xf>
    <xf numFmtId="0" fontId="17" fillId="6" borderId="3" xfId="0" applyFont="1" applyFill="1" applyBorder="1" applyProtection="1">
      <protection hidden="1"/>
    </xf>
    <xf numFmtId="0" fontId="17" fillId="6" borderId="38" xfId="0" applyFont="1" applyFill="1" applyBorder="1" applyAlignment="1" applyProtection="1">
      <alignment horizontal="center" wrapText="1"/>
      <protection hidden="1"/>
    </xf>
    <xf numFmtId="0" fontId="17" fillId="6" borderId="2" xfId="0" applyFont="1" applyFill="1" applyBorder="1" applyAlignment="1" applyProtection="1">
      <alignment vertical="top"/>
      <protection hidden="1"/>
    </xf>
    <xf numFmtId="0" fontId="17" fillId="6" borderId="28" xfId="0" applyFont="1" applyFill="1" applyBorder="1" applyAlignment="1" applyProtection="1">
      <alignment horizontal="center" vertical="top"/>
      <protection hidden="1"/>
    </xf>
    <xf numFmtId="0" fontId="17" fillId="6" borderId="5" xfId="0" applyFont="1" applyFill="1" applyBorder="1" applyAlignment="1" applyProtection="1">
      <alignment horizontal="center" vertical="top"/>
      <protection hidden="1"/>
    </xf>
    <xf numFmtId="1" fontId="17" fillId="6" borderId="0" xfId="0" applyNumberFormat="1" applyFont="1" applyFill="1" applyAlignment="1" applyProtection="1">
      <alignment horizontal="center" vertical="top"/>
      <protection hidden="1"/>
    </xf>
    <xf numFmtId="0" fontId="17" fillId="6" borderId="0" xfId="0" applyFont="1" applyFill="1" applyAlignment="1" applyProtection="1">
      <alignment horizontal="center" vertical="top"/>
      <protection hidden="1"/>
    </xf>
    <xf numFmtId="0" fontId="17" fillId="6" borderId="43" xfId="0" applyFont="1" applyFill="1" applyBorder="1" applyAlignment="1" applyProtection="1">
      <alignment horizontal="center" vertical="top"/>
      <protection hidden="1"/>
    </xf>
    <xf numFmtId="0" fontId="17" fillId="6" borderId="40" xfId="0" applyFont="1" applyFill="1" applyBorder="1" applyAlignment="1" applyProtection="1">
      <alignment vertical="top"/>
      <protection hidden="1"/>
    </xf>
    <xf numFmtId="0" fontId="17" fillId="6" borderId="44" xfId="0" applyFont="1" applyFill="1" applyBorder="1" applyAlignment="1" applyProtection="1">
      <alignment horizontal="center" vertical="top"/>
      <protection hidden="1"/>
    </xf>
    <xf numFmtId="0" fontId="17" fillId="6" borderId="0" xfId="0" applyFont="1" applyFill="1" applyProtection="1">
      <protection hidden="1"/>
    </xf>
    <xf numFmtId="0" fontId="17" fillId="6" borderId="0" xfId="0" quotePrefix="1" applyFont="1" applyFill="1" applyProtection="1">
      <protection hidden="1"/>
    </xf>
    <xf numFmtId="0" fontId="11" fillId="19" borderId="0" xfId="0" applyFont="1" applyFill="1" applyProtection="1">
      <protection hidden="1"/>
    </xf>
    <xf numFmtId="0" fontId="17" fillId="19" borderId="0" xfId="0" applyFont="1" applyFill="1" applyProtection="1">
      <protection hidden="1"/>
    </xf>
    <xf numFmtId="0" fontId="11" fillId="6" borderId="3" xfId="0" applyFont="1" applyFill="1" applyBorder="1" applyProtection="1">
      <protection hidden="1"/>
    </xf>
    <xf numFmtId="3" fontId="17" fillId="6" borderId="0" xfId="0" applyNumberFormat="1" applyFont="1" applyFill="1" applyAlignment="1" applyProtection="1">
      <alignment horizontal="center"/>
      <protection hidden="1"/>
    </xf>
    <xf numFmtId="0" fontId="11" fillId="6" borderId="0" xfId="0" applyFont="1" applyFill="1" applyProtection="1">
      <protection hidden="1"/>
    </xf>
    <xf numFmtId="3" fontId="17" fillId="6" borderId="0" xfId="0" applyNumberFormat="1" applyFont="1" applyFill="1" applyProtection="1">
      <protection hidden="1"/>
    </xf>
    <xf numFmtId="0" fontId="14" fillId="21" borderId="0" xfId="0" applyFont="1" applyFill="1" applyProtection="1">
      <protection hidden="1"/>
    </xf>
    <xf numFmtId="0" fontId="13" fillId="21" borderId="0" xfId="0" applyFont="1" applyFill="1" applyProtection="1">
      <protection hidden="1"/>
    </xf>
    <xf numFmtId="0" fontId="35" fillId="18" borderId="0" xfId="0" applyFont="1" applyFill="1" applyProtection="1">
      <protection hidden="1"/>
    </xf>
    <xf numFmtId="0" fontId="16" fillId="6" borderId="0" xfId="0" applyFont="1" applyFill="1" applyAlignment="1" applyProtection="1">
      <alignment vertical="top" wrapText="1"/>
      <protection hidden="1"/>
    </xf>
    <xf numFmtId="0" fontId="33" fillId="18" borderId="0" xfId="0" applyFont="1" applyFill="1" applyProtection="1">
      <protection hidden="1"/>
    </xf>
    <xf numFmtId="0" fontId="34" fillId="18" borderId="0" xfId="0" applyFont="1" applyFill="1" applyProtection="1">
      <protection hidden="1"/>
    </xf>
    <xf numFmtId="0" fontId="33" fillId="6" borderId="0" xfId="0" applyFont="1" applyFill="1" applyProtection="1">
      <protection hidden="1"/>
    </xf>
    <xf numFmtId="0" fontId="34" fillId="6" borderId="0" xfId="0" applyFont="1" applyFill="1" applyProtection="1">
      <protection hidden="1"/>
    </xf>
    <xf numFmtId="0" fontId="12" fillId="19" borderId="0" xfId="0" applyFont="1" applyFill="1" applyProtection="1">
      <protection hidden="1"/>
    </xf>
    <xf numFmtId="0" fontId="11" fillId="19" borderId="1" xfId="0" applyFont="1" applyFill="1" applyBorder="1" applyAlignment="1" applyProtection="1">
      <alignment horizontal="left" vertical="top" wrapText="1"/>
      <protection hidden="1"/>
    </xf>
    <xf numFmtId="0" fontId="11" fillId="19" borderId="27" xfId="0" applyFont="1" applyFill="1" applyBorder="1" applyAlignment="1" applyProtection="1">
      <alignment horizontal="center"/>
      <protection hidden="1"/>
    </xf>
    <xf numFmtId="0" fontId="11" fillId="19" borderId="1" xfId="0" applyFont="1" applyFill="1" applyBorder="1" applyAlignment="1" applyProtection="1">
      <alignment horizontal="center"/>
      <protection hidden="1"/>
    </xf>
    <xf numFmtId="0" fontId="11" fillId="19" borderId="3" xfId="0" applyFont="1" applyFill="1" applyBorder="1" applyAlignment="1" applyProtection="1">
      <alignment horizontal="center"/>
      <protection hidden="1"/>
    </xf>
    <xf numFmtId="0" fontId="11" fillId="19" borderId="1" xfId="0" applyFont="1" applyFill="1" applyBorder="1" applyAlignment="1" applyProtection="1">
      <alignment wrapText="1"/>
      <protection hidden="1"/>
    </xf>
    <xf numFmtId="0" fontId="11" fillId="19" borderId="27" xfId="0" applyFont="1" applyFill="1" applyBorder="1" applyProtection="1">
      <protection hidden="1"/>
    </xf>
    <xf numFmtId="1" fontId="11" fillId="19" borderId="27" xfId="0" applyNumberFormat="1" applyFont="1" applyFill="1" applyBorder="1" applyAlignment="1" applyProtection="1">
      <alignment horizontal="center"/>
      <protection hidden="1"/>
    </xf>
    <xf numFmtId="0" fontId="29" fillId="6" borderId="0" xfId="2" applyFont="1" applyFill="1" applyBorder="1" applyAlignment="1" applyProtection="1">
      <protection hidden="1"/>
    </xf>
    <xf numFmtId="0" fontId="29" fillId="6" borderId="34" xfId="2" applyFont="1" applyFill="1" applyBorder="1" applyAlignment="1" applyProtection="1">
      <alignment horizontal="left"/>
      <protection hidden="1"/>
    </xf>
    <xf numFmtId="0" fontId="12" fillId="19" borderId="0" xfId="0" applyFont="1" applyFill="1" applyAlignment="1" applyProtection="1">
      <alignment horizontal="left" vertical="top"/>
      <protection hidden="1"/>
    </xf>
    <xf numFmtId="0" fontId="11" fillId="19" borderId="5" xfId="0" applyFont="1" applyFill="1" applyBorder="1" applyProtection="1">
      <protection hidden="1"/>
    </xf>
    <xf numFmtId="0" fontId="11" fillId="19" borderId="1" xfId="0" applyFont="1" applyFill="1" applyBorder="1" applyProtection="1">
      <protection hidden="1"/>
    </xf>
    <xf numFmtId="0" fontId="29" fillId="6" borderId="0" xfId="2" applyFont="1" applyFill="1" applyBorder="1" applyAlignment="1" applyProtection="1">
      <alignment horizontal="left"/>
      <protection hidden="1"/>
    </xf>
    <xf numFmtId="3" fontId="11" fillId="19" borderId="1" xfId="0" applyNumberFormat="1" applyFont="1" applyFill="1" applyBorder="1" applyAlignment="1" applyProtection="1">
      <alignment horizontal="center"/>
      <protection hidden="1"/>
    </xf>
    <xf numFmtId="0" fontId="11" fillId="6" borderId="48" xfId="0" applyFont="1" applyFill="1" applyBorder="1" applyAlignment="1" applyProtection="1">
      <alignment horizontal="center"/>
      <protection hidden="1"/>
    </xf>
    <xf numFmtId="0" fontId="11" fillId="6" borderId="52" xfId="0" applyFont="1" applyFill="1" applyBorder="1" applyAlignment="1" applyProtection="1">
      <alignment horizontal="center"/>
      <protection hidden="1"/>
    </xf>
    <xf numFmtId="0" fontId="11" fillId="6" borderId="6" xfId="0" applyFont="1" applyFill="1" applyBorder="1" applyAlignment="1" applyProtection="1">
      <alignment horizontal="center"/>
      <protection hidden="1"/>
    </xf>
    <xf numFmtId="0" fontId="12" fillId="21" borderId="0" xfId="0" applyFont="1" applyFill="1" applyProtection="1">
      <protection hidden="1"/>
    </xf>
    <xf numFmtId="0" fontId="2" fillId="6" borderId="0" xfId="0" applyFont="1" applyFill="1" applyProtection="1">
      <protection hidden="1"/>
    </xf>
    <xf numFmtId="0" fontId="2" fillId="21" borderId="0" xfId="0" applyFont="1" applyFill="1" applyAlignment="1" applyProtection="1">
      <alignment vertical="top"/>
      <protection hidden="1"/>
    </xf>
    <xf numFmtId="0" fontId="2" fillId="6" borderId="0" xfId="0" applyFont="1" applyFill="1" applyAlignment="1" applyProtection="1">
      <alignment horizontal="left" vertical="top"/>
      <protection hidden="1"/>
    </xf>
    <xf numFmtId="0" fontId="2" fillId="6" borderId="0" xfId="0" applyFont="1" applyFill="1" applyAlignment="1" applyProtection="1">
      <alignment vertical="top"/>
      <protection hidden="1"/>
    </xf>
    <xf numFmtId="0" fontId="2" fillId="6" borderId="0" xfId="0" applyFont="1" applyFill="1" applyAlignment="1" applyProtection="1">
      <alignment vertical="center"/>
      <protection hidden="1"/>
    </xf>
    <xf numFmtId="0" fontId="2" fillId="20" borderId="41" xfId="0" applyFont="1" applyFill="1" applyBorder="1" applyAlignment="1" applyProtection="1">
      <alignment horizontal="left" vertical="top"/>
      <protection locked="0" hidden="1"/>
    </xf>
    <xf numFmtId="0" fontId="2" fillId="21" borderId="0" xfId="0" applyFont="1" applyFill="1" applyAlignment="1" applyProtection="1">
      <alignment horizontal="left" vertical="top"/>
      <protection hidden="1"/>
    </xf>
    <xf numFmtId="0" fontId="2" fillId="21" borderId="0" xfId="0" applyFont="1" applyFill="1" applyAlignment="1" applyProtection="1">
      <alignment vertical="center"/>
      <protection hidden="1"/>
    </xf>
    <xf numFmtId="1" fontId="2" fillId="19" borderId="41" xfId="1" applyNumberFormat="1" applyFont="1" applyFill="1" applyBorder="1" applyAlignment="1" applyProtection="1">
      <alignment horizontal="left" vertical="top"/>
      <protection locked="0" hidden="1"/>
    </xf>
    <xf numFmtId="1" fontId="2" fillId="6" borderId="0" xfId="1" applyNumberFormat="1" applyFont="1" applyFill="1" applyBorder="1" applyAlignment="1" applyProtection="1">
      <alignment horizontal="left" vertical="top"/>
      <protection hidden="1"/>
    </xf>
    <xf numFmtId="2" fontId="2" fillId="2" borderId="41" xfId="0" applyNumberFormat="1" applyFont="1" applyFill="1" applyBorder="1" applyAlignment="1" applyProtection="1">
      <alignment horizontal="left" vertical="top"/>
      <protection locked="0" hidden="1"/>
    </xf>
    <xf numFmtId="0" fontId="2" fillId="19" borderId="41" xfId="0" applyFont="1" applyFill="1" applyBorder="1" applyAlignment="1" applyProtection="1">
      <alignment horizontal="left" vertical="top"/>
      <protection locked="0" hidden="1"/>
    </xf>
    <xf numFmtId="0" fontId="2" fillId="2" borderId="41" xfId="0" applyFont="1" applyFill="1" applyBorder="1" applyAlignment="1" applyProtection="1">
      <alignment horizontal="left" vertical="top"/>
      <protection locked="0" hidden="1"/>
    </xf>
    <xf numFmtId="0" fontId="2" fillId="0" borderId="0" xfId="0" applyFont="1" applyAlignment="1" applyProtection="1">
      <alignment vertical="top"/>
      <protection hidden="1"/>
    </xf>
    <xf numFmtId="167" fontId="2" fillId="2" borderId="41" xfId="0" applyNumberFormat="1" applyFont="1" applyFill="1" applyBorder="1" applyAlignment="1" applyProtection="1">
      <alignment horizontal="left" vertical="top"/>
      <protection locked="0" hidden="1"/>
    </xf>
    <xf numFmtId="1" fontId="2" fillId="2" borderId="41" xfId="0" applyNumberFormat="1" applyFont="1" applyFill="1" applyBorder="1" applyAlignment="1" applyProtection="1">
      <alignment horizontal="left" vertical="top"/>
      <protection locked="0" hidden="1"/>
    </xf>
    <xf numFmtId="0" fontId="2" fillId="16" borderId="41" xfId="0" applyFont="1" applyFill="1" applyBorder="1" applyAlignment="1" applyProtection="1">
      <alignment horizontal="left" vertical="top"/>
      <protection hidden="1"/>
    </xf>
    <xf numFmtId="166" fontId="2" fillId="2" borderId="41" xfId="1" applyNumberFormat="1" applyFont="1" applyFill="1" applyBorder="1" applyAlignment="1" applyProtection="1">
      <alignment horizontal="left" vertical="top"/>
      <protection locked="0" hidden="1"/>
    </xf>
    <xf numFmtId="166" fontId="2" fillId="6" borderId="0" xfId="1" applyNumberFormat="1" applyFont="1" applyFill="1" applyBorder="1" applyAlignment="1" applyProtection="1">
      <alignment horizontal="left" vertical="top"/>
      <protection hidden="1"/>
    </xf>
    <xf numFmtId="3" fontId="2" fillId="2" borderId="41" xfId="0" applyNumberFormat="1" applyFont="1" applyFill="1" applyBorder="1" applyAlignment="1" applyProtection="1">
      <alignment horizontal="left" vertical="top"/>
      <protection locked="0" hidden="1"/>
    </xf>
    <xf numFmtId="3" fontId="2" fillId="6" borderId="0" xfId="0" applyNumberFormat="1" applyFont="1" applyFill="1" applyAlignment="1" applyProtection="1">
      <alignment horizontal="left" vertical="top"/>
      <protection hidden="1"/>
    </xf>
    <xf numFmtId="165" fontId="2" fillId="2" borderId="41" xfId="0" applyNumberFormat="1" applyFont="1" applyFill="1" applyBorder="1" applyAlignment="1" applyProtection="1">
      <alignment horizontal="left" vertical="top"/>
      <protection locked="0" hidden="1"/>
    </xf>
    <xf numFmtId="9" fontId="2" fillId="6" borderId="0" xfId="1" applyFont="1" applyFill="1" applyBorder="1" applyAlignment="1" applyProtection="1">
      <alignment horizontal="left" vertical="top"/>
      <protection hidden="1"/>
    </xf>
    <xf numFmtId="0" fontId="2" fillId="6" borderId="0" xfId="0" applyFont="1" applyFill="1" applyAlignment="1" applyProtection="1">
      <alignment vertical="top" wrapText="1"/>
      <protection hidden="1"/>
    </xf>
    <xf numFmtId="8" fontId="2" fillId="21" borderId="0" xfId="0" applyNumberFormat="1" applyFont="1" applyFill="1" applyAlignment="1" applyProtection="1">
      <alignment vertical="top"/>
      <protection hidden="1"/>
    </xf>
    <xf numFmtId="164" fontId="2" fillId="6" borderId="0" xfId="1" applyNumberFormat="1" applyFont="1" applyFill="1" applyBorder="1" applyAlignment="1" applyProtection="1">
      <alignment horizontal="left" vertical="top"/>
      <protection hidden="1"/>
    </xf>
    <xf numFmtId="164" fontId="2" fillId="21" borderId="0" xfId="1" applyNumberFormat="1" applyFont="1" applyFill="1" applyAlignment="1" applyProtection="1">
      <alignment horizontal="left" vertical="top"/>
      <protection hidden="1"/>
    </xf>
    <xf numFmtId="164" fontId="2" fillId="21" borderId="0" xfId="1" applyNumberFormat="1" applyFont="1" applyFill="1" applyBorder="1" applyAlignment="1" applyProtection="1">
      <alignment horizontal="left" vertical="top"/>
      <protection hidden="1"/>
    </xf>
    <xf numFmtId="165" fontId="2" fillId="2" borderId="41" xfId="1" applyNumberFormat="1" applyFont="1" applyFill="1" applyBorder="1" applyAlignment="1" applyProtection="1">
      <alignment horizontal="left" vertical="top"/>
      <protection locked="0" hidden="1"/>
    </xf>
    <xf numFmtId="0" fontId="2" fillId="19" borderId="0" xfId="0" applyFont="1" applyFill="1" applyProtection="1">
      <protection hidden="1"/>
    </xf>
    <xf numFmtId="0" fontId="2" fillId="6" borderId="0" xfId="0" applyFont="1" applyFill="1" applyAlignment="1" applyProtection="1">
      <alignment horizontal="center" vertical="top"/>
      <protection hidden="1"/>
    </xf>
    <xf numFmtId="0" fontId="2" fillId="6" borderId="35" xfId="0" applyFont="1" applyFill="1" applyBorder="1" applyAlignment="1" applyProtection="1">
      <alignment horizontal="center" vertical="top"/>
      <protection hidden="1"/>
    </xf>
    <xf numFmtId="0" fontId="2" fillId="6" borderId="2" xfId="0" applyFont="1" applyFill="1" applyBorder="1" applyProtection="1">
      <protection hidden="1"/>
    </xf>
    <xf numFmtId="2" fontId="2" fillId="6" borderId="0" xfId="0" applyNumberFormat="1" applyFont="1" applyFill="1" applyAlignment="1" applyProtection="1">
      <alignment horizontal="center"/>
      <protection hidden="1"/>
    </xf>
    <xf numFmtId="0" fontId="2" fillId="6" borderId="5" xfId="0" applyFont="1" applyFill="1" applyBorder="1" applyProtection="1">
      <protection hidden="1"/>
    </xf>
    <xf numFmtId="0" fontId="2" fillId="6" borderId="0" xfId="0" applyFont="1" applyFill="1" applyAlignment="1" applyProtection="1">
      <alignment horizontal="center"/>
      <protection hidden="1"/>
    </xf>
    <xf numFmtId="3" fontId="2" fillId="6" borderId="0" xfId="0" applyNumberFormat="1" applyFont="1" applyFill="1" applyAlignment="1" applyProtection="1">
      <alignment horizontal="center"/>
      <protection hidden="1"/>
    </xf>
    <xf numFmtId="167" fontId="2" fillId="6" borderId="0" xfId="0" applyNumberFormat="1" applyFont="1" applyFill="1" applyAlignment="1" applyProtection="1">
      <alignment horizontal="center"/>
      <protection hidden="1"/>
    </xf>
    <xf numFmtId="0" fontId="2" fillId="6" borderId="39" xfId="0" applyFont="1" applyFill="1" applyBorder="1" applyAlignment="1" applyProtection="1">
      <alignment horizontal="center" vertical="top"/>
      <protection hidden="1"/>
    </xf>
    <xf numFmtId="0" fontId="2" fillId="6" borderId="45" xfId="0" applyFont="1" applyFill="1" applyBorder="1" applyAlignment="1" applyProtection="1">
      <alignment horizontal="center" vertical="top"/>
      <protection hidden="1"/>
    </xf>
    <xf numFmtId="0" fontId="2" fillId="6" borderId="3" xfId="0" applyFont="1" applyFill="1" applyBorder="1" applyProtection="1">
      <protection hidden="1"/>
    </xf>
    <xf numFmtId="0" fontId="2" fillId="6" borderId="27" xfId="0" applyFont="1" applyFill="1" applyBorder="1" applyProtection="1">
      <protection hidden="1"/>
    </xf>
    <xf numFmtId="3" fontId="2" fillId="6" borderId="5" xfId="0" quotePrefix="1" applyNumberFormat="1" applyFont="1" applyFill="1" applyBorder="1" applyAlignment="1" applyProtection="1">
      <alignment horizontal="center"/>
      <protection hidden="1"/>
    </xf>
    <xf numFmtId="3" fontId="2" fillId="6" borderId="0" xfId="0" quotePrefix="1" applyNumberFormat="1" applyFont="1" applyFill="1" applyAlignment="1" applyProtection="1">
      <alignment horizontal="center"/>
      <protection hidden="1"/>
    </xf>
    <xf numFmtId="0" fontId="2" fillId="6" borderId="0" xfId="0" quotePrefix="1" applyFont="1" applyFill="1" applyAlignment="1" applyProtection="1">
      <alignment horizontal="center"/>
      <protection hidden="1"/>
    </xf>
    <xf numFmtId="0" fontId="2" fillId="6" borderId="55" xfId="0" applyFont="1" applyFill="1" applyBorder="1" applyAlignment="1" applyProtection="1">
      <alignment horizontal="left"/>
      <protection hidden="1"/>
    </xf>
    <xf numFmtId="3" fontId="2" fillId="6" borderId="56" xfId="0" applyNumberFormat="1" applyFont="1" applyFill="1" applyBorder="1" applyAlignment="1" applyProtection="1">
      <alignment horizontal="center"/>
      <protection hidden="1"/>
    </xf>
    <xf numFmtId="3" fontId="2" fillId="6" borderId="55" xfId="0" applyNumberFormat="1" applyFont="1" applyFill="1" applyBorder="1" applyAlignment="1" applyProtection="1">
      <alignment horizontal="center"/>
      <protection hidden="1"/>
    </xf>
    <xf numFmtId="0" fontId="2" fillId="6" borderId="55" xfId="0" applyFont="1" applyFill="1" applyBorder="1" applyAlignment="1" applyProtection="1">
      <alignment horizontal="center"/>
      <protection hidden="1"/>
    </xf>
    <xf numFmtId="0" fontId="2" fillId="6" borderId="46" xfId="0" applyFont="1" applyFill="1" applyBorder="1" applyAlignment="1" applyProtection="1">
      <alignment horizontal="left"/>
      <protection hidden="1"/>
    </xf>
    <xf numFmtId="3" fontId="2" fillId="6" borderId="47" xfId="0" applyNumberFormat="1" applyFont="1" applyFill="1" applyBorder="1" applyAlignment="1" applyProtection="1">
      <alignment horizontal="center"/>
      <protection hidden="1"/>
    </xf>
    <xf numFmtId="3" fontId="2" fillId="6" borderId="46" xfId="0" applyNumberFormat="1" applyFont="1" applyFill="1" applyBorder="1" applyAlignment="1" applyProtection="1">
      <alignment horizontal="center"/>
      <protection hidden="1"/>
    </xf>
    <xf numFmtId="0" fontId="2" fillId="6" borderId="46" xfId="0" applyFont="1" applyFill="1" applyBorder="1" applyAlignment="1" applyProtection="1">
      <alignment horizontal="center"/>
      <protection hidden="1"/>
    </xf>
    <xf numFmtId="3" fontId="2" fillId="6" borderId="5" xfId="0" applyNumberFormat="1" applyFont="1" applyFill="1" applyBorder="1" applyAlignment="1" applyProtection="1">
      <alignment horizontal="center"/>
      <protection hidden="1"/>
    </xf>
    <xf numFmtId="0" fontId="2" fillId="6" borderId="1" xfId="0" applyFont="1" applyFill="1" applyBorder="1" applyProtection="1">
      <protection hidden="1"/>
    </xf>
    <xf numFmtId="0" fontId="2" fillId="21" borderId="0" xfId="0" applyFont="1" applyFill="1" applyProtection="1">
      <protection hidden="1"/>
    </xf>
    <xf numFmtId="3" fontId="2" fillId="6" borderId="34" xfId="0" applyNumberFormat="1" applyFont="1" applyFill="1" applyBorder="1" applyAlignment="1" applyProtection="1">
      <alignment horizontal="center" vertical="top"/>
      <protection hidden="1"/>
    </xf>
    <xf numFmtId="0" fontId="2" fillId="7" borderId="0" xfId="0" applyFont="1" applyFill="1" applyAlignment="1" applyProtection="1">
      <alignment horizontal="left"/>
      <protection hidden="1"/>
    </xf>
    <xf numFmtId="0" fontId="2" fillId="7" borderId="0" xfId="0" applyFont="1" applyFill="1" applyProtection="1">
      <protection hidden="1"/>
    </xf>
    <xf numFmtId="0" fontId="2" fillId="7" borderId="4" xfId="0" applyFont="1" applyFill="1" applyBorder="1" applyProtection="1">
      <protection hidden="1"/>
    </xf>
    <xf numFmtId="0" fontId="2" fillId="8" borderId="0" xfId="0" applyFont="1" applyFill="1" applyAlignment="1" applyProtection="1">
      <alignment horizontal="left"/>
      <protection hidden="1"/>
    </xf>
    <xf numFmtId="0" fontId="2" fillId="8" borderId="0" xfId="0" applyFont="1" applyFill="1" applyProtection="1">
      <protection hidden="1"/>
    </xf>
    <xf numFmtId="0" fontId="2" fillId="5" borderId="0" xfId="0" applyFont="1" applyFill="1" applyProtection="1">
      <protection hidden="1"/>
    </xf>
    <xf numFmtId="0" fontId="2" fillId="5" borderId="0" xfId="0" applyFont="1" applyFill="1" applyAlignment="1" applyProtection="1">
      <alignment horizontal="left"/>
      <protection hidden="1"/>
    </xf>
    <xf numFmtId="1" fontId="2" fillId="14" borderId="4" xfId="0" applyNumberFormat="1" applyFont="1" applyFill="1" applyBorder="1" applyAlignment="1" applyProtection="1">
      <alignment horizontal="left"/>
      <protection hidden="1"/>
    </xf>
    <xf numFmtId="2" fontId="2" fillId="5" borderId="4" xfId="0" applyNumberFormat="1" applyFont="1" applyFill="1" applyBorder="1" applyAlignment="1" applyProtection="1">
      <alignment horizontal="left"/>
      <protection hidden="1"/>
    </xf>
    <xf numFmtId="0" fontId="2" fillId="14" borderId="4" xfId="0" applyFont="1" applyFill="1" applyBorder="1" applyAlignment="1" applyProtection="1">
      <alignment horizontal="left"/>
      <protection hidden="1"/>
    </xf>
    <xf numFmtId="0" fontId="2" fillId="8" borderId="4" xfId="0" applyFont="1" applyFill="1" applyBorder="1" applyAlignment="1" applyProtection="1">
      <alignment horizontal="left"/>
      <protection hidden="1"/>
    </xf>
    <xf numFmtId="0" fontId="2" fillId="5" borderId="4" xfId="0" applyFont="1" applyFill="1" applyBorder="1" applyAlignment="1" applyProtection="1">
      <alignment horizontal="left"/>
      <protection hidden="1"/>
    </xf>
    <xf numFmtId="1" fontId="2" fillId="5" borderId="4" xfId="0" applyNumberFormat="1" applyFont="1" applyFill="1" applyBorder="1" applyAlignment="1" applyProtection="1">
      <alignment horizontal="left"/>
      <protection hidden="1"/>
    </xf>
    <xf numFmtId="0" fontId="2" fillId="22" borderId="4" xfId="0" applyFont="1" applyFill="1" applyBorder="1" applyAlignment="1" applyProtection="1">
      <alignment horizontal="left"/>
      <protection hidden="1"/>
    </xf>
    <xf numFmtId="166" fontId="2" fillId="8" borderId="4" xfId="1" applyNumberFormat="1" applyFont="1" applyFill="1" applyBorder="1" applyAlignment="1" applyProtection="1">
      <alignment horizontal="left"/>
      <protection hidden="1"/>
    </xf>
    <xf numFmtId="3" fontId="2" fillId="8" borderId="4" xfId="0" applyNumberFormat="1" applyFont="1" applyFill="1" applyBorder="1" applyAlignment="1" applyProtection="1">
      <alignment horizontal="left"/>
      <protection hidden="1"/>
    </xf>
    <xf numFmtId="9" fontId="2" fillId="8" borderId="4" xfId="1" applyFont="1" applyFill="1" applyBorder="1" applyAlignment="1" applyProtection="1">
      <alignment horizontal="left"/>
      <protection hidden="1"/>
    </xf>
    <xf numFmtId="164" fontId="2" fillId="6" borderId="0" xfId="1" applyNumberFormat="1" applyFont="1" applyFill="1" applyBorder="1" applyAlignment="1" applyProtection="1">
      <alignment horizontal="left"/>
      <protection hidden="1"/>
    </xf>
    <xf numFmtId="164" fontId="2" fillId="6" borderId="0" xfId="1" applyNumberFormat="1" applyFont="1" applyFill="1" applyAlignment="1" applyProtection="1">
      <alignment horizontal="left"/>
      <protection hidden="1"/>
    </xf>
    <xf numFmtId="0" fontId="2" fillId="17" borderId="0" xfId="0" applyFont="1" applyFill="1" applyProtection="1">
      <protection hidden="1"/>
    </xf>
    <xf numFmtId="0" fontId="2" fillId="7" borderId="4" xfId="0" applyFont="1" applyFill="1" applyBorder="1" applyAlignment="1" applyProtection="1">
      <alignment horizontal="center" vertical="center"/>
      <protection hidden="1"/>
    </xf>
    <xf numFmtId="0" fontId="2" fillId="8" borderId="0" xfId="0" applyFont="1" applyFill="1" applyAlignment="1" applyProtection="1">
      <alignment vertical="top"/>
      <protection hidden="1"/>
    </xf>
    <xf numFmtId="1" fontId="2" fillId="14" borderId="4" xfId="1" applyNumberFormat="1" applyFont="1" applyFill="1" applyBorder="1" applyAlignment="1" applyProtection="1">
      <alignment horizontal="left"/>
      <protection hidden="1"/>
    </xf>
    <xf numFmtId="165" fontId="2" fillId="8" borderId="4" xfId="0" applyNumberFormat="1" applyFont="1" applyFill="1" applyBorder="1" applyAlignment="1" applyProtection="1">
      <alignment horizontal="left"/>
      <protection hidden="1"/>
    </xf>
    <xf numFmtId="0" fontId="2" fillId="0" borderId="0" xfId="0" applyFont="1" applyProtection="1">
      <protection hidden="1"/>
    </xf>
    <xf numFmtId="0" fontId="2" fillId="0" borderId="0" xfId="0" applyFont="1" applyAlignment="1" applyProtection="1">
      <alignment horizontal="center"/>
      <protection hidden="1"/>
    </xf>
    <xf numFmtId="1" fontId="2" fillId="0" borderId="0" xfId="0" applyNumberFormat="1" applyFont="1" applyAlignment="1" applyProtection="1">
      <alignment horizontal="center"/>
      <protection hidden="1"/>
    </xf>
    <xf numFmtId="167" fontId="2" fillId="0" borderId="0" xfId="0" applyNumberFormat="1" applyFont="1" applyAlignment="1" applyProtection="1">
      <alignment horizontal="center"/>
      <protection hidden="1"/>
    </xf>
    <xf numFmtId="3" fontId="2" fillId="0" borderId="0" xfId="0" applyNumberFormat="1" applyFont="1" applyAlignment="1" applyProtection="1">
      <alignment horizontal="center"/>
      <protection hidden="1"/>
    </xf>
    <xf numFmtId="166" fontId="2" fillId="0" borderId="0" xfId="1" applyNumberFormat="1" applyFont="1" applyAlignment="1" applyProtection="1">
      <alignment horizontal="center"/>
      <protection hidden="1"/>
    </xf>
    <xf numFmtId="169" fontId="2" fillId="0" borderId="0" xfId="0" applyNumberFormat="1" applyFont="1" applyAlignment="1" applyProtection="1">
      <alignment horizontal="center"/>
      <protection hidden="1"/>
    </xf>
    <xf numFmtId="9" fontId="2" fillId="0" borderId="0" xfId="1" applyFont="1" applyAlignment="1" applyProtection="1">
      <alignment horizontal="center"/>
      <protection hidden="1"/>
    </xf>
    <xf numFmtId="2" fontId="2" fillId="0" borderId="0" xfId="0" applyNumberFormat="1" applyFont="1" applyAlignment="1" applyProtection="1">
      <alignment horizontal="center"/>
      <protection hidden="1"/>
    </xf>
    <xf numFmtId="0" fontId="2" fillId="8" borderId="0" xfId="0" applyFont="1" applyFill="1" applyAlignment="1" applyProtection="1">
      <alignment horizontal="center"/>
      <protection hidden="1"/>
    </xf>
    <xf numFmtId="1" fontId="2" fillId="8" borderId="0" xfId="0" applyNumberFormat="1" applyFont="1" applyFill="1" applyAlignment="1" applyProtection="1">
      <alignment horizontal="center"/>
      <protection hidden="1"/>
    </xf>
    <xf numFmtId="169" fontId="2" fillId="0" borderId="0" xfId="0" applyNumberFormat="1" applyFont="1" applyProtection="1">
      <protection hidden="1"/>
    </xf>
    <xf numFmtId="3" fontId="2" fillId="0" borderId="0" xfId="0" applyNumberFormat="1" applyFont="1" applyProtection="1">
      <protection hidden="1"/>
    </xf>
    <xf numFmtId="0" fontId="2" fillId="0" borderId="10" xfId="0" applyFont="1" applyBorder="1" applyAlignment="1" applyProtection="1">
      <alignment horizontal="left"/>
      <protection hidden="1"/>
    </xf>
    <xf numFmtId="0" fontId="2" fillId="6" borderId="10" xfId="0" applyFont="1" applyFill="1" applyBorder="1" applyAlignment="1" applyProtection="1">
      <alignment horizontal="left" wrapText="1"/>
      <protection hidden="1"/>
    </xf>
    <xf numFmtId="0" fontId="2" fillId="15" borderId="12" xfId="0" applyFont="1" applyFill="1" applyBorder="1" applyAlignment="1" applyProtection="1">
      <alignment horizontal="center" wrapText="1"/>
      <protection hidden="1"/>
    </xf>
    <xf numFmtId="0" fontId="2" fillId="15" borderId="9" xfId="0" applyFont="1" applyFill="1" applyBorder="1" applyAlignment="1" applyProtection="1">
      <alignment horizontal="center" wrapText="1"/>
      <protection hidden="1"/>
    </xf>
    <xf numFmtId="0" fontId="2" fillId="15" borderId="35" xfId="0" applyFont="1" applyFill="1" applyBorder="1" applyAlignment="1" applyProtection="1">
      <alignment horizontal="center" wrapText="1"/>
      <protection hidden="1"/>
    </xf>
    <xf numFmtId="0" fontId="2" fillId="15" borderId="7" xfId="0" applyFont="1" applyFill="1" applyBorder="1" applyAlignment="1" applyProtection="1">
      <alignment horizontal="center" wrapText="1"/>
      <protection hidden="1"/>
    </xf>
    <xf numFmtId="0" fontId="2" fillId="15" borderId="13" xfId="0" applyFont="1" applyFill="1" applyBorder="1" applyAlignment="1" applyProtection="1">
      <alignment horizontal="center" wrapText="1"/>
      <protection hidden="1"/>
    </xf>
    <xf numFmtId="0" fontId="2" fillId="7" borderId="12" xfId="0" applyFont="1" applyFill="1" applyBorder="1" applyAlignment="1" applyProtection="1">
      <alignment horizontal="center" wrapText="1"/>
      <protection hidden="1"/>
    </xf>
    <xf numFmtId="0" fontId="2" fillId="7" borderId="7" xfId="0" applyFont="1" applyFill="1" applyBorder="1" applyAlignment="1" applyProtection="1">
      <alignment horizontal="center" wrapText="1"/>
      <protection hidden="1"/>
    </xf>
    <xf numFmtId="0" fontId="2" fillId="7" borderId="8" xfId="0" applyFont="1" applyFill="1" applyBorder="1" applyAlignment="1" applyProtection="1">
      <alignment horizontal="center" wrapText="1"/>
      <protection hidden="1"/>
    </xf>
    <xf numFmtId="0" fontId="2" fillId="7" borderId="9" xfId="0" applyFont="1" applyFill="1" applyBorder="1" applyAlignment="1" applyProtection="1">
      <alignment horizontal="center" wrapText="1"/>
      <protection hidden="1"/>
    </xf>
    <xf numFmtId="0" fontId="2" fillId="7" borderId="13" xfId="0" applyFont="1" applyFill="1" applyBorder="1" applyAlignment="1" applyProtection="1">
      <alignment horizontal="center" wrapText="1"/>
      <protection hidden="1"/>
    </xf>
    <xf numFmtId="0" fontId="2" fillId="0" borderId="14" xfId="0" applyFont="1" applyBorder="1" applyAlignment="1" applyProtection="1">
      <alignment horizontal="left" indent="1"/>
      <protection hidden="1"/>
    </xf>
    <xf numFmtId="0" fontId="2" fillId="14" borderId="29" xfId="0" applyFont="1" applyFill="1" applyBorder="1" applyAlignment="1" applyProtection="1">
      <alignment horizontal="center" vertical="center"/>
      <protection hidden="1"/>
    </xf>
    <xf numFmtId="0" fontId="2" fillId="14" borderId="33" xfId="0" applyFont="1" applyFill="1" applyBorder="1" applyAlignment="1" applyProtection="1">
      <alignment horizontal="center" vertical="center"/>
      <protection hidden="1"/>
    </xf>
    <xf numFmtId="0" fontId="2" fillId="14" borderId="36" xfId="0" applyFont="1" applyFill="1" applyBorder="1" applyAlignment="1" applyProtection="1">
      <alignment horizontal="center" vertical="center"/>
      <protection hidden="1"/>
    </xf>
    <xf numFmtId="0" fontId="2" fillId="14" borderId="30" xfId="0" applyFont="1" applyFill="1" applyBorder="1" applyAlignment="1" applyProtection="1">
      <alignment horizontal="center" vertical="center"/>
      <protection hidden="1"/>
    </xf>
    <xf numFmtId="3" fontId="2" fillId="14" borderId="31" xfId="0" applyNumberFormat="1" applyFont="1" applyFill="1" applyBorder="1" applyAlignment="1" applyProtection="1">
      <alignment horizontal="center" vertical="center"/>
      <protection hidden="1"/>
    </xf>
    <xf numFmtId="1" fontId="2" fillId="0" borderId="29" xfId="0" applyNumberFormat="1" applyFont="1" applyBorder="1" applyAlignment="1" applyProtection="1">
      <alignment horizontal="center" vertical="center"/>
      <protection hidden="1"/>
    </xf>
    <xf numFmtId="1" fontId="2" fillId="0" borderId="30" xfId="0" applyNumberFormat="1" applyFont="1" applyBorder="1" applyAlignment="1" applyProtection="1">
      <alignment horizontal="center" vertical="center"/>
      <protection hidden="1"/>
    </xf>
    <xf numFmtId="3" fontId="2" fillId="0" borderId="30" xfId="0" applyNumberFormat="1" applyFont="1" applyBorder="1" applyAlignment="1" applyProtection="1">
      <alignment horizontal="center" vertical="center"/>
      <protection hidden="1"/>
    </xf>
    <xf numFmtId="9" fontId="2" fillId="0" borderId="30" xfId="1" applyFont="1" applyBorder="1" applyAlignment="1" applyProtection="1">
      <alignment horizontal="center" vertical="center"/>
      <protection hidden="1"/>
    </xf>
    <xf numFmtId="2" fontId="2" fillId="0" borderId="32" xfId="0" applyNumberFormat="1" applyFont="1" applyBorder="1" applyAlignment="1" applyProtection="1">
      <alignment horizontal="center" vertical="center"/>
      <protection hidden="1"/>
    </xf>
    <xf numFmtId="167" fontId="2" fillId="0" borderId="33" xfId="0" applyNumberFormat="1" applyFont="1" applyBorder="1" applyAlignment="1" applyProtection="1">
      <alignment horizontal="center" vertical="center"/>
      <protection hidden="1"/>
    </xf>
    <xf numFmtId="2" fontId="2" fillId="0" borderId="31" xfId="0" applyNumberFormat="1" applyFont="1" applyBorder="1" applyAlignment="1" applyProtection="1">
      <alignment horizontal="center" vertical="center"/>
      <protection hidden="1"/>
    </xf>
    <xf numFmtId="1" fontId="2" fillId="14" borderId="30" xfId="0" applyNumberFormat="1" applyFont="1" applyFill="1" applyBorder="1" applyAlignment="1" applyProtection="1">
      <alignment horizontal="center" vertical="center"/>
      <protection hidden="1"/>
    </xf>
    <xf numFmtId="3" fontId="2" fillId="14" borderId="30" xfId="0" applyNumberFormat="1" applyFont="1" applyFill="1" applyBorder="1" applyAlignment="1" applyProtection="1">
      <alignment horizontal="center" vertical="center"/>
      <protection hidden="1"/>
    </xf>
    <xf numFmtId="167" fontId="2" fillId="0" borderId="30" xfId="0" applyNumberFormat="1" applyFont="1" applyBorder="1" applyAlignment="1" applyProtection="1">
      <alignment horizontal="center" vertical="center"/>
      <protection hidden="1"/>
    </xf>
    <xf numFmtId="1" fontId="2" fillId="0" borderId="31" xfId="0" applyNumberFormat="1" applyFont="1" applyBorder="1" applyAlignment="1" applyProtection="1">
      <alignment horizontal="center" vertical="center"/>
      <protection hidden="1"/>
    </xf>
    <xf numFmtId="0" fontId="2" fillId="0" borderId="15" xfId="0" applyFont="1" applyBorder="1" applyAlignment="1" applyProtection="1">
      <alignment horizontal="left" indent="1"/>
      <protection hidden="1"/>
    </xf>
    <xf numFmtId="0" fontId="2" fillId="14" borderId="12" xfId="0" applyFont="1" applyFill="1" applyBorder="1" applyAlignment="1" applyProtection="1">
      <alignment horizontal="center" vertical="center"/>
      <protection hidden="1"/>
    </xf>
    <xf numFmtId="0" fontId="2" fillId="14" borderId="9" xfId="0" applyFont="1" applyFill="1" applyBorder="1" applyAlignment="1" applyProtection="1">
      <alignment horizontal="center" vertical="center"/>
      <protection hidden="1"/>
    </xf>
    <xf numFmtId="0" fontId="2" fillId="14" borderId="35" xfId="0" applyFont="1" applyFill="1" applyBorder="1" applyAlignment="1" applyProtection="1">
      <alignment horizontal="center" vertical="center"/>
      <protection hidden="1"/>
    </xf>
    <xf numFmtId="0" fontId="2" fillId="14" borderId="7" xfId="0" applyFont="1" applyFill="1" applyBorder="1" applyAlignment="1" applyProtection="1">
      <alignment horizontal="center" vertical="center"/>
      <protection hidden="1"/>
    </xf>
    <xf numFmtId="0" fontId="2" fillId="14" borderId="13" xfId="0" applyFont="1" applyFill="1" applyBorder="1" applyAlignment="1" applyProtection="1">
      <alignment horizontal="center" vertical="center"/>
      <protection hidden="1"/>
    </xf>
    <xf numFmtId="1" fontId="2" fillId="0" borderId="16" xfId="0" applyNumberFormat="1" applyFont="1" applyBorder="1" applyAlignment="1" applyProtection="1">
      <alignment horizontal="center" vertical="center"/>
      <protection hidden="1"/>
    </xf>
    <xf numFmtId="1" fontId="2" fillId="0" borderId="17" xfId="0" applyNumberFormat="1" applyFont="1" applyBorder="1" applyAlignment="1" applyProtection="1">
      <alignment horizontal="center" vertical="center"/>
      <protection hidden="1"/>
    </xf>
    <xf numFmtId="3" fontId="2" fillId="0" borderId="17" xfId="0" applyNumberFormat="1" applyFont="1" applyBorder="1" applyAlignment="1" applyProtection="1">
      <alignment horizontal="center" vertical="center"/>
      <protection hidden="1"/>
    </xf>
    <xf numFmtId="9" fontId="2" fillId="0" borderId="17" xfId="1" applyFont="1" applyBorder="1" applyAlignment="1" applyProtection="1">
      <alignment horizontal="center" vertical="center"/>
      <protection hidden="1"/>
    </xf>
    <xf numFmtId="2" fontId="2" fillId="0" borderId="19" xfId="0" applyNumberFormat="1" applyFont="1" applyBorder="1" applyAlignment="1" applyProtection="1">
      <alignment horizontal="center" vertical="center"/>
      <protection hidden="1"/>
    </xf>
    <xf numFmtId="167" fontId="2" fillId="0" borderId="20" xfId="0" applyNumberFormat="1" applyFont="1" applyBorder="1" applyAlignment="1" applyProtection="1">
      <alignment horizontal="center" vertical="center"/>
      <protection hidden="1"/>
    </xf>
    <xf numFmtId="2" fontId="2" fillId="0" borderId="18" xfId="0" applyNumberFormat="1" applyFont="1" applyBorder="1" applyAlignment="1" applyProtection="1">
      <alignment horizontal="center" vertical="center"/>
      <protection hidden="1"/>
    </xf>
    <xf numFmtId="1" fontId="2" fillId="14" borderId="17" xfId="0" applyNumberFormat="1" applyFont="1" applyFill="1" applyBorder="1" applyAlignment="1" applyProtection="1">
      <alignment horizontal="center" vertical="center"/>
      <protection hidden="1"/>
    </xf>
    <xf numFmtId="3" fontId="2" fillId="14" borderId="17" xfId="0" applyNumberFormat="1" applyFont="1" applyFill="1" applyBorder="1" applyAlignment="1" applyProtection="1">
      <alignment horizontal="center" vertical="center"/>
      <protection hidden="1"/>
    </xf>
    <xf numFmtId="3" fontId="2" fillId="14" borderId="18" xfId="0" applyNumberFormat="1" applyFont="1" applyFill="1" applyBorder="1" applyAlignment="1" applyProtection="1">
      <alignment horizontal="center" vertical="center"/>
      <protection hidden="1"/>
    </xf>
    <xf numFmtId="167" fontId="2" fillId="0" borderId="17" xfId="0" applyNumberFormat="1" applyFont="1" applyBorder="1" applyAlignment="1" applyProtection="1">
      <alignment horizontal="center" vertical="center"/>
      <protection hidden="1"/>
    </xf>
    <xf numFmtId="1" fontId="2" fillId="0" borderId="18" xfId="0" applyNumberFormat="1" applyFont="1" applyBorder="1" applyAlignment="1" applyProtection="1">
      <alignment horizontal="center" vertical="center"/>
      <protection hidden="1"/>
    </xf>
    <xf numFmtId="0" fontId="2" fillId="19" borderId="2" xfId="0" applyFont="1" applyFill="1" applyBorder="1" applyProtection="1">
      <protection hidden="1"/>
    </xf>
    <xf numFmtId="0" fontId="2" fillId="19" borderId="5" xfId="0" applyFont="1" applyFill="1" applyBorder="1" applyProtection="1">
      <protection hidden="1"/>
    </xf>
    <xf numFmtId="167" fontId="2" fillId="6" borderId="5" xfId="0" applyNumberFormat="1" applyFont="1" applyFill="1" applyBorder="1" applyAlignment="1" applyProtection="1">
      <alignment horizontal="center"/>
      <protection hidden="1"/>
    </xf>
    <xf numFmtId="167" fontId="2" fillId="6" borderId="2" xfId="0" applyNumberFormat="1" applyFont="1" applyFill="1" applyBorder="1" applyAlignment="1" applyProtection="1">
      <alignment horizontal="center"/>
      <protection hidden="1"/>
    </xf>
    <xf numFmtId="0" fontId="2" fillId="6" borderId="34" xfId="0" applyFont="1" applyFill="1" applyBorder="1" applyProtection="1">
      <protection hidden="1"/>
    </xf>
    <xf numFmtId="0" fontId="2" fillId="6" borderId="2" xfId="0" applyFont="1" applyFill="1" applyBorder="1" applyAlignment="1" applyProtection="1">
      <alignment wrapText="1"/>
      <protection hidden="1"/>
    </xf>
    <xf numFmtId="0" fontId="2" fillId="6" borderId="28" xfId="0" applyFont="1" applyFill="1" applyBorder="1" applyAlignment="1" applyProtection="1">
      <alignment horizontal="left"/>
      <protection hidden="1"/>
    </xf>
    <xf numFmtId="0" fontId="2" fillId="6" borderId="0" xfId="0" applyFont="1" applyFill="1" applyAlignment="1" applyProtection="1">
      <alignment wrapText="1"/>
      <protection hidden="1"/>
    </xf>
    <xf numFmtId="1" fontId="2" fillId="6" borderId="0" xfId="0" applyNumberFormat="1" applyFont="1" applyFill="1" applyAlignment="1" applyProtection="1">
      <alignment horizontal="center"/>
      <protection hidden="1"/>
    </xf>
    <xf numFmtId="3" fontId="2" fillId="6" borderId="2" xfId="0" applyNumberFormat="1" applyFont="1" applyFill="1" applyBorder="1" applyAlignment="1" applyProtection="1">
      <alignment horizontal="center"/>
      <protection hidden="1"/>
    </xf>
    <xf numFmtId="167" fontId="2" fillId="6" borderId="28" xfId="0" applyNumberFormat="1" applyFont="1" applyFill="1" applyBorder="1" applyAlignment="1" applyProtection="1">
      <alignment horizontal="center"/>
      <protection hidden="1"/>
    </xf>
    <xf numFmtId="167" fontId="2" fillId="6" borderId="34" xfId="0" applyNumberFormat="1" applyFont="1" applyFill="1" applyBorder="1" applyAlignment="1" applyProtection="1">
      <alignment horizontal="center"/>
      <protection hidden="1"/>
    </xf>
    <xf numFmtId="167" fontId="2" fillId="6" borderId="37" xfId="0" applyNumberFormat="1" applyFont="1" applyFill="1" applyBorder="1" applyAlignment="1" applyProtection="1">
      <alignment horizontal="center"/>
      <protection hidden="1"/>
    </xf>
    <xf numFmtId="9" fontId="2" fillId="6" borderId="0" xfId="1" applyFont="1" applyFill="1" applyAlignment="1" applyProtection="1">
      <alignment horizontal="center"/>
      <protection hidden="1"/>
    </xf>
    <xf numFmtId="3" fontId="2" fillId="6" borderId="0" xfId="0" applyNumberFormat="1" applyFont="1" applyFill="1" applyProtection="1">
      <protection hidden="1"/>
    </xf>
    <xf numFmtId="3" fontId="2" fillId="6" borderId="34" xfId="0" applyNumberFormat="1" applyFont="1" applyFill="1" applyBorder="1" applyAlignment="1" applyProtection="1">
      <alignment horizontal="center"/>
      <protection hidden="1"/>
    </xf>
    <xf numFmtId="0" fontId="2" fillId="19" borderId="0" xfId="0" applyFont="1" applyFill="1" applyAlignment="1" applyProtection="1">
      <alignment horizontal="left" vertical="top"/>
      <protection hidden="1"/>
    </xf>
    <xf numFmtId="3" fontId="2" fillId="21" borderId="0" xfId="0" applyNumberFormat="1" applyFont="1" applyFill="1" applyProtection="1">
      <protection hidden="1"/>
    </xf>
    <xf numFmtId="9" fontId="2" fillId="6" borderId="34" xfId="1" applyFont="1" applyFill="1" applyBorder="1" applyAlignment="1" applyProtection="1">
      <alignment horizontal="center"/>
      <protection hidden="1"/>
    </xf>
    <xf numFmtId="0" fontId="2" fillId="6" borderId="28" xfId="0" applyFont="1" applyFill="1" applyBorder="1" applyProtection="1">
      <protection hidden="1"/>
    </xf>
    <xf numFmtId="9" fontId="2" fillId="6" borderId="0" xfId="1" applyFont="1" applyFill="1" applyBorder="1" applyAlignment="1" applyProtection="1">
      <alignment horizontal="center"/>
      <protection hidden="1"/>
    </xf>
    <xf numFmtId="9" fontId="2" fillId="6" borderId="1" xfId="1" applyFont="1" applyFill="1" applyBorder="1" applyAlignment="1" applyProtection="1">
      <alignment horizontal="center"/>
      <protection hidden="1"/>
    </xf>
    <xf numFmtId="8" fontId="2" fillId="21" borderId="0" xfId="0" applyNumberFormat="1" applyFont="1" applyFill="1" applyProtection="1">
      <protection hidden="1"/>
    </xf>
    <xf numFmtId="9" fontId="2" fillId="6" borderId="0" xfId="0" applyNumberFormat="1" applyFont="1" applyFill="1" applyAlignment="1" applyProtection="1">
      <alignment horizontal="center"/>
      <protection hidden="1"/>
    </xf>
    <xf numFmtId="9" fontId="2" fillId="6" borderId="34" xfId="0" applyNumberFormat="1" applyFont="1" applyFill="1" applyBorder="1" applyAlignment="1" applyProtection="1">
      <alignment horizontal="center"/>
      <protection hidden="1"/>
    </xf>
    <xf numFmtId="0" fontId="2" fillId="21" borderId="0" xfId="0" applyFont="1" applyFill="1" applyAlignment="1" applyProtection="1">
      <alignment horizontal="center"/>
      <protection hidden="1"/>
    </xf>
    <xf numFmtId="166" fontId="2" fillId="6" borderId="5" xfId="1" applyNumberFormat="1" applyFont="1" applyFill="1" applyBorder="1" applyAlignment="1" applyProtection="1">
      <alignment horizontal="center"/>
      <protection hidden="1"/>
    </xf>
    <xf numFmtId="0" fontId="2" fillId="6" borderId="0" xfId="0" applyFont="1" applyFill="1" applyBorder="1" applyProtection="1">
      <protection hidden="1"/>
    </xf>
    <xf numFmtId="0" fontId="1" fillId="6" borderId="2" xfId="0" applyFont="1" applyFill="1" applyBorder="1" applyProtection="1">
      <protection hidden="1"/>
    </xf>
    <xf numFmtId="3" fontId="2" fillId="6" borderId="37" xfId="0" applyNumberFormat="1" applyFont="1" applyFill="1" applyBorder="1" applyAlignment="1" applyProtection="1">
      <alignment horizontal="center"/>
      <protection hidden="1"/>
    </xf>
    <xf numFmtId="0" fontId="1" fillId="6" borderId="0" xfId="0" applyFont="1" applyFill="1" applyAlignment="1" applyProtection="1">
      <alignment vertical="top"/>
      <protection hidden="1"/>
    </xf>
    <xf numFmtId="3" fontId="2" fillId="6" borderId="0" xfId="0" applyNumberFormat="1" applyFont="1" applyFill="1" applyBorder="1" applyAlignment="1" applyProtection="1">
      <alignment horizontal="center"/>
      <protection hidden="1"/>
    </xf>
    <xf numFmtId="0" fontId="2" fillId="6" borderId="0" xfId="0" applyFont="1" applyFill="1" applyBorder="1" applyAlignment="1" applyProtection="1">
      <alignment vertical="top" wrapText="1"/>
      <protection hidden="1"/>
    </xf>
    <xf numFmtId="0" fontId="17" fillId="6" borderId="34" xfId="0" applyFont="1" applyFill="1" applyBorder="1" applyAlignment="1" applyProtection="1">
      <alignment vertical="top" wrapText="1"/>
      <protection hidden="1"/>
    </xf>
    <xf numFmtId="170" fontId="2" fillId="6" borderId="28" xfId="0" applyNumberFormat="1" applyFont="1" applyFill="1" applyBorder="1" applyAlignment="1" applyProtection="1">
      <alignment horizontal="center" vertical="top"/>
      <protection hidden="1"/>
    </xf>
    <xf numFmtId="170" fontId="2" fillId="6" borderId="5" xfId="0" applyNumberFormat="1" applyFont="1" applyFill="1" applyBorder="1" applyAlignment="1" applyProtection="1">
      <alignment horizontal="center" vertical="top"/>
      <protection hidden="1"/>
    </xf>
    <xf numFmtId="171" fontId="17" fillId="6" borderId="34" xfId="0" applyNumberFormat="1" applyFont="1" applyFill="1" applyBorder="1" applyAlignment="1" applyProtection="1">
      <alignment horizontal="center" vertical="top" wrapText="1"/>
      <protection hidden="1"/>
    </xf>
    <xf numFmtId="170" fontId="2" fillId="6" borderId="34" xfId="0" applyNumberFormat="1" applyFont="1" applyFill="1" applyBorder="1" applyAlignment="1" applyProtection="1">
      <alignment horizontal="center" vertical="top"/>
      <protection hidden="1"/>
    </xf>
    <xf numFmtId="171" fontId="17" fillId="6" borderId="0" xfId="0" applyNumberFormat="1" applyFont="1" applyFill="1" applyBorder="1" applyAlignment="1" applyProtection="1">
      <alignment horizontal="center" vertical="top" wrapText="1"/>
      <protection hidden="1"/>
    </xf>
    <xf numFmtId="170" fontId="2" fillId="6" borderId="0" xfId="0" applyNumberFormat="1" applyFont="1" applyFill="1" applyBorder="1" applyAlignment="1" applyProtection="1">
      <alignment horizontal="center" vertical="top"/>
      <protection hidden="1"/>
    </xf>
    <xf numFmtId="0" fontId="17" fillId="6" borderId="1" xfId="0" applyFont="1" applyFill="1" applyBorder="1" applyProtection="1">
      <protection hidden="1"/>
    </xf>
    <xf numFmtId="0" fontId="17" fillId="6" borderId="0" xfId="0" applyFont="1" applyFill="1" applyBorder="1" applyAlignment="1" applyProtection="1">
      <alignment vertical="top"/>
      <protection hidden="1"/>
    </xf>
    <xf numFmtId="0" fontId="17" fillId="6" borderId="39" xfId="0" applyFont="1" applyFill="1" applyBorder="1" applyAlignment="1" applyProtection="1">
      <alignment vertical="top"/>
      <protection hidden="1"/>
    </xf>
    <xf numFmtId="0" fontId="2" fillId="6" borderId="27" xfId="0" applyFont="1" applyFill="1" applyBorder="1" applyAlignment="1" applyProtection="1">
      <alignment horizontal="center"/>
      <protection hidden="1"/>
    </xf>
    <xf numFmtId="0" fontId="2" fillId="19" borderId="41" xfId="0" applyFont="1" applyFill="1" applyBorder="1" applyAlignment="1" applyProtection="1">
      <alignment horizontal="left" vertical="top" wrapText="1"/>
      <protection locked="0" hidden="1"/>
    </xf>
    <xf numFmtId="0" fontId="11" fillId="6" borderId="2" xfId="0" applyFont="1" applyFill="1" applyBorder="1" applyProtection="1">
      <protection hidden="1"/>
    </xf>
    <xf numFmtId="0" fontId="11" fillId="19" borderId="27" xfId="0" applyFont="1" applyFill="1" applyBorder="1" applyAlignment="1" applyProtection="1">
      <alignment horizontal="center" wrapText="1"/>
      <protection hidden="1"/>
    </xf>
    <xf numFmtId="0" fontId="11" fillId="19" borderId="1" xfId="0" applyFont="1" applyFill="1" applyBorder="1" applyAlignment="1" applyProtection="1">
      <alignment horizontal="center" wrapText="1"/>
      <protection hidden="1"/>
    </xf>
    <xf numFmtId="0" fontId="1" fillId="6" borderId="2" xfId="0" applyFont="1" applyFill="1" applyBorder="1" applyAlignment="1" applyProtection="1">
      <alignment wrapText="1"/>
      <protection hidden="1"/>
    </xf>
    <xf numFmtId="0" fontId="1" fillId="6" borderId="0" xfId="0" applyFont="1" applyFill="1" applyProtection="1">
      <protection hidden="1"/>
    </xf>
    <xf numFmtId="0" fontId="0" fillId="6" borderId="0" xfId="0" applyFill="1" applyAlignment="1" applyProtection="1">
      <protection hidden="1"/>
    </xf>
    <xf numFmtId="0" fontId="0" fillId="6" borderId="5" xfId="0" applyFill="1" applyBorder="1" applyProtection="1">
      <protection hidden="1"/>
    </xf>
    <xf numFmtId="0" fontId="12" fillId="0" borderId="0" xfId="0" applyFont="1" applyAlignment="1" applyProtection="1">
      <alignment horizontal="center"/>
      <protection hidden="1"/>
    </xf>
    <xf numFmtId="0" fontId="0" fillId="6" borderId="0" xfId="0" applyFill="1" applyProtection="1">
      <protection hidden="1"/>
    </xf>
    <xf numFmtId="0" fontId="2" fillId="6" borderId="0" xfId="0" applyFont="1" applyFill="1" applyAlignment="1" applyProtection="1">
      <alignment horizontal="left"/>
      <protection hidden="1"/>
    </xf>
    <xf numFmtId="0" fontId="17" fillId="6" borderId="0" xfId="0" applyFont="1" applyFill="1" applyAlignment="1" applyProtection="1">
      <alignment horizontal="center" wrapText="1"/>
      <protection hidden="1"/>
    </xf>
    <xf numFmtId="0" fontId="17" fillId="6" borderId="1" xfId="0" applyFont="1" applyFill="1" applyBorder="1" applyAlignment="1" applyProtection="1">
      <alignment horizontal="center" wrapText="1"/>
      <protection hidden="1"/>
    </xf>
    <xf numFmtId="0" fontId="17" fillId="6" borderId="27" xfId="0" applyFont="1" applyFill="1" applyBorder="1" applyAlignment="1" applyProtection="1">
      <alignment horizontal="center" wrapText="1"/>
      <protection hidden="1"/>
    </xf>
    <xf numFmtId="0" fontId="11" fillId="19" borderId="1" xfId="0" applyFont="1" applyFill="1" applyBorder="1" applyAlignment="1" applyProtection="1">
      <alignment horizontal="left" wrapText="1"/>
      <protection hidden="1"/>
    </xf>
    <xf numFmtId="0" fontId="2" fillId="6" borderId="0" xfId="0" applyFont="1" applyFill="1" applyAlignment="1" applyProtection="1">
      <alignment horizontal="left"/>
      <protection hidden="1"/>
    </xf>
    <xf numFmtId="0" fontId="11" fillId="19" borderId="27" xfId="0" applyFont="1" applyFill="1" applyBorder="1" applyAlignment="1" applyProtection="1">
      <alignment horizontal="left"/>
      <protection hidden="1"/>
    </xf>
    <xf numFmtId="0" fontId="0" fillId="6" borderId="0" xfId="0" applyFill="1" applyProtection="1">
      <protection hidden="1"/>
    </xf>
    <xf numFmtId="0" fontId="0" fillId="6" borderId="28" xfId="0" applyFill="1" applyBorder="1" applyProtection="1">
      <protection hidden="1"/>
    </xf>
    <xf numFmtId="0" fontId="3" fillId="20" borderId="49" xfId="3" applyFill="1" applyBorder="1" applyAlignment="1" applyProtection="1">
      <alignment horizontal="left" vertical="top"/>
      <protection hidden="1"/>
    </xf>
    <xf numFmtId="0" fontId="3" fillId="20" borderId="50" xfId="3" applyFill="1" applyBorder="1" applyAlignment="1" applyProtection="1">
      <alignment horizontal="left" vertical="top"/>
      <protection hidden="1"/>
    </xf>
    <xf numFmtId="0" fontId="3" fillId="2" borderId="49" xfId="3" applyFill="1" applyBorder="1" applyAlignment="1" applyProtection="1">
      <alignment horizontal="left" vertical="top"/>
      <protection hidden="1"/>
    </xf>
    <xf numFmtId="0" fontId="3" fillId="2" borderId="50" xfId="3" applyFill="1" applyBorder="1" applyAlignment="1" applyProtection="1">
      <alignment horizontal="left" vertical="top"/>
      <protection hidden="1"/>
    </xf>
    <xf numFmtId="3" fontId="3" fillId="16" borderId="49" xfId="4" applyFill="1" applyBorder="1" applyAlignment="1" applyProtection="1">
      <alignment horizontal="left" vertical="top"/>
      <protection hidden="1"/>
    </xf>
    <xf numFmtId="3" fontId="3" fillId="16" borderId="50" xfId="4" applyFill="1" applyBorder="1" applyAlignment="1" applyProtection="1">
      <alignment horizontal="left" vertical="top"/>
      <protection hidden="1"/>
    </xf>
    <xf numFmtId="0" fontId="16" fillId="6" borderId="0" xfId="0" applyFont="1" applyFill="1" applyAlignment="1" applyProtection="1">
      <alignment horizontal="left" vertical="top" wrapText="1"/>
      <protection hidden="1"/>
    </xf>
    <xf numFmtId="0" fontId="2" fillId="6" borderId="0" xfId="0" applyFont="1" applyFill="1" applyBorder="1" applyAlignment="1" applyProtection="1">
      <alignment horizontal="left" wrapText="1"/>
      <protection hidden="1"/>
    </xf>
    <xf numFmtId="0" fontId="2" fillId="6" borderId="2" xfId="0" applyFont="1" applyFill="1" applyBorder="1" applyAlignment="1" applyProtection="1">
      <alignment horizontal="left" wrapText="1"/>
      <protection hidden="1"/>
    </xf>
    <xf numFmtId="3" fontId="2" fillId="6" borderId="5" xfId="0" applyNumberFormat="1" applyFont="1" applyFill="1" applyBorder="1" applyAlignment="1" applyProtection="1">
      <alignment horizontal="center" vertical="center"/>
      <protection hidden="1"/>
    </xf>
    <xf numFmtId="0" fontId="1" fillId="6" borderId="5" xfId="0" applyFont="1" applyFill="1" applyBorder="1" applyAlignment="1" applyProtection="1">
      <alignment horizontal="center" wrapText="1"/>
      <protection hidden="1"/>
    </xf>
    <xf numFmtId="0" fontId="1" fillId="6" borderId="0" xfId="0" applyFont="1" applyFill="1" applyBorder="1" applyAlignment="1" applyProtection="1">
      <alignment horizontal="center" wrapText="1"/>
      <protection hidden="1"/>
    </xf>
    <xf numFmtId="0" fontId="2" fillId="6" borderId="0" xfId="0" applyFont="1" applyFill="1" applyBorder="1" applyAlignment="1" applyProtection="1">
      <alignment horizontal="center" wrapText="1"/>
      <protection hidden="1"/>
    </xf>
    <xf numFmtId="0" fontId="2" fillId="6" borderId="1" xfId="0" applyFont="1" applyFill="1" applyBorder="1" applyAlignment="1" applyProtection="1">
      <alignment horizontal="center" wrapText="1"/>
      <protection hidden="1"/>
    </xf>
    <xf numFmtId="0" fontId="2" fillId="6" borderId="5" xfId="0" applyFont="1" applyFill="1" applyBorder="1" applyAlignment="1" applyProtection="1">
      <alignment horizontal="center" wrapText="1"/>
      <protection hidden="1"/>
    </xf>
    <xf numFmtId="0" fontId="2" fillId="6" borderId="27" xfId="0" applyFont="1" applyFill="1" applyBorder="1" applyAlignment="1" applyProtection="1">
      <alignment horizontal="center" wrapText="1"/>
      <protection hidden="1"/>
    </xf>
    <xf numFmtId="0" fontId="1" fillId="6" borderId="27" xfId="0" applyFont="1" applyFill="1" applyBorder="1" applyAlignment="1" applyProtection="1">
      <alignment horizontal="center" wrapText="1"/>
      <protection hidden="1"/>
    </xf>
    <xf numFmtId="0" fontId="1" fillId="6" borderId="1" xfId="0" applyFont="1" applyFill="1" applyBorder="1" applyAlignment="1" applyProtection="1">
      <alignment horizontal="center" wrapText="1"/>
      <protection hidden="1"/>
    </xf>
    <xf numFmtId="0" fontId="2" fillId="6" borderId="46" xfId="0" applyFont="1" applyFill="1" applyBorder="1" applyAlignment="1" applyProtection="1">
      <alignment horizontal="left" vertical="top" wrapText="1"/>
      <protection hidden="1"/>
    </xf>
    <xf numFmtId="0" fontId="2" fillId="6" borderId="0" xfId="0" applyFont="1" applyFill="1" applyBorder="1" applyAlignment="1" applyProtection="1">
      <alignment horizontal="left" vertical="top" wrapText="1"/>
      <protection hidden="1"/>
    </xf>
    <xf numFmtId="3" fontId="2" fillId="6" borderId="47" xfId="0" applyNumberFormat="1" applyFont="1" applyFill="1" applyBorder="1" applyAlignment="1" applyProtection="1">
      <alignment horizontal="center" vertical="top"/>
      <protection hidden="1"/>
    </xf>
    <xf numFmtId="3" fontId="2" fillId="6" borderId="5" xfId="0" applyNumberFormat="1" applyFont="1" applyFill="1" applyBorder="1" applyAlignment="1" applyProtection="1">
      <alignment horizontal="center" vertical="top"/>
      <protection hidden="1"/>
    </xf>
    <xf numFmtId="3" fontId="2" fillId="6" borderId="46" xfId="0" applyNumberFormat="1" applyFont="1" applyFill="1" applyBorder="1" applyAlignment="1" applyProtection="1">
      <alignment horizontal="center" vertical="top"/>
      <protection hidden="1"/>
    </xf>
    <xf numFmtId="3" fontId="2" fillId="6" borderId="0" xfId="0" applyNumberFormat="1" applyFont="1" applyFill="1" applyBorder="1" applyAlignment="1" applyProtection="1">
      <alignment horizontal="center" vertical="top"/>
      <protection hidden="1"/>
    </xf>
    <xf numFmtId="0" fontId="15" fillId="6" borderId="0" xfId="0" applyFont="1" applyFill="1" applyAlignment="1" applyProtection="1">
      <alignment horizontal="left" vertical="top" wrapText="1"/>
      <protection hidden="1"/>
    </xf>
    <xf numFmtId="0" fontId="2" fillId="6" borderId="0" xfId="0" applyFont="1" applyFill="1" applyAlignment="1" applyProtection="1">
      <alignment horizontal="center" wrapText="1"/>
      <protection hidden="1"/>
    </xf>
    <xf numFmtId="0" fontId="17" fillId="6" borderId="0" xfId="0" applyFont="1" applyFill="1" applyAlignment="1" applyProtection="1">
      <alignment horizontal="center" wrapText="1"/>
      <protection hidden="1"/>
    </xf>
    <xf numFmtId="0" fontId="17" fillId="6" borderId="1" xfId="0" applyFont="1" applyFill="1" applyBorder="1" applyAlignment="1" applyProtection="1">
      <alignment horizontal="center" wrapText="1"/>
      <protection hidden="1"/>
    </xf>
    <xf numFmtId="0" fontId="12" fillId="6" borderId="0" xfId="0" applyFont="1" applyFill="1" applyAlignment="1" applyProtection="1">
      <alignment horizontal="left" wrapText="1"/>
      <protection hidden="1"/>
    </xf>
    <xf numFmtId="0" fontId="39" fillId="6" borderId="2" xfId="0" applyFont="1" applyFill="1" applyBorder="1" applyAlignment="1" applyProtection="1">
      <alignment horizontal="center"/>
      <protection hidden="1"/>
    </xf>
    <xf numFmtId="0" fontId="39" fillId="6" borderId="3" xfId="0" applyFont="1" applyFill="1" applyBorder="1" applyAlignment="1" applyProtection="1">
      <alignment horizontal="center"/>
      <protection hidden="1"/>
    </xf>
    <xf numFmtId="0" fontId="17" fillId="6" borderId="5" xfId="0" applyFont="1" applyFill="1" applyBorder="1" applyAlignment="1" applyProtection="1">
      <alignment horizontal="center" wrapText="1"/>
      <protection hidden="1"/>
    </xf>
    <xf numFmtId="0" fontId="17" fillId="6" borderId="27" xfId="0" applyFont="1" applyFill="1" applyBorder="1" applyAlignment="1" applyProtection="1">
      <alignment horizontal="center" wrapText="1"/>
      <protection hidden="1"/>
    </xf>
    <xf numFmtId="0" fontId="17" fillId="6" borderId="0" xfId="0" applyFont="1" applyFill="1" applyAlignment="1" applyProtection="1">
      <alignment horizontal="left" vertical="top" wrapText="1"/>
      <protection hidden="1"/>
    </xf>
    <xf numFmtId="0" fontId="17" fillId="6" borderId="2" xfId="0" applyFont="1" applyFill="1" applyBorder="1" applyAlignment="1" applyProtection="1">
      <alignment horizontal="left" vertical="top" wrapText="1"/>
      <protection hidden="1"/>
    </xf>
    <xf numFmtId="0" fontId="1" fillId="6" borderId="0" xfId="0" applyFont="1" applyFill="1" applyAlignment="1" applyProtection="1">
      <alignment horizontal="center" wrapText="1"/>
      <protection hidden="1"/>
    </xf>
    <xf numFmtId="0" fontId="12" fillId="0" borderId="0" xfId="0" applyFont="1" applyAlignment="1" applyProtection="1">
      <alignment horizontal="center"/>
      <protection hidden="1"/>
    </xf>
    <xf numFmtId="0" fontId="12" fillId="15" borderId="11" xfId="0" applyFont="1" applyFill="1" applyBorder="1" applyAlignment="1" applyProtection="1">
      <alignment horizontal="center"/>
      <protection hidden="1"/>
    </xf>
    <xf numFmtId="0" fontId="12" fillId="15" borderId="0" xfId="0" applyFont="1" applyFill="1" applyAlignment="1" applyProtection="1">
      <alignment horizontal="center"/>
      <protection hidden="1"/>
    </xf>
    <xf numFmtId="0" fontId="12" fillId="15" borderId="10" xfId="0" applyFont="1" applyFill="1" applyBorder="1" applyAlignment="1" applyProtection="1">
      <alignment horizontal="center"/>
      <protection hidden="1"/>
    </xf>
    <xf numFmtId="0" fontId="18" fillId="5" borderId="11" xfId="0" applyFont="1" applyFill="1" applyBorder="1" applyAlignment="1" applyProtection="1">
      <alignment horizontal="center"/>
      <protection hidden="1"/>
    </xf>
    <xf numFmtId="0" fontId="18" fillId="5" borderId="0" xfId="0" applyFont="1" applyFill="1" applyAlignment="1" applyProtection="1">
      <alignment horizontal="center"/>
      <protection hidden="1"/>
    </xf>
    <xf numFmtId="0" fontId="18" fillId="5" borderId="10" xfId="0" applyFont="1" applyFill="1" applyBorder="1" applyAlignment="1" applyProtection="1">
      <alignment horizontal="center"/>
      <protection hidden="1"/>
    </xf>
    <xf numFmtId="0" fontId="18" fillId="13" borderId="11" xfId="0" applyFont="1" applyFill="1" applyBorder="1" applyAlignment="1" applyProtection="1">
      <alignment horizontal="center"/>
      <protection hidden="1"/>
    </xf>
    <xf numFmtId="0" fontId="18" fillId="13" borderId="0" xfId="0" applyFont="1" applyFill="1" applyAlignment="1" applyProtection="1">
      <alignment horizontal="center"/>
      <protection hidden="1"/>
    </xf>
    <xf numFmtId="0" fontId="18" fillId="13" borderId="10" xfId="0" applyFont="1" applyFill="1" applyBorder="1" applyAlignment="1" applyProtection="1">
      <alignment horizontal="center"/>
      <protection hidden="1"/>
    </xf>
    <xf numFmtId="0" fontId="12" fillId="7" borderId="11" xfId="0" applyFont="1" applyFill="1" applyBorder="1" applyAlignment="1" applyProtection="1">
      <alignment horizontal="center"/>
      <protection hidden="1"/>
    </xf>
    <xf numFmtId="0" fontId="12" fillId="7" borderId="0" xfId="0" applyFont="1" applyFill="1" applyAlignment="1" applyProtection="1">
      <alignment horizontal="center"/>
      <protection hidden="1"/>
    </xf>
    <xf numFmtId="0" fontId="12" fillId="7" borderId="10" xfId="0" applyFont="1" applyFill="1" applyBorder="1" applyAlignment="1" applyProtection="1">
      <alignment horizontal="center"/>
      <protection hidden="1"/>
    </xf>
    <xf numFmtId="0" fontId="12" fillId="7" borderId="2" xfId="0" applyFont="1" applyFill="1" applyBorder="1" applyAlignment="1" applyProtection="1">
      <alignment horizontal="center"/>
      <protection hidden="1"/>
    </xf>
    <xf numFmtId="0" fontId="12" fillId="7" borderId="5" xfId="0" applyFont="1" applyFill="1" applyBorder="1" applyAlignment="1" applyProtection="1">
      <alignment horizontal="center"/>
      <protection hidden="1"/>
    </xf>
    <xf numFmtId="0" fontId="5" fillId="9" borderId="0" xfId="0" applyFont="1" applyFill="1" applyAlignment="1" applyProtection="1">
      <alignment horizontal="center"/>
      <protection hidden="1"/>
    </xf>
    <xf numFmtId="0" fontId="0" fillId="13" borderId="0" xfId="0" applyFill="1" applyAlignment="1" applyProtection="1">
      <alignment horizontal="center"/>
      <protection hidden="1"/>
    </xf>
    <xf numFmtId="0" fontId="5" fillId="5" borderId="0" xfId="0" applyFont="1" applyFill="1" applyAlignment="1" applyProtection="1">
      <alignment horizontal="center"/>
      <protection hidden="1"/>
    </xf>
    <xf numFmtId="0" fontId="5" fillId="15" borderId="0" xfId="0" applyFont="1" applyFill="1" applyAlignment="1" applyProtection="1">
      <alignment horizontal="center"/>
      <protection hidden="1"/>
    </xf>
    <xf numFmtId="0" fontId="5" fillId="14" borderId="0" xfId="0" applyFont="1" applyFill="1" applyAlignment="1" applyProtection="1">
      <alignment horizontal="center"/>
      <protection hidden="1"/>
    </xf>
    <xf numFmtId="0" fontId="5" fillId="4" borderId="0" xfId="0" applyFont="1" applyFill="1" applyAlignment="1" applyProtection="1">
      <alignment horizontal="center"/>
      <protection hidden="1"/>
    </xf>
    <xf numFmtId="0" fontId="4" fillId="0" borderId="0" xfId="0" applyFont="1" applyAlignment="1" applyProtection="1">
      <alignment horizontal="center"/>
      <protection hidden="1"/>
    </xf>
    <xf numFmtId="0" fontId="0" fillId="0" borderId="27" xfId="0" applyBorder="1" applyAlignment="1" applyProtection="1">
      <alignment horizontal="center" wrapText="1"/>
      <protection hidden="1"/>
    </xf>
    <xf numFmtId="0" fontId="0" fillId="0" borderId="1" xfId="0" applyBorder="1" applyAlignment="1" applyProtection="1">
      <alignment horizontal="center" wrapText="1"/>
      <protection hidden="1"/>
    </xf>
    <xf numFmtId="0" fontId="0" fillId="0" borderId="3" xfId="0" applyBorder="1" applyAlignment="1" applyProtection="1">
      <alignment horizontal="center" wrapText="1"/>
      <protection hidden="1"/>
    </xf>
    <xf numFmtId="0" fontId="0" fillId="0" borderId="27" xfId="0" applyBorder="1" applyAlignment="1" applyProtection="1">
      <alignment horizontal="center"/>
      <protection hidden="1"/>
    </xf>
    <xf numFmtId="0" fontId="0" fillId="0" borderId="1" xfId="0" applyBorder="1" applyAlignment="1" applyProtection="1">
      <alignment horizontal="center"/>
      <protection hidden="1"/>
    </xf>
    <xf numFmtId="0" fontId="0" fillId="0" borderId="3" xfId="0" applyBorder="1" applyAlignment="1" applyProtection="1">
      <alignment horizontal="center"/>
      <protection hidden="1"/>
    </xf>
    <xf numFmtId="0" fontId="11" fillId="19" borderId="5" xfId="0" applyFont="1" applyFill="1" applyBorder="1" applyAlignment="1" applyProtection="1">
      <alignment horizontal="center"/>
      <protection hidden="1"/>
    </xf>
    <xf numFmtId="0" fontId="11" fillId="19" borderId="0" xfId="0" applyFont="1" applyFill="1" applyAlignment="1" applyProtection="1">
      <alignment horizontal="center"/>
      <protection hidden="1"/>
    </xf>
    <xf numFmtId="0" fontId="11" fillId="19" borderId="2" xfId="0" applyFont="1" applyFill="1" applyBorder="1" applyAlignment="1" applyProtection="1">
      <alignment horizontal="center"/>
      <protection hidden="1"/>
    </xf>
    <xf numFmtId="0" fontId="11" fillId="19" borderId="5" xfId="0" applyFont="1" applyFill="1" applyBorder="1" applyAlignment="1" applyProtection="1">
      <alignment horizontal="left"/>
      <protection hidden="1"/>
    </xf>
    <xf numFmtId="0" fontId="11" fillId="19" borderId="0" xfId="0" applyFont="1" applyFill="1" applyAlignment="1" applyProtection="1">
      <alignment horizontal="left"/>
      <protection hidden="1"/>
    </xf>
    <xf numFmtId="0" fontId="11" fillId="19" borderId="27" xfId="0" applyFont="1" applyFill="1" applyBorder="1" applyAlignment="1" applyProtection="1">
      <alignment horizontal="left"/>
      <protection hidden="1"/>
    </xf>
    <xf numFmtId="0" fontId="11" fillId="19" borderId="1" xfId="0" applyFont="1" applyFill="1" applyBorder="1" applyAlignment="1" applyProtection="1">
      <alignment horizontal="left"/>
      <protection hidden="1"/>
    </xf>
    <xf numFmtId="0" fontId="0" fillId="6" borderId="0" xfId="0" applyFill="1" applyProtection="1">
      <protection hidden="1"/>
    </xf>
    <xf numFmtId="0" fontId="11" fillId="19" borderId="48" xfId="0" applyFont="1" applyFill="1" applyBorder="1" applyAlignment="1" applyProtection="1">
      <alignment horizontal="center" wrapText="1"/>
      <protection hidden="1"/>
    </xf>
    <xf numFmtId="0" fontId="11" fillId="19" borderId="6" xfId="0" applyFont="1" applyFill="1" applyBorder="1" applyAlignment="1" applyProtection="1">
      <alignment horizontal="center" wrapText="1"/>
      <protection hidden="1"/>
    </xf>
    <xf numFmtId="0" fontId="0" fillId="6" borderId="28" xfId="0" applyFill="1" applyBorder="1" applyProtection="1">
      <protection hidden="1"/>
    </xf>
    <xf numFmtId="0" fontId="0" fillId="6" borderId="34" xfId="0" applyFill="1" applyBorder="1" applyProtection="1">
      <protection hidden="1"/>
    </xf>
    <xf numFmtId="0" fontId="2" fillId="6" borderId="34" xfId="0" applyFont="1" applyFill="1" applyBorder="1" applyAlignment="1" applyProtection="1">
      <alignment horizontal="left" vertical="top" wrapText="1"/>
      <protection hidden="1"/>
    </xf>
    <xf numFmtId="0" fontId="2" fillId="6" borderId="0" xfId="0" applyFont="1" applyFill="1" applyAlignment="1" applyProtection="1">
      <alignment horizontal="left" vertical="top" wrapText="1"/>
      <protection hidden="1"/>
    </xf>
    <xf numFmtId="0" fontId="11" fillId="19" borderId="1" xfId="0" applyFont="1" applyFill="1" applyBorder="1" applyAlignment="1" applyProtection="1">
      <alignment horizontal="left" wrapText="1"/>
      <protection hidden="1"/>
    </xf>
    <xf numFmtId="0" fontId="11" fillId="19" borderId="3" xfId="0" applyFont="1" applyFill="1" applyBorder="1" applyAlignment="1" applyProtection="1">
      <alignment horizontal="left" wrapText="1"/>
      <protection hidden="1"/>
    </xf>
    <xf numFmtId="0" fontId="2" fillId="6" borderId="34" xfId="0" applyFont="1" applyFill="1" applyBorder="1" applyAlignment="1" applyProtection="1">
      <alignment horizontal="left" wrapText="1"/>
      <protection hidden="1"/>
    </xf>
    <xf numFmtId="0" fontId="2" fillId="6" borderId="37" xfId="0" applyFont="1" applyFill="1" applyBorder="1" applyAlignment="1" applyProtection="1">
      <alignment horizontal="left" wrapText="1"/>
      <protection hidden="1"/>
    </xf>
    <xf numFmtId="0" fontId="2" fillId="6" borderId="0" xfId="0" applyFont="1" applyFill="1" applyAlignment="1" applyProtection="1">
      <alignment horizontal="left" wrapText="1"/>
      <protection hidden="1"/>
    </xf>
    <xf numFmtId="1" fontId="2" fillId="6" borderId="1" xfId="0" applyNumberFormat="1" applyFont="1" applyFill="1" applyBorder="1" applyAlignment="1" applyProtection="1">
      <alignment horizontal="left" wrapText="1"/>
      <protection hidden="1"/>
    </xf>
    <xf numFmtId="1" fontId="2" fillId="6" borderId="3" xfId="0" applyNumberFormat="1" applyFont="1" applyFill="1" applyBorder="1" applyAlignment="1" applyProtection="1">
      <alignment horizontal="left" wrapText="1"/>
      <protection hidden="1"/>
    </xf>
    <xf numFmtId="0" fontId="2" fillId="6" borderId="1" xfId="0" applyFont="1" applyFill="1" applyBorder="1" applyAlignment="1" applyProtection="1">
      <alignment horizontal="left" vertical="top" wrapText="1"/>
      <protection hidden="1"/>
    </xf>
    <xf numFmtId="0" fontId="2" fillId="6" borderId="34" xfId="0" applyFont="1" applyFill="1" applyBorder="1" applyAlignment="1" applyProtection="1">
      <alignment horizontal="left"/>
      <protection hidden="1"/>
    </xf>
    <xf numFmtId="0" fontId="2" fillId="6" borderId="37" xfId="0" applyFont="1" applyFill="1" applyBorder="1" applyAlignment="1" applyProtection="1">
      <alignment horizontal="left"/>
      <protection hidden="1"/>
    </xf>
    <xf numFmtId="0" fontId="2" fillId="6" borderId="0" xfId="0" applyFont="1" applyFill="1" applyAlignment="1" applyProtection="1">
      <alignment horizontal="left"/>
      <protection hidden="1"/>
    </xf>
    <xf numFmtId="0" fontId="2" fillId="6" borderId="2" xfId="0" applyFont="1" applyFill="1" applyBorder="1" applyAlignment="1" applyProtection="1">
      <alignment horizontal="left"/>
      <protection hidden="1"/>
    </xf>
    <xf numFmtId="0" fontId="2" fillId="6" borderId="1" xfId="0" applyFont="1" applyFill="1" applyBorder="1" applyAlignment="1" applyProtection="1">
      <alignment horizontal="left"/>
      <protection hidden="1"/>
    </xf>
    <xf numFmtId="0" fontId="2" fillId="6" borderId="3" xfId="0" applyFont="1" applyFill="1" applyBorder="1" applyAlignment="1" applyProtection="1">
      <alignment horizontal="left"/>
      <protection hidden="1"/>
    </xf>
    <xf numFmtId="0" fontId="2" fillId="6" borderId="53" xfId="0" applyFont="1" applyFill="1" applyBorder="1" applyAlignment="1" applyProtection="1">
      <alignment horizontal="left" wrapText="1"/>
      <protection hidden="1"/>
    </xf>
    <xf numFmtId="0" fontId="2" fillId="6" borderId="54" xfId="0" applyFont="1" applyFill="1" applyBorder="1" applyAlignment="1" applyProtection="1">
      <alignment horizontal="left" wrapText="1"/>
      <protection hidden="1"/>
    </xf>
  </cellXfs>
  <cellStyles count="5">
    <cellStyle name="Hyperlink" xfId="2" builtinId="8"/>
    <cellStyle name="Input_String" xfId="3" xr:uid="{9AC6AB4B-6221-4EC1-B11C-8BA01E0C0FDE}"/>
    <cellStyle name="Normal" xfId="0" builtinId="0"/>
    <cellStyle name="Output_Zahl" xfId="4" xr:uid="{F741081D-A581-4A00-98C4-06BB2ED73937}"/>
    <cellStyle name="Percent" xfId="1" builtinId="5"/>
  </cellStyles>
  <dxfs count="15">
    <dxf>
      <fill>
        <patternFill>
          <bgColor theme="0"/>
        </patternFill>
      </fill>
      <border>
        <left/>
        <right/>
        <bottom/>
        <vertical/>
        <horizontal/>
      </border>
    </dxf>
    <dxf>
      <fill>
        <patternFill>
          <bgColor theme="0" tint="-0.14996795556505021"/>
        </patternFill>
      </fill>
    </dxf>
    <dxf>
      <numFmt numFmtId="171" formatCode="0;\-0;&quot;-&quot;;@"/>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s>
  <tableStyles count="0" defaultTableStyle="TableStyleMedium2" defaultPivotStyle="PivotStyleLight16"/>
  <colors>
    <mruColors>
      <color rgb="FFFFEACD"/>
      <color rgb="FF69ACDF"/>
      <color rgb="FFDFEEF9"/>
      <color rgb="FFFDDDCC"/>
      <color rgb="FF99A93A"/>
      <color rgb="FFA5CDEC"/>
      <color rgb="FFD58EBE"/>
      <color rgb="FF592147"/>
      <color rgb="FFC8D481"/>
      <color rgb="FFEAC6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80338164251207"/>
          <c:y val="0.12159296296296296"/>
          <c:w val="0.51553107015565802"/>
          <c:h val="0.77976072283349263"/>
        </c:manualLayout>
      </c:layout>
      <c:barChart>
        <c:barDir val="col"/>
        <c:grouping val="stacked"/>
        <c:varyColors val="0"/>
        <c:ser>
          <c:idx val="9"/>
          <c:order val="2"/>
          <c:tx>
            <c:strRef>
              <c:f>'3a. Detailierte Ergebnisse'!$E$5</c:f>
              <c:strCache>
                <c:ptCount val="1"/>
                <c:pt idx="0">
                  <c:v>Acquisition (déduction faite de la valeur résiduelle)</c:v>
                </c:pt>
              </c:strCache>
            </c:strRef>
          </c:tx>
          <c:spPr>
            <a:solidFill>
              <a:srgbClr val="592147"/>
            </a:solidFill>
            <a:ln w="6350">
              <a:solidFill>
                <a:srgbClr val="FFFFFF"/>
              </a:solidFill>
            </a:ln>
          </c:spPr>
          <c:invertIfNegative val="0"/>
          <c:cat>
            <c:strRef>
              <c:f>'3a. Detailierte Ergebnisse'!$F$2:$G$2</c:f>
              <c:strCache>
                <c:ptCount val="2"/>
                <c:pt idx="0">
                  <c:v>Véhicule électrique</c:v>
                </c:pt>
                <c:pt idx="1">
                  <c:v>Véhicule thermique</c:v>
                </c:pt>
              </c:strCache>
            </c:strRef>
          </c:cat>
          <c:val>
            <c:numRef>
              <c:f>'3a. Detailierte Ergebnisse'!$F$5:$G$5</c:f>
              <c:numCache>
                <c:formatCode>#,##0.00</c:formatCode>
                <c:ptCount val="2"/>
                <c:pt idx="0">
                  <c:v>0.20156705017829127</c:v>
                </c:pt>
                <c:pt idx="1">
                  <c:v>0.18822818266600794</c:v>
                </c:pt>
              </c:numCache>
            </c:numRef>
          </c:val>
          <c:extLst>
            <c:ext xmlns:c16="http://schemas.microsoft.com/office/drawing/2014/chart" uri="{C3380CC4-5D6E-409C-BE32-E72D297353CC}">
              <c16:uniqueId val="{00000003-A064-4C03-B7BF-3473EA213F78}"/>
            </c:ext>
          </c:extLst>
        </c:ser>
        <c:ser>
          <c:idx val="2"/>
          <c:order val="3"/>
          <c:tx>
            <c:strRef>
              <c:f>'3a. Detailierte Ergebnisse'!$E$6</c:f>
              <c:strCache>
                <c:ptCount val="1"/>
                <c:pt idx="0">
                  <c:v>Service et réparations</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Ergebnisse'!$F$6:$G$6</c:f>
              <c:numCache>
                <c:formatCode>#,##0.00</c:formatCode>
                <c:ptCount val="2"/>
                <c:pt idx="0">
                  <c:v>2.3231865017564812E-2</c:v>
                </c:pt>
                <c:pt idx="1">
                  <c:v>4.6463730035129623E-2</c:v>
                </c:pt>
              </c:numCache>
            </c:numRef>
          </c:val>
          <c:extLst>
            <c:ext xmlns:c16="http://schemas.microsoft.com/office/drawing/2014/chart" uri="{C3380CC4-5D6E-409C-BE32-E72D297353CC}">
              <c16:uniqueId val="{00000002-4FC6-4F67-A7F0-BAA95D27AECC}"/>
            </c:ext>
          </c:extLst>
        </c:ser>
        <c:ser>
          <c:idx val="5"/>
          <c:order val="4"/>
          <c:tx>
            <c:strRef>
              <c:f>'3a. Detailierte Ergebnisse'!$E$7</c:f>
              <c:strCache>
                <c:ptCount val="1"/>
                <c:pt idx="0">
                  <c:v>Pneus</c:v>
                </c:pt>
              </c:strCache>
            </c:strRef>
          </c:tx>
          <c:spPr>
            <a:solidFill>
              <a:srgbClr val="69ACDF">
                <a:lumMod val="40000"/>
                <a:lumOff val="6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Ergebnisse'!$F$7:$G$7</c:f>
              <c:numCache>
                <c:formatCode>#,##0.00</c:formatCode>
                <c:ptCount val="2"/>
                <c:pt idx="0">
                  <c:v>1.6798425474239171E-2</c:v>
                </c:pt>
                <c:pt idx="1">
                  <c:v>1.4296532318501422E-2</c:v>
                </c:pt>
              </c:numCache>
            </c:numRef>
          </c:val>
          <c:extLst>
            <c:ext xmlns:c16="http://schemas.microsoft.com/office/drawing/2014/chart" uri="{C3380CC4-5D6E-409C-BE32-E72D297353CC}">
              <c16:uniqueId val="{00000003-4FC6-4F67-A7F0-BAA95D27AECC}"/>
            </c:ext>
          </c:extLst>
        </c:ser>
        <c:ser>
          <c:idx val="3"/>
          <c:order val="5"/>
          <c:tx>
            <c:strRef>
              <c:f>'3a. Detailierte Ergebnisse'!$E$8</c:f>
              <c:strCache>
                <c:ptCount val="1"/>
                <c:pt idx="0">
                  <c:v>Énergie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Ergebnisse'!$F$8:$G$8</c:f>
              <c:numCache>
                <c:formatCode>#,##0.00</c:formatCode>
                <c:ptCount val="2"/>
                <c:pt idx="0">
                  <c:v>3.7418790588291048E-2</c:v>
                </c:pt>
                <c:pt idx="1">
                  <c:v>9.7016268313350654E-2</c:v>
                </c:pt>
              </c:numCache>
            </c:numRef>
          </c:val>
          <c:extLst>
            <c:ext xmlns:c16="http://schemas.microsoft.com/office/drawing/2014/chart" uri="{C3380CC4-5D6E-409C-BE32-E72D297353CC}">
              <c16:uniqueId val="{00000004-4FC6-4F67-A7F0-BAA95D27AECC}"/>
            </c:ext>
          </c:extLst>
        </c:ser>
        <c:ser>
          <c:idx val="6"/>
          <c:order val="6"/>
          <c:tx>
            <c:strRef>
              <c:f>'3a. Detailierte Ergebnisse'!$E$9</c:f>
              <c:strCache>
                <c:ptCount val="1"/>
                <c:pt idx="0">
                  <c:v>Infrastructure de recharge</c:v>
                </c:pt>
              </c:strCache>
            </c:strRef>
          </c:tx>
          <c:spPr>
            <a:solidFill>
              <a:srgbClr val="F7A823">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Ergebnisse'!$F$9:$G$9</c:f>
              <c:numCache>
                <c:formatCode>#,##0.00</c:formatCode>
                <c:ptCount val="2"/>
                <c:pt idx="0">
                  <c:v>1.6544414774847138E-2</c:v>
                </c:pt>
                <c:pt idx="1">
                  <c:v>0</c:v>
                </c:pt>
              </c:numCache>
            </c:numRef>
          </c:val>
          <c:extLst>
            <c:ext xmlns:c16="http://schemas.microsoft.com/office/drawing/2014/chart" uri="{C3380CC4-5D6E-409C-BE32-E72D297353CC}">
              <c16:uniqueId val="{00000005-4FC6-4F67-A7F0-BAA95D27AECC}"/>
            </c:ext>
          </c:extLst>
        </c:ser>
        <c:ser>
          <c:idx val="4"/>
          <c:order val="7"/>
          <c:tx>
            <c:strRef>
              <c:f>'3a. Detailierte Ergebnisse'!$E$10</c:f>
              <c:strCache>
                <c:ptCount val="1"/>
                <c:pt idx="0">
                  <c:v>Assurance</c:v>
                </c:pt>
              </c:strCache>
            </c:strRef>
          </c:tx>
          <c:spPr>
            <a:solidFill>
              <a:srgbClr val="99A93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Ergebnisse'!$F$10:$G$10</c:f>
              <c:numCache>
                <c:formatCode>#,##0.00</c:formatCode>
                <c:ptCount val="2"/>
                <c:pt idx="0">
                  <c:v>4.2889596955504261E-2</c:v>
                </c:pt>
                <c:pt idx="1">
                  <c:v>4.2889596955504261E-2</c:v>
                </c:pt>
              </c:numCache>
            </c:numRef>
          </c:val>
          <c:extLst>
            <c:ext xmlns:c16="http://schemas.microsoft.com/office/drawing/2014/chart" uri="{C3380CC4-5D6E-409C-BE32-E72D297353CC}">
              <c16:uniqueId val="{00000006-4FC6-4F67-A7F0-BAA95D27AECC}"/>
            </c:ext>
          </c:extLst>
        </c:ser>
        <c:ser>
          <c:idx val="7"/>
          <c:order val="8"/>
          <c:tx>
            <c:strRef>
              <c:f>'3a. Detailierte Ergebnisse'!$E$11</c:f>
              <c:strCache>
                <c:ptCount val="1"/>
                <c:pt idx="0">
                  <c:v>Gestion de flotte</c:v>
                </c:pt>
              </c:strCache>
            </c:strRef>
          </c:tx>
          <c:spPr>
            <a:solidFill>
              <a:srgbClr val="99A93A">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Ergebnisse'!$F$11:$G$11</c:f>
              <c:numCache>
                <c:formatCode>#,##0.00</c:formatCode>
                <c:ptCount val="2"/>
                <c:pt idx="0">
                  <c:v>1.4296532318501422E-2</c:v>
                </c:pt>
                <c:pt idx="1">
                  <c:v>1.4296532318501422E-2</c:v>
                </c:pt>
              </c:numCache>
            </c:numRef>
          </c:val>
          <c:extLst>
            <c:ext xmlns:c16="http://schemas.microsoft.com/office/drawing/2014/chart" uri="{C3380CC4-5D6E-409C-BE32-E72D297353CC}">
              <c16:uniqueId val="{00000007-4FC6-4F67-A7F0-BAA95D27AECC}"/>
            </c:ext>
          </c:extLst>
        </c:ser>
        <c:ser>
          <c:idx val="8"/>
          <c:order val="9"/>
          <c:tx>
            <c:v>blank</c:v>
          </c:tx>
          <c:invertIfNegative val="0"/>
          <c:dLbls>
            <c:dLbl>
              <c:idx val="0"/>
              <c:tx>
                <c:rich>
                  <a:bodyPr/>
                  <a:lstStyle/>
                  <a:p>
                    <a:fld id="{8F73FCA8-DC7E-4500-A276-A81DE7759488}"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064-4C03-B7BF-3473EA213F78}"/>
                </c:ext>
              </c:extLst>
            </c:dLbl>
            <c:dLbl>
              <c:idx val="1"/>
              <c:tx>
                <c:rich>
                  <a:bodyPr/>
                  <a:lstStyle/>
                  <a:p>
                    <a:fld id="{F5B69275-B6DD-4874-AC63-63119081D514}"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064-4C03-B7BF-3473EA213F78}"/>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Ergebnisse'!$F$2:$G$2</c:f>
              <c:strCache>
                <c:ptCount val="2"/>
                <c:pt idx="0">
                  <c:v>Véhicule électrique</c:v>
                </c:pt>
                <c:pt idx="1">
                  <c:v>Véhicule thermique</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Ergebnisse'!$F$13:$G$13</c15:f>
                <c15:dlblRangeCache>
                  <c:ptCount val="2"/>
                  <c:pt idx="0">
                    <c:v>0.35</c:v>
                  </c:pt>
                  <c:pt idx="1">
                    <c:v>0.40</c:v>
                  </c:pt>
                </c15:dlblRangeCache>
              </c15:datalabelsRange>
            </c:ext>
            <c:ext xmlns:c16="http://schemas.microsoft.com/office/drawing/2014/chart" uri="{C3380CC4-5D6E-409C-BE32-E72D297353CC}">
              <c16:uniqueId val="{00000000-A064-4C03-B7BF-3473EA213F78}"/>
            </c:ext>
          </c:extLst>
        </c:ser>
        <c:dLbls>
          <c:showLegendKey val="0"/>
          <c:showVal val="0"/>
          <c:showCatName val="0"/>
          <c:showSerName val="0"/>
          <c:showPercent val="0"/>
          <c:showBubbleSize val="0"/>
        </c:dLbls>
        <c:gapWidth val="200"/>
        <c:overlap val="100"/>
        <c:axId val="90716800"/>
        <c:axId val="90730880"/>
        <c:extLst>
          <c:ext xmlns:c15="http://schemas.microsoft.com/office/drawing/2012/chart" uri="{02D57815-91ED-43cb-92C2-25804820EDAC}">
            <c15:filteredBarSeries>
              <c15:ser>
                <c:idx val="0"/>
                <c:order val="0"/>
                <c:tx>
                  <c:strRef>
                    <c:extLst>
                      <c:ext uri="{02D57815-91ED-43cb-92C2-25804820EDAC}">
                        <c15:formulaRef>
                          <c15:sqref>'3a. Detailierte Ergebnisse'!$E$3</c15:sqref>
                        </c15:formulaRef>
                      </c:ext>
                    </c:extLst>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extLst>
                      <c:ext uri="{02D57815-91ED-43cb-92C2-25804820EDAC}">
                        <c15:formulaRef>
                          <c15:sqref>'3a. Detailierte Ergebnisse'!$F$2:$G$2</c15:sqref>
                        </c15:formulaRef>
                      </c:ext>
                    </c:extLst>
                    <c:strCache>
                      <c:ptCount val="2"/>
                      <c:pt idx="0">
                        <c:v>Véhicule électrique</c:v>
                      </c:pt>
                      <c:pt idx="1">
                        <c:v>Véhicule thermique</c:v>
                      </c:pt>
                    </c:strCache>
                  </c:strRef>
                </c:cat>
                <c:val>
                  <c:numRef>
                    <c:extLst>
                      <c:ext uri="{02D57815-91ED-43cb-92C2-25804820EDAC}">
                        <c15:formulaRef>
                          <c15:sqref>'3a. Detailierte Ergebnisse'!$F$3:$G$3</c15:sqref>
                        </c15:formulaRef>
                      </c:ext>
                    </c:extLst>
                    <c:numCache>
                      <c:formatCode>#,##0.00</c:formatCode>
                      <c:ptCount val="2"/>
                      <c:pt idx="0">
                        <c:v>0.27702778846153847</c:v>
                      </c:pt>
                      <c:pt idx="1">
                        <c:v>0.26172562499999996</c:v>
                      </c:pt>
                    </c:numCache>
                  </c:numRef>
                </c:val>
                <c:extLst>
                  <c:ext xmlns:c16="http://schemas.microsoft.com/office/drawing/2014/chart" uri="{C3380CC4-5D6E-409C-BE32-E72D297353CC}">
                    <c16:uniqueId val="{00000000-4FC6-4F67-A7F0-BAA95D27AEC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'3a. Detailierte Ergebnisse'!$E$4</c15:sqref>
                        </c15:formulaRef>
                      </c:ext>
                    </c:extLst>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extLst xmlns:c15="http://schemas.microsoft.com/office/drawing/2012/chart">
                      <c:ext xmlns:c15="http://schemas.microsoft.com/office/drawing/2012/chart" uri="{02D57815-91ED-43cb-92C2-25804820EDAC}">
                        <c15:formulaRef>
                          <c15:sqref>'3a. Detailierte Ergebnisse'!$F$2:$G$2</c15:sqref>
                        </c15:formulaRef>
                      </c:ext>
                    </c:extLst>
                    <c:strCache>
                      <c:ptCount val="2"/>
                      <c:pt idx="0">
                        <c:v>Véhicule électrique</c:v>
                      </c:pt>
                      <c:pt idx="1">
                        <c:v>Véhicule thermique</c:v>
                      </c:pt>
                    </c:strCache>
                  </c:strRef>
                </c:cat>
                <c:val>
                  <c:numRef>
                    <c:extLst xmlns:c15="http://schemas.microsoft.com/office/drawing/2012/chart">
                      <c:ext xmlns:c15="http://schemas.microsoft.com/office/drawing/2012/chart" uri="{02D57815-91ED-43cb-92C2-25804820EDAC}">
                        <c15:formulaRef>
                          <c15:sqref>'3a. Detailierte Ergebnisse'!$F$4:$G$4</c15:sqref>
                        </c15:formulaRef>
                      </c:ext>
                    </c:extLst>
                    <c:numCache>
                      <c:formatCode>#,##0.00</c:formatCode>
                      <c:ptCount val="2"/>
                      <c:pt idx="0">
                        <c:v>-7.5460738283247231E-2</c:v>
                      </c:pt>
                      <c:pt idx="1">
                        <c:v>-7.3497442333992025E-2</c:v>
                      </c:pt>
                    </c:numCache>
                  </c:numRef>
                </c:val>
                <c:extLst xmlns:c15="http://schemas.microsoft.com/office/drawing/2012/chart">
                  <c:ext xmlns:c16="http://schemas.microsoft.com/office/drawing/2014/chart" uri="{C3380CC4-5D6E-409C-BE32-E72D297353CC}">
                    <c16:uniqueId val="{00000001-4FC6-4F67-A7F0-BAA95D27AECC}"/>
                  </c:ext>
                </c:extLst>
              </c15:ser>
            </c15:filteredBarSeries>
          </c:ext>
        </c:extLst>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0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egendEntry>
        <c:idx val="0"/>
        <c:delete val="1"/>
      </c:legendEntry>
      <c:layout>
        <c:manualLayout>
          <c:xMode val="edge"/>
          <c:yMode val="edge"/>
          <c:x val="0.64459989508187543"/>
          <c:y val="0.13592972794311745"/>
          <c:w val="0.34812198583808007"/>
          <c:h val="0.74668644876778412"/>
        </c:manualLayout>
      </c:layout>
      <c:overlay val="0"/>
      <c:spPr>
        <a:noFill/>
        <a:ln>
          <a:noFill/>
        </a:ln>
        <a:effectLst/>
      </c:spPr>
      <c:txPr>
        <a:bodyPr rot="0" vert="horz"/>
        <a:lstStyle/>
        <a:p>
          <a:pPr>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55535381948957041"/>
          <c:h val="0.80101074010343376"/>
        </c:manualLayout>
      </c:layout>
      <c:barChart>
        <c:barDir val="col"/>
        <c:grouping val="stacked"/>
        <c:varyColors val="0"/>
        <c:ser>
          <c:idx val="0"/>
          <c:order val="0"/>
          <c:tx>
            <c:strRef>
              <c:f>'3a. Detailierte Ergebnisse'!$E$3</c:f>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Ergebnisse'!$F$3:$G$3</c:f>
              <c:numCache>
                <c:formatCode>#,##0.00</c:formatCode>
                <c:ptCount val="2"/>
                <c:pt idx="0">
                  <c:v>0.27702778846153847</c:v>
                </c:pt>
                <c:pt idx="1">
                  <c:v>0.26172562499999996</c:v>
                </c:pt>
              </c:numCache>
            </c:numRef>
          </c:val>
          <c:extLst>
            <c:ext xmlns:c16="http://schemas.microsoft.com/office/drawing/2014/chart" uri="{C3380CC4-5D6E-409C-BE32-E72D297353CC}">
              <c16:uniqueId val="{00000000-B033-4B25-8C30-DE5937812CC4}"/>
            </c:ext>
          </c:extLst>
        </c:ser>
        <c:ser>
          <c:idx val="1"/>
          <c:order val="1"/>
          <c:tx>
            <c:strRef>
              <c:f>'3a. Detailierte Ergebnisse'!$E$4</c:f>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Ergebnisse'!$F$4:$G$4</c:f>
              <c:numCache>
                <c:formatCode>#,##0.00</c:formatCode>
                <c:ptCount val="2"/>
                <c:pt idx="0">
                  <c:v>-7.5460738283247231E-2</c:v>
                </c:pt>
                <c:pt idx="1">
                  <c:v>-7.3497442333992025E-2</c:v>
                </c:pt>
              </c:numCache>
            </c:numRef>
          </c:val>
          <c:extLst>
            <c:ext xmlns:c16="http://schemas.microsoft.com/office/drawing/2014/chart" uri="{C3380CC4-5D6E-409C-BE32-E72D297353CC}">
              <c16:uniqueId val="{00000001-B033-4B25-8C30-DE5937812CC4}"/>
            </c:ext>
          </c:extLst>
        </c:ser>
        <c:ser>
          <c:idx val="2"/>
          <c:order val="2"/>
          <c:tx>
            <c:strRef>
              <c:f>'3a. Detailierte Ergebnisse'!$E$6</c:f>
              <c:strCache>
                <c:ptCount val="1"/>
                <c:pt idx="0">
                  <c:v>Service et réparations</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Ergebnisse'!$F$6:$G$6</c:f>
              <c:numCache>
                <c:formatCode>#,##0.00</c:formatCode>
                <c:ptCount val="2"/>
                <c:pt idx="0">
                  <c:v>2.3231865017564812E-2</c:v>
                </c:pt>
                <c:pt idx="1">
                  <c:v>4.6463730035129623E-2</c:v>
                </c:pt>
              </c:numCache>
            </c:numRef>
          </c:val>
          <c:extLst>
            <c:ext xmlns:c16="http://schemas.microsoft.com/office/drawing/2014/chart" uri="{C3380CC4-5D6E-409C-BE32-E72D297353CC}">
              <c16:uniqueId val="{00000002-B033-4B25-8C30-DE5937812CC4}"/>
            </c:ext>
          </c:extLst>
        </c:ser>
        <c:ser>
          <c:idx val="5"/>
          <c:order val="3"/>
          <c:tx>
            <c:strRef>
              <c:f>'3a. Detailierte Ergebnisse'!$E$7</c:f>
              <c:strCache>
                <c:ptCount val="1"/>
                <c:pt idx="0">
                  <c:v>Pneus</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Ergebnisse'!$F$7:$G$7</c:f>
              <c:numCache>
                <c:formatCode>#,##0.00</c:formatCode>
                <c:ptCount val="2"/>
                <c:pt idx="0">
                  <c:v>1.6798425474239171E-2</c:v>
                </c:pt>
                <c:pt idx="1">
                  <c:v>1.4296532318501422E-2</c:v>
                </c:pt>
              </c:numCache>
            </c:numRef>
          </c:val>
          <c:extLst>
            <c:ext xmlns:c16="http://schemas.microsoft.com/office/drawing/2014/chart" uri="{C3380CC4-5D6E-409C-BE32-E72D297353CC}">
              <c16:uniqueId val="{00000003-B033-4B25-8C30-DE5937812CC4}"/>
            </c:ext>
          </c:extLst>
        </c:ser>
        <c:ser>
          <c:idx val="3"/>
          <c:order val="4"/>
          <c:tx>
            <c:strRef>
              <c:f>'3a. Detailierte Ergebnisse'!$E$8</c:f>
              <c:strCache>
                <c:ptCount val="1"/>
                <c:pt idx="0">
                  <c:v>Énergie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Ergebnisse'!$F$8:$G$8</c:f>
              <c:numCache>
                <c:formatCode>#,##0.00</c:formatCode>
                <c:ptCount val="2"/>
                <c:pt idx="0">
                  <c:v>3.7418790588291048E-2</c:v>
                </c:pt>
                <c:pt idx="1">
                  <c:v>9.7016268313350654E-2</c:v>
                </c:pt>
              </c:numCache>
            </c:numRef>
          </c:val>
          <c:extLst>
            <c:ext xmlns:c16="http://schemas.microsoft.com/office/drawing/2014/chart" uri="{C3380CC4-5D6E-409C-BE32-E72D297353CC}">
              <c16:uniqueId val="{00000004-B033-4B25-8C30-DE5937812CC4}"/>
            </c:ext>
          </c:extLst>
        </c:ser>
        <c:ser>
          <c:idx val="6"/>
          <c:order val="5"/>
          <c:tx>
            <c:strRef>
              <c:f>'3a. Detailierte Ergebnisse'!$E$9</c:f>
              <c:strCache>
                <c:ptCount val="1"/>
                <c:pt idx="0">
                  <c:v>Infrastructure de recharge</c:v>
                </c:pt>
              </c:strCache>
            </c:strRef>
          </c:tx>
          <c:spPr>
            <a:solidFill>
              <a:srgbClr val="E0AE00"/>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Ergebnisse'!$F$9:$G$9</c:f>
              <c:numCache>
                <c:formatCode>#,##0.00</c:formatCode>
                <c:ptCount val="2"/>
                <c:pt idx="0">
                  <c:v>1.6544414774847138E-2</c:v>
                </c:pt>
                <c:pt idx="1">
                  <c:v>0</c:v>
                </c:pt>
              </c:numCache>
            </c:numRef>
          </c:val>
          <c:extLst>
            <c:ext xmlns:c16="http://schemas.microsoft.com/office/drawing/2014/chart" uri="{C3380CC4-5D6E-409C-BE32-E72D297353CC}">
              <c16:uniqueId val="{00000005-B033-4B25-8C30-DE5937812CC4}"/>
            </c:ext>
          </c:extLst>
        </c:ser>
        <c:ser>
          <c:idx val="4"/>
          <c:order val="6"/>
          <c:tx>
            <c:strRef>
              <c:f>'3a. Detailierte Ergebnisse'!$E$10</c:f>
              <c:strCache>
                <c:ptCount val="1"/>
                <c:pt idx="0">
                  <c:v>Assurance</c:v>
                </c:pt>
              </c:strCache>
            </c:strRef>
          </c:tx>
          <c:spPr>
            <a:solidFill>
              <a:srgbClr val="A3BD9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Ergebnisse'!$F$10:$G$10</c:f>
              <c:numCache>
                <c:formatCode>#,##0.00</c:formatCode>
                <c:ptCount val="2"/>
                <c:pt idx="0">
                  <c:v>4.2889596955504261E-2</c:v>
                </c:pt>
                <c:pt idx="1">
                  <c:v>4.2889596955504261E-2</c:v>
                </c:pt>
              </c:numCache>
            </c:numRef>
          </c:val>
          <c:extLst>
            <c:ext xmlns:c16="http://schemas.microsoft.com/office/drawing/2014/chart" uri="{C3380CC4-5D6E-409C-BE32-E72D297353CC}">
              <c16:uniqueId val="{00000006-B033-4B25-8C30-DE5937812CC4}"/>
            </c:ext>
          </c:extLst>
        </c:ser>
        <c:ser>
          <c:idx val="7"/>
          <c:order val="7"/>
          <c:tx>
            <c:strRef>
              <c:f>'3a. Detailierte Ergebnisse'!$E$11</c:f>
              <c:strCache>
                <c:ptCount val="1"/>
                <c:pt idx="0">
                  <c:v>Gestion de flotte</c:v>
                </c:pt>
              </c:strCache>
            </c:strRef>
          </c:tx>
          <c:spPr>
            <a:solidFill>
              <a:srgbClr val="558C4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Véhicule électrique</c:v>
                </c:pt>
                <c:pt idx="1">
                  <c:v>Véhicule thermique</c:v>
                </c:pt>
              </c:strCache>
            </c:strRef>
          </c:cat>
          <c:val>
            <c:numRef>
              <c:f>'3a. Detailierte Ergebnisse'!$F$11:$G$11</c:f>
              <c:numCache>
                <c:formatCode>#,##0.00</c:formatCode>
                <c:ptCount val="2"/>
                <c:pt idx="0">
                  <c:v>1.4296532318501422E-2</c:v>
                </c:pt>
                <c:pt idx="1">
                  <c:v>1.4296532318501422E-2</c:v>
                </c:pt>
              </c:numCache>
            </c:numRef>
          </c:val>
          <c:extLst>
            <c:ext xmlns:c16="http://schemas.microsoft.com/office/drawing/2014/chart" uri="{C3380CC4-5D6E-409C-BE32-E72D297353CC}">
              <c16:uniqueId val="{00000007-B033-4B25-8C30-DE5937812CC4}"/>
            </c:ext>
          </c:extLst>
        </c:ser>
        <c:dLbls>
          <c:showLegendKey val="0"/>
          <c:showVal val="0"/>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00" sourceLinked="1"/>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ayout>
        <c:manualLayout>
          <c:xMode val="edge"/>
          <c:yMode val="edge"/>
          <c:x val="0.72587227803995757"/>
          <c:y val="0.13283511379507393"/>
          <c:w val="0.27111898615023639"/>
          <c:h val="0.63451140558188501"/>
        </c:manualLayout>
      </c:layout>
      <c:overlay val="0"/>
      <c:spPr>
        <a:noFill/>
        <a:ln>
          <a:noFill/>
        </a:ln>
        <a:effectLst/>
      </c:spPr>
      <c:txPr>
        <a:bodyPr rot="0" vert="horz"/>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546134152585765"/>
          <c:y val="0.12476326590442685"/>
          <c:w val="0.49199334357398877"/>
          <c:h val="0.78790603928466729"/>
        </c:manualLayout>
      </c:layout>
      <c:barChart>
        <c:barDir val="col"/>
        <c:grouping val="stacked"/>
        <c:varyColors val="0"/>
        <c:ser>
          <c:idx val="3"/>
          <c:order val="0"/>
          <c:tx>
            <c:strRef>
              <c:f>'3a. Detailierte Ergebnisse'!$A$49</c:f>
              <c:strCache>
                <c:ptCount val="1"/>
                <c:pt idx="0">
                  <c:v>Véhicule</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Ergebnisse'!$B$49:$C$49</c:f>
              <c:numCache>
                <c:formatCode>#,##0</c:formatCode>
                <c:ptCount val="2"/>
                <c:pt idx="0">
                  <c:v>6192.4962697953788</c:v>
                </c:pt>
                <c:pt idx="1">
                  <c:v>3482.5326820218479</c:v>
                </c:pt>
              </c:numCache>
            </c:numRef>
          </c:val>
          <c:extLst>
            <c:ext xmlns:c16="http://schemas.microsoft.com/office/drawing/2014/chart" uri="{C3380CC4-5D6E-409C-BE32-E72D297353CC}">
              <c16:uniqueId val="{0000000A-AFAE-457F-B201-7EA279B22445}"/>
            </c:ext>
          </c:extLst>
        </c:ser>
        <c:ser>
          <c:idx val="4"/>
          <c:order val="1"/>
          <c:tx>
            <c:strRef>
              <c:f>'3a. Detailierte Ergebnisse'!$A$50</c:f>
              <c:strCache>
                <c:ptCount val="1"/>
                <c:pt idx="0">
                  <c:v>Élimination du véhicule</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Ergebnisse'!$B$50:$C$50</c:f>
              <c:numCache>
                <c:formatCode>#,##0</c:formatCode>
                <c:ptCount val="2"/>
                <c:pt idx="0">
                  <c:v>711.56959518578947</c:v>
                </c:pt>
                <c:pt idx="1">
                  <c:v>574.07351255830781</c:v>
                </c:pt>
              </c:numCache>
            </c:numRef>
          </c:val>
          <c:extLst>
            <c:ext xmlns:c16="http://schemas.microsoft.com/office/drawing/2014/chart" uri="{C3380CC4-5D6E-409C-BE32-E72D297353CC}">
              <c16:uniqueId val="{0000000B-AFAE-457F-B201-7EA279B22445}"/>
            </c:ext>
          </c:extLst>
        </c:ser>
        <c:ser>
          <c:idx val="2"/>
          <c:order val="2"/>
          <c:tx>
            <c:strRef>
              <c:f>'3a. Detailierte Ergebnisse'!$A$48</c:f>
              <c:strCache>
                <c:ptCount val="1"/>
                <c:pt idx="0">
                  <c:v>Maintenance</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Ergebnisse'!$B$48:$C$48</c:f>
              <c:numCache>
                <c:formatCode>#,##0</c:formatCode>
                <c:ptCount val="2"/>
                <c:pt idx="0">
                  <c:v>693.01006395559841</c:v>
                </c:pt>
                <c:pt idx="1">
                  <c:v>565.08733457389928</c:v>
                </c:pt>
              </c:numCache>
            </c:numRef>
          </c:val>
          <c:extLst>
            <c:ext xmlns:c16="http://schemas.microsoft.com/office/drawing/2014/chart" uri="{C3380CC4-5D6E-409C-BE32-E72D297353CC}">
              <c16:uniqueId val="{00000009-AFAE-457F-B201-7EA279B22445}"/>
            </c:ext>
          </c:extLst>
        </c:ser>
        <c:ser>
          <c:idx val="1"/>
          <c:order val="3"/>
          <c:tx>
            <c:strRef>
              <c:f>'3a. Detailierte Ergebnisse'!$A$47</c:f>
              <c:strCache>
                <c:ptCount val="1"/>
                <c:pt idx="0">
                  <c:v>Approvisionnement en énergie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Ergebnisse'!$B$47:$C$47</c:f>
              <c:numCache>
                <c:formatCode>#,##0</c:formatCode>
                <c:ptCount val="2"/>
                <c:pt idx="0">
                  <c:v>2311.6288</c:v>
                </c:pt>
                <c:pt idx="1">
                  <c:v>3769.9806674400006</c:v>
                </c:pt>
              </c:numCache>
            </c:numRef>
          </c:val>
          <c:extLst>
            <c:ext xmlns:c16="http://schemas.microsoft.com/office/drawing/2014/chart" uri="{C3380CC4-5D6E-409C-BE32-E72D297353CC}">
              <c16:uniqueId val="{00000001-6454-4C6A-ABD6-7E020DBBE0ED}"/>
            </c:ext>
          </c:extLst>
        </c:ser>
        <c:ser>
          <c:idx val="5"/>
          <c:order val="4"/>
          <c:tx>
            <c:strRef>
              <c:f>'3a. Detailierte Ergebnisse'!$A$51</c:f>
              <c:strCache>
                <c:ptCount val="1"/>
                <c:pt idx="0">
                  <c:v>Infrastructure routière</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Ergebnisse'!$B$51:$C$51</c:f>
              <c:numCache>
                <c:formatCode>#,##0</c:formatCode>
                <c:ptCount val="2"/>
                <c:pt idx="0">
                  <c:v>1993.7748460177288</c:v>
                </c:pt>
                <c:pt idx="1">
                  <c:v>1765.8219783032193</c:v>
                </c:pt>
              </c:numCache>
            </c:numRef>
          </c:val>
          <c:extLst>
            <c:ext xmlns:c16="http://schemas.microsoft.com/office/drawing/2014/chart" uri="{C3380CC4-5D6E-409C-BE32-E72D297353CC}">
              <c16:uniqueId val="{0000000C-AFAE-457F-B201-7EA279B22445}"/>
            </c:ext>
          </c:extLst>
        </c:ser>
        <c:ser>
          <c:idx val="0"/>
          <c:order val="5"/>
          <c:tx>
            <c:strRef>
              <c:f>'3a. Detailierte Ergebnisse'!$A$46</c:f>
              <c:strCache>
                <c:ptCount val="1"/>
                <c:pt idx="0">
                  <c:v>Émissions d’échappement</c:v>
                </c:pt>
              </c:strCache>
            </c:strRef>
          </c:tx>
          <c:spPr>
            <a:solidFill>
              <a:srgbClr val="7C7C7C"/>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Ergebnisse'!$B$46:$C$46</c:f>
              <c:numCache>
                <c:formatCode>#,##0</c:formatCode>
                <c:ptCount val="2"/>
                <c:pt idx="0">
                  <c:v>0</c:v>
                </c:pt>
                <c:pt idx="1">
                  <c:v>13847.713886181969</c:v>
                </c:pt>
              </c:numCache>
            </c:numRef>
          </c:val>
          <c:extLst>
            <c:ext xmlns:c16="http://schemas.microsoft.com/office/drawing/2014/chart" uri="{C3380CC4-5D6E-409C-BE32-E72D297353CC}">
              <c16:uniqueId val="{00000000-6454-4C6A-ABD6-7E020DBBE0ED}"/>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399872"/>
        <c:crosses val="autoZero"/>
        <c:crossBetween val="between"/>
      </c:valAx>
      <c:spPr>
        <a:noFill/>
        <a:ln>
          <a:noFill/>
        </a:ln>
        <a:effectLst/>
      </c:spPr>
    </c:plotArea>
    <c:legend>
      <c:legendPos val="r"/>
      <c:layout>
        <c:manualLayout>
          <c:xMode val="edge"/>
          <c:yMode val="edge"/>
          <c:x val="0.66031868038468011"/>
          <c:y val="0.14338097332160657"/>
          <c:w val="0.31368605711287162"/>
          <c:h val="0.55344609425602942"/>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de-D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546134152585765"/>
          <c:y val="0.12476326590442685"/>
          <c:w val="0.49199334357398877"/>
          <c:h val="0.78790603928466729"/>
        </c:manualLayout>
      </c:layout>
      <c:barChart>
        <c:barDir val="col"/>
        <c:grouping val="stacked"/>
        <c:varyColors val="0"/>
        <c:ser>
          <c:idx val="3"/>
          <c:order val="0"/>
          <c:tx>
            <c:strRef>
              <c:f>'3a. Detailierte Ergebnisse'!$A$49</c:f>
              <c:strCache>
                <c:ptCount val="1"/>
                <c:pt idx="0">
                  <c:v>Véhicule</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Ergebnisse'!$F$49:$G$49</c:f>
              <c:numCache>
                <c:formatCode>#,##0</c:formatCode>
                <c:ptCount val="2"/>
                <c:pt idx="0">
                  <c:v>59.543233363417102</c:v>
                </c:pt>
                <c:pt idx="1">
                  <c:v>33.485891173287001</c:v>
                </c:pt>
              </c:numCache>
            </c:numRef>
          </c:val>
          <c:extLst>
            <c:ext xmlns:c16="http://schemas.microsoft.com/office/drawing/2014/chart" uri="{C3380CC4-5D6E-409C-BE32-E72D297353CC}">
              <c16:uniqueId val="{00000003-9611-4B6A-98DC-74536D7F7FC0}"/>
            </c:ext>
          </c:extLst>
        </c:ser>
        <c:ser>
          <c:idx val="4"/>
          <c:order val="1"/>
          <c:tx>
            <c:strRef>
              <c:f>'3a. Detailierte Ergebnisse'!$A$50</c:f>
              <c:strCache>
                <c:ptCount val="1"/>
                <c:pt idx="0">
                  <c:v>Élimination du véhicule</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Ergebnisse'!$F$50:$G$50</c:f>
              <c:numCache>
                <c:formatCode>#,##0</c:formatCode>
                <c:ptCount val="2"/>
                <c:pt idx="0">
                  <c:v>6.8420153383248987</c:v>
                </c:pt>
                <c:pt idx="1">
                  <c:v>5.5199376207529598</c:v>
                </c:pt>
              </c:numCache>
            </c:numRef>
          </c:val>
          <c:extLst>
            <c:ext xmlns:c16="http://schemas.microsoft.com/office/drawing/2014/chart" uri="{C3380CC4-5D6E-409C-BE32-E72D297353CC}">
              <c16:uniqueId val="{00000004-9611-4B6A-98DC-74536D7F7FC0}"/>
            </c:ext>
          </c:extLst>
        </c:ser>
        <c:ser>
          <c:idx val="2"/>
          <c:order val="2"/>
          <c:tx>
            <c:strRef>
              <c:f>'3a. Detailierte Ergebnisse'!$A$48</c:f>
              <c:strCache>
                <c:ptCount val="1"/>
                <c:pt idx="0">
                  <c:v>Maintenance</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Ergebnisse'!$F$48:$G$48</c:f>
              <c:numCache>
                <c:formatCode>#,##0</c:formatCode>
                <c:ptCount val="2"/>
                <c:pt idx="0">
                  <c:v>6.6635583072653697</c:v>
                </c:pt>
                <c:pt idx="1">
                  <c:v>5.4335320632105697</c:v>
                </c:pt>
              </c:numCache>
            </c:numRef>
          </c:val>
          <c:extLst>
            <c:ext xmlns:c16="http://schemas.microsoft.com/office/drawing/2014/chart" uri="{C3380CC4-5D6E-409C-BE32-E72D297353CC}">
              <c16:uniqueId val="{00000002-9611-4B6A-98DC-74536D7F7FC0}"/>
            </c:ext>
          </c:extLst>
        </c:ser>
        <c:ser>
          <c:idx val="1"/>
          <c:order val="3"/>
          <c:tx>
            <c:strRef>
              <c:f>'3a. Detailierte Ergebnisse'!$A$47</c:f>
              <c:strCache>
                <c:ptCount val="1"/>
                <c:pt idx="0">
                  <c:v>Approvisionnement en énergie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Ergebnisse'!$F$47:$G$47</c:f>
              <c:numCache>
                <c:formatCode>#,##0</c:formatCode>
                <c:ptCount val="2"/>
                <c:pt idx="0">
                  <c:v>22.2272</c:v>
                </c:pt>
                <c:pt idx="1">
                  <c:v>36.24981411000001</c:v>
                </c:pt>
              </c:numCache>
            </c:numRef>
          </c:val>
          <c:extLst>
            <c:ext xmlns:c16="http://schemas.microsoft.com/office/drawing/2014/chart" uri="{C3380CC4-5D6E-409C-BE32-E72D297353CC}">
              <c16:uniqueId val="{00000001-9611-4B6A-98DC-74536D7F7FC0}"/>
            </c:ext>
          </c:extLst>
        </c:ser>
        <c:ser>
          <c:idx val="5"/>
          <c:order val="4"/>
          <c:tx>
            <c:strRef>
              <c:f>'3a. Detailierte Ergebnisse'!$A$51</c:f>
              <c:strCache>
                <c:ptCount val="1"/>
                <c:pt idx="0">
                  <c:v>Infrastructure routière</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Ergebnisse'!$F$51:$G$51</c:f>
              <c:numCache>
                <c:formatCode>#,##0</c:formatCode>
                <c:ptCount val="2"/>
                <c:pt idx="0">
                  <c:v>19.1709119809397</c:v>
                </c:pt>
                <c:pt idx="1">
                  <c:v>16.979057483684802</c:v>
                </c:pt>
              </c:numCache>
            </c:numRef>
          </c:val>
          <c:extLst>
            <c:ext xmlns:c16="http://schemas.microsoft.com/office/drawing/2014/chart" uri="{C3380CC4-5D6E-409C-BE32-E72D297353CC}">
              <c16:uniqueId val="{00000005-9611-4B6A-98DC-74536D7F7FC0}"/>
            </c:ext>
          </c:extLst>
        </c:ser>
        <c:ser>
          <c:idx val="0"/>
          <c:order val="5"/>
          <c:tx>
            <c:strRef>
              <c:f>'3a. Detailierte Ergebnisse'!$A$46</c:f>
              <c:strCache>
                <c:ptCount val="1"/>
                <c:pt idx="0">
                  <c:v>Émissions d’échappement</c:v>
                </c:pt>
              </c:strCache>
            </c:strRef>
          </c:tx>
          <c:spPr>
            <a:solidFill>
              <a:srgbClr val="7C7C7C"/>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Ergebnisse'!$F$46:$G$46</c:f>
              <c:numCache>
                <c:formatCode>#,##0</c:formatCode>
                <c:ptCount val="2"/>
                <c:pt idx="0">
                  <c:v>0</c:v>
                </c:pt>
                <c:pt idx="1">
                  <c:v>133.15109505944201</c:v>
                </c:pt>
              </c:numCache>
            </c:numRef>
          </c:val>
          <c:extLst>
            <c:ext xmlns:c16="http://schemas.microsoft.com/office/drawing/2014/chart" uri="{C3380CC4-5D6E-409C-BE32-E72D297353CC}">
              <c16:uniqueId val="{00000000-9611-4B6A-98DC-74536D7F7FC0}"/>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399872"/>
        <c:crosses val="autoZero"/>
        <c:crossBetween val="between"/>
      </c:valAx>
      <c:spPr>
        <a:noFill/>
        <a:ln>
          <a:noFill/>
        </a:ln>
        <a:effectLst/>
      </c:spPr>
    </c:plotArea>
    <c:legend>
      <c:legendPos val="r"/>
      <c:layout>
        <c:manualLayout>
          <c:xMode val="edge"/>
          <c:yMode val="edge"/>
          <c:x val="0.6938412698412697"/>
          <c:y val="0.14338097332160657"/>
          <c:w val="0.28016359447004607"/>
          <c:h val="0.4712269129287599"/>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de-D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414584122720245"/>
          <c:y val="0.13570407407407406"/>
          <c:w val="0.77368829918918935"/>
          <c:h val="0.75643370370370366"/>
        </c:manualLayout>
      </c:layout>
      <c:barChart>
        <c:barDir val="col"/>
        <c:grouping val="stacked"/>
        <c:varyColors val="0"/>
        <c:ser>
          <c:idx val="1"/>
          <c:order val="0"/>
          <c:tx>
            <c:v>base</c:v>
          </c:tx>
          <c:spPr>
            <a:solidFill>
              <a:sysClr val="window" lastClr="FFFFFF">
                <a:lumMod val="75000"/>
              </a:sysClr>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Lit>
              <c:formatCode>General</c:formatCode>
              <c:ptCount val="2"/>
              <c:pt idx="0">
                <c:v>1</c:v>
              </c:pt>
              <c:pt idx="1">
                <c:v>1</c:v>
              </c:pt>
            </c:numLit>
          </c:val>
          <c:extLst>
            <c:ext xmlns:c16="http://schemas.microsoft.com/office/drawing/2014/chart" uri="{C3380CC4-5D6E-409C-BE32-E72D297353CC}">
              <c16:uniqueId val="{00000000-398F-4D27-A648-DA086FD17CE9}"/>
            </c:ext>
          </c:extLst>
        </c:ser>
        <c:ser>
          <c:idx val="0"/>
          <c:order val="1"/>
          <c:tx>
            <c:strRef>
              <c:f>'3a. Detailierte Ergebnisse'!$A$15</c:f>
              <c:strCache>
                <c:ptCount val="1"/>
                <c:pt idx="0">
                  <c:v>Mehrkosten</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Ref>
              <c:f>'3a. Detailierte Ergebnisse'!$B$15:$C$15</c:f>
              <c:numCache>
                <c:formatCode>0.000</c:formatCode>
                <c:ptCount val="2"/>
                <c:pt idx="0">
                  <c:v>0</c:v>
                </c:pt>
                <c:pt idx="1">
                  <c:v>0.14300394824648546</c:v>
                </c:pt>
              </c:numCache>
            </c:numRef>
          </c:val>
          <c:extLst>
            <c:ext xmlns:c16="http://schemas.microsoft.com/office/drawing/2014/chart" uri="{C3380CC4-5D6E-409C-BE32-E72D297353CC}">
              <c16:uniqueId val="{00000001-398F-4D27-A648-DA086FD17CE9}"/>
            </c:ext>
          </c:extLst>
        </c:ser>
        <c:ser>
          <c:idx val="2"/>
          <c:order val="2"/>
          <c:tx>
            <c:v>blank</c:v>
          </c:tx>
          <c:invertIfNegative val="0"/>
          <c:dLbls>
            <c:dLbl>
              <c:idx val="0"/>
              <c:tx>
                <c:rich>
                  <a:bodyPr/>
                  <a:lstStyle/>
                  <a:p>
                    <a:fld id="{F18620FD-9B14-4996-8579-AAF0AB06D569}"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98F-4D27-A648-DA086FD17CE9}"/>
                </c:ext>
              </c:extLst>
            </c:dLbl>
            <c:dLbl>
              <c:idx val="1"/>
              <c:tx>
                <c:rich>
                  <a:bodyPr/>
                  <a:lstStyle/>
                  <a:p>
                    <a:fld id="{8DF680CB-424C-40ED-B7A8-3FC91848416F}"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98F-4D27-A648-DA086FD17CE9}"/>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Ergebnisse'!$B$16:$C$16</c15:f>
                <c15:dlblRangeCache>
                  <c:ptCount val="2"/>
                  <c:pt idx="1">
                    <c:v>+14.3%</c:v>
                  </c:pt>
                </c15:dlblRangeCache>
              </c15:datalabelsRange>
            </c:ext>
            <c:ext xmlns:c16="http://schemas.microsoft.com/office/drawing/2014/chart" uri="{C3380CC4-5D6E-409C-BE32-E72D297353CC}">
              <c16:uniqueId val="{00000004-398F-4D27-A648-DA086FD17CE9}"/>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25189567880488"/>
          <c:y val="0.12476339383835287"/>
          <c:w val="0.58106530657070321"/>
          <c:h val="0.7534782005912728"/>
        </c:manualLayout>
      </c:layout>
      <c:barChart>
        <c:barDir val="col"/>
        <c:grouping val="stacked"/>
        <c:varyColors val="0"/>
        <c:ser>
          <c:idx val="5"/>
          <c:order val="0"/>
          <c:tx>
            <c:strRef>
              <c:f>'3a. Detailierte Ergebnisse'!$A$51</c:f>
              <c:strCache>
                <c:ptCount val="1"/>
                <c:pt idx="0">
                  <c:v>Infrastructure routière</c:v>
                </c:pt>
              </c:strCache>
            </c:strRef>
          </c:tx>
          <c:spPr>
            <a:solidFill>
              <a:srgbClr val="12385F"/>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Ergebnisse'!$F$51:$G$51</c:f>
              <c:numCache>
                <c:formatCode>#,##0</c:formatCode>
                <c:ptCount val="2"/>
                <c:pt idx="0">
                  <c:v>19.1709119809397</c:v>
                </c:pt>
                <c:pt idx="1">
                  <c:v>16.979057483684802</c:v>
                </c:pt>
              </c:numCache>
            </c:numRef>
          </c:val>
          <c:extLst>
            <c:ext xmlns:c16="http://schemas.microsoft.com/office/drawing/2014/chart" uri="{C3380CC4-5D6E-409C-BE32-E72D297353CC}">
              <c16:uniqueId val="{00000004-05D8-4C38-A0DD-55F2D43E7746}"/>
            </c:ext>
          </c:extLst>
        </c:ser>
        <c:ser>
          <c:idx val="3"/>
          <c:order val="1"/>
          <c:tx>
            <c:strRef>
              <c:f>'3a. Detailierte Ergebnisse'!$A$49</c:f>
              <c:strCache>
                <c:ptCount val="1"/>
                <c:pt idx="0">
                  <c:v>Véhicule</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Ergebnisse'!$F$49:$G$49</c:f>
              <c:numCache>
                <c:formatCode>#,##0</c:formatCode>
                <c:ptCount val="2"/>
                <c:pt idx="0">
                  <c:v>59.543233363417102</c:v>
                </c:pt>
                <c:pt idx="1">
                  <c:v>33.485891173287001</c:v>
                </c:pt>
              </c:numCache>
            </c:numRef>
          </c:val>
          <c:extLst>
            <c:ext xmlns:c16="http://schemas.microsoft.com/office/drawing/2014/chart" uri="{C3380CC4-5D6E-409C-BE32-E72D297353CC}">
              <c16:uniqueId val="{00000000-05D8-4C38-A0DD-55F2D43E7746}"/>
            </c:ext>
          </c:extLst>
        </c:ser>
        <c:ser>
          <c:idx val="2"/>
          <c:order val="2"/>
          <c:tx>
            <c:strRef>
              <c:f>'3a. Detailierte Ergebnisse'!$A$48</c:f>
              <c:strCache>
                <c:ptCount val="1"/>
                <c:pt idx="0">
                  <c:v>Maintenance</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Ergebnisse'!$F$48:$G$48</c:f>
              <c:numCache>
                <c:formatCode>#,##0</c:formatCode>
                <c:ptCount val="2"/>
                <c:pt idx="0">
                  <c:v>6.6635583072653697</c:v>
                </c:pt>
                <c:pt idx="1">
                  <c:v>5.4335320632105697</c:v>
                </c:pt>
              </c:numCache>
            </c:numRef>
          </c:val>
          <c:extLst>
            <c:ext xmlns:c16="http://schemas.microsoft.com/office/drawing/2014/chart" uri="{C3380CC4-5D6E-409C-BE32-E72D297353CC}">
              <c16:uniqueId val="{00000002-05D8-4C38-A0DD-55F2D43E7746}"/>
            </c:ext>
          </c:extLst>
        </c:ser>
        <c:ser>
          <c:idx val="4"/>
          <c:order val="3"/>
          <c:tx>
            <c:strRef>
              <c:f>'3a. Detailierte Ergebnisse'!$A$50</c:f>
              <c:strCache>
                <c:ptCount val="1"/>
                <c:pt idx="0">
                  <c:v>Élimination du véhicule</c:v>
                </c:pt>
              </c:strCache>
            </c:strRef>
          </c:tx>
          <c:spPr>
            <a:solidFill>
              <a:srgbClr val="69ACDF">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Ergebnisse'!$F$50:$G$50</c:f>
              <c:numCache>
                <c:formatCode>#,##0</c:formatCode>
                <c:ptCount val="2"/>
                <c:pt idx="0">
                  <c:v>6.8420153383248987</c:v>
                </c:pt>
                <c:pt idx="1">
                  <c:v>5.5199376207529598</c:v>
                </c:pt>
              </c:numCache>
            </c:numRef>
          </c:val>
          <c:extLst>
            <c:ext xmlns:c16="http://schemas.microsoft.com/office/drawing/2014/chart" uri="{C3380CC4-5D6E-409C-BE32-E72D297353CC}">
              <c16:uniqueId val="{00000001-05D8-4C38-A0DD-55F2D43E7746}"/>
            </c:ext>
          </c:extLst>
        </c:ser>
        <c:ser>
          <c:idx val="1"/>
          <c:order val="4"/>
          <c:tx>
            <c:strRef>
              <c:f>'3a. Detailierte Ergebnisse'!$A$47</c:f>
              <c:strCache>
                <c:ptCount val="1"/>
                <c:pt idx="0">
                  <c:v>Approvisionnement en énergie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Ergebnisse'!$F$47:$G$47</c:f>
              <c:numCache>
                <c:formatCode>#,##0</c:formatCode>
                <c:ptCount val="2"/>
                <c:pt idx="0">
                  <c:v>22.2272</c:v>
                </c:pt>
                <c:pt idx="1">
                  <c:v>36.24981411000001</c:v>
                </c:pt>
              </c:numCache>
            </c:numRef>
          </c:val>
          <c:extLst>
            <c:ext xmlns:c16="http://schemas.microsoft.com/office/drawing/2014/chart" uri="{C3380CC4-5D6E-409C-BE32-E72D297353CC}">
              <c16:uniqueId val="{00000003-05D8-4C38-A0DD-55F2D43E7746}"/>
            </c:ext>
          </c:extLst>
        </c:ser>
        <c:ser>
          <c:idx val="0"/>
          <c:order val="5"/>
          <c:tx>
            <c:strRef>
              <c:f>'3a. Detailierte Ergebnisse'!$A$46</c:f>
              <c:strCache>
                <c:ptCount val="1"/>
                <c:pt idx="0">
                  <c:v>Émissions d’échappement</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Véhicule électrique</c:v>
                </c:pt>
                <c:pt idx="1">
                  <c:v>Véhicule thermique</c:v>
                </c:pt>
              </c:strCache>
            </c:strRef>
          </c:cat>
          <c:val>
            <c:numRef>
              <c:f>'3a. Detailierte Ergebnisse'!$F$46:$G$46</c:f>
              <c:numCache>
                <c:formatCode>#,##0</c:formatCode>
                <c:ptCount val="2"/>
                <c:pt idx="0">
                  <c:v>0</c:v>
                </c:pt>
                <c:pt idx="1">
                  <c:v>133.15109505944201</c:v>
                </c:pt>
              </c:numCache>
            </c:numRef>
          </c:val>
          <c:extLst>
            <c:ext xmlns:c16="http://schemas.microsoft.com/office/drawing/2014/chart" uri="{C3380CC4-5D6E-409C-BE32-E72D297353CC}">
              <c16:uniqueId val="{00000005-05D8-4C38-A0DD-55F2D43E7746}"/>
            </c:ext>
          </c:extLst>
        </c:ser>
        <c:ser>
          <c:idx val="6"/>
          <c:order val="6"/>
          <c:tx>
            <c:v>blank</c:v>
          </c:tx>
          <c:spPr>
            <a:solidFill>
              <a:srgbClr val="C8D481"/>
            </a:solidFill>
          </c:spPr>
          <c:invertIfNegative val="0"/>
          <c:dLbls>
            <c:dLbl>
              <c:idx val="0"/>
              <c:tx>
                <c:rich>
                  <a:bodyPr/>
                  <a:lstStyle/>
                  <a:p>
                    <a:fld id="{27A6EED9-C2FF-48C8-89EF-7DD67B8FDFDD}"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36A-4C9F-A0A0-AE9E414A1A2B}"/>
                </c:ext>
              </c:extLst>
            </c:dLbl>
            <c:dLbl>
              <c:idx val="1"/>
              <c:tx>
                <c:rich>
                  <a:bodyPr/>
                  <a:lstStyle/>
                  <a:p>
                    <a:fld id="{A17C2F51-899C-4623-93D1-B7811FCF4225}"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36A-4C9F-A0A0-AE9E414A1A2B}"/>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Ergebnisse'!$F$52:$G$52</c15:f>
                <c15:dlblRangeCache>
                  <c:ptCount val="2"/>
                  <c:pt idx="0">
                    <c:v>114</c:v>
                  </c:pt>
                  <c:pt idx="1">
                    <c:v>231</c:v>
                  </c:pt>
                </c15:dlblRangeCache>
              </c15:datalabelsRange>
            </c:ext>
            <c:ext xmlns:c16="http://schemas.microsoft.com/office/drawing/2014/chart" uri="{C3380CC4-5D6E-409C-BE32-E72D297353CC}">
              <c16:uniqueId val="{00000000-336A-4C9F-A0A0-AE9E414A1A2B}"/>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vert="horz"/>
          <a:lstStyle/>
          <a:p>
            <a:pPr>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88399872"/>
        <c:crosses val="autoZero"/>
        <c:crossBetween val="between"/>
      </c:valAx>
      <c:spPr>
        <a:noFill/>
        <a:ln>
          <a:noFill/>
        </a:ln>
        <a:effectLst/>
      </c:spPr>
    </c:plotArea>
    <c:legend>
      <c:legendPos val="r"/>
      <c:legendEntry>
        <c:idx val="0"/>
        <c:delete val="1"/>
      </c:legendEntry>
      <c:layout>
        <c:manualLayout>
          <c:xMode val="edge"/>
          <c:yMode val="edge"/>
          <c:x val="0.71501670269357698"/>
          <c:y val="0.1040350457318608"/>
          <c:w val="0.27375763307671969"/>
          <c:h val="0.84716326146510801"/>
        </c:manualLayout>
      </c:layout>
      <c:overlay val="0"/>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577371453765674"/>
          <c:y val="0.13063291062509091"/>
          <c:w val="0.51077812260729516"/>
          <c:h val="0.7566095730058755"/>
        </c:manualLayout>
      </c:layout>
      <c:barChart>
        <c:barDir val="col"/>
        <c:grouping val="stacked"/>
        <c:varyColors val="0"/>
        <c:ser>
          <c:idx val="9"/>
          <c:order val="2"/>
          <c:tx>
            <c:strRef>
              <c:f>'3a. Detailierte Ergebnisse'!$E$5</c:f>
              <c:strCache>
                <c:ptCount val="1"/>
                <c:pt idx="0">
                  <c:v>Acquisition (déduction faite de la valeur résiduelle)</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Ergebnisse'!$B$5:$C$5</c:f>
              <c:numCache>
                <c:formatCode>#,##0</c:formatCode>
                <c:ptCount val="2"/>
                <c:pt idx="0">
                  <c:v>20962.973218542291</c:v>
                </c:pt>
                <c:pt idx="1">
                  <c:v>19575.730997264825</c:v>
                </c:pt>
              </c:numCache>
            </c:numRef>
          </c:val>
          <c:extLst>
            <c:ext xmlns:c16="http://schemas.microsoft.com/office/drawing/2014/chart" uri="{C3380CC4-5D6E-409C-BE32-E72D297353CC}">
              <c16:uniqueId val="{00000000-B41C-430C-82D0-87D7F70163BF}"/>
            </c:ext>
          </c:extLst>
        </c:ser>
        <c:ser>
          <c:idx val="2"/>
          <c:order val="3"/>
          <c:tx>
            <c:strRef>
              <c:f>'3a. Detailierte Ergebnisse'!$E$6</c:f>
              <c:strCache>
                <c:ptCount val="1"/>
                <c:pt idx="0">
                  <c:v>Service et réparations</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Ergebnisse'!$B$6:$C$6</c:f>
              <c:numCache>
                <c:formatCode>#,##0</c:formatCode>
                <c:ptCount val="2"/>
                <c:pt idx="0">
                  <c:v>2416.1139618267403</c:v>
                </c:pt>
                <c:pt idx="1">
                  <c:v>4832.2279236534805</c:v>
                </c:pt>
              </c:numCache>
            </c:numRef>
          </c:val>
          <c:extLst>
            <c:ext xmlns:c16="http://schemas.microsoft.com/office/drawing/2014/chart" uri="{C3380CC4-5D6E-409C-BE32-E72D297353CC}">
              <c16:uniqueId val="{00000001-B41C-430C-82D0-87D7F70163BF}"/>
            </c:ext>
          </c:extLst>
        </c:ser>
        <c:ser>
          <c:idx val="5"/>
          <c:order val="4"/>
          <c:tx>
            <c:strRef>
              <c:f>'3a. Detailierte Ergebnisse'!$E$7</c:f>
              <c:strCache>
                <c:ptCount val="1"/>
                <c:pt idx="0">
                  <c:v>Pneus</c:v>
                </c:pt>
              </c:strCache>
            </c:strRef>
          </c:tx>
          <c:spPr>
            <a:solidFill>
              <a:srgbClr val="C3DEF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Ergebnisse'!$B$7:$C$7</c:f>
              <c:numCache>
                <c:formatCode>#,##0</c:formatCode>
                <c:ptCount val="2"/>
                <c:pt idx="0">
                  <c:v>1747.0362493208738</c:v>
                </c:pt>
                <c:pt idx="1">
                  <c:v>1486.8393611241479</c:v>
                </c:pt>
              </c:numCache>
            </c:numRef>
          </c:val>
          <c:extLst>
            <c:ext xmlns:c16="http://schemas.microsoft.com/office/drawing/2014/chart" uri="{C3380CC4-5D6E-409C-BE32-E72D297353CC}">
              <c16:uniqueId val="{00000002-B41C-430C-82D0-87D7F70163BF}"/>
            </c:ext>
          </c:extLst>
        </c:ser>
        <c:ser>
          <c:idx val="3"/>
          <c:order val="5"/>
          <c:tx>
            <c:strRef>
              <c:f>'3a. Detailierte Ergebnisse'!$E$8</c:f>
              <c:strCache>
                <c:ptCount val="1"/>
                <c:pt idx="0">
                  <c:v>Énergie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Ergebnisse'!$B$8:$C$8</c:f>
              <c:numCache>
                <c:formatCode>#,##0</c:formatCode>
                <c:ptCount val="2"/>
                <c:pt idx="0">
                  <c:v>3891.554221182269</c:v>
                </c:pt>
                <c:pt idx="1">
                  <c:v>10089.691904588468</c:v>
                </c:pt>
              </c:numCache>
            </c:numRef>
          </c:val>
          <c:extLst>
            <c:ext xmlns:c16="http://schemas.microsoft.com/office/drawing/2014/chart" uri="{C3380CC4-5D6E-409C-BE32-E72D297353CC}">
              <c16:uniqueId val="{00000003-B41C-430C-82D0-87D7F70163BF}"/>
            </c:ext>
          </c:extLst>
        </c:ser>
        <c:ser>
          <c:idx val="6"/>
          <c:order val="6"/>
          <c:tx>
            <c:strRef>
              <c:f>'3a. Detailierte Ergebnisse'!$E$9</c:f>
              <c:strCache>
                <c:ptCount val="1"/>
                <c:pt idx="0">
                  <c:v>Infrastructure de recharge</c:v>
                </c:pt>
              </c:strCache>
            </c:strRef>
          </c:tx>
          <c:spPr>
            <a:solidFill>
              <a:srgbClr val="FACB7B"/>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Ergebnisse'!$B$9:$C$9</c:f>
              <c:numCache>
                <c:formatCode>#,##0</c:formatCode>
                <c:ptCount val="2"/>
                <c:pt idx="0">
                  <c:v>1720.6191365841023</c:v>
                </c:pt>
                <c:pt idx="1">
                  <c:v>0</c:v>
                </c:pt>
              </c:numCache>
            </c:numRef>
          </c:val>
          <c:extLst>
            <c:ext xmlns:c16="http://schemas.microsoft.com/office/drawing/2014/chart" uri="{C3380CC4-5D6E-409C-BE32-E72D297353CC}">
              <c16:uniqueId val="{00000004-B41C-430C-82D0-87D7F70163BF}"/>
            </c:ext>
          </c:extLst>
        </c:ser>
        <c:ser>
          <c:idx val="4"/>
          <c:order val="7"/>
          <c:tx>
            <c:strRef>
              <c:f>'3a. Detailierte Ergebnisse'!$E$10</c:f>
              <c:strCache>
                <c:ptCount val="1"/>
                <c:pt idx="0">
                  <c:v>Assurance</c:v>
                </c:pt>
              </c:strCache>
            </c:strRef>
          </c:tx>
          <c:spPr>
            <a:solidFill>
              <a:srgbClr val="99A93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Ergebnisse'!$B$10:$C$10</c:f>
              <c:numCache>
                <c:formatCode>#,##0</c:formatCode>
                <c:ptCount val="2"/>
                <c:pt idx="0">
                  <c:v>4460.5180833724435</c:v>
                </c:pt>
                <c:pt idx="1">
                  <c:v>4460.5180833724435</c:v>
                </c:pt>
              </c:numCache>
            </c:numRef>
          </c:val>
          <c:extLst>
            <c:ext xmlns:c16="http://schemas.microsoft.com/office/drawing/2014/chart" uri="{C3380CC4-5D6E-409C-BE32-E72D297353CC}">
              <c16:uniqueId val="{00000005-B41C-430C-82D0-87D7F70163BF}"/>
            </c:ext>
          </c:extLst>
        </c:ser>
        <c:ser>
          <c:idx val="7"/>
          <c:order val="8"/>
          <c:tx>
            <c:strRef>
              <c:f>'3a. Detailierte Ergebnisse'!$E$11</c:f>
              <c:strCache>
                <c:ptCount val="1"/>
                <c:pt idx="0">
                  <c:v>Gestion de flotte</c:v>
                </c:pt>
              </c:strCache>
            </c:strRef>
          </c:tx>
          <c:spPr>
            <a:solidFill>
              <a:srgbClr val="C8D481"/>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Ergebnisse'!$B$11:$C$11</c:f>
              <c:numCache>
                <c:formatCode>#,##0</c:formatCode>
                <c:ptCount val="2"/>
                <c:pt idx="0">
                  <c:v>1486.8393611241479</c:v>
                </c:pt>
                <c:pt idx="1">
                  <c:v>1486.8393611241479</c:v>
                </c:pt>
              </c:numCache>
            </c:numRef>
          </c:val>
          <c:extLst>
            <c:ext xmlns:c16="http://schemas.microsoft.com/office/drawing/2014/chart" uri="{C3380CC4-5D6E-409C-BE32-E72D297353CC}">
              <c16:uniqueId val="{00000006-B41C-430C-82D0-87D7F70163BF}"/>
            </c:ext>
          </c:extLst>
        </c:ser>
        <c:ser>
          <c:idx val="8"/>
          <c:order val="9"/>
          <c:tx>
            <c:v>blank</c:v>
          </c:tx>
          <c:spPr>
            <a:solidFill>
              <a:srgbClr val="B78488"/>
            </a:solidFill>
            <a:ln w="6350" cap="flat" cmpd="sng" algn="ctr">
              <a:solidFill>
                <a:srgbClr val="FFFFFF"/>
              </a:solidFill>
              <a:prstDash val="solid"/>
              <a:round/>
              <a:headEnd type="none" w="med" len="med"/>
              <a:tailEnd type="none" w="med" len="med"/>
            </a:ln>
            <a:effectLst/>
          </c:spPr>
          <c:invertIfNegative val="0"/>
          <c:dLbls>
            <c:dLbl>
              <c:idx val="0"/>
              <c:tx>
                <c:rich>
                  <a:bodyPr/>
                  <a:lstStyle/>
                  <a:p>
                    <a:pPr>
                      <a:defRPr/>
                    </a:pPr>
                    <a:fld id="{A6BC1E06-9F50-4BDF-BB35-108E8970A8FA}" type="CELLRANGE">
                      <a:rPr lang="en-US"/>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41C-430C-82D0-87D7F70163BF}"/>
                </c:ext>
              </c:extLst>
            </c:dLbl>
            <c:dLbl>
              <c:idx val="1"/>
              <c:tx>
                <c:rich>
                  <a:bodyPr/>
                  <a:lstStyle/>
                  <a:p>
                    <a:pPr>
                      <a:defRPr/>
                    </a:pPr>
                    <a:fld id="{77A93960-CE2E-4D9D-85FF-2252070CAA07}" type="CELLRANGE">
                      <a:rPr lang="de-CH"/>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41C-430C-82D0-87D7F70163BF}"/>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Ergebnisse'!$B$2:$C$2</c:f>
              <c:strCache>
                <c:ptCount val="2"/>
                <c:pt idx="0">
                  <c:v>Véhicule électrique</c:v>
                </c:pt>
                <c:pt idx="1">
                  <c:v>Véhicule thermique</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Ergebnisse'!$B$18:$C$18</c15:f>
                <c15:dlblRangeCache>
                  <c:ptCount val="2"/>
                  <c:pt idx="0">
                    <c:v>36’700</c:v>
                  </c:pt>
                  <c:pt idx="1">
                    <c:v>41’900</c:v>
                  </c:pt>
                </c15:dlblRangeCache>
              </c15:datalabelsRange>
            </c:ext>
            <c:ext xmlns:c16="http://schemas.microsoft.com/office/drawing/2014/chart" uri="{C3380CC4-5D6E-409C-BE32-E72D297353CC}">
              <c16:uniqueId val="{00000009-B41C-430C-82D0-87D7F70163BF}"/>
            </c:ext>
          </c:extLst>
        </c:ser>
        <c:dLbls>
          <c:showLegendKey val="0"/>
          <c:showVal val="0"/>
          <c:showCatName val="0"/>
          <c:showSerName val="0"/>
          <c:showPercent val="0"/>
          <c:showBubbleSize val="0"/>
        </c:dLbls>
        <c:gapWidth val="200"/>
        <c:overlap val="100"/>
        <c:axId val="90716800"/>
        <c:axId val="90730880"/>
        <c:extLst>
          <c:ext xmlns:c15="http://schemas.microsoft.com/office/drawing/2012/chart" uri="{02D57815-91ED-43cb-92C2-25804820EDAC}">
            <c15:filteredBarSeries>
              <c15:ser>
                <c:idx val="0"/>
                <c:order val="0"/>
                <c:tx>
                  <c:strRef>
                    <c:extLst>
                      <c:ext uri="{02D57815-91ED-43cb-92C2-25804820EDAC}">
                        <c15:formulaRef>
                          <c15:sqref>'3a. Detailierte Ergebnisse'!$E$3</c15:sqref>
                        </c15:formulaRef>
                      </c:ext>
                    </c:extLst>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extLst>
                      <c:ext uri="{02D57815-91ED-43cb-92C2-25804820EDAC}">
                        <c15:formulaRef>
                          <c15:sqref>'3a. Detailierte Ergebnisse'!$B$2:$C$2</c15:sqref>
                        </c15:formulaRef>
                      </c:ext>
                    </c:extLst>
                    <c:strCache>
                      <c:ptCount val="2"/>
                      <c:pt idx="0">
                        <c:v>Véhicule électrique</c:v>
                      </c:pt>
                      <c:pt idx="1">
                        <c:v>Véhicule thermique</c:v>
                      </c:pt>
                    </c:strCache>
                  </c:strRef>
                </c:cat>
                <c:val>
                  <c:numRef>
                    <c:extLst>
                      <c:ext uri="{02D57815-91ED-43cb-92C2-25804820EDAC}">
                        <c15:formulaRef>
                          <c15:sqref>'3a. Detailierte Ergebnisse'!$F$3:$G$3</c15:sqref>
                        </c15:formulaRef>
                      </c:ext>
                    </c:extLst>
                    <c:numCache>
                      <c:formatCode>#,##0.00</c:formatCode>
                      <c:ptCount val="2"/>
                      <c:pt idx="0">
                        <c:v>0.27702778846153847</c:v>
                      </c:pt>
                      <c:pt idx="1">
                        <c:v>0.26172562499999996</c:v>
                      </c:pt>
                    </c:numCache>
                  </c:numRef>
                </c:val>
                <c:extLst>
                  <c:ext xmlns:c16="http://schemas.microsoft.com/office/drawing/2014/chart" uri="{C3380CC4-5D6E-409C-BE32-E72D297353CC}">
                    <c16:uniqueId val="{0000000A-B41C-430C-82D0-87D7F70163B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'3a. Detailierte Ergebnisse'!$E$4</c15:sqref>
                        </c15:formulaRef>
                      </c:ext>
                    </c:extLst>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extLst xmlns:c15="http://schemas.microsoft.com/office/drawing/2012/chart">
                      <c:ext xmlns:c15="http://schemas.microsoft.com/office/drawing/2012/chart" uri="{02D57815-91ED-43cb-92C2-25804820EDAC}">
                        <c15:formulaRef>
                          <c15:sqref>'3a. Detailierte Ergebnisse'!$B$2:$C$2</c15:sqref>
                        </c15:formulaRef>
                      </c:ext>
                    </c:extLst>
                    <c:strCache>
                      <c:ptCount val="2"/>
                      <c:pt idx="0">
                        <c:v>Véhicule électrique</c:v>
                      </c:pt>
                      <c:pt idx="1">
                        <c:v>Véhicule thermique</c:v>
                      </c:pt>
                    </c:strCache>
                  </c:strRef>
                </c:cat>
                <c:val>
                  <c:numRef>
                    <c:extLst xmlns:c15="http://schemas.microsoft.com/office/drawing/2012/chart">
                      <c:ext xmlns:c15="http://schemas.microsoft.com/office/drawing/2012/chart" uri="{02D57815-91ED-43cb-92C2-25804820EDAC}">
                        <c15:formulaRef>
                          <c15:sqref>'3a. Detailierte Ergebnisse'!$F$4:$G$4</c15:sqref>
                        </c15:formulaRef>
                      </c:ext>
                    </c:extLst>
                    <c:numCache>
                      <c:formatCode>#,##0.00</c:formatCode>
                      <c:ptCount val="2"/>
                      <c:pt idx="0">
                        <c:v>-7.5460738283247231E-2</c:v>
                      </c:pt>
                      <c:pt idx="1">
                        <c:v>-7.3497442333992025E-2</c:v>
                      </c:pt>
                    </c:numCache>
                  </c:numRef>
                </c:val>
                <c:extLst xmlns:c15="http://schemas.microsoft.com/office/drawing/2012/chart">
                  <c:ext xmlns:c16="http://schemas.microsoft.com/office/drawing/2014/chart" uri="{C3380CC4-5D6E-409C-BE32-E72D297353CC}">
                    <c16:uniqueId val="{0000000B-B41C-430C-82D0-87D7F70163BF}"/>
                  </c:ext>
                </c:extLst>
              </c15:ser>
            </c15:filteredBarSeries>
          </c:ext>
        </c:extLst>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egendEntry>
        <c:idx val="0"/>
        <c:delete val="1"/>
      </c:legendEntry>
      <c:layout>
        <c:manualLayout>
          <c:xMode val="edge"/>
          <c:yMode val="edge"/>
          <c:x val="0.65125254721804182"/>
          <c:y val="0.15494221018765883"/>
          <c:w val="0.33936818837846361"/>
          <c:h val="0.72628717370069984"/>
        </c:manualLayout>
      </c:layout>
      <c:overlay val="0"/>
      <c:spPr>
        <a:noFill/>
        <a:ln>
          <a:noFill/>
        </a:ln>
        <a:effectLst/>
      </c:spPr>
      <c:txPr>
        <a:bodyPr rot="0" vert="horz"/>
        <a:lstStyle/>
        <a:p>
          <a:pPr>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9231403142673"/>
          <c:y val="0.15163559193572837"/>
          <c:w val="0.76659575835079652"/>
          <c:h val="0.723102167651963"/>
        </c:manualLayout>
      </c:layout>
      <c:barChart>
        <c:barDir val="col"/>
        <c:grouping val="stacked"/>
        <c:varyColors val="0"/>
        <c:ser>
          <c:idx val="1"/>
          <c:order val="0"/>
          <c:tx>
            <c:v>base</c:v>
          </c:tx>
          <c:spPr>
            <a:solidFill>
              <a:sysClr val="window" lastClr="FFFFFF">
                <a:lumMod val="75000"/>
              </a:sysClr>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Lit>
              <c:formatCode>General</c:formatCode>
              <c:ptCount val="2"/>
              <c:pt idx="0">
                <c:v>1</c:v>
              </c:pt>
              <c:pt idx="1">
                <c:v>1</c:v>
              </c:pt>
            </c:numLit>
          </c:val>
          <c:extLst>
            <c:ext xmlns:c16="http://schemas.microsoft.com/office/drawing/2014/chart" uri="{C3380CC4-5D6E-409C-BE32-E72D297353CC}">
              <c16:uniqueId val="{00000000-15A4-49B0-A422-26168487B7F3}"/>
            </c:ext>
          </c:extLst>
        </c:ser>
        <c:ser>
          <c:idx val="0"/>
          <c:order val="1"/>
          <c:tx>
            <c:v>diff</c:v>
          </c:tx>
          <c:spPr>
            <a:solidFill>
              <a:srgbClr val="EA5B0C"/>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Ref>
              <c:f>'3a. Detailierte Ergebnisse'!$B$54:$C$54</c:f>
              <c:numCache>
                <c:formatCode>0.000</c:formatCode>
                <c:ptCount val="2"/>
                <c:pt idx="0">
                  <c:v>0</c:v>
                </c:pt>
                <c:pt idx="1">
                  <c:v>1.0168243020212049</c:v>
                </c:pt>
              </c:numCache>
            </c:numRef>
          </c:val>
          <c:extLst>
            <c:ext xmlns:c16="http://schemas.microsoft.com/office/drawing/2014/chart" uri="{C3380CC4-5D6E-409C-BE32-E72D297353CC}">
              <c16:uniqueId val="{00000001-15A4-49B0-A422-26168487B7F3}"/>
            </c:ext>
          </c:extLst>
        </c:ser>
        <c:ser>
          <c:idx val="2"/>
          <c:order val="2"/>
          <c:tx>
            <c:v>blank</c:v>
          </c:tx>
          <c:spPr>
            <a:solidFill>
              <a:srgbClr val="A8063A"/>
            </a:solidFill>
            <a:ln w="6350" cap="flat" cmpd="sng" algn="ctr">
              <a:solidFill>
                <a:srgbClr val="FFFFFF"/>
              </a:solidFill>
              <a:prstDash val="solid"/>
              <a:round/>
              <a:headEnd type="none" w="med" len="med"/>
              <a:tailEnd type="none" w="med" len="med"/>
            </a:ln>
            <a:effectLst/>
          </c:spPr>
          <c:invertIfNegative val="0"/>
          <c:dLbls>
            <c:dLbl>
              <c:idx val="0"/>
              <c:tx>
                <c:rich>
                  <a:bodyPr/>
                  <a:lstStyle/>
                  <a:p>
                    <a:pPr>
                      <a:defRPr/>
                    </a:pPr>
                    <a:fld id="{BD2DD3FB-4AB4-440D-9B56-6F4127A04ED3}" type="CELLRANGE">
                      <a:rPr lang="en-US"/>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2-15A4-49B0-A422-26168487B7F3}"/>
                </c:ext>
              </c:extLst>
            </c:dLbl>
            <c:dLbl>
              <c:idx val="1"/>
              <c:tx>
                <c:rich>
                  <a:bodyPr/>
                  <a:lstStyle/>
                  <a:p>
                    <a:pPr>
                      <a:defRPr/>
                    </a:pPr>
                    <a:fld id="{4FF94442-F166-44A0-A65D-11FFDDAAD0A2}" type="CELLRANGE">
                      <a:rPr lang="de-CH"/>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3-15A4-49B0-A422-26168487B7F3}"/>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Ergebnisse'!$B$55:$C$55</c15:f>
                <c15:dlblRangeCache>
                  <c:ptCount val="2"/>
                  <c:pt idx="1">
                    <c:v>+101.7%</c:v>
                  </c:pt>
                </c15:dlblRangeCache>
              </c15:datalabelsRange>
            </c:ext>
            <c:ext xmlns:c16="http://schemas.microsoft.com/office/drawing/2014/chart" uri="{C3380CC4-5D6E-409C-BE32-E72D297353CC}">
              <c16:uniqueId val="{00000004-15A4-49B0-A422-26168487B7F3}"/>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505218516857061E-2"/>
          <c:y val="0.17858625690028612"/>
          <c:w val="0.47843017753742173"/>
          <c:h val="0.69085578595548347"/>
        </c:manualLayout>
      </c:layout>
      <c:pieChart>
        <c:varyColors val="1"/>
        <c:ser>
          <c:idx val="0"/>
          <c:order val="0"/>
          <c:spPr>
            <a:solidFill>
              <a:srgbClr val="F2B992"/>
            </a:solidFill>
          </c:spPr>
          <c:dPt>
            <c:idx val="0"/>
            <c:bubble3D val="0"/>
            <c:spPr>
              <a:solidFill>
                <a:srgbClr val="592147"/>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1-CB66-4DAE-82AE-89F325350DD5}"/>
              </c:ext>
            </c:extLst>
          </c:dPt>
          <c:dPt>
            <c:idx val="1"/>
            <c:bubble3D val="0"/>
            <c:spPr>
              <a:solidFill>
                <a:srgbClr val="99A93A"/>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3-CB66-4DAE-82AE-89F325350DD5}"/>
              </c:ext>
            </c:extLst>
          </c:dPt>
          <c:dPt>
            <c:idx val="2"/>
            <c:bubble3D val="0"/>
            <c:spPr>
              <a:solidFill>
                <a:srgbClr val="99A93A">
                  <a:lumMod val="60000"/>
                  <a:lumOff val="40000"/>
                </a:srgbClr>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5-CB66-4DAE-82AE-89F325350DD5}"/>
              </c:ext>
            </c:extLst>
          </c:dPt>
          <c:dPt>
            <c:idx val="3"/>
            <c:bubble3D val="0"/>
            <c:spPr>
              <a:solidFill>
                <a:srgbClr val="F7A823"/>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7-CB66-4DAE-82AE-89F325350DD5}"/>
              </c:ext>
            </c:extLst>
          </c:dPt>
          <c:dPt>
            <c:idx val="4"/>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9-CB66-4DAE-82AE-89F325350DD5}"/>
              </c:ext>
            </c:extLst>
          </c:dPt>
          <c:dPt>
            <c:idx val="5"/>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B-CB66-4DAE-82AE-89F325350DD5}"/>
              </c:ext>
            </c:extLst>
          </c:dPt>
          <c:dPt>
            <c:idx val="6"/>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D-CB66-4DAE-82AE-89F325350DD5}"/>
              </c:ext>
            </c:extLst>
          </c:dPt>
          <c:dLbls>
            <c:dLbl>
              <c:idx val="0"/>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CB66-4DAE-82AE-89F325350DD5}"/>
                </c:ext>
              </c:extLst>
            </c:dLbl>
            <c:dLbl>
              <c:idx val="1"/>
              <c:tx>
                <c:rich>
                  <a:bodyPr/>
                  <a:lstStyle/>
                  <a:p>
                    <a:fld id="{127CEFAD-3454-41D2-B5C9-358407C4CF0E}" type="CELLRANGE">
                      <a:rPr lang="en-US"/>
                      <a:pPr/>
                      <a:t>[CELLRANGE]</a:t>
                    </a:fld>
                    <a:endParaRPr lang="de-CH"/>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CB66-4DAE-82AE-89F325350DD5}"/>
                </c:ext>
              </c:extLst>
            </c:dLbl>
            <c:dLbl>
              <c:idx val="2"/>
              <c:tx>
                <c:rich>
                  <a:bodyPr/>
                  <a:lstStyle/>
                  <a:p>
                    <a:endParaRPr lang="de-CH"/>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66-4DAE-82AE-89F325350DD5}"/>
                </c:ext>
              </c:extLst>
            </c:dLbl>
            <c:dLbl>
              <c:idx val="3"/>
              <c:tx>
                <c:rich>
                  <a:bodyPr/>
                  <a:lstStyle/>
                  <a:p>
                    <a:endParaRPr lang="de-CH"/>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66-4DAE-82AE-89F325350DD5}"/>
                </c:ext>
              </c:extLst>
            </c:dLbl>
            <c:spPr>
              <a:noFill/>
              <a:ln>
                <a:noFill/>
              </a:ln>
              <a:effectLst/>
            </c:spPr>
            <c:txPr>
              <a:bodyPr wrap="square" lIns="38100" tIns="19050" rIns="38100" bIns="19050" anchor="ctr">
                <a:spAutoFit/>
              </a:bodyPr>
              <a:lstStyle/>
              <a:p>
                <a:pPr>
                  <a:defRPr sz="1100"/>
                </a:pPr>
                <a:endParaRPr lang="de-DE"/>
              </a:p>
            </c:txPr>
            <c:dLblPos val="outEnd"/>
            <c:showLegendKey val="0"/>
            <c:showVal val="0"/>
            <c:showCatName val="0"/>
            <c:showSerName val="0"/>
            <c:showPercent val="0"/>
            <c:showBubbleSize val="0"/>
            <c:showLeaderLines val="1"/>
            <c:extLst>
              <c:ext xmlns:c15="http://schemas.microsoft.com/office/drawing/2012/chart" uri="{CE6537A1-D6FC-4f65-9D91-7224C49458BB}">
                <c15:showDataLabelsRange val="1"/>
              </c:ext>
            </c:extLst>
          </c:dLbls>
          <c:cat>
            <c:strRef>
              <c:f>'3a. Detailierte Ergebnisse'!$G$30:$J$30</c:f>
              <c:strCache>
                <c:ptCount val="4"/>
                <c:pt idx="0">
                  <c:v>Domicile</c:v>
                </c:pt>
                <c:pt idx="1">
                  <c:v>Site de l’entreprise CA</c:v>
                </c:pt>
                <c:pt idx="2">
                  <c:v>Site de l’entreprise CC</c:v>
                </c:pt>
                <c:pt idx="3">
                  <c:v>public</c:v>
                </c:pt>
              </c:strCache>
            </c:strRef>
          </c:cat>
          <c:val>
            <c:numRef>
              <c:f>'3a. Detailierte Ergebnisse'!$G$34:$J$34</c:f>
              <c:numCache>
                <c:formatCode>0</c:formatCode>
                <c:ptCount val="4"/>
                <c:pt idx="0">
                  <c:v>#N/A</c:v>
                </c:pt>
                <c:pt idx="1">
                  <c:v>4362.2222222222217</c:v>
                </c:pt>
                <c:pt idx="2">
                  <c:v>#N/A</c:v>
                </c:pt>
                <c:pt idx="3">
                  <c:v>#N/A</c:v>
                </c:pt>
              </c:numCache>
            </c:numRef>
          </c:val>
          <c:extLst>
            <c:ext xmlns:c15="http://schemas.microsoft.com/office/drawing/2012/chart" uri="{02D57815-91ED-43cb-92C2-25804820EDAC}">
              <c15:datalabelsRange>
                <c15:f>'3a. Detailierte Ergebnisse'!$G$33:$J$33</c15:f>
                <c15:dlblRangeCache>
                  <c:ptCount val="4"/>
                  <c:pt idx="0">
                    <c:v>0%</c:v>
                  </c:pt>
                  <c:pt idx="1">
                    <c:v>100%</c:v>
                  </c:pt>
                  <c:pt idx="2">
                    <c:v>0%</c:v>
                  </c:pt>
                  <c:pt idx="3">
                    <c:v>0%</c:v>
                  </c:pt>
                </c15:dlblRangeCache>
              </c15:datalabelsRange>
            </c:ext>
            <c:ext xmlns:c16="http://schemas.microsoft.com/office/drawing/2014/chart" uri="{C3380CC4-5D6E-409C-BE32-E72D297353CC}">
              <c16:uniqueId val="{0000000E-CB66-4DAE-82AE-89F325350DD5}"/>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4585828502536713"/>
          <c:y val="0.29376482650270863"/>
          <c:w val="0.34176574347184474"/>
          <c:h val="0.41906844201451393"/>
        </c:manualLayout>
      </c:layout>
      <c:overlay val="0"/>
      <c:spPr>
        <a:noFill/>
        <a:ln>
          <a:noFill/>
        </a:ln>
        <a:effectLst/>
      </c:spPr>
      <c:txPr>
        <a:bodyPr rot="0" vert="horz"/>
        <a:lstStyle/>
        <a:p>
          <a:pPr rtl="0">
            <a:defRPr sz="1250">
              <a:solidFill>
                <a:srgbClr val="000000"/>
              </a:solidFill>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9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204569786920032"/>
          <c:y val="0.12476339383835287"/>
          <c:w val="0.54265187117561031"/>
          <c:h val="0.75016594209801934"/>
        </c:manualLayout>
      </c:layout>
      <c:barChart>
        <c:barDir val="col"/>
        <c:grouping val="stacked"/>
        <c:varyColors val="0"/>
        <c:ser>
          <c:idx val="5"/>
          <c:order val="0"/>
          <c:tx>
            <c:strRef>
              <c:f>'3a. Detailierte Ergebnisse'!$A$51</c:f>
              <c:strCache>
                <c:ptCount val="1"/>
                <c:pt idx="0">
                  <c:v>Infrastructure routière</c:v>
                </c:pt>
              </c:strCache>
            </c:strRef>
          </c:tx>
          <c:spPr>
            <a:solidFill>
              <a:srgbClr val="12385F"/>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Ergebnisse'!$B$51:$C$51</c:f>
              <c:numCache>
                <c:formatCode>#,##0</c:formatCode>
                <c:ptCount val="2"/>
                <c:pt idx="0">
                  <c:v>1993.7748460177288</c:v>
                </c:pt>
                <c:pt idx="1">
                  <c:v>1765.8219783032193</c:v>
                </c:pt>
              </c:numCache>
            </c:numRef>
          </c:val>
          <c:extLst>
            <c:ext xmlns:c16="http://schemas.microsoft.com/office/drawing/2014/chart" uri="{C3380CC4-5D6E-409C-BE32-E72D297353CC}">
              <c16:uniqueId val="{00000000-5947-4B02-88BB-74C44DBAF15F}"/>
            </c:ext>
          </c:extLst>
        </c:ser>
        <c:ser>
          <c:idx val="3"/>
          <c:order val="1"/>
          <c:tx>
            <c:strRef>
              <c:f>'3a. Detailierte Ergebnisse'!$A$49</c:f>
              <c:strCache>
                <c:ptCount val="1"/>
                <c:pt idx="0">
                  <c:v>Véhicule</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Ergebnisse'!$B$49:$C$49</c:f>
              <c:numCache>
                <c:formatCode>#,##0</c:formatCode>
                <c:ptCount val="2"/>
                <c:pt idx="0">
                  <c:v>6192.4962697953788</c:v>
                </c:pt>
                <c:pt idx="1">
                  <c:v>3482.5326820218479</c:v>
                </c:pt>
              </c:numCache>
            </c:numRef>
          </c:val>
          <c:extLst>
            <c:ext xmlns:c16="http://schemas.microsoft.com/office/drawing/2014/chart" uri="{C3380CC4-5D6E-409C-BE32-E72D297353CC}">
              <c16:uniqueId val="{00000002-5947-4B02-88BB-74C44DBAF15F}"/>
            </c:ext>
          </c:extLst>
        </c:ser>
        <c:ser>
          <c:idx val="2"/>
          <c:order val="2"/>
          <c:tx>
            <c:strRef>
              <c:f>'3a. Detailierte Ergebnisse'!$A$48</c:f>
              <c:strCache>
                <c:ptCount val="1"/>
                <c:pt idx="0">
                  <c:v>Maintenance</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Ergebnisse'!$B$48:$C$48</c:f>
              <c:numCache>
                <c:formatCode>#,##0</c:formatCode>
                <c:ptCount val="2"/>
                <c:pt idx="0">
                  <c:v>693.01006395559841</c:v>
                </c:pt>
                <c:pt idx="1">
                  <c:v>565.08733457389928</c:v>
                </c:pt>
              </c:numCache>
            </c:numRef>
          </c:val>
          <c:extLst>
            <c:ext xmlns:c16="http://schemas.microsoft.com/office/drawing/2014/chart" uri="{C3380CC4-5D6E-409C-BE32-E72D297353CC}">
              <c16:uniqueId val="{00000003-5947-4B02-88BB-74C44DBAF15F}"/>
            </c:ext>
          </c:extLst>
        </c:ser>
        <c:ser>
          <c:idx val="4"/>
          <c:order val="3"/>
          <c:tx>
            <c:strRef>
              <c:f>'3a. Detailierte Ergebnisse'!$A$50</c:f>
              <c:strCache>
                <c:ptCount val="1"/>
                <c:pt idx="0">
                  <c:v>Élimination du véhicule</c:v>
                </c:pt>
              </c:strCache>
            </c:strRef>
          </c:tx>
          <c:spPr>
            <a:solidFill>
              <a:srgbClr val="69ACDF">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Ergebnisse'!$B$50:$C$50</c:f>
              <c:numCache>
                <c:formatCode>#,##0</c:formatCode>
                <c:ptCount val="2"/>
                <c:pt idx="0">
                  <c:v>711.56959518578947</c:v>
                </c:pt>
                <c:pt idx="1">
                  <c:v>574.07351255830781</c:v>
                </c:pt>
              </c:numCache>
            </c:numRef>
          </c:val>
          <c:extLst>
            <c:ext xmlns:c16="http://schemas.microsoft.com/office/drawing/2014/chart" uri="{C3380CC4-5D6E-409C-BE32-E72D297353CC}">
              <c16:uniqueId val="{00000001-5947-4B02-88BB-74C44DBAF15F}"/>
            </c:ext>
          </c:extLst>
        </c:ser>
        <c:ser>
          <c:idx val="1"/>
          <c:order val="4"/>
          <c:tx>
            <c:strRef>
              <c:f>'3a. Detailierte Ergebnisse'!$A$47</c:f>
              <c:strCache>
                <c:ptCount val="1"/>
                <c:pt idx="0">
                  <c:v>Approvisionnement en énergie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Ergebnisse'!$B$47:$C$47</c:f>
              <c:numCache>
                <c:formatCode>#,##0</c:formatCode>
                <c:ptCount val="2"/>
                <c:pt idx="0">
                  <c:v>2311.6288</c:v>
                </c:pt>
                <c:pt idx="1">
                  <c:v>3769.9806674400006</c:v>
                </c:pt>
              </c:numCache>
            </c:numRef>
          </c:val>
          <c:extLst>
            <c:ext xmlns:c16="http://schemas.microsoft.com/office/drawing/2014/chart" uri="{C3380CC4-5D6E-409C-BE32-E72D297353CC}">
              <c16:uniqueId val="{00000004-5947-4B02-88BB-74C44DBAF15F}"/>
            </c:ext>
          </c:extLst>
        </c:ser>
        <c:ser>
          <c:idx val="0"/>
          <c:order val="5"/>
          <c:tx>
            <c:strRef>
              <c:f>'3a. Detailierte Ergebnisse'!$A$46</c:f>
              <c:strCache>
                <c:ptCount val="1"/>
                <c:pt idx="0">
                  <c:v>Émissions d’échappement</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Véhicule électrique</c:v>
                </c:pt>
                <c:pt idx="1">
                  <c:v>Véhicule thermique</c:v>
                </c:pt>
              </c:strCache>
            </c:strRef>
          </c:cat>
          <c:val>
            <c:numRef>
              <c:f>'3a. Detailierte Ergebnisse'!$B$46:$C$46</c:f>
              <c:numCache>
                <c:formatCode>#,##0</c:formatCode>
                <c:ptCount val="2"/>
                <c:pt idx="0">
                  <c:v>0</c:v>
                </c:pt>
                <c:pt idx="1">
                  <c:v>13847.713886181969</c:v>
                </c:pt>
              </c:numCache>
            </c:numRef>
          </c:val>
          <c:extLst>
            <c:ext xmlns:c16="http://schemas.microsoft.com/office/drawing/2014/chart" uri="{C3380CC4-5D6E-409C-BE32-E72D297353CC}">
              <c16:uniqueId val="{00000005-5947-4B02-88BB-74C44DBAF15F}"/>
            </c:ext>
          </c:extLst>
        </c:ser>
        <c:ser>
          <c:idx val="6"/>
          <c:order val="6"/>
          <c:tx>
            <c:v>blank</c:v>
          </c:tx>
          <c:spPr>
            <a:solidFill>
              <a:srgbClr val="C8D481"/>
            </a:solidFill>
            <a:ln w="6350" cap="flat" cmpd="sng" algn="ctr">
              <a:solidFill>
                <a:srgbClr val="FFFFFF"/>
              </a:solidFill>
              <a:prstDash val="solid"/>
              <a:round/>
              <a:headEnd type="none" w="med" len="med"/>
              <a:tailEnd type="none" w="med" len="med"/>
            </a:ln>
            <a:effectLst/>
          </c:spPr>
          <c:invertIfNegative val="0"/>
          <c:dLbls>
            <c:dLbl>
              <c:idx val="0"/>
              <c:tx>
                <c:rich>
                  <a:bodyPr wrap="square" lIns="38100" tIns="19050" rIns="38100" bIns="19050" anchor="ctr">
                    <a:spAutoFit/>
                  </a:bodyPr>
                  <a:lstStyle/>
                  <a:p>
                    <a:pPr>
                      <a:defRPr>
                        <a:solidFill>
                          <a:srgbClr val="000000"/>
                        </a:solidFill>
                      </a:defRPr>
                    </a:pPr>
                    <a:fld id="{34226351-4A5F-40A3-B420-80E2076F7049}" type="CELLRANGE">
                      <a:rPr lang="en-US"/>
                      <a:pPr>
                        <a:defRPr>
                          <a:solidFill>
                            <a:srgbClr val="000000"/>
                          </a:solidFill>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47-4B02-88BB-74C44DBAF15F}"/>
                </c:ext>
              </c:extLst>
            </c:dLbl>
            <c:dLbl>
              <c:idx val="1"/>
              <c:tx>
                <c:rich>
                  <a:bodyPr wrap="square" lIns="38100" tIns="19050" rIns="38100" bIns="19050" anchor="ctr">
                    <a:spAutoFit/>
                  </a:bodyPr>
                  <a:lstStyle/>
                  <a:p>
                    <a:pPr>
                      <a:defRPr>
                        <a:solidFill>
                          <a:srgbClr val="000000"/>
                        </a:solidFill>
                      </a:defRPr>
                    </a:pPr>
                    <a:fld id="{99C1173E-8BCC-4EF0-B94A-D0A8DF9553ED}" type="CELLRANGE">
                      <a:rPr lang="de-CH"/>
                      <a:pPr>
                        <a:defRPr>
                          <a:solidFill>
                            <a:srgbClr val="000000"/>
                          </a:solidFill>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947-4B02-88BB-74C44DBAF15F}"/>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Ergebnisse'!$B$45:$C$45</c:f>
              <c:strCache>
                <c:ptCount val="2"/>
                <c:pt idx="0">
                  <c:v>Véhicule électrique</c:v>
                </c:pt>
                <c:pt idx="1">
                  <c:v>Véhicule thermique</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Ergebnisse'!$B$57:$C$57</c15:f>
                <c15:dlblRangeCache>
                  <c:ptCount val="2"/>
                  <c:pt idx="0">
                    <c:v>11’900</c:v>
                  </c:pt>
                  <c:pt idx="1">
                    <c:v>24’000</c:v>
                  </c:pt>
                </c15:dlblRangeCache>
              </c15:datalabelsRange>
            </c:ext>
            <c:ext xmlns:c16="http://schemas.microsoft.com/office/drawing/2014/chart" uri="{C3380CC4-5D6E-409C-BE32-E72D297353CC}">
              <c16:uniqueId val="{00000008-5947-4B02-88BB-74C44DBAF15F}"/>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vert="horz"/>
          <a:lstStyle/>
          <a:p>
            <a:pPr>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88399872"/>
        <c:crosses val="autoZero"/>
        <c:crossBetween val="between"/>
      </c:valAx>
      <c:spPr>
        <a:noFill/>
        <a:ln>
          <a:noFill/>
        </a:ln>
        <a:effectLst/>
      </c:spPr>
    </c:plotArea>
    <c:legend>
      <c:legendPos val="r"/>
      <c:legendEntry>
        <c:idx val="0"/>
        <c:delete val="1"/>
      </c:legendEntry>
      <c:layout>
        <c:manualLayout>
          <c:xMode val="edge"/>
          <c:yMode val="edge"/>
          <c:x val="0.71540082465277788"/>
          <c:y val="8.9280334099339081E-2"/>
          <c:w val="0.26786132812499996"/>
          <c:h val="0.86683621030847025"/>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55535381948957041"/>
          <c:h val="0.80101074010343376"/>
        </c:manualLayout>
      </c:layout>
      <c:barChart>
        <c:barDir val="col"/>
        <c:grouping val="stacked"/>
        <c:varyColors val="0"/>
        <c:ser>
          <c:idx val="0"/>
          <c:order val="0"/>
          <c:tx>
            <c:strRef>
              <c:f>'3a. Detailierte Ergebnisse'!$A$3</c:f>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Ergebnisse'!$B$3:$C$3</c:f>
              <c:numCache>
                <c:formatCode>#,##0</c:formatCode>
                <c:ptCount val="2"/>
                <c:pt idx="0">
                  <c:v>28810.890000000003</c:v>
                </c:pt>
                <c:pt idx="1">
                  <c:v>27219.464999999997</c:v>
                </c:pt>
              </c:numCache>
            </c:numRef>
          </c:val>
          <c:extLst>
            <c:ext xmlns:c16="http://schemas.microsoft.com/office/drawing/2014/chart" uri="{C3380CC4-5D6E-409C-BE32-E72D297353CC}">
              <c16:uniqueId val="{00000000-088F-442D-9CE0-F237BA8670E9}"/>
            </c:ext>
          </c:extLst>
        </c:ser>
        <c:ser>
          <c:idx val="1"/>
          <c:order val="1"/>
          <c:tx>
            <c:strRef>
              <c:f>'3a. Detailierte Ergebnisse'!$A$4</c:f>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Ergebnisse'!$B$4:$C$4</c:f>
              <c:numCache>
                <c:formatCode>#,##0</c:formatCode>
                <c:ptCount val="2"/>
                <c:pt idx="0">
                  <c:v>-7847.9167814577122</c:v>
                </c:pt>
                <c:pt idx="1">
                  <c:v>-7643.7340027351711</c:v>
                </c:pt>
              </c:numCache>
            </c:numRef>
          </c:val>
          <c:extLst>
            <c:ext xmlns:c16="http://schemas.microsoft.com/office/drawing/2014/chart" uri="{C3380CC4-5D6E-409C-BE32-E72D297353CC}">
              <c16:uniqueId val="{00000001-088F-442D-9CE0-F237BA8670E9}"/>
            </c:ext>
          </c:extLst>
        </c:ser>
        <c:ser>
          <c:idx val="2"/>
          <c:order val="2"/>
          <c:tx>
            <c:strRef>
              <c:f>'3a. Detailierte Ergebnisse'!$A$6</c:f>
              <c:strCache>
                <c:ptCount val="1"/>
                <c:pt idx="0">
                  <c:v>Service et réparations</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Ergebnisse'!$B$6:$C$6</c:f>
              <c:numCache>
                <c:formatCode>#,##0</c:formatCode>
                <c:ptCount val="2"/>
                <c:pt idx="0">
                  <c:v>2416.1139618267403</c:v>
                </c:pt>
                <c:pt idx="1">
                  <c:v>4832.2279236534805</c:v>
                </c:pt>
              </c:numCache>
            </c:numRef>
          </c:val>
          <c:extLst>
            <c:ext xmlns:c16="http://schemas.microsoft.com/office/drawing/2014/chart" uri="{C3380CC4-5D6E-409C-BE32-E72D297353CC}">
              <c16:uniqueId val="{00000002-088F-442D-9CE0-F237BA8670E9}"/>
            </c:ext>
          </c:extLst>
        </c:ser>
        <c:ser>
          <c:idx val="5"/>
          <c:order val="3"/>
          <c:tx>
            <c:strRef>
              <c:f>'3a. Detailierte Ergebnisse'!$A$7</c:f>
              <c:strCache>
                <c:ptCount val="1"/>
                <c:pt idx="0">
                  <c:v>Pneus</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Ergebnisse'!$B$7:$C$7</c:f>
              <c:numCache>
                <c:formatCode>#,##0</c:formatCode>
                <c:ptCount val="2"/>
                <c:pt idx="0">
                  <c:v>1747.0362493208738</c:v>
                </c:pt>
                <c:pt idx="1">
                  <c:v>1486.8393611241479</c:v>
                </c:pt>
              </c:numCache>
            </c:numRef>
          </c:val>
          <c:extLst>
            <c:ext xmlns:c16="http://schemas.microsoft.com/office/drawing/2014/chart" uri="{C3380CC4-5D6E-409C-BE32-E72D297353CC}">
              <c16:uniqueId val="{00000000-B604-4809-9447-8272D70AF0D9}"/>
            </c:ext>
          </c:extLst>
        </c:ser>
        <c:ser>
          <c:idx val="3"/>
          <c:order val="4"/>
          <c:tx>
            <c:strRef>
              <c:f>'3a. Detailierte Ergebnisse'!$A$8</c:f>
              <c:strCache>
                <c:ptCount val="1"/>
                <c:pt idx="0">
                  <c:v>Énergie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Ergebnisse'!$B$8:$C$8</c:f>
              <c:numCache>
                <c:formatCode>#,##0</c:formatCode>
                <c:ptCount val="2"/>
                <c:pt idx="0">
                  <c:v>3891.554221182269</c:v>
                </c:pt>
                <c:pt idx="1">
                  <c:v>10089.691904588468</c:v>
                </c:pt>
              </c:numCache>
            </c:numRef>
          </c:val>
          <c:extLst>
            <c:ext xmlns:c16="http://schemas.microsoft.com/office/drawing/2014/chart" uri="{C3380CC4-5D6E-409C-BE32-E72D297353CC}">
              <c16:uniqueId val="{00000003-088F-442D-9CE0-F237BA8670E9}"/>
            </c:ext>
          </c:extLst>
        </c:ser>
        <c:ser>
          <c:idx val="6"/>
          <c:order val="5"/>
          <c:tx>
            <c:strRef>
              <c:f>'3a. Detailierte Ergebnisse'!$A$9</c:f>
              <c:strCache>
                <c:ptCount val="1"/>
                <c:pt idx="0">
                  <c:v>Infrastructure de recharge</c:v>
                </c:pt>
              </c:strCache>
            </c:strRef>
          </c:tx>
          <c:spPr>
            <a:solidFill>
              <a:srgbClr val="E0AE00"/>
            </a:solidFill>
            <a:ln w="6350">
              <a:solidFill>
                <a:srgbClr val="FFFFFF"/>
              </a:solidFill>
              <a:prstDash val="solid"/>
            </a:ln>
          </c:spPr>
          <c:invertIfNegative val="0"/>
          <c:cat>
            <c:strRef>
              <c:f>'3a. Detailierte Ergebnisse'!$B$2:$C$2</c:f>
              <c:strCache>
                <c:ptCount val="2"/>
                <c:pt idx="0">
                  <c:v>Véhicule électrique</c:v>
                </c:pt>
                <c:pt idx="1">
                  <c:v>Véhicule thermique</c:v>
                </c:pt>
              </c:strCache>
            </c:strRef>
          </c:cat>
          <c:val>
            <c:numRef>
              <c:f>'3a. Detailierte Ergebnisse'!$B$9:$C$9</c:f>
              <c:numCache>
                <c:formatCode>#,##0</c:formatCode>
                <c:ptCount val="2"/>
                <c:pt idx="0">
                  <c:v>1720.6191365841023</c:v>
                </c:pt>
                <c:pt idx="1">
                  <c:v>0</c:v>
                </c:pt>
              </c:numCache>
            </c:numRef>
          </c:val>
          <c:extLst>
            <c:ext xmlns:c16="http://schemas.microsoft.com/office/drawing/2014/chart" uri="{C3380CC4-5D6E-409C-BE32-E72D297353CC}">
              <c16:uniqueId val="{00000001-B604-4809-9447-8272D70AF0D9}"/>
            </c:ext>
          </c:extLst>
        </c:ser>
        <c:ser>
          <c:idx val="4"/>
          <c:order val="6"/>
          <c:tx>
            <c:strRef>
              <c:f>'3a. Detailierte Ergebnisse'!$A$10</c:f>
              <c:strCache>
                <c:ptCount val="1"/>
                <c:pt idx="0">
                  <c:v>Assurance</c:v>
                </c:pt>
              </c:strCache>
            </c:strRef>
          </c:tx>
          <c:spPr>
            <a:solidFill>
              <a:srgbClr val="A3BD9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Ergebnisse'!$B$10:$C$10</c:f>
              <c:numCache>
                <c:formatCode>#,##0</c:formatCode>
                <c:ptCount val="2"/>
                <c:pt idx="0">
                  <c:v>4460.5180833724435</c:v>
                </c:pt>
                <c:pt idx="1">
                  <c:v>4460.5180833724435</c:v>
                </c:pt>
              </c:numCache>
            </c:numRef>
          </c:val>
          <c:extLst>
            <c:ext xmlns:c16="http://schemas.microsoft.com/office/drawing/2014/chart" uri="{C3380CC4-5D6E-409C-BE32-E72D297353CC}">
              <c16:uniqueId val="{00000004-088F-442D-9CE0-F237BA8670E9}"/>
            </c:ext>
          </c:extLst>
        </c:ser>
        <c:ser>
          <c:idx val="7"/>
          <c:order val="7"/>
          <c:tx>
            <c:strRef>
              <c:f>'3a. Detailierte Ergebnisse'!$A$11</c:f>
              <c:strCache>
                <c:ptCount val="1"/>
                <c:pt idx="0">
                  <c:v>Gestion de flotte</c:v>
                </c:pt>
              </c:strCache>
            </c:strRef>
          </c:tx>
          <c:spPr>
            <a:solidFill>
              <a:srgbClr val="558C4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Véhicule électrique</c:v>
                </c:pt>
                <c:pt idx="1">
                  <c:v>Véhicule thermique</c:v>
                </c:pt>
              </c:strCache>
            </c:strRef>
          </c:cat>
          <c:val>
            <c:numRef>
              <c:f>'3a. Detailierte Ergebnisse'!$B$11:$C$11</c:f>
              <c:numCache>
                <c:formatCode>#,##0</c:formatCode>
                <c:ptCount val="2"/>
                <c:pt idx="0">
                  <c:v>1486.8393611241479</c:v>
                </c:pt>
                <c:pt idx="1">
                  <c:v>1486.8393611241479</c:v>
                </c:pt>
              </c:numCache>
            </c:numRef>
          </c:val>
          <c:extLst>
            <c:ext xmlns:c16="http://schemas.microsoft.com/office/drawing/2014/chart" uri="{C3380CC4-5D6E-409C-BE32-E72D297353CC}">
              <c16:uniqueId val="{00000000-B060-4592-95CA-95F2D5A37BFB}"/>
            </c:ext>
          </c:extLst>
        </c:ser>
        <c:dLbls>
          <c:showLegendKey val="0"/>
          <c:showVal val="0"/>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ayout>
        <c:manualLayout>
          <c:xMode val="edge"/>
          <c:yMode val="edge"/>
          <c:x val="0.72587227803995757"/>
          <c:y val="0.13283511379507393"/>
          <c:w val="0.27076651857867273"/>
          <c:h val="0.62834998537708442"/>
        </c:manualLayout>
      </c:layout>
      <c:overlay val="0"/>
      <c:spPr>
        <a:noFill/>
        <a:ln>
          <a:noFill/>
        </a:ln>
        <a:effectLst/>
      </c:spPr>
      <c:txPr>
        <a:bodyPr rot="0" vert="horz"/>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80012832625395458"/>
          <c:h val="0.80101074010343376"/>
        </c:manualLayout>
      </c:layout>
      <c:barChart>
        <c:barDir val="col"/>
        <c:grouping val="stacked"/>
        <c:varyColors val="0"/>
        <c:ser>
          <c:idx val="1"/>
          <c:order val="0"/>
          <c:tx>
            <c:v>base</c:v>
          </c:tx>
          <c:spPr>
            <a:solidFill>
              <a:srgbClr val="A8A8A8"/>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Lit>
              <c:formatCode>General</c:formatCode>
              <c:ptCount val="2"/>
              <c:pt idx="0">
                <c:v>1</c:v>
              </c:pt>
              <c:pt idx="1">
                <c:v>1</c:v>
              </c:pt>
            </c:numLit>
          </c:val>
          <c:extLst>
            <c:ext xmlns:c16="http://schemas.microsoft.com/office/drawing/2014/chart" uri="{C3380CC4-5D6E-409C-BE32-E72D297353CC}">
              <c16:uniqueId val="{00000005-3A47-444B-9004-6D5B3D7C2AF6}"/>
            </c:ext>
          </c:extLst>
        </c:ser>
        <c:ser>
          <c:idx val="0"/>
          <c:order val="1"/>
          <c:tx>
            <c:strRef>
              <c:f>'3a. Detailierte Ergebnisse'!$A$15</c:f>
              <c:strCache>
                <c:ptCount val="1"/>
                <c:pt idx="0">
                  <c:v>Mehrkosten</c:v>
                </c:pt>
              </c:strCache>
            </c:strRef>
          </c:tx>
          <c:spPr>
            <a:solidFill>
              <a:srgbClr val="B1CB76"/>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Véhicule électrique</c:v>
                </c:pt>
                <c:pt idx="1">
                  <c:v>Véhicule thermique</c:v>
                </c:pt>
              </c:strCache>
            </c:strRef>
          </c:cat>
          <c:val>
            <c:numRef>
              <c:f>'3a. Detailierte Ergebnisse'!$B$15:$C$15</c:f>
              <c:numCache>
                <c:formatCode>0.000</c:formatCode>
                <c:ptCount val="2"/>
                <c:pt idx="0">
                  <c:v>0</c:v>
                </c:pt>
                <c:pt idx="1">
                  <c:v>0.14300394824648546</c:v>
                </c:pt>
              </c:numCache>
            </c:numRef>
          </c:val>
          <c:extLst>
            <c:ext xmlns:c16="http://schemas.microsoft.com/office/drawing/2014/chart" uri="{C3380CC4-5D6E-409C-BE32-E72D297353CC}">
              <c16:uniqueId val="{00000000-3A47-444B-9004-6D5B3D7C2AF6}"/>
            </c:ext>
          </c:extLst>
        </c:ser>
        <c:ser>
          <c:idx val="2"/>
          <c:order val="2"/>
          <c:tx>
            <c:v>blank</c:v>
          </c:tx>
          <c:invertIfNegative val="0"/>
          <c:dLbls>
            <c:dLbl>
              <c:idx val="0"/>
              <c:tx>
                <c:rich>
                  <a:bodyPr/>
                  <a:lstStyle/>
                  <a:p>
                    <a:fld id="{FF984025-FFA2-4ACD-8122-B72CDC0E7813}"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A47-444B-9004-6D5B3D7C2AF6}"/>
                </c:ext>
              </c:extLst>
            </c:dLbl>
            <c:dLbl>
              <c:idx val="1"/>
              <c:tx>
                <c:rich>
                  <a:bodyPr/>
                  <a:lstStyle/>
                  <a:p>
                    <a:fld id="{2B0C6E43-8B1C-4C9D-A469-01CEDBEC053E}"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A47-444B-9004-6D5B3D7C2AF6}"/>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Ergebnisse'!$B$16:$C$16</c15:f>
                <c15:dlblRangeCache>
                  <c:ptCount val="2"/>
                  <c:pt idx="1">
                    <c:v>+14.3%</c:v>
                  </c:pt>
                </c15:dlblRangeCache>
              </c15:datalabelsRange>
            </c:ext>
            <c:ext xmlns:c16="http://schemas.microsoft.com/office/drawing/2014/chart" uri="{C3380CC4-5D6E-409C-BE32-E72D297353CC}">
              <c16:uniqueId val="{00000008-3A47-444B-9004-6D5B3D7C2AF6}"/>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162725</xdr:colOff>
      <xdr:row>50</xdr:row>
      <xdr:rowOff>161365</xdr:rowOff>
    </xdr:from>
    <xdr:to>
      <xdr:col>6</xdr:col>
      <xdr:colOff>321128</xdr:colOff>
      <xdr:row>65</xdr:row>
      <xdr:rowOff>171953</xdr:rowOff>
    </xdr:to>
    <xdr:graphicFrame macro="">
      <xdr:nvGraphicFramePr>
        <xdr:cNvPr id="74" name="Chart 1">
          <a:extLst>
            <a:ext uri="{FF2B5EF4-FFF2-40B4-BE49-F238E27FC236}">
              <a16:creationId xmlns:a16="http://schemas.microsoft.com/office/drawing/2014/main" id="{51A230A5-BC8E-4573-836B-4791A1D57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569694</xdr:colOff>
      <xdr:row>50</xdr:row>
      <xdr:rowOff>161365</xdr:rowOff>
    </xdr:from>
    <xdr:to>
      <xdr:col>9</xdr:col>
      <xdr:colOff>1081232</xdr:colOff>
      <xdr:row>65</xdr:row>
      <xdr:rowOff>171953</xdr:rowOff>
    </xdr:to>
    <xdr:graphicFrame macro="">
      <xdr:nvGraphicFramePr>
        <xdr:cNvPr id="46" name="Chart 2">
          <a:extLst>
            <a:ext uri="{FF2B5EF4-FFF2-40B4-BE49-F238E27FC236}">
              <a16:creationId xmlns:a16="http://schemas.microsoft.com/office/drawing/2014/main" id="{418EA2D8-B912-4BA8-917E-4BD4D0ADC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32910</xdr:colOff>
      <xdr:row>50</xdr:row>
      <xdr:rowOff>161365</xdr:rowOff>
    </xdr:from>
    <xdr:to>
      <xdr:col>17</xdr:col>
      <xdr:colOff>1063196</xdr:colOff>
      <xdr:row>65</xdr:row>
      <xdr:rowOff>170359</xdr:rowOff>
    </xdr:to>
    <xdr:graphicFrame macro="">
      <xdr:nvGraphicFramePr>
        <xdr:cNvPr id="97" name="Chart 3">
          <a:extLst>
            <a:ext uri="{FF2B5EF4-FFF2-40B4-BE49-F238E27FC236}">
              <a16:creationId xmlns:a16="http://schemas.microsoft.com/office/drawing/2014/main" id="{535DDE92-7374-4FA1-ACB4-0ACF2A749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162725</xdr:colOff>
      <xdr:row>67</xdr:row>
      <xdr:rowOff>0</xdr:rowOff>
    </xdr:from>
    <xdr:to>
      <xdr:col>6</xdr:col>
      <xdr:colOff>310242</xdr:colOff>
      <xdr:row>82</xdr:row>
      <xdr:rowOff>10588</xdr:rowOff>
    </xdr:to>
    <xdr:graphicFrame macro="">
      <xdr:nvGraphicFramePr>
        <xdr:cNvPr id="81" name="Chart 5">
          <a:extLst>
            <a:ext uri="{FF2B5EF4-FFF2-40B4-BE49-F238E27FC236}">
              <a16:creationId xmlns:a16="http://schemas.microsoft.com/office/drawing/2014/main" id="{07CC2512-DCF1-48BC-8565-B4DA821FC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357007</xdr:colOff>
      <xdr:row>50</xdr:row>
      <xdr:rowOff>161365</xdr:rowOff>
    </xdr:from>
    <xdr:to>
      <xdr:col>22</xdr:col>
      <xdr:colOff>62108</xdr:colOff>
      <xdr:row>65</xdr:row>
      <xdr:rowOff>169452</xdr:rowOff>
    </xdr:to>
    <xdr:graphicFrame macro="">
      <xdr:nvGraphicFramePr>
        <xdr:cNvPr id="99" name="Chart 6">
          <a:extLst>
            <a:ext uri="{FF2B5EF4-FFF2-40B4-BE49-F238E27FC236}">
              <a16:creationId xmlns:a16="http://schemas.microsoft.com/office/drawing/2014/main" id="{84718FB7-97B8-4AB8-A840-FB4A820D75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419101</xdr:colOff>
      <xdr:row>22</xdr:row>
      <xdr:rowOff>1053</xdr:rowOff>
    </xdr:from>
    <xdr:to>
      <xdr:col>14</xdr:col>
      <xdr:colOff>168728</xdr:colOff>
      <xdr:row>41</xdr:row>
      <xdr:rowOff>10885</xdr:rowOff>
    </xdr:to>
    <xdr:graphicFrame macro="">
      <xdr:nvGraphicFramePr>
        <xdr:cNvPr id="98" name="Chart 5">
          <a:extLst>
            <a:ext uri="{FF2B5EF4-FFF2-40B4-BE49-F238E27FC236}">
              <a16:creationId xmlns:a16="http://schemas.microsoft.com/office/drawing/2014/main" id="{81506EC4-6BB8-4661-952E-985461E87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32910</xdr:colOff>
      <xdr:row>67</xdr:row>
      <xdr:rowOff>0</xdr:rowOff>
    </xdr:from>
    <xdr:to>
      <xdr:col>17</xdr:col>
      <xdr:colOff>1063196</xdr:colOff>
      <xdr:row>82</xdr:row>
      <xdr:rowOff>9900</xdr:rowOff>
    </xdr:to>
    <xdr:graphicFrame macro="">
      <xdr:nvGraphicFramePr>
        <xdr:cNvPr id="103" name="Chart 3">
          <a:extLst>
            <a:ext uri="{FF2B5EF4-FFF2-40B4-BE49-F238E27FC236}">
              <a16:creationId xmlns:a16="http://schemas.microsoft.com/office/drawing/2014/main" id="{2141AD29-76D0-43A9-B613-72374F62F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0.68027</cdr:x>
      <cdr:y>0.05578</cdr:y>
    </cdr:to>
    <cdr:sp macro="" textlink="">
      <cdr:nvSpPr>
        <cdr:cNvPr id="4" name="AxisTitle"/>
        <cdr:cNvSpPr txBox="1"/>
      </cdr:nvSpPr>
      <cdr:spPr>
        <a:xfrm xmlns:a="http://schemas.openxmlformats.org/drawingml/2006/main">
          <a:off x="0" y="0"/>
          <a:ext cx="2648581"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NBW [CHF]</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0.68027</cdr:x>
      <cdr:y>0.05578</cdr:y>
    </cdr:to>
    <cdr:sp macro="" textlink="">
      <cdr:nvSpPr>
        <cdr:cNvPr id="4" name="AxisTitle"/>
        <cdr:cNvSpPr txBox="1"/>
      </cdr:nvSpPr>
      <cdr:spPr>
        <a:xfrm xmlns:a="http://schemas.openxmlformats.org/drawingml/2006/main">
          <a:off x="0" y="0"/>
          <a:ext cx="2648581"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Mehrkosten</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cdr:y>
    </cdr:from>
    <cdr:to>
      <cdr:x>0.68027</cdr:x>
      <cdr:y>0.05213</cdr:y>
    </cdr:to>
    <cdr:sp macro="" textlink="">
      <cdr:nvSpPr>
        <cdr:cNvPr id="4" name="AxisTitle"/>
        <cdr:cNvSpPr txBox="1"/>
      </cdr:nvSpPr>
      <cdr:spPr>
        <a:xfrm xmlns:a="http://schemas.openxmlformats.org/drawingml/2006/main">
          <a:off x="0" y="0"/>
          <a:ext cx="2653688"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NBW [CHF / vkm]</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cdr:y>
    </cdr:from>
    <cdr:to>
      <cdr:x>0.68027</cdr:x>
      <cdr:y>0.05162</cdr:y>
    </cdr:to>
    <cdr:sp macro="" textlink="">
      <cdr:nvSpPr>
        <cdr:cNvPr id="6" name="AxisTitle"/>
        <cdr:cNvSpPr txBox="1"/>
      </cdr:nvSpPr>
      <cdr:spPr>
        <a:xfrm xmlns:a="http://schemas.openxmlformats.org/drawingml/2006/main">
          <a:off x="0" y="0"/>
          <a:ext cx="2657135"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GWP100 (kg CO2-eq)</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cdr:y>
    </cdr:from>
    <cdr:to>
      <cdr:x>0.68027</cdr:x>
      <cdr:y>0.05162</cdr:y>
    </cdr:to>
    <cdr:sp macro="" textlink="">
      <cdr:nvSpPr>
        <cdr:cNvPr id="6" name="AxisTitle"/>
        <cdr:cNvSpPr txBox="1"/>
      </cdr:nvSpPr>
      <cdr:spPr>
        <a:xfrm xmlns:a="http://schemas.openxmlformats.org/drawingml/2006/main">
          <a:off x="0" y="0"/>
          <a:ext cx="2657135"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GWP100 (g CO2-eq / vkm)</a:t>
          </a:r>
        </a:p>
      </cdr:txBody>
    </cdr:sp>
  </cdr:relSizeAnchor>
</c:userShapes>
</file>

<file path=xl/drawings/drawing2.xml><?xml version="1.0" encoding="utf-8"?>
<c:userShapes xmlns:c="http://schemas.openxmlformats.org/drawingml/2006/chart">
  <cdr:relSizeAnchor xmlns:cdr="http://schemas.openxmlformats.org/drawingml/2006/chartDrawing">
    <cdr:from>
      <cdr:x>0.01516</cdr:x>
      <cdr:y>0.01328</cdr:y>
    </cdr:from>
    <cdr:to>
      <cdr:x>0.69543</cdr:x>
      <cdr:y>0.07326</cdr:y>
    </cdr:to>
    <cdr:sp macro="" textlink="'Résultats (outputs)'!$C$52">
      <cdr:nvSpPr>
        <cdr:cNvPr id="4" name="AxisTitle"/>
        <cdr:cNvSpPr txBox="1"/>
      </cdr:nvSpPr>
      <cdr:spPr>
        <a:xfrm xmlns:a="http://schemas.openxmlformats.org/drawingml/2006/main">
          <a:off x="62830" y="35919"/>
          <a:ext cx="28193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03FC100C-9173-4EB6-ADDF-A7D4C3BE76A2}" type="TxLink">
            <a:rPr lang="en-US" sz="1100" b="1" i="0" u="none" strike="noStrike">
              <a:solidFill>
                <a:srgbClr val="000000"/>
              </a:solidFill>
              <a:latin typeface="Arial"/>
              <a:cs typeface="Arial"/>
            </a:rPr>
            <a:pPr/>
            <a:t>CHF / km</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0.02133</cdr:x>
      <cdr:y>0.0166</cdr:y>
    </cdr:from>
    <cdr:to>
      <cdr:x>0.7016</cdr:x>
      <cdr:y>0.07658</cdr:y>
    </cdr:to>
    <cdr:sp macro="" textlink="'Résultats (outputs)'!$H$52">
      <cdr:nvSpPr>
        <cdr:cNvPr id="4" name="AxisTitle"/>
        <cdr:cNvSpPr txBox="1"/>
      </cdr:nvSpPr>
      <cdr:spPr>
        <a:xfrm xmlns:a="http://schemas.openxmlformats.org/drawingml/2006/main">
          <a:off x="75809" y="44900"/>
          <a:ext cx="2417744"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2717CCFC-ACF9-4E34-AE82-F66F28565D8C}" type="TxLink">
            <a:rPr lang="en-US" sz="1100" b="1" i="0" u="none" strike="noStrike">
              <a:solidFill>
                <a:srgbClr val="000000"/>
              </a:solidFill>
              <a:latin typeface="Arial"/>
              <a:cs typeface="Arial"/>
            </a:rPr>
            <a:pPr/>
            <a:t>Coûts supplémentaires indexés</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0.01334</cdr:x>
      <cdr:y>0.0118</cdr:y>
    </cdr:from>
    <cdr:to>
      <cdr:x>0.69361</cdr:x>
      <cdr:y>0.07181</cdr:y>
    </cdr:to>
    <cdr:sp macro="" textlink="'Résultats (outputs)'!$N$52">
      <cdr:nvSpPr>
        <cdr:cNvPr id="6" name="AxisTitle"/>
        <cdr:cNvSpPr txBox="1"/>
      </cdr:nvSpPr>
      <cdr:spPr>
        <a:xfrm xmlns:a="http://schemas.openxmlformats.org/drawingml/2006/main">
          <a:off x="55276" y="31898"/>
          <a:ext cx="2818766"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1BF6306C-FF02-45CA-9E95-D51AF24E54A2}" type="TxLink">
            <a:rPr lang="en-US" sz="1100" b="1" i="0" u="none" strike="noStrike">
              <a:solidFill>
                <a:srgbClr val="000000"/>
              </a:solidFill>
              <a:latin typeface="Arial"/>
              <a:cs typeface="Arial"/>
            </a:rPr>
            <a:pPr/>
            <a:t>g éq.-CO2 / km</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0.00997</cdr:x>
      <cdr:y>0.01838</cdr:y>
    </cdr:from>
    <cdr:to>
      <cdr:x>0.69024</cdr:x>
      <cdr:y>0.07836</cdr:y>
    </cdr:to>
    <cdr:sp macro="" textlink="'Résultats (outputs)'!$C$68">
      <cdr:nvSpPr>
        <cdr:cNvPr id="4" name="AxisTitle"/>
        <cdr:cNvSpPr txBox="1"/>
      </cdr:nvSpPr>
      <cdr:spPr>
        <a:xfrm xmlns:a="http://schemas.openxmlformats.org/drawingml/2006/main">
          <a:off x="41320" y="49714"/>
          <a:ext cx="28193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83BD8AB1-3794-4148-9522-E3471A77903A}" type="TxLink">
            <a:rPr lang="en-US" sz="1100" b="1" i="0" u="none" strike="noStrike">
              <a:solidFill>
                <a:srgbClr val="000000"/>
              </a:solidFill>
              <a:latin typeface="Arial"/>
              <a:cs typeface="Arial"/>
            </a:rPr>
            <a:pPr/>
            <a:t>CHF</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0.02683</cdr:x>
      <cdr:y>0.01773</cdr:y>
    </cdr:from>
    <cdr:to>
      <cdr:x>0.98882</cdr:x>
      <cdr:y>0.07776</cdr:y>
    </cdr:to>
    <cdr:sp macro="" textlink="'Résultats (outputs)'!$T$52">
      <cdr:nvSpPr>
        <cdr:cNvPr id="4" name="AxisTitle"/>
        <cdr:cNvSpPr txBox="1"/>
      </cdr:nvSpPr>
      <cdr:spPr>
        <a:xfrm xmlns:a="http://schemas.openxmlformats.org/drawingml/2006/main">
          <a:off x="95332" y="47911"/>
          <a:ext cx="3418144" cy="162224"/>
        </a:xfrm>
        <a:prstGeom xmlns:a="http://schemas.openxmlformats.org/drawingml/2006/main" prst="rect">
          <a:avLst/>
        </a:prstGeom>
        <a:noFill xmlns:a="http://schemas.openxmlformats.org/drawingml/2006/main"/>
      </cdr:spPr>
      <cdr:txBody>
        <a:bodyPr xmlns:a="http://schemas.openxmlformats.org/drawingml/2006/main" vertOverflow="clip" vert="horz" wrap="square" lIns="21600" tIns="0" rIns="0" bIns="0" rtlCol="0">
          <a:spAutoFit/>
        </a:bodyPr>
        <a:lstStyle xmlns:a="http://schemas.openxmlformats.org/drawingml/2006/main"/>
        <a:p xmlns:a="http://schemas.openxmlformats.org/drawingml/2006/main">
          <a:fld id="{59CBB3B5-0F0D-4E5C-A232-0C894B6ECB5A}" type="TxLink">
            <a:rPr lang="en-US" sz="1100" b="1" i="0" u="none" strike="noStrike">
              <a:solidFill>
                <a:srgbClr val="000000"/>
              </a:solidFill>
              <a:latin typeface="Arial"/>
              <a:cs typeface="Arial"/>
            </a:rPr>
            <a:pPr/>
            <a:t>Émissions de gaz à effet de serre indexées</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0.02207</cdr:x>
      <cdr:y>0.0268</cdr:y>
    </cdr:from>
    <cdr:to>
      <cdr:x>1</cdr:x>
      <cdr:y>0.08395</cdr:y>
    </cdr:to>
    <cdr:sp macro="" textlink="'Résultats (outputs)'!$J$26">
      <cdr:nvSpPr>
        <cdr:cNvPr id="2" name="AxisTitle">
          <a:extLst xmlns:a="http://schemas.openxmlformats.org/drawingml/2006/main">
            <a:ext uri="{FF2B5EF4-FFF2-40B4-BE49-F238E27FC236}">
              <a16:creationId xmlns:a16="http://schemas.microsoft.com/office/drawing/2014/main" id="{0B13A628-120E-DFB7-77AD-5108583ED003}"/>
            </a:ext>
          </a:extLst>
        </cdr:cNvPr>
        <cdr:cNvSpPr txBox="1"/>
      </cdr:nvSpPr>
      <cdr:spPr>
        <a:xfrm xmlns:a="http://schemas.openxmlformats.org/drawingml/2006/main">
          <a:off x="120244" y="96829"/>
          <a:ext cx="5328054" cy="206467"/>
        </a:xfrm>
        <a:prstGeom xmlns:a="http://schemas.openxmlformats.org/drawingml/2006/main" prst="rect">
          <a:avLst/>
        </a:prstGeom>
      </cdr:spPr>
      <cdr:txBody>
        <a:bodyPr xmlns:a="http://schemas.openxmlformats.org/drawingml/2006/main" vertOverflow="clip" vert="horz" wrap="square" lIns="0" tIns="0" rIns="0" bIns="0" rtlCol="0">
          <a:spAutoFit/>
        </a:bodyPr>
        <a:lstStyle xmlns:a="http://schemas.openxmlformats.org/drawingml/2006/main"/>
        <a:p xmlns:a="http://schemas.openxmlformats.org/drawingml/2006/main">
          <a:fld id="{A34DDD8D-9BFC-4D91-8B7C-F1E4F047529E}" type="TxLink">
            <a:rPr lang="en-US" sz="1400" b="1" i="0" u="none" strike="noStrike" kern="1200">
              <a:solidFill>
                <a:srgbClr val="000000"/>
              </a:solidFill>
              <a:latin typeface="Arial"/>
              <a:cs typeface="Arial"/>
            </a:rPr>
            <a:pPr/>
            <a:t>Besoins énergétiques</a:t>
          </a:fld>
          <a:endParaRPr lang="de-CH" sz="1050" b="1" kern="1200">
            <a:solidFill>
              <a:srgbClr val="000000"/>
            </a:solidFill>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0.01665</cdr:x>
      <cdr:y>0.01771</cdr:y>
    </cdr:from>
    <cdr:to>
      <cdr:x>0.69692</cdr:x>
      <cdr:y>0.0777</cdr:y>
    </cdr:to>
    <cdr:sp macro="" textlink="'Résultats (outputs)'!$N$68">
      <cdr:nvSpPr>
        <cdr:cNvPr id="6" name="AxisTitle"/>
        <cdr:cNvSpPr txBox="1"/>
      </cdr:nvSpPr>
      <cdr:spPr>
        <a:xfrm xmlns:a="http://schemas.openxmlformats.org/drawingml/2006/main">
          <a:off x="68991" y="47890"/>
          <a:ext cx="28187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74F97AF4-FE2C-46F7-ADB4-07774E8D6369}" type="TxLink">
            <a:rPr lang="en-US" sz="1100" b="1" i="0" u="none" strike="noStrike">
              <a:solidFill>
                <a:srgbClr val="000000"/>
              </a:solidFill>
              <a:latin typeface="Arial"/>
              <a:cs typeface="Arial"/>
            </a:rPr>
            <a:pPr/>
            <a:t>kg éq.-CO2</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59436</xdr:colOff>
      <xdr:row>1</xdr:row>
      <xdr:rowOff>18546</xdr:rowOff>
    </xdr:from>
    <xdr:to>
      <xdr:col>12</xdr:col>
      <xdr:colOff>642104</xdr:colOff>
      <xdr:row>16</xdr:row>
      <xdr:rowOff>147375</xdr:rowOff>
    </xdr:to>
    <xdr:graphicFrame macro="">
      <xdr:nvGraphicFramePr>
        <xdr:cNvPr id="3" name="Chart 2">
          <a:extLst>
            <a:ext uri="{FF2B5EF4-FFF2-40B4-BE49-F238E27FC236}">
              <a16:creationId xmlns:a16="http://schemas.microsoft.com/office/drawing/2014/main" id="{DEC4B7D9-27AC-D9F3-3DC2-22A7FF977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333859</xdr:colOff>
      <xdr:row>1</xdr:row>
      <xdr:rowOff>52113</xdr:rowOff>
    </xdr:from>
    <xdr:to>
      <xdr:col>26</xdr:col>
      <xdr:colOff>131161</xdr:colOff>
      <xdr:row>16</xdr:row>
      <xdr:rowOff>182775</xdr:rowOff>
    </xdr:to>
    <xdr:graphicFrame macro="">
      <xdr:nvGraphicFramePr>
        <xdr:cNvPr id="4" name="Chart 3">
          <a:extLst>
            <a:ext uri="{FF2B5EF4-FFF2-40B4-BE49-F238E27FC236}">
              <a16:creationId xmlns:a16="http://schemas.microsoft.com/office/drawing/2014/main" id="{5E0EA2EA-199D-4B09-B8DE-DA3E2BC48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406723</xdr:colOff>
      <xdr:row>1</xdr:row>
      <xdr:rowOff>28043</xdr:rowOff>
    </xdr:from>
    <xdr:to>
      <xdr:col>20</xdr:col>
      <xdr:colOff>388798</xdr:colOff>
      <xdr:row>16</xdr:row>
      <xdr:rowOff>156872</xdr:rowOff>
    </xdr:to>
    <xdr:graphicFrame macro="">
      <xdr:nvGraphicFramePr>
        <xdr:cNvPr id="2" name="Chart 1">
          <a:extLst>
            <a:ext uri="{FF2B5EF4-FFF2-40B4-BE49-F238E27FC236}">
              <a16:creationId xmlns:a16="http://schemas.microsoft.com/office/drawing/2014/main" id="{36F492B2-B9A6-4C0A-85C9-27C2C879B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126624</xdr:colOff>
      <xdr:row>44</xdr:row>
      <xdr:rowOff>45623</xdr:rowOff>
    </xdr:from>
    <xdr:to>
      <xdr:col>13</xdr:col>
      <xdr:colOff>56137</xdr:colOff>
      <xdr:row>61</xdr:row>
      <xdr:rowOff>174018</xdr:rowOff>
    </xdr:to>
    <xdr:graphicFrame macro="">
      <xdr:nvGraphicFramePr>
        <xdr:cNvPr id="5" name="Chart 4">
          <a:extLst>
            <a:ext uri="{FF2B5EF4-FFF2-40B4-BE49-F238E27FC236}">
              <a16:creationId xmlns:a16="http://schemas.microsoft.com/office/drawing/2014/main" id="{C7CD7425-8E1E-BC38-07A0-ECD22CC9F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289432</xdr:colOff>
      <xdr:row>44</xdr:row>
      <xdr:rowOff>47065</xdr:rowOff>
    </xdr:from>
    <xdr:to>
      <xdr:col>20</xdr:col>
      <xdr:colOff>276576</xdr:colOff>
      <xdr:row>61</xdr:row>
      <xdr:rowOff>175460</xdr:rowOff>
    </xdr:to>
    <xdr:graphicFrame macro="">
      <xdr:nvGraphicFramePr>
        <xdr:cNvPr id="6" name="Chart 5">
          <a:extLst>
            <a:ext uri="{FF2B5EF4-FFF2-40B4-BE49-F238E27FC236}">
              <a16:creationId xmlns:a16="http://schemas.microsoft.com/office/drawing/2014/main" id="{FD18B490-D840-484A-8C56-371E966C1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denPunktFarben">
  <a:themeElements>
    <a:clrScheme name="LadenPunkt">
      <a:dk1>
        <a:sysClr val="windowText" lastClr="000000"/>
      </a:dk1>
      <a:lt1>
        <a:sysClr val="window" lastClr="FFFFFF"/>
      </a:lt1>
      <a:dk2>
        <a:srgbClr val="592147"/>
      </a:dk2>
      <a:lt2>
        <a:srgbClr val="FFEACD"/>
      </a:lt2>
      <a:accent1>
        <a:srgbClr val="592147"/>
      </a:accent1>
      <a:accent2>
        <a:srgbClr val="F7A823"/>
      </a:accent2>
      <a:accent3>
        <a:srgbClr val="12385F"/>
      </a:accent3>
      <a:accent4>
        <a:srgbClr val="99A93A"/>
      </a:accent4>
      <a:accent5>
        <a:srgbClr val="EA5B0C"/>
      </a:accent5>
      <a:accent6>
        <a:srgbClr val="69ACDF"/>
      </a:accent6>
      <a:hlink>
        <a:srgbClr val="F7A823"/>
      </a:hlink>
      <a:folHlink>
        <a:srgbClr val="954F72"/>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ewz.ch/de/private/strom/tarife/tarifuebersicht.html" TargetMode="External"/><Relationship Id="rId7" Type="http://schemas.openxmlformats.org/officeDocument/2006/relationships/hyperlink" Target="https://www.adac.de/rund-ums-fahrzeug/elektromobilitaet/laden/ladeverluste-elektroauto-studie/" TargetMode="External"/><Relationship Id="rId2" Type="http://schemas.openxmlformats.org/officeDocument/2006/relationships/hyperlink" Target="https://www.adac.de/rund-ums-fahrzeug/elektromobilitaet/laden/ladeverluste-elektroauto-studie/" TargetMode="External"/><Relationship Id="rId1" Type="http://schemas.openxmlformats.org/officeDocument/2006/relationships/hyperlink" Target="https://www.newsd.admin.ch/newsd/message/attachments/78059.pdf" TargetMode="External"/><Relationship Id="rId6" Type="http://schemas.openxmlformats.org/officeDocument/2006/relationships/hyperlink" Target="https://www.newsd.admin.ch/newsd/message/attachments/78059.pdf" TargetMode="External"/><Relationship Id="rId5" Type="http://schemas.openxmlformats.org/officeDocument/2006/relationships/hyperlink" Target="https://www.news.admin.ch/de/nsb?id=93890" TargetMode="External"/><Relationship Id="rId4" Type="http://schemas.openxmlformats.org/officeDocument/2006/relationships/hyperlink" Target="https://www.news.admin.ch/de/nsb?id=93890"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E435D-8066-4FC1-B622-F87467BB97C7}">
  <sheetPr codeName="Sheet12">
    <tabColor theme="2"/>
  </sheetPr>
  <dimension ref="B2:Y38"/>
  <sheetViews>
    <sheetView zoomScale="76" workbookViewId="0">
      <selection activeCell="P39" sqref="P39"/>
    </sheetView>
  </sheetViews>
  <sheetFormatPr defaultColWidth="8.640625" defaultRowHeight="14.15" x14ac:dyDescent="0.35"/>
  <cols>
    <col min="1" max="1" width="3.140625" style="3" customWidth="1"/>
    <col min="2" max="16384" width="8.640625" style="3"/>
  </cols>
  <sheetData>
    <row r="2" spans="2:25" ht="35.15" x14ac:dyDescent="0.85">
      <c r="B2" s="214"/>
      <c r="C2" s="283"/>
      <c r="D2" s="283"/>
      <c r="E2" s="283"/>
      <c r="F2" s="283"/>
      <c r="G2" s="283"/>
      <c r="H2" s="283"/>
      <c r="I2" s="283"/>
      <c r="J2" s="283"/>
      <c r="K2" s="283"/>
      <c r="L2" s="283"/>
      <c r="M2" s="283"/>
      <c r="N2" s="283"/>
      <c r="O2" s="283"/>
      <c r="P2" s="283"/>
      <c r="Q2" s="283"/>
      <c r="R2" s="283"/>
      <c r="S2" s="283"/>
      <c r="T2" s="283"/>
      <c r="U2" s="283"/>
      <c r="V2" s="283"/>
      <c r="W2" s="283"/>
      <c r="X2" s="215"/>
      <c r="Y2" s="283"/>
    </row>
    <row r="4" spans="2:25" x14ac:dyDescent="0.35">
      <c r="B4" s="283"/>
      <c r="C4" s="283"/>
      <c r="D4" s="283"/>
      <c r="E4" s="283"/>
      <c r="F4" s="283"/>
      <c r="G4" s="283"/>
      <c r="H4" s="477"/>
      <c r="I4" s="283"/>
      <c r="J4" s="283"/>
      <c r="K4" s="283"/>
      <c r="L4" s="283"/>
      <c r="M4" s="283"/>
      <c r="N4" s="283"/>
      <c r="O4" s="283"/>
      <c r="P4" s="283"/>
      <c r="Q4" s="283"/>
      <c r="R4" s="283"/>
      <c r="S4" s="283"/>
      <c r="T4" s="283"/>
      <c r="U4" s="283"/>
      <c r="V4" s="283"/>
      <c r="W4" s="283"/>
      <c r="X4" s="283"/>
      <c r="Y4" s="283"/>
    </row>
    <row r="9" spans="2:25" x14ac:dyDescent="0.35">
      <c r="B9" s="283"/>
      <c r="C9" s="283"/>
      <c r="D9" s="283"/>
      <c r="E9" s="283"/>
      <c r="F9" s="283"/>
      <c r="G9" s="283"/>
      <c r="H9" s="283"/>
      <c r="I9" s="283"/>
      <c r="J9" s="283"/>
      <c r="K9" s="283"/>
      <c r="L9" s="283"/>
      <c r="M9" s="283"/>
      <c r="N9" s="283"/>
      <c r="O9" s="283"/>
      <c r="P9" s="283"/>
      <c r="Q9" s="283"/>
      <c r="R9" s="283"/>
      <c r="S9" s="283"/>
      <c r="T9" s="283"/>
      <c r="U9" s="283"/>
      <c r="V9" s="283"/>
      <c r="W9" s="283"/>
      <c r="X9" s="283"/>
      <c r="Y9" s="216"/>
    </row>
    <row r="10" spans="2:25" x14ac:dyDescent="0.35">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16"/>
    </row>
    <row r="11" spans="2:25" x14ac:dyDescent="0.35">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16"/>
    </row>
    <row r="14" spans="2:25" x14ac:dyDescent="0.35">
      <c r="B14" s="283"/>
      <c r="C14" s="283"/>
      <c r="D14" s="283"/>
      <c r="E14" s="283"/>
      <c r="F14" s="283"/>
      <c r="G14" s="283"/>
      <c r="H14" s="283"/>
      <c r="I14" s="283"/>
      <c r="J14" s="283"/>
      <c r="K14" s="283"/>
      <c r="L14" s="283"/>
      <c r="M14" s="283"/>
      <c r="N14" s="283"/>
      <c r="O14" s="283"/>
      <c r="P14" s="283"/>
      <c r="Q14" s="283"/>
      <c r="R14" s="283"/>
      <c r="S14" s="283"/>
      <c r="T14" s="283"/>
      <c r="U14" s="283"/>
      <c r="V14" s="283"/>
      <c r="W14" s="283"/>
      <c r="X14" s="283"/>
      <c r="Y14" s="216"/>
    </row>
    <row r="38" spans="21:21" x14ac:dyDescent="0.35">
      <c r="U38" s="217"/>
    </row>
  </sheetData>
  <sheetProtection algorithmName="SHA-512" hashValue="1f/8UNsIQ2fujF/7X0g+s3Ii+dN5ym56fJG0Vqqnr9K0xvppwIEJiExd90L+cKz1mQIO2mcz9uv8VBWUlL6D+w==" saltValue="Ru+xqL+21G17v/c9ImtSeg==" spinCount="100000" sheet="1" objects="1" scenarios="1"/>
  <dataConsolidate/>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1A2B-C8C1-4CB8-B467-73D87C4EE177}">
  <sheetPr codeName="Sheet9">
    <tabColor theme="0" tint="-0.34998626667073579"/>
  </sheetPr>
  <dimension ref="A1:AV504"/>
  <sheetViews>
    <sheetView topLeftCell="R1" zoomScale="115" zoomScaleNormal="115" workbookViewId="0">
      <selection activeCell="AF5" sqref="AF5"/>
    </sheetView>
  </sheetViews>
  <sheetFormatPr defaultColWidth="8.640625" defaultRowHeight="14.15" x14ac:dyDescent="0.35"/>
  <cols>
    <col min="1" max="1" width="17.35546875" style="58" customWidth="1"/>
    <col min="2" max="2" width="13.35546875" style="70" customWidth="1"/>
    <col min="3" max="3" width="8.640625" style="70" bestFit="1" customWidth="1"/>
    <col min="4" max="4" width="9.35546875" style="71" customWidth="1"/>
    <col min="5" max="5" width="11.7109375" style="71" customWidth="1"/>
    <col min="6" max="6" width="19.7109375" style="71" customWidth="1"/>
    <col min="7" max="10" width="18.35546875" style="71" customWidth="1"/>
    <col min="11" max="11" width="15.35546875" style="72" customWidth="1"/>
    <col min="12" max="12" width="14.35546875" style="72" customWidth="1"/>
    <col min="13" max="14" width="13.7109375" style="72" customWidth="1"/>
    <col min="15" max="15" width="11.2109375" style="63" customWidth="1"/>
    <col min="16" max="17" width="14.35546875" style="63" customWidth="1"/>
    <col min="18" max="18" width="12.640625" style="63" customWidth="1"/>
    <col min="19" max="19" width="11.640625" style="73" customWidth="1"/>
    <col min="20" max="21" width="14.35546875" style="73" customWidth="1"/>
    <col min="22" max="22" width="10.35546875" style="65" customWidth="1"/>
    <col min="23" max="23" width="10.35546875" style="67" customWidth="1"/>
    <col min="24" max="24" width="10.2109375" style="67" customWidth="1"/>
    <col min="25" max="26" width="13.35546875" style="67" customWidth="1"/>
    <col min="27" max="28" width="16.140625" style="67" customWidth="1"/>
    <col min="29" max="29" width="9.7109375" style="67" customWidth="1"/>
    <col min="30" max="30" width="10.140625" style="67" customWidth="1"/>
    <col min="31" max="31" width="13.2109375" style="67" customWidth="1"/>
    <col min="32" max="32" width="16.35546875" style="67" customWidth="1"/>
    <col min="33" max="33" width="12.7109375" style="67" customWidth="1"/>
    <col min="34" max="35" width="15.35546875" style="67" customWidth="1"/>
    <col min="36" max="46" width="14.35546875" style="63" customWidth="1"/>
    <col min="47" max="48" width="8.640625" style="70"/>
    <col min="49" max="16384" width="8.640625" style="477"/>
  </cols>
  <sheetData>
    <row r="1" spans="1:48" x14ac:dyDescent="0.35">
      <c r="A1" s="36" t="s">
        <v>152</v>
      </c>
      <c r="B1" s="37"/>
      <c r="C1" s="37"/>
      <c r="D1" s="31"/>
      <c r="E1" s="31"/>
      <c r="F1" s="31"/>
      <c r="G1" s="31"/>
      <c r="H1" s="31"/>
      <c r="I1" s="31"/>
      <c r="J1" s="31"/>
      <c r="K1" s="31"/>
      <c r="L1" s="31"/>
      <c r="M1" s="31"/>
      <c r="N1" s="31"/>
      <c r="O1" s="31"/>
      <c r="P1" s="31"/>
      <c r="Q1" s="31"/>
      <c r="R1" s="31"/>
      <c r="S1" s="31"/>
      <c r="T1" s="31"/>
      <c r="U1" s="31"/>
      <c r="V1" s="31"/>
      <c r="W1" s="31"/>
      <c r="X1" s="31"/>
      <c r="Y1" s="31"/>
      <c r="Z1" s="31"/>
      <c r="AA1" s="31" t="s">
        <v>153</v>
      </c>
      <c r="AB1" s="31"/>
      <c r="AC1" s="31"/>
      <c r="AD1" s="31"/>
      <c r="AE1" s="31"/>
      <c r="AF1" s="31"/>
      <c r="AG1" s="31"/>
      <c r="AH1" s="31" t="s">
        <v>153</v>
      </c>
      <c r="AI1" s="31"/>
      <c r="AJ1" s="31"/>
      <c r="AK1" s="31"/>
      <c r="AL1" s="31"/>
      <c r="AM1" s="31"/>
      <c r="AN1" s="31"/>
      <c r="AO1" s="31"/>
      <c r="AP1" s="31"/>
      <c r="AQ1" s="31"/>
      <c r="AR1" s="31"/>
      <c r="AS1" s="31"/>
      <c r="AT1" s="31"/>
      <c r="AU1" s="31"/>
      <c r="AV1" s="31"/>
    </row>
    <row r="2" spans="1:48" x14ac:dyDescent="0.35">
      <c r="A2" s="38"/>
      <c r="B2" s="31"/>
      <c r="C2" s="31"/>
      <c r="D2" s="541" t="s">
        <v>154</v>
      </c>
      <c r="E2" s="541"/>
      <c r="F2" s="541"/>
      <c r="G2" s="541"/>
      <c r="H2" s="542" t="s">
        <v>155</v>
      </c>
      <c r="I2" s="542"/>
      <c r="J2" s="542"/>
      <c r="K2" s="540" t="s">
        <v>156</v>
      </c>
      <c r="L2" s="540"/>
      <c r="M2" s="540"/>
      <c r="N2" s="540"/>
      <c r="O2" s="538" t="s">
        <v>157</v>
      </c>
      <c r="P2" s="538"/>
      <c r="Q2" s="538"/>
      <c r="R2" s="538"/>
      <c r="S2" s="543" t="s">
        <v>158</v>
      </c>
      <c r="T2" s="543"/>
      <c r="U2" s="543"/>
      <c r="V2" s="39" t="s">
        <v>159</v>
      </c>
      <c r="W2" s="539" t="s">
        <v>160</v>
      </c>
      <c r="X2" s="539"/>
      <c r="Y2" s="539"/>
      <c r="Z2" s="539"/>
      <c r="AA2" s="539"/>
      <c r="AB2" s="539"/>
      <c r="AC2" s="539"/>
      <c r="AD2" s="539"/>
      <c r="AE2" s="539"/>
      <c r="AF2" s="539"/>
      <c r="AG2" s="539"/>
      <c r="AH2" s="539"/>
      <c r="AI2" s="539"/>
      <c r="AJ2" s="538" t="s">
        <v>161</v>
      </c>
      <c r="AK2" s="538"/>
      <c r="AL2" s="538"/>
      <c r="AM2" s="538"/>
      <c r="AN2" s="538"/>
      <c r="AO2" s="538"/>
      <c r="AP2" s="538"/>
      <c r="AQ2" s="538"/>
      <c r="AR2" s="538"/>
      <c r="AS2" s="538"/>
      <c r="AT2" s="538"/>
      <c r="AU2" s="31"/>
      <c r="AV2" s="31"/>
    </row>
    <row r="3" spans="1:48" s="43" customFormat="1" ht="42.45" x14ac:dyDescent="0.35">
      <c r="A3" s="40" t="s">
        <v>137</v>
      </c>
      <c r="B3" s="41" t="s">
        <v>162</v>
      </c>
      <c r="C3" s="42" t="s">
        <v>111</v>
      </c>
      <c r="D3" s="31" t="s">
        <v>154</v>
      </c>
      <c r="E3" s="41" t="s">
        <v>163</v>
      </c>
      <c r="F3" s="41" t="s">
        <v>164</v>
      </c>
      <c r="G3" s="41" t="s">
        <v>165</v>
      </c>
      <c r="H3" s="41" t="s">
        <v>166</v>
      </c>
      <c r="I3" s="41" t="s">
        <v>167</v>
      </c>
      <c r="J3" s="41" t="s">
        <v>166</v>
      </c>
      <c r="K3" s="41" t="s">
        <v>85</v>
      </c>
      <c r="L3" s="41" t="s">
        <v>168</v>
      </c>
      <c r="M3" s="41" t="s">
        <v>169</v>
      </c>
      <c r="N3" s="41" t="s">
        <v>170</v>
      </c>
      <c r="O3" s="41" t="s">
        <v>171</v>
      </c>
      <c r="P3" s="41" t="s">
        <v>172</v>
      </c>
      <c r="Q3" s="41" t="s">
        <v>173</v>
      </c>
      <c r="R3" s="41" t="s">
        <v>174</v>
      </c>
      <c r="S3" s="41" t="s">
        <v>85</v>
      </c>
      <c r="T3" s="41" t="s">
        <v>168</v>
      </c>
      <c r="U3" s="41" t="s">
        <v>170</v>
      </c>
      <c r="V3" s="41" t="s">
        <v>175</v>
      </c>
      <c r="W3" s="41" t="s">
        <v>176</v>
      </c>
      <c r="X3" s="41" t="s">
        <v>177</v>
      </c>
      <c r="Y3" s="41" t="s">
        <v>178</v>
      </c>
      <c r="Z3" s="41" t="s">
        <v>465</v>
      </c>
      <c r="AA3" s="41" t="s">
        <v>179</v>
      </c>
      <c r="AB3" s="41" t="s">
        <v>180</v>
      </c>
      <c r="AC3" s="41" t="s">
        <v>181</v>
      </c>
      <c r="AD3" s="41" t="s">
        <v>182</v>
      </c>
      <c r="AE3" s="41" t="s">
        <v>183</v>
      </c>
      <c r="AF3" s="41" t="s">
        <v>184</v>
      </c>
      <c r="AG3" s="41" t="s">
        <v>185</v>
      </c>
      <c r="AH3" s="41" t="s">
        <v>186</v>
      </c>
      <c r="AI3" s="41" t="s">
        <v>187</v>
      </c>
      <c r="AJ3" s="41" t="s">
        <v>169</v>
      </c>
      <c r="AK3" s="41" t="s">
        <v>188</v>
      </c>
      <c r="AL3" s="41" t="s">
        <v>189</v>
      </c>
      <c r="AM3" s="41" t="s">
        <v>190</v>
      </c>
      <c r="AN3" s="41" t="s">
        <v>191</v>
      </c>
      <c r="AO3" s="41" t="s">
        <v>192</v>
      </c>
      <c r="AP3" s="41" t="s">
        <v>189</v>
      </c>
      <c r="AQ3" s="41" t="s">
        <v>193</v>
      </c>
      <c r="AR3" s="42" t="s">
        <v>194</v>
      </c>
      <c r="AS3" s="42" t="s">
        <v>195</v>
      </c>
      <c r="AT3" s="42" t="s">
        <v>196</v>
      </c>
      <c r="AU3" s="41"/>
      <c r="AV3" s="41"/>
    </row>
    <row r="4" spans="1:48" s="44" customFormat="1" x14ac:dyDescent="0.35">
      <c r="A4" s="38"/>
      <c r="B4" s="31"/>
      <c r="C4" s="31"/>
      <c r="D4" s="31" t="s">
        <v>197</v>
      </c>
      <c r="E4" s="31" t="s">
        <v>15</v>
      </c>
      <c r="F4" s="31" t="s">
        <v>15</v>
      </c>
      <c r="G4" s="31" t="s">
        <v>15</v>
      </c>
      <c r="H4" s="31" t="s">
        <v>15</v>
      </c>
      <c r="I4" s="31" t="s">
        <v>15</v>
      </c>
      <c r="J4" s="31" t="s">
        <v>15</v>
      </c>
      <c r="K4" s="31" t="s">
        <v>15</v>
      </c>
      <c r="L4" s="31" t="s">
        <v>15</v>
      </c>
      <c r="M4" s="31" t="s">
        <v>15</v>
      </c>
      <c r="N4" s="31" t="s">
        <v>15</v>
      </c>
      <c r="O4" s="31" t="s">
        <v>15</v>
      </c>
      <c r="P4" s="31" t="s">
        <v>15</v>
      </c>
      <c r="Q4" s="31" t="s">
        <v>15</v>
      </c>
      <c r="R4" s="33" t="s">
        <v>39</v>
      </c>
      <c r="S4" s="31" t="s">
        <v>15</v>
      </c>
      <c r="T4" s="31" t="s">
        <v>15</v>
      </c>
      <c r="U4" s="31" t="s">
        <v>15</v>
      </c>
      <c r="V4" s="33" t="s">
        <v>39</v>
      </c>
      <c r="W4" s="33"/>
      <c r="X4" s="33" t="s">
        <v>39</v>
      </c>
      <c r="Y4" s="31" t="s">
        <v>12</v>
      </c>
      <c r="Z4" s="31" t="s">
        <v>12</v>
      </c>
      <c r="AA4" s="31"/>
      <c r="AB4" s="33"/>
      <c r="AC4" s="31"/>
      <c r="AD4" s="33" t="s">
        <v>39</v>
      </c>
      <c r="AE4" s="31" t="s">
        <v>12</v>
      </c>
      <c r="AF4" s="31" t="s">
        <v>12</v>
      </c>
      <c r="AG4" s="33" t="s">
        <v>39</v>
      </c>
      <c r="AH4" s="33"/>
      <c r="AI4" s="31"/>
      <c r="AJ4" s="31" t="s">
        <v>15</v>
      </c>
      <c r="AK4" s="31"/>
      <c r="AL4" s="31"/>
      <c r="AM4" s="31"/>
      <c r="AN4" s="31"/>
      <c r="AO4" s="31"/>
      <c r="AP4" s="31"/>
      <c r="AQ4" s="31"/>
      <c r="AR4" s="31"/>
      <c r="AS4" s="31"/>
      <c r="AT4" s="31"/>
      <c r="AU4" s="31"/>
      <c r="AV4" s="31"/>
    </row>
    <row r="5" spans="1:48" x14ac:dyDescent="0.35">
      <c r="A5" s="45" t="s">
        <v>142</v>
      </c>
      <c r="B5" s="46">
        <f>'2. Eingaben Fahrzeug-Ebene'!B5*(SUM('2. Eingaben Fahrzeug-Ebene'!D5:E5)&gt;0)</f>
        <v>1</v>
      </c>
      <c r="C5" s="46">
        <f>'2. Eingaben Fahrzeug-Ebene'!C5</f>
        <v>1</v>
      </c>
      <c r="D5" s="47">
        <f>'2. Eingaben Fahrzeug-Ebene'!V5*'2. Eingaben Fahrzeug-Ebene'!$J5/100</f>
        <v>15.1</v>
      </c>
      <c r="E5" s="47">
        <f>'2. Eingaben Fahrzeug-Ebene'!T5*'2. Eingaben Fahrzeug-Ebene'!$J5/100</f>
        <v>15.1</v>
      </c>
      <c r="F5" s="47">
        <f>IF(B5,E5/'2. Eingaben Fahrzeug-Ebene'!Z5,0)</f>
        <v>15.1</v>
      </c>
      <c r="G5" s="47">
        <f>'2. Eingaben Fahrzeug-Ebene'!U5*'2. Eingaben Fahrzeug-Ebene'!$J5/100/2</f>
        <v>0</v>
      </c>
      <c r="H5" s="47">
        <f>G5</f>
        <v>0</v>
      </c>
      <c r="I5" s="47">
        <f>F5</f>
        <v>15.1</v>
      </c>
      <c r="J5" s="47">
        <f>G5</f>
        <v>0</v>
      </c>
      <c r="K5" s="48">
        <f ca="1">MIN('2. Eingaben Fahrzeug-Ebene'!AG5*'1b. Corrected Inputs Segment'!$J$24*'2. Eingaben Fahrzeug-Ebene'!AF5*'2d. Annahmen'!$B$57,'2. Eingaben Fahrzeug-Ebene'!I5)</f>
        <v>0</v>
      </c>
      <c r="L5" s="48">
        <f ca="1">MIN('2. Eingaben Fahrzeug-Ebene'!AH5*'1b. Corrected Inputs Segment'!$J$25*'2. Eingaben Fahrzeug-Ebene'!AF5*'2d. Annahmen'!$B$57,'2. Eingaben Fahrzeug-Ebene'!I5)</f>
        <v>46.900000000000006</v>
      </c>
      <c r="M5" s="48">
        <f>MIN('1b. Corrected Inputs Segment'!$J$26*'2. Eingaben Fahrzeug-Ebene'!AD5*'2d. Annahmen'!$B$57,'2. Eingaben Fahrzeug-Ebene'!I5)</f>
        <v>46.900000000000006</v>
      </c>
      <c r="N5" s="48">
        <f>M5*SUM('2. Eingaben Fahrzeug-Ebene'!AA5:AC5)</f>
        <v>46.900000000000006</v>
      </c>
      <c r="O5" s="49">
        <f>SUM(MAX(H5-'2. Eingaben Fahrzeug-Ebene'!I5,0),MAX(('2. Eingaben Fahrzeug-Ebene'!Z5)*(I5-'2. Eingaben Fahrzeug-Ebene'!I5),0),MAX(J5-'2. Eingaben Fahrzeug-Ebene'!I5,0))</f>
        <v>0</v>
      </c>
      <c r="P5" s="49">
        <f ca="1">MAX(D5-SUM(K5:L5,N5),0)</f>
        <v>0</v>
      </c>
      <c r="Q5" s="49">
        <f ca="1">MAX(O5:P5)</f>
        <v>0</v>
      </c>
      <c r="R5" s="50">
        <f ca="1">(Q5&gt;0)*1</f>
        <v>0</v>
      </c>
      <c r="S5" s="51">
        <f ca="1">MIN(D5,K5)</f>
        <v>0</v>
      </c>
      <c r="T5" s="51">
        <f ca="1">MIN(D5,L5)</f>
        <v>15.1</v>
      </c>
      <c r="U5" s="51">
        <f ca="1">D5-SUM(S5:T5,Q5)</f>
        <v>0</v>
      </c>
      <c r="V5" s="52">
        <f ca="1">(S5&gt;0)*1/'1b. Corrected Inputs Segment'!$J$28</f>
        <v>0</v>
      </c>
      <c r="W5" s="53">
        <f>'1b. Corrected Inputs Segment'!$J$29</f>
        <v>1</v>
      </c>
      <c r="X5" s="54">
        <f ca="1">(T5&gt;0)/W5</f>
        <v>1</v>
      </c>
      <c r="Y5" s="53">
        <f ca="1">IF(T5&gt;0,T5/'2. Eingaben Fahrzeug-Ebene'!AF5/'2d. Annahmen'!$B$57,0)</f>
        <v>1.986842105263158</v>
      </c>
      <c r="Z5" s="53" cm="1">
        <f t="array" aca="1" ref="Z5" ca="1">IF(Y5&gt;0,MIN(MIN(_xlfn._xlws.FILTER(Ladeleistung,(Ladeleistung&gt;=Y5))),'1b. Corrected Inputs Segment'!$J$25),0)</f>
        <v>11</v>
      </c>
      <c r="AA5" s="55">
        <f ca="1">IFERROR(0.8/(SUM('3a. Detailierte Ergebnisse'!$T$24:$U$24)^0.401),1)</f>
        <v>0.8</v>
      </c>
      <c r="AB5" s="53">
        <f ca="1">MAX(X5*Y5,X5*'1b. Corrected Inputs Segment'!$J$25*AA5)</f>
        <v>8.8000000000000007</v>
      </c>
      <c r="AC5" s="53">
        <f>'2. Eingaben Fahrzeug-Ebene'!AI5</f>
        <v>1</v>
      </c>
      <c r="AD5" s="54">
        <f ca="1">IF(B5,(U5&gt;0)/AC5,0)</f>
        <v>0</v>
      </c>
      <c r="AE5" s="53">
        <f ca="1">IF(U5&gt;0,MIN('1b. Corrected Inputs Segment'!$J$26,U5/'2. Eingaben Fahrzeug-Ebene'!AE5/'2d. Annahmen'!$B$57),0)</f>
        <v>0</v>
      </c>
      <c r="AF5" s="54" cm="1">
        <f t="array" aca="1" ref="AF5" ca="1">IF(AE5&gt;0,MIN(_xlfn._xlws.FILTER(Ladeleistung,(Ladeleistung&gt;=AE5))),0)</f>
        <v>0</v>
      </c>
      <c r="AG5" s="54">
        <f ca="1">IF(B5,ROUNDUP(U5/'2. Eingaben Fahrzeug-Ebene'!I5,0),0)</f>
        <v>0</v>
      </c>
      <c r="AH5" s="55">
        <f ca="1">_xlfn.LET(_xlpm.nS,'3a. Detailierte Ergebnisse'!$E$24,_xlpm.nM,'3a. Detailierte Ergebnisse'!$F$24,_xlpm.nL,'3a. Detailierte Ergebnisse'!$G$24,_xlpm.n,_xlpm.nS+_xlpm.nM+_xlpm.nL,IF(AF5&lt;=100,IF(_xlpm.n&lt;=3,1,1.119/(_xlpm.n^0.094)),IF(AF5&lt;=150,IF(_xlpm.n&lt;=3,1,1.226/(_xlpm.n^0.164)),IF(_xlpm.n=1,1,1.111/(_xlpm.n^0.192)))))</f>
        <v>1</v>
      </c>
      <c r="AI5" s="53">
        <f ca="1">IF(B5,MAX(AD5*AE5/'2d. Annahmen'!$B$56,AD5*AF5*AH5/'2d. Annahmen'!$B$56),0)</f>
        <v>0</v>
      </c>
      <c r="AJ5" s="49">
        <f ca="1">IF(SUM('2. Eingaben Fahrzeug-Ebene'!AA5:AC5)&gt;0,U5/SUM('2. Eingaben Fahrzeug-Ebene'!AA5:AC5),0)</f>
        <v>0</v>
      </c>
      <c r="AK5" s="49">
        <f ca="1">SUM(S5:T5)+MAX(U5-SUM(E5,J5),0)</f>
        <v>15.1</v>
      </c>
      <c r="AL5" s="49">
        <f ca="1">IF('2. Eingaben Fahrzeug-Ebene'!E5,MAX(H5-AK5,0),MAX(H5-AK5,0))</f>
        <v>0</v>
      </c>
      <c r="AM5" s="49">
        <f ca="1">AK5+AL5-H5+'2. Eingaben Fahrzeug-Ebene'!AA5*AJ5</f>
        <v>15.1</v>
      </c>
      <c r="AN5" s="49">
        <f ca="1">-MIN(AM5+'2. Eingaben Fahrzeug-Ebene'!AB5*AJ5-'2. Eingaben Fahrzeug-Ebene'!Z5*I5,0)</f>
        <v>0</v>
      </c>
      <c r="AO5" s="49">
        <f ca="1">AM5+AN5+'2. Eingaben Fahrzeug-Ebene'!AC5*AJ5-'2. Eingaben Fahrzeug-Ebene'!Z5*I5+'2. Eingaben Fahrzeug-Ebene'!AB5*AJ5</f>
        <v>0</v>
      </c>
      <c r="AP5" s="49">
        <f t="shared" ref="AP5" ca="1" si="0">MAX(J5-AO5,0)</f>
        <v>0</v>
      </c>
      <c r="AQ5" s="49">
        <f t="shared" ref="AQ5" ca="1" si="1">AO5+AP5-J5</f>
        <v>0</v>
      </c>
      <c r="AR5" s="49" t="b">
        <f t="shared" ref="AR5" ca="1" si="2">ABS(SUM(AL5+AN5+AP5)-Q5)&lt;0.0001</f>
        <v>1</v>
      </c>
      <c r="AS5" s="49" t="b">
        <f t="shared" ref="AS5" ca="1" si="3">ABS(SUM(S5:U5,Q5)-D5)&lt;0.0001</f>
        <v>1</v>
      </c>
      <c r="AT5" s="49" t="b">
        <f ca="1">ABS(AQ5-(AK5-SUM(S5:T5)))&lt;0.0001</f>
        <v>1</v>
      </c>
      <c r="AU5" s="56" t="str">
        <f>""</f>
        <v/>
      </c>
      <c r="AV5" s="57"/>
    </row>
    <row r="6" spans="1:48" x14ac:dyDescent="0.35">
      <c r="A6" s="58" t="s">
        <v>143</v>
      </c>
      <c r="B6" s="59">
        <f>'2. Eingaben Fahrzeug-Ebene'!B6*(SUM('2. Eingaben Fahrzeug-Ebene'!D6:E6)&gt;0)</f>
        <v>0</v>
      </c>
      <c r="C6" s="59">
        <f>'2. Eingaben Fahrzeug-Ebene'!C6</f>
        <v>0</v>
      </c>
      <c r="D6" s="60">
        <f>'2. Eingaben Fahrzeug-Ebene'!V6*'2. Eingaben Fahrzeug-Ebene'!$J6/100</f>
        <v>0</v>
      </c>
      <c r="E6" s="60">
        <f>'2. Eingaben Fahrzeug-Ebene'!T6*'2. Eingaben Fahrzeug-Ebene'!$J6/100</f>
        <v>0</v>
      </c>
      <c r="F6" s="60">
        <f>IF(B6,E6/'2. Eingaben Fahrzeug-Ebene'!Z6,0)</f>
        <v>0</v>
      </c>
      <c r="G6" s="60">
        <f>'2. Eingaben Fahrzeug-Ebene'!U6*'2. Eingaben Fahrzeug-Ebene'!$J6/100/2</f>
        <v>0</v>
      </c>
      <c r="H6" s="60">
        <f t="shared" ref="H6:H14" si="4">G6</f>
        <v>0</v>
      </c>
      <c r="I6" s="60">
        <f t="shared" ref="I6:I14" si="5">F6</f>
        <v>0</v>
      </c>
      <c r="J6" s="60">
        <f t="shared" ref="J6:J14" si="6">G6</f>
        <v>0</v>
      </c>
      <c r="K6" s="61">
        <f>MIN('2. Eingaben Fahrzeug-Ebene'!AG6*'1b. Corrected Inputs Segment'!$J$24*'2. Eingaben Fahrzeug-Ebene'!AF6*'2d. Annahmen'!$B$57,'2. Eingaben Fahrzeug-Ebene'!I6)</f>
        <v>0</v>
      </c>
      <c r="L6" s="61">
        <f>MIN('2. Eingaben Fahrzeug-Ebene'!AH6*'1b. Corrected Inputs Segment'!$J$25*'2. Eingaben Fahrzeug-Ebene'!AF6*'2d. Annahmen'!$B$57,'2. Eingaben Fahrzeug-Ebene'!I6)</f>
        <v>0</v>
      </c>
      <c r="M6" s="61">
        <f>MIN('1b. Corrected Inputs Segment'!$J$26*'2. Eingaben Fahrzeug-Ebene'!AD6*'2d. Annahmen'!$B$57,'2. Eingaben Fahrzeug-Ebene'!I6)</f>
        <v>0</v>
      </c>
      <c r="N6" s="61">
        <f>M6*SUM('2. Eingaben Fahrzeug-Ebene'!AA6:AC6)</f>
        <v>0</v>
      </c>
      <c r="O6" s="62">
        <f>SUM(MAX(H6-'2. Eingaben Fahrzeug-Ebene'!I6,0),MAX(('2. Eingaben Fahrzeug-Ebene'!Z6)*(I6-'2. Eingaben Fahrzeug-Ebene'!I6),0),MAX(J6-'2. Eingaben Fahrzeug-Ebene'!I6,0))</f>
        <v>0</v>
      </c>
      <c r="P6" s="62">
        <f t="shared" ref="P6:P14" si="7">MAX(D6-SUM(K6:L6,N6),0)</f>
        <v>0</v>
      </c>
      <c r="Q6" s="62">
        <f t="shared" ref="Q6:Q14" si="8">MAX(O6:P6)</f>
        <v>0</v>
      </c>
      <c r="R6" s="63">
        <f t="shared" ref="R6:R14" si="9">(Q6&gt;0)*1</f>
        <v>0</v>
      </c>
      <c r="S6" s="64">
        <f t="shared" ref="S6:S14" si="10">MIN(D6,K6)</f>
        <v>0</v>
      </c>
      <c r="T6" s="64">
        <f t="shared" ref="T6:T14" si="11">MIN(D6,L6)</f>
        <v>0</v>
      </c>
      <c r="U6" s="64">
        <f t="shared" ref="U6:U14" si="12">D6-SUM(S6:T6,Q6)</f>
        <v>0</v>
      </c>
      <c r="V6" s="65">
        <f>(S6&gt;0)*1/'1b. Corrected Inputs Segment'!$J$28</f>
        <v>0</v>
      </c>
      <c r="W6" s="66">
        <f>'1b. Corrected Inputs Segment'!$J$29</f>
        <v>1</v>
      </c>
      <c r="X6" s="67">
        <f t="shared" ref="X6:X14" si="13">(T6&gt;0)/W6</f>
        <v>0</v>
      </c>
      <c r="Y6" s="66">
        <f>IF(T6&gt;0,T6/'2. Eingaben Fahrzeug-Ebene'!AF6/'2d. Annahmen'!$B$57,0)</f>
        <v>0</v>
      </c>
      <c r="Z6" s="66" cm="1">
        <f t="array" ref="Z6">IF(Y6&gt;0,MIN(MIN(_xlfn._xlws.FILTER(Ladeleistung,(Ladeleistung&gt;=Y6))),'1b. Corrected Inputs Segment'!$J$25),0)</f>
        <v>0</v>
      </c>
      <c r="AA6" s="68">
        <f ca="1">IFERROR(0.8/(SUM('3a. Detailierte Ergebnisse'!$T$24:$U$24)^0.401),1)</f>
        <v>0.8</v>
      </c>
      <c r="AB6" s="66">
        <f ca="1">MAX(X6*Y6,X6*'1b. Corrected Inputs Segment'!$J$25*AA6)</f>
        <v>0</v>
      </c>
      <c r="AC6" s="67">
        <f>'2. Eingaben Fahrzeug-Ebene'!AI6</f>
        <v>0</v>
      </c>
      <c r="AD6" s="67">
        <f t="shared" ref="AD6:AD14" si="14">IF(B6,(U6&gt;0)/AC6,0)</f>
        <v>0</v>
      </c>
      <c r="AE6" s="66">
        <f>IF(U6&gt;0,MIN('1b. Corrected Inputs Segment'!$J$26,U6/'2. Eingaben Fahrzeug-Ebene'!AE6/'2d. Annahmen'!$B$57),0)</f>
        <v>0</v>
      </c>
      <c r="AF6" s="67" cm="1">
        <f t="array" ref="AF6">IF(AE6&gt;0,MIN(_xlfn._xlws.FILTER(Ladeleistung,(Ladeleistung&gt;=AE6))),0)</f>
        <v>0</v>
      </c>
      <c r="AG6" s="67">
        <f>IF(B6,ROUNDUP(U6/'2. Eingaben Fahrzeug-Ebene'!I6,0),0)</f>
        <v>0</v>
      </c>
      <c r="AH6" s="68">
        <f ca="1">_xlfn.LET(_xlpm.nS,'3a. Detailierte Ergebnisse'!$E$24,_xlpm.nM,'3a. Detailierte Ergebnisse'!$F$24,_xlpm.nL,'3a. Detailierte Ergebnisse'!$G$24,_xlpm.n,_xlpm.nS+_xlpm.nM+_xlpm.nL,IF(AF6&lt;=100,IF(_xlpm.n&lt;=3,1,1.119/(_xlpm.n^0.094)),IF(AF6&lt;=150,IF(_xlpm.n&lt;=3,1,1.226/(_xlpm.n^0.164)),IF(_xlpm.n=1,1,1.111/(_xlpm.n^0.192)))))</f>
        <v>1</v>
      </c>
      <c r="AI6" s="66">
        <f>IF(B6,MAX(AD6*AE6/'2d. Annahmen'!$B$56,AD6*AF6*AH6/'2d. Annahmen'!$B$56),0)</f>
        <v>0</v>
      </c>
      <c r="AJ6" s="62">
        <f>IF(SUM('2. Eingaben Fahrzeug-Ebene'!AA6:AC6)&gt;0,U6/SUM('2. Eingaben Fahrzeug-Ebene'!AA6:AC6),0)</f>
        <v>0</v>
      </c>
      <c r="AK6" s="62">
        <f t="shared" ref="AK6:AK14" si="15">SUM(S6:T6)+MAX(U6-SUM(E6,J6),0)</f>
        <v>0</v>
      </c>
      <c r="AL6" s="62">
        <f>IF('2. Eingaben Fahrzeug-Ebene'!E6,MAX(H6-AK6,0),MAX(H6-AK6,0))</f>
        <v>0</v>
      </c>
      <c r="AM6" s="62">
        <f>AK6+AL6-H6+'2. Eingaben Fahrzeug-Ebene'!AA6*AJ6</f>
        <v>0</v>
      </c>
      <c r="AN6" s="62">
        <f>-MIN(AM6+'2. Eingaben Fahrzeug-Ebene'!AB6*AJ6-'2. Eingaben Fahrzeug-Ebene'!Z6*I6,0)</f>
        <v>0</v>
      </c>
      <c r="AO6" s="62">
        <f>AM6+AN6+'2. Eingaben Fahrzeug-Ebene'!AC6*AJ6-'2. Eingaben Fahrzeug-Ebene'!Z6*I6+'2. Eingaben Fahrzeug-Ebene'!AB6*AJ6</f>
        <v>0</v>
      </c>
      <c r="AP6" s="62">
        <f t="shared" ref="AP6:AP14" si="16">MAX(J6-AO6,0)</f>
        <v>0</v>
      </c>
      <c r="AQ6" s="62">
        <f t="shared" ref="AQ6:AQ14" si="17">AO6+AP6-J6</f>
        <v>0</v>
      </c>
      <c r="AR6" s="62" t="b">
        <f t="shared" ref="AR6:AR14" si="18">ABS(SUM(AL6+AN6+AP6)-Q6)&lt;0.0001</f>
        <v>1</v>
      </c>
      <c r="AS6" s="62" t="b">
        <f t="shared" ref="AS6:AS14" si="19">ABS(SUM(S6:U6,Q6)-D6)&lt;0.0001</f>
        <v>1</v>
      </c>
      <c r="AT6" s="62" t="b">
        <f t="shared" ref="AT6:AT14" si="20">ABS(AQ6-(AK6-SUM(S6:T6)))&lt;0.0001</f>
        <v>1</v>
      </c>
      <c r="AU6" s="69" t="str">
        <f>""</f>
        <v/>
      </c>
    </row>
    <row r="7" spans="1:48" x14ac:dyDescent="0.35">
      <c r="A7" s="58" t="s">
        <v>144</v>
      </c>
      <c r="B7" s="59">
        <f>'2. Eingaben Fahrzeug-Ebene'!B7*(SUM('2. Eingaben Fahrzeug-Ebene'!D7:E7)&gt;0)</f>
        <v>0</v>
      </c>
      <c r="C7" s="59">
        <f>'2. Eingaben Fahrzeug-Ebene'!C7</f>
        <v>0</v>
      </c>
      <c r="D7" s="60">
        <f>'2. Eingaben Fahrzeug-Ebene'!V7*'2. Eingaben Fahrzeug-Ebene'!$J7/100</f>
        <v>0</v>
      </c>
      <c r="E7" s="60">
        <f>'2. Eingaben Fahrzeug-Ebene'!T7*'2. Eingaben Fahrzeug-Ebene'!$J7/100</f>
        <v>0</v>
      </c>
      <c r="F7" s="60">
        <f>IF(B7,E7/'2. Eingaben Fahrzeug-Ebene'!Z7,0)</f>
        <v>0</v>
      </c>
      <c r="G7" s="60">
        <f>'2. Eingaben Fahrzeug-Ebene'!U7*'2. Eingaben Fahrzeug-Ebene'!$J7/100/2</f>
        <v>0</v>
      </c>
      <c r="H7" s="60">
        <f t="shared" si="4"/>
        <v>0</v>
      </c>
      <c r="I7" s="60">
        <f t="shared" si="5"/>
        <v>0</v>
      </c>
      <c r="J7" s="60">
        <f t="shared" si="6"/>
        <v>0</v>
      </c>
      <c r="K7" s="61">
        <f>MIN('2. Eingaben Fahrzeug-Ebene'!AG7*'1b. Corrected Inputs Segment'!$J$24*'2. Eingaben Fahrzeug-Ebene'!AF7*'2d. Annahmen'!$B$57,'2. Eingaben Fahrzeug-Ebene'!I7)</f>
        <v>0</v>
      </c>
      <c r="L7" s="61">
        <f>MIN('2. Eingaben Fahrzeug-Ebene'!AH7*'1b. Corrected Inputs Segment'!$J$25*'2. Eingaben Fahrzeug-Ebene'!AF7*'2d. Annahmen'!$B$57,'2. Eingaben Fahrzeug-Ebene'!I7)</f>
        <v>0</v>
      </c>
      <c r="M7" s="61">
        <f>MIN('1b. Corrected Inputs Segment'!$J$26*'2. Eingaben Fahrzeug-Ebene'!AD7*'2d. Annahmen'!$B$57,'2. Eingaben Fahrzeug-Ebene'!I7)</f>
        <v>0</v>
      </c>
      <c r="N7" s="61">
        <f>M7*SUM('2. Eingaben Fahrzeug-Ebene'!AA7:AC7)</f>
        <v>0</v>
      </c>
      <c r="O7" s="62">
        <f>SUM(MAX(H7-'2. Eingaben Fahrzeug-Ebene'!I7,0),MAX(('2. Eingaben Fahrzeug-Ebene'!Z7)*(I7-'2. Eingaben Fahrzeug-Ebene'!I7),0),MAX(J7-'2. Eingaben Fahrzeug-Ebene'!I7,0))</f>
        <v>0</v>
      </c>
      <c r="P7" s="62">
        <f t="shared" si="7"/>
        <v>0</v>
      </c>
      <c r="Q7" s="62">
        <f t="shared" si="8"/>
        <v>0</v>
      </c>
      <c r="R7" s="63">
        <f t="shared" si="9"/>
        <v>0</v>
      </c>
      <c r="S7" s="64">
        <f t="shared" si="10"/>
        <v>0</v>
      </c>
      <c r="T7" s="64">
        <f t="shared" si="11"/>
        <v>0</v>
      </c>
      <c r="U7" s="64">
        <f t="shared" si="12"/>
        <v>0</v>
      </c>
      <c r="V7" s="65">
        <f>(S7&gt;0)*1/'1b. Corrected Inputs Segment'!$J$28</f>
        <v>0</v>
      </c>
      <c r="W7" s="66">
        <f>'1b. Corrected Inputs Segment'!$J$29</f>
        <v>1</v>
      </c>
      <c r="X7" s="67">
        <f t="shared" si="13"/>
        <v>0</v>
      </c>
      <c r="Y7" s="66">
        <f>IF(T7&gt;0,T7/'2. Eingaben Fahrzeug-Ebene'!AF7/'2d. Annahmen'!$B$57,0)</f>
        <v>0</v>
      </c>
      <c r="Z7" s="66" cm="1">
        <f t="array" ref="Z7">IF(Y7&gt;0,MIN(MIN(_xlfn._xlws.FILTER(Ladeleistung,(Ladeleistung&gt;=Y7))),'1b. Corrected Inputs Segment'!$J$25),0)</f>
        <v>0</v>
      </c>
      <c r="AA7" s="68">
        <f ca="1">IFERROR(0.8/(SUM('3a. Detailierte Ergebnisse'!$T$24:$U$24)^0.401),1)</f>
        <v>0.8</v>
      </c>
      <c r="AB7" s="66">
        <f ca="1">MAX(X7*Y7,X7*'1b. Corrected Inputs Segment'!$J$25*AA7)</f>
        <v>0</v>
      </c>
      <c r="AC7" s="67">
        <f>'2. Eingaben Fahrzeug-Ebene'!AI7</f>
        <v>0</v>
      </c>
      <c r="AD7" s="67">
        <f t="shared" si="14"/>
        <v>0</v>
      </c>
      <c r="AE7" s="66">
        <f>IF(U7&gt;0,MIN('1b. Corrected Inputs Segment'!$J$26,U7/'2. Eingaben Fahrzeug-Ebene'!AE7/'2d. Annahmen'!$B$57),0)</f>
        <v>0</v>
      </c>
      <c r="AF7" s="67" cm="1">
        <f t="array" ref="AF7">IF(AE7&gt;0,MIN(_xlfn._xlws.FILTER(Ladeleistung,(Ladeleistung&gt;=AE7))),0)</f>
        <v>0</v>
      </c>
      <c r="AG7" s="67">
        <f>IF(B7,ROUNDUP(U7/'2. Eingaben Fahrzeug-Ebene'!I7,0),0)</f>
        <v>0</v>
      </c>
      <c r="AH7" s="68">
        <f ca="1">_xlfn.LET(_xlpm.nS,'3a. Detailierte Ergebnisse'!$E$24,_xlpm.nM,'3a. Detailierte Ergebnisse'!$F$24,_xlpm.nL,'3a. Detailierte Ergebnisse'!$G$24,_xlpm.n,_xlpm.nS+_xlpm.nM+_xlpm.nL,IF(AF7&lt;=100,IF(_xlpm.n&lt;=3,1,1.119/(_xlpm.n^0.094)),IF(AF7&lt;=150,IF(_xlpm.n&lt;=3,1,1.226/(_xlpm.n^0.164)),IF(_xlpm.n=1,1,1.111/(_xlpm.n^0.192)))))</f>
        <v>1</v>
      </c>
      <c r="AI7" s="66">
        <f>IF(B7,MAX(AD7*AE7/'2d. Annahmen'!$B$56,AD7*AF7*AH7/'2d. Annahmen'!$B$56),0)</f>
        <v>0</v>
      </c>
      <c r="AJ7" s="62">
        <f>IF(SUM('2. Eingaben Fahrzeug-Ebene'!AA7:AC7)&gt;0,U7/SUM('2. Eingaben Fahrzeug-Ebene'!AA7:AC7),0)</f>
        <v>0</v>
      </c>
      <c r="AK7" s="62">
        <f t="shared" si="15"/>
        <v>0</v>
      </c>
      <c r="AL7" s="62">
        <f>IF('2. Eingaben Fahrzeug-Ebene'!E7,MAX(H7-AK7,0),MAX(H7-AK7,0))</f>
        <v>0</v>
      </c>
      <c r="AM7" s="62">
        <f>AK7+AL7-H7+'2. Eingaben Fahrzeug-Ebene'!AA7*AJ7</f>
        <v>0</v>
      </c>
      <c r="AN7" s="62">
        <f>-MIN(AM7+'2. Eingaben Fahrzeug-Ebene'!AB7*AJ7-'2. Eingaben Fahrzeug-Ebene'!Z7*I7,0)</f>
        <v>0</v>
      </c>
      <c r="AO7" s="62">
        <f>AM7+AN7+'2. Eingaben Fahrzeug-Ebene'!AC7*AJ7-'2. Eingaben Fahrzeug-Ebene'!Z7*I7+'2. Eingaben Fahrzeug-Ebene'!AB7*AJ7</f>
        <v>0</v>
      </c>
      <c r="AP7" s="62">
        <f t="shared" si="16"/>
        <v>0</v>
      </c>
      <c r="AQ7" s="62">
        <f t="shared" si="17"/>
        <v>0</v>
      </c>
      <c r="AR7" s="62" t="b">
        <f t="shared" si="18"/>
        <v>1</v>
      </c>
      <c r="AS7" s="62" t="b">
        <f t="shared" si="19"/>
        <v>1</v>
      </c>
      <c r="AT7" s="62" t="b">
        <f t="shared" si="20"/>
        <v>1</v>
      </c>
      <c r="AU7" s="69" t="str">
        <f>""</f>
        <v/>
      </c>
    </row>
    <row r="8" spans="1:48" x14ac:dyDescent="0.35">
      <c r="A8" s="58" t="s">
        <v>145</v>
      </c>
      <c r="B8" s="59">
        <f>'2. Eingaben Fahrzeug-Ebene'!B8*(SUM('2. Eingaben Fahrzeug-Ebene'!D8:E8)&gt;0)</f>
        <v>0</v>
      </c>
      <c r="C8" s="59">
        <f>'2. Eingaben Fahrzeug-Ebene'!C8</f>
        <v>0</v>
      </c>
      <c r="D8" s="60">
        <f>'2. Eingaben Fahrzeug-Ebene'!V8*'2. Eingaben Fahrzeug-Ebene'!$J8/100</f>
        <v>0</v>
      </c>
      <c r="E8" s="60">
        <f>'2. Eingaben Fahrzeug-Ebene'!T8*'2. Eingaben Fahrzeug-Ebene'!$J8/100</f>
        <v>0</v>
      </c>
      <c r="F8" s="60">
        <f>IF(B8,E8/'2. Eingaben Fahrzeug-Ebene'!Z8,0)</f>
        <v>0</v>
      </c>
      <c r="G8" s="60">
        <f>'2. Eingaben Fahrzeug-Ebene'!U8*'2. Eingaben Fahrzeug-Ebene'!$J8/100/2</f>
        <v>0</v>
      </c>
      <c r="H8" s="60">
        <f t="shared" si="4"/>
        <v>0</v>
      </c>
      <c r="I8" s="60">
        <f t="shared" si="5"/>
        <v>0</v>
      </c>
      <c r="J8" s="60">
        <f t="shared" si="6"/>
        <v>0</v>
      </c>
      <c r="K8" s="61">
        <f>MIN('2. Eingaben Fahrzeug-Ebene'!AG8*'1b. Corrected Inputs Segment'!$J$24*'2. Eingaben Fahrzeug-Ebene'!AF8*'2d. Annahmen'!$B$57,'2. Eingaben Fahrzeug-Ebene'!I8)</f>
        <v>0</v>
      </c>
      <c r="L8" s="61">
        <f>MIN('2. Eingaben Fahrzeug-Ebene'!AH8*'1b. Corrected Inputs Segment'!$J$25*'2. Eingaben Fahrzeug-Ebene'!AF8*'2d. Annahmen'!$B$57,'2. Eingaben Fahrzeug-Ebene'!I8)</f>
        <v>0</v>
      </c>
      <c r="M8" s="61">
        <f>MIN('1b. Corrected Inputs Segment'!$J$26*'2. Eingaben Fahrzeug-Ebene'!AD8*'2d. Annahmen'!$B$57,'2. Eingaben Fahrzeug-Ebene'!I8)</f>
        <v>0</v>
      </c>
      <c r="N8" s="61">
        <f>M8*SUM('2. Eingaben Fahrzeug-Ebene'!AA8:AC8)</f>
        <v>0</v>
      </c>
      <c r="O8" s="62">
        <f>SUM(MAX(H8-'2. Eingaben Fahrzeug-Ebene'!I8,0),MAX(('2. Eingaben Fahrzeug-Ebene'!Z8)*(I8-'2. Eingaben Fahrzeug-Ebene'!I8),0),MAX(J8-'2. Eingaben Fahrzeug-Ebene'!I8,0))</f>
        <v>0</v>
      </c>
      <c r="P8" s="62">
        <f t="shared" si="7"/>
        <v>0</v>
      </c>
      <c r="Q8" s="62">
        <f t="shared" si="8"/>
        <v>0</v>
      </c>
      <c r="R8" s="63">
        <f t="shared" si="9"/>
        <v>0</v>
      </c>
      <c r="S8" s="64">
        <f t="shared" si="10"/>
        <v>0</v>
      </c>
      <c r="T8" s="64">
        <f t="shared" si="11"/>
        <v>0</v>
      </c>
      <c r="U8" s="64">
        <f t="shared" si="12"/>
        <v>0</v>
      </c>
      <c r="V8" s="65">
        <f>(S8&gt;0)*1/'1b. Corrected Inputs Segment'!$J$28</f>
        <v>0</v>
      </c>
      <c r="W8" s="66">
        <f>'1b. Corrected Inputs Segment'!$J$29</f>
        <v>1</v>
      </c>
      <c r="X8" s="67">
        <f t="shared" si="13"/>
        <v>0</v>
      </c>
      <c r="Y8" s="66">
        <f>IF(T8&gt;0,T8/'2. Eingaben Fahrzeug-Ebene'!AF8/'2d. Annahmen'!$B$57,0)</f>
        <v>0</v>
      </c>
      <c r="Z8" s="66" cm="1">
        <f t="array" ref="Z8">IF(Y8&gt;0,MIN(MIN(_xlfn._xlws.FILTER(Ladeleistung,(Ladeleistung&gt;=Y8))),'1b. Corrected Inputs Segment'!$J$25),0)</f>
        <v>0</v>
      </c>
      <c r="AA8" s="68">
        <f ca="1">IFERROR(0.8/(SUM('3a. Detailierte Ergebnisse'!$T$24:$U$24)^0.401),1)</f>
        <v>0.8</v>
      </c>
      <c r="AB8" s="66">
        <f ca="1">MAX(X8*Y8,X8*'1b. Corrected Inputs Segment'!$J$25*AA8)</f>
        <v>0</v>
      </c>
      <c r="AC8" s="67">
        <f>'2. Eingaben Fahrzeug-Ebene'!AI8</f>
        <v>0</v>
      </c>
      <c r="AD8" s="67">
        <f t="shared" si="14"/>
        <v>0</v>
      </c>
      <c r="AE8" s="66">
        <f>IF(U8&gt;0,MIN('1b. Corrected Inputs Segment'!$J$26,U8/'2. Eingaben Fahrzeug-Ebene'!AE8/'2d. Annahmen'!$B$57),0)</f>
        <v>0</v>
      </c>
      <c r="AF8" s="67" cm="1">
        <f t="array" ref="AF8">IF(AE8&gt;0,MIN(_xlfn._xlws.FILTER(Ladeleistung,(Ladeleistung&gt;=AE8))),0)</f>
        <v>0</v>
      </c>
      <c r="AG8" s="67">
        <f>IF(B8,ROUNDUP(U8/'2. Eingaben Fahrzeug-Ebene'!I8,0),0)</f>
        <v>0</v>
      </c>
      <c r="AH8" s="68">
        <f ca="1">_xlfn.LET(_xlpm.nS,'3a. Detailierte Ergebnisse'!$E$24,_xlpm.nM,'3a. Detailierte Ergebnisse'!$F$24,_xlpm.nL,'3a. Detailierte Ergebnisse'!$G$24,_xlpm.n,_xlpm.nS+_xlpm.nM+_xlpm.nL,IF(AF8&lt;=100,IF(_xlpm.n&lt;=3,1,1.119/(_xlpm.n^0.094)),IF(AF8&lt;=150,IF(_xlpm.n&lt;=3,1,1.226/(_xlpm.n^0.164)),IF(_xlpm.n=1,1,1.111/(_xlpm.n^0.192)))))</f>
        <v>1</v>
      </c>
      <c r="AI8" s="66">
        <f>IF(B8,MAX(AD8*AE8/'2d. Annahmen'!$B$56,AD8*AF8*AH8/'2d. Annahmen'!$B$56),0)</f>
        <v>0</v>
      </c>
      <c r="AJ8" s="62">
        <f>IF(SUM('2. Eingaben Fahrzeug-Ebene'!AA8:AC8)&gt;0,U8/SUM('2. Eingaben Fahrzeug-Ebene'!AA8:AC8),0)</f>
        <v>0</v>
      </c>
      <c r="AK8" s="62">
        <f t="shared" si="15"/>
        <v>0</v>
      </c>
      <c r="AL8" s="62">
        <f>IF('2. Eingaben Fahrzeug-Ebene'!E8,MAX(H8-AK8,0),MAX(H8-AK8,0))</f>
        <v>0</v>
      </c>
      <c r="AM8" s="62">
        <f>AK8+AL8-H8+'2. Eingaben Fahrzeug-Ebene'!AA8*AJ8</f>
        <v>0</v>
      </c>
      <c r="AN8" s="62">
        <f>-MIN(AM8+'2. Eingaben Fahrzeug-Ebene'!AB8*AJ8-'2. Eingaben Fahrzeug-Ebene'!Z8*I8,0)</f>
        <v>0</v>
      </c>
      <c r="AO8" s="62">
        <f>AM8+AN8+'2. Eingaben Fahrzeug-Ebene'!AC8*AJ8-'2. Eingaben Fahrzeug-Ebene'!Z8*I8+'2. Eingaben Fahrzeug-Ebene'!AB8*AJ8</f>
        <v>0</v>
      </c>
      <c r="AP8" s="62">
        <f t="shared" si="16"/>
        <v>0</v>
      </c>
      <c r="AQ8" s="62">
        <f t="shared" si="17"/>
        <v>0</v>
      </c>
      <c r="AR8" s="62" t="b">
        <f t="shared" si="18"/>
        <v>1</v>
      </c>
      <c r="AS8" s="62" t="b">
        <f t="shared" si="19"/>
        <v>1</v>
      </c>
      <c r="AT8" s="62" t="b">
        <f t="shared" si="20"/>
        <v>1</v>
      </c>
      <c r="AU8" s="69" t="str">
        <f>""</f>
        <v/>
      </c>
    </row>
    <row r="9" spans="1:48" x14ac:dyDescent="0.35">
      <c r="A9" s="58" t="s">
        <v>146</v>
      </c>
      <c r="B9" s="59">
        <f>'2. Eingaben Fahrzeug-Ebene'!B9*(SUM('2. Eingaben Fahrzeug-Ebene'!D9:E9)&gt;0)</f>
        <v>0</v>
      </c>
      <c r="C9" s="59">
        <f>'2. Eingaben Fahrzeug-Ebene'!C9</f>
        <v>0</v>
      </c>
      <c r="D9" s="60">
        <f>'2. Eingaben Fahrzeug-Ebene'!V9*'2. Eingaben Fahrzeug-Ebene'!$J9/100</f>
        <v>0</v>
      </c>
      <c r="E9" s="60">
        <f>'2. Eingaben Fahrzeug-Ebene'!T9*'2. Eingaben Fahrzeug-Ebene'!$J9/100</f>
        <v>0</v>
      </c>
      <c r="F9" s="60">
        <f>IF(B9,E9/'2. Eingaben Fahrzeug-Ebene'!Z9,0)</f>
        <v>0</v>
      </c>
      <c r="G9" s="60">
        <f>'2. Eingaben Fahrzeug-Ebene'!U9*'2. Eingaben Fahrzeug-Ebene'!$J9/100/2</f>
        <v>0</v>
      </c>
      <c r="H9" s="60">
        <f t="shared" si="4"/>
        <v>0</v>
      </c>
      <c r="I9" s="60">
        <f t="shared" si="5"/>
        <v>0</v>
      </c>
      <c r="J9" s="60">
        <f t="shared" si="6"/>
        <v>0</v>
      </c>
      <c r="K9" s="61">
        <f>MIN('2. Eingaben Fahrzeug-Ebene'!AG9*'1b. Corrected Inputs Segment'!$J$24*'2. Eingaben Fahrzeug-Ebene'!AF9*'2d. Annahmen'!$B$57,'2. Eingaben Fahrzeug-Ebene'!I9)</f>
        <v>0</v>
      </c>
      <c r="L9" s="61">
        <f>MIN('2. Eingaben Fahrzeug-Ebene'!AH9*'1b. Corrected Inputs Segment'!$J$25*'2. Eingaben Fahrzeug-Ebene'!AF9*'2d. Annahmen'!$B$57,'2. Eingaben Fahrzeug-Ebene'!I9)</f>
        <v>0</v>
      </c>
      <c r="M9" s="61">
        <f>MIN('1b. Corrected Inputs Segment'!$J$26*'2. Eingaben Fahrzeug-Ebene'!AD9*'2d. Annahmen'!$B$57,'2. Eingaben Fahrzeug-Ebene'!I9)</f>
        <v>0</v>
      </c>
      <c r="N9" s="61">
        <f>M9*SUM('2. Eingaben Fahrzeug-Ebene'!AA9:AC9)</f>
        <v>0</v>
      </c>
      <c r="O9" s="62">
        <f>SUM(MAX(H9-'2. Eingaben Fahrzeug-Ebene'!I9,0),MAX(('2. Eingaben Fahrzeug-Ebene'!Z9)*(I9-'2. Eingaben Fahrzeug-Ebene'!I9),0),MAX(J9-'2. Eingaben Fahrzeug-Ebene'!I9,0))</f>
        <v>0</v>
      </c>
      <c r="P9" s="62">
        <f t="shared" si="7"/>
        <v>0</v>
      </c>
      <c r="Q9" s="62">
        <f t="shared" si="8"/>
        <v>0</v>
      </c>
      <c r="R9" s="63">
        <f t="shared" si="9"/>
        <v>0</v>
      </c>
      <c r="S9" s="64">
        <f t="shared" si="10"/>
        <v>0</v>
      </c>
      <c r="T9" s="64">
        <f t="shared" si="11"/>
        <v>0</v>
      </c>
      <c r="U9" s="64">
        <f t="shared" si="12"/>
        <v>0</v>
      </c>
      <c r="V9" s="65">
        <f>(S9&gt;0)*1/'1b. Corrected Inputs Segment'!$J$28</f>
        <v>0</v>
      </c>
      <c r="W9" s="66">
        <f>'1b. Corrected Inputs Segment'!$J$29</f>
        <v>1</v>
      </c>
      <c r="X9" s="67">
        <f t="shared" si="13"/>
        <v>0</v>
      </c>
      <c r="Y9" s="66">
        <f>IF(T9&gt;0,T9/'2. Eingaben Fahrzeug-Ebene'!AF9/'2d. Annahmen'!$B$57,0)</f>
        <v>0</v>
      </c>
      <c r="Z9" s="66" cm="1">
        <f t="array" ref="Z9">IF(Y9&gt;0,MIN(MIN(_xlfn._xlws.FILTER(Ladeleistung,(Ladeleistung&gt;=Y9))),'1b. Corrected Inputs Segment'!$J$25),0)</f>
        <v>0</v>
      </c>
      <c r="AA9" s="68">
        <f ca="1">IFERROR(0.8/(SUM('3a. Detailierte Ergebnisse'!$T$24:$U$24)^0.401),1)</f>
        <v>0.8</v>
      </c>
      <c r="AB9" s="66">
        <f ca="1">MAX(X9*Y9,X9*'1b. Corrected Inputs Segment'!$J$25*AA9)</f>
        <v>0</v>
      </c>
      <c r="AC9" s="67">
        <f>'2. Eingaben Fahrzeug-Ebene'!AI9</f>
        <v>0</v>
      </c>
      <c r="AD9" s="67">
        <f t="shared" si="14"/>
        <v>0</v>
      </c>
      <c r="AE9" s="66">
        <f>IF(U9&gt;0,MIN('1b. Corrected Inputs Segment'!$J$26,U9/'2. Eingaben Fahrzeug-Ebene'!AE9/'2d. Annahmen'!$B$57),0)</f>
        <v>0</v>
      </c>
      <c r="AF9" s="67" cm="1">
        <f t="array" ref="AF9">IF(AE9&gt;0,MIN(_xlfn._xlws.FILTER(Ladeleistung,(Ladeleistung&gt;=AE9))),0)</f>
        <v>0</v>
      </c>
      <c r="AG9" s="67">
        <f>IF(B9,ROUNDUP(U9/'2. Eingaben Fahrzeug-Ebene'!I9,0),0)</f>
        <v>0</v>
      </c>
      <c r="AH9" s="68">
        <f ca="1">_xlfn.LET(_xlpm.nS,'3a. Detailierte Ergebnisse'!$E$24,_xlpm.nM,'3a. Detailierte Ergebnisse'!$F$24,_xlpm.nL,'3a. Detailierte Ergebnisse'!$G$24,_xlpm.n,_xlpm.nS+_xlpm.nM+_xlpm.nL,IF(AF9&lt;=100,IF(_xlpm.n&lt;=3,1,1.119/(_xlpm.n^0.094)),IF(AF9&lt;=150,IF(_xlpm.n&lt;=3,1,1.226/(_xlpm.n^0.164)),IF(_xlpm.n=1,1,1.111/(_xlpm.n^0.192)))))</f>
        <v>1</v>
      </c>
      <c r="AI9" s="66">
        <f>IF(B9,MAX(AD9*AE9/'2d. Annahmen'!$B$56,AD9*AF9*AH9/'2d. Annahmen'!$B$56),0)</f>
        <v>0</v>
      </c>
      <c r="AJ9" s="62">
        <f>IF(SUM('2. Eingaben Fahrzeug-Ebene'!AA9:AC9)&gt;0,U9/SUM('2. Eingaben Fahrzeug-Ebene'!AA9:AC9),0)</f>
        <v>0</v>
      </c>
      <c r="AK9" s="62">
        <f t="shared" si="15"/>
        <v>0</v>
      </c>
      <c r="AL9" s="62">
        <f>IF('2. Eingaben Fahrzeug-Ebene'!E9,MAX(H9-AK9,0),MAX(H9-AK9,0))</f>
        <v>0</v>
      </c>
      <c r="AM9" s="62">
        <f>AK9+AL9-H9+'2. Eingaben Fahrzeug-Ebene'!AA9*AJ9</f>
        <v>0</v>
      </c>
      <c r="AN9" s="62">
        <f>-MIN(AM9+'2. Eingaben Fahrzeug-Ebene'!AB9*AJ9-'2. Eingaben Fahrzeug-Ebene'!Z9*I9,0)</f>
        <v>0</v>
      </c>
      <c r="AO9" s="62">
        <f>AM9+AN9+'2. Eingaben Fahrzeug-Ebene'!AC9*AJ9-'2. Eingaben Fahrzeug-Ebene'!Z9*I9+'2. Eingaben Fahrzeug-Ebene'!AB9*AJ9</f>
        <v>0</v>
      </c>
      <c r="AP9" s="62">
        <f t="shared" si="16"/>
        <v>0</v>
      </c>
      <c r="AQ9" s="62">
        <f t="shared" si="17"/>
        <v>0</v>
      </c>
      <c r="AR9" s="62" t="b">
        <f t="shared" si="18"/>
        <v>1</v>
      </c>
      <c r="AS9" s="62" t="b">
        <f t="shared" si="19"/>
        <v>1</v>
      </c>
      <c r="AT9" s="62" t="b">
        <f t="shared" si="20"/>
        <v>1</v>
      </c>
      <c r="AU9" s="69" t="str">
        <f>""</f>
        <v/>
      </c>
    </row>
    <row r="10" spans="1:48" x14ac:dyDescent="0.35">
      <c r="A10" s="58" t="s">
        <v>147</v>
      </c>
      <c r="B10" s="59">
        <f>'2. Eingaben Fahrzeug-Ebene'!B10*(SUM('2. Eingaben Fahrzeug-Ebene'!D10:E10)&gt;0)</f>
        <v>0</v>
      </c>
      <c r="C10" s="59">
        <f>'2. Eingaben Fahrzeug-Ebene'!C10</f>
        <v>0</v>
      </c>
      <c r="D10" s="60">
        <f>'2. Eingaben Fahrzeug-Ebene'!V10*'2. Eingaben Fahrzeug-Ebene'!$J10/100</f>
        <v>0</v>
      </c>
      <c r="E10" s="60">
        <f>'2. Eingaben Fahrzeug-Ebene'!T10*'2. Eingaben Fahrzeug-Ebene'!$J10/100</f>
        <v>0</v>
      </c>
      <c r="F10" s="60">
        <f>IF(B10,E10/'2. Eingaben Fahrzeug-Ebene'!Z10,0)</f>
        <v>0</v>
      </c>
      <c r="G10" s="60">
        <f>'2. Eingaben Fahrzeug-Ebene'!U10*'2. Eingaben Fahrzeug-Ebene'!$J10/100/2</f>
        <v>0</v>
      </c>
      <c r="H10" s="60">
        <f t="shared" si="4"/>
        <v>0</v>
      </c>
      <c r="I10" s="60">
        <f t="shared" si="5"/>
        <v>0</v>
      </c>
      <c r="J10" s="60">
        <f t="shared" si="6"/>
        <v>0</v>
      </c>
      <c r="K10" s="61">
        <f>MIN('2. Eingaben Fahrzeug-Ebene'!AG10*'1b. Corrected Inputs Segment'!$J$24*'2. Eingaben Fahrzeug-Ebene'!AF10*'2d. Annahmen'!$B$57,'2. Eingaben Fahrzeug-Ebene'!I10)</f>
        <v>0</v>
      </c>
      <c r="L10" s="61">
        <f>MIN('2. Eingaben Fahrzeug-Ebene'!AH10*'1b. Corrected Inputs Segment'!$J$25*'2. Eingaben Fahrzeug-Ebene'!AF10*'2d. Annahmen'!$B$57,'2. Eingaben Fahrzeug-Ebene'!I10)</f>
        <v>0</v>
      </c>
      <c r="M10" s="61">
        <f>MIN('1b. Corrected Inputs Segment'!$J$26*'2. Eingaben Fahrzeug-Ebene'!AD10*'2d. Annahmen'!$B$57,'2. Eingaben Fahrzeug-Ebene'!I10)</f>
        <v>0</v>
      </c>
      <c r="N10" s="61">
        <f>M10*SUM('2. Eingaben Fahrzeug-Ebene'!AA10:AC10)</f>
        <v>0</v>
      </c>
      <c r="O10" s="62">
        <f>SUM(MAX(H10-'2. Eingaben Fahrzeug-Ebene'!I10,0),MAX(('2. Eingaben Fahrzeug-Ebene'!Z10)*(I10-'2. Eingaben Fahrzeug-Ebene'!I10),0),MAX(J10-'2. Eingaben Fahrzeug-Ebene'!I10,0))</f>
        <v>0</v>
      </c>
      <c r="P10" s="62">
        <f t="shared" si="7"/>
        <v>0</v>
      </c>
      <c r="Q10" s="62">
        <f t="shared" si="8"/>
        <v>0</v>
      </c>
      <c r="R10" s="63">
        <f t="shared" si="9"/>
        <v>0</v>
      </c>
      <c r="S10" s="64">
        <f t="shared" si="10"/>
        <v>0</v>
      </c>
      <c r="T10" s="64">
        <f t="shared" si="11"/>
        <v>0</v>
      </c>
      <c r="U10" s="64">
        <f t="shared" si="12"/>
        <v>0</v>
      </c>
      <c r="V10" s="65">
        <f>(S10&gt;0)*1/'1b. Corrected Inputs Segment'!$J$28</f>
        <v>0</v>
      </c>
      <c r="W10" s="66">
        <f>'1b. Corrected Inputs Segment'!$J$29</f>
        <v>1</v>
      </c>
      <c r="X10" s="67">
        <f t="shared" si="13"/>
        <v>0</v>
      </c>
      <c r="Y10" s="66">
        <f>IF(T10&gt;0,T10/'2. Eingaben Fahrzeug-Ebene'!AF10/'2d. Annahmen'!$B$57,0)</f>
        <v>0</v>
      </c>
      <c r="Z10" s="66" cm="1">
        <f t="array" ref="Z10">IF(Y10&gt;0,MIN(MIN(_xlfn._xlws.FILTER(Ladeleistung,(Ladeleistung&gt;=Y10))),'1b. Corrected Inputs Segment'!$J$25),0)</f>
        <v>0</v>
      </c>
      <c r="AA10" s="68">
        <f ca="1">IFERROR(0.8/(SUM('3a. Detailierte Ergebnisse'!$T$24:$U$24)^0.401),1)</f>
        <v>0.8</v>
      </c>
      <c r="AB10" s="66">
        <f ca="1">MAX(X10*Y10,X10*'1b. Corrected Inputs Segment'!$J$25*AA10)</f>
        <v>0</v>
      </c>
      <c r="AC10" s="67">
        <f>'2. Eingaben Fahrzeug-Ebene'!AI10</f>
        <v>0</v>
      </c>
      <c r="AD10" s="67">
        <f t="shared" si="14"/>
        <v>0</v>
      </c>
      <c r="AE10" s="66">
        <f>IF(U10&gt;0,MIN('1b. Corrected Inputs Segment'!$J$26,U10/'2. Eingaben Fahrzeug-Ebene'!AE10/'2d. Annahmen'!$B$57),0)</f>
        <v>0</v>
      </c>
      <c r="AF10" s="67" cm="1">
        <f t="array" ref="AF10">IF(AE10&gt;0,MIN(_xlfn._xlws.FILTER(Ladeleistung,(Ladeleistung&gt;=AE10))),0)</f>
        <v>0</v>
      </c>
      <c r="AG10" s="67">
        <f>IF(B10,ROUNDUP(U10/'2. Eingaben Fahrzeug-Ebene'!I10,0),0)</f>
        <v>0</v>
      </c>
      <c r="AH10" s="68">
        <f ca="1">_xlfn.LET(_xlpm.nS,'3a. Detailierte Ergebnisse'!$E$24,_xlpm.nM,'3a. Detailierte Ergebnisse'!$F$24,_xlpm.nL,'3a. Detailierte Ergebnisse'!$G$24,_xlpm.n,_xlpm.nS+_xlpm.nM+_xlpm.nL,IF(AF10&lt;=100,IF(_xlpm.n&lt;=3,1,1.119/(_xlpm.n^0.094)),IF(AF10&lt;=150,IF(_xlpm.n&lt;=3,1,1.226/(_xlpm.n^0.164)),IF(_xlpm.n=1,1,1.111/(_xlpm.n^0.192)))))</f>
        <v>1</v>
      </c>
      <c r="AI10" s="66">
        <f>IF(B10,MAX(AD10*AE10/'2d. Annahmen'!$B$56,AD10*AF10*AH10/'2d. Annahmen'!$B$56),0)</f>
        <v>0</v>
      </c>
      <c r="AJ10" s="62">
        <f>IF(SUM('2. Eingaben Fahrzeug-Ebene'!AA10:AC10)&gt;0,U10/SUM('2. Eingaben Fahrzeug-Ebene'!AA10:AC10),0)</f>
        <v>0</v>
      </c>
      <c r="AK10" s="62">
        <f t="shared" si="15"/>
        <v>0</v>
      </c>
      <c r="AL10" s="62">
        <f>IF('2. Eingaben Fahrzeug-Ebene'!E10,MAX(H10-AK10,0),MAX(H10-AK10,0))</f>
        <v>0</v>
      </c>
      <c r="AM10" s="62">
        <f>AK10+AL10-H10+'2. Eingaben Fahrzeug-Ebene'!AA10*AJ10</f>
        <v>0</v>
      </c>
      <c r="AN10" s="62">
        <f>-MIN(AM10+'2. Eingaben Fahrzeug-Ebene'!AB10*AJ10-'2. Eingaben Fahrzeug-Ebene'!Z10*I10,0)</f>
        <v>0</v>
      </c>
      <c r="AO10" s="62">
        <f>AM10+AN10+'2. Eingaben Fahrzeug-Ebene'!AC10*AJ10-'2. Eingaben Fahrzeug-Ebene'!Z10*I10+'2. Eingaben Fahrzeug-Ebene'!AB10*AJ10</f>
        <v>0</v>
      </c>
      <c r="AP10" s="62">
        <f t="shared" si="16"/>
        <v>0</v>
      </c>
      <c r="AQ10" s="62">
        <f t="shared" si="17"/>
        <v>0</v>
      </c>
      <c r="AR10" s="62" t="b">
        <f t="shared" si="18"/>
        <v>1</v>
      </c>
      <c r="AS10" s="62" t="b">
        <f t="shared" si="19"/>
        <v>1</v>
      </c>
      <c r="AT10" s="62" t="b">
        <f t="shared" si="20"/>
        <v>1</v>
      </c>
      <c r="AU10" s="69" t="str">
        <f>""</f>
        <v/>
      </c>
    </row>
    <row r="11" spans="1:48" x14ac:dyDescent="0.35">
      <c r="A11" s="58" t="s">
        <v>148</v>
      </c>
      <c r="B11" s="59">
        <f>'2. Eingaben Fahrzeug-Ebene'!B11*(SUM('2. Eingaben Fahrzeug-Ebene'!D11:E11)&gt;0)</f>
        <v>0</v>
      </c>
      <c r="C11" s="59">
        <f>'2. Eingaben Fahrzeug-Ebene'!C11</f>
        <v>0</v>
      </c>
      <c r="D11" s="60">
        <f>'2. Eingaben Fahrzeug-Ebene'!V11*'2. Eingaben Fahrzeug-Ebene'!$J11/100</f>
        <v>0</v>
      </c>
      <c r="E11" s="60">
        <f>'2. Eingaben Fahrzeug-Ebene'!T11*'2. Eingaben Fahrzeug-Ebene'!$J11/100</f>
        <v>0</v>
      </c>
      <c r="F11" s="60">
        <f>IF(B11,E11/'2. Eingaben Fahrzeug-Ebene'!Z11,0)</f>
        <v>0</v>
      </c>
      <c r="G11" s="60">
        <f>'2. Eingaben Fahrzeug-Ebene'!U11*'2. Eingaben Fahrzeug-Ebene'!$J11/100/2</f>
        <v>0</v>
      </c>
      <c r="H11" s="60">
        <f t="shared" si="4"/>
        <v>0</v>
      </c>
      <c r="I11" s="60">
        <f t="shared" si="5"/>
        <v>0</v>
      </c>
      <c r="J11" s="60">
        <f t="shared" si="6"/>
        <v>0</v>
      </c>
      <c r="K11" s="61">
        <f>MIN('2. Eingaben Fahrzeug-Ebene'!AG11*'1b. Corrected Inputs Segment'!$J$24*'2. Eingaben Fahrzeug-Ebene'!AF11*'2d. Annahmen'!$B$57,'2. Eingaben Fahrzeug-Ebene'!I11)</f>
        <v>0</v>
      </c>
      <c r="L11" s="61">
        <f>MIN('2. Eingaben Fahrzeug-Ebene'!AH11*'1b. Corrected Inputs Segment'!$J$25*'2. Eingaben Fahrzeug-Ebene'!AF11*'2d. Annahmen'!$B$57,'2. Eingaben Fahrzeug-Ebene'!I11)</f>
        <v>0</v>
      </c>
      <c r="M11" s="61">
        <f>MIN('1b. Corrected Inputs Segment'!$J$26*'2. Eingaben Fahrzeug-Ebene'!AD11*'2d. Annahmen'!$B$57,'2. Eingaben Fahrzeug-Ebene'!I11)</f>
        <v>0</v>
      </c>
      <c r="N11" s="61">
        <f>M11*SUM('2. Eingaben Fahrzeug-Ebene'!AA11:AC11)</f>
        <v>0</v>
      </c>
      <c r="O11" s="62">
        <f>SUM(MAX(H11-'2. Eingaben Fahrzeug-Ebene'!I11,0),MAX(('2. Eingaben Fahrzeug-Ebene'!Z11)*(I11-'2. Eingaben Fahrzeug-Ebene'!I11),0),MAX(J11-'2. Eingaben Fahrzeug-Ebene'!I11,0))</f>
        <v>0</v>
      </c>
      <c r="P11" s="62">
        <f t="shared" si="7"/>
        <v>0</v>
      </c>
      <c r="Q11" s="62">
        <f t="shared" si="8"/>
        <v>0</v>
      </c>
      <c r="R11" s="63">
        <f t="shared" si="9"/>
        <v>0</v>
      </c>
      <c r="S11" s="64">
        <f t="shared" si="10"/>
        <v>0</v>
      </c>
      <c r="T11" s="64">
        <f t="shared" si="11"/>
        <v>0</v>
      </c>
      <c r="U11" s="64">
        <f t="shared" si="12"/>
        <v>0</v>
      </c>
      <c r="V11" s="65">
        <f>(S11&gt;0)*1/'1b. Corrected Inputs Segment'!$J$28</f>
        <v>0</v>
      </c>
      <c r="W11" s="66">
        <f>'1b. Corrected Inputs Segment'!$J$29</f>
        <v>1</v>
      </c>
      <c r="X11" s="67">
        <f t="shared" si="13"/>
        <v>0</v>
      </c>
      <c r="Y11" s="66">
        <f>IF(T11&gt;0,T11/'2. Eingaben Fahrzeug-Ebene'!AF11/'2d. Annahmen'!$B$57,0)</f>
        <v>0</v>
      </c>
      <c r="Z11" s="66" cm="1">
        <f t="array" ref="Z11">IF(Y11&gt;0,MIN(MIN(_xlfn._xlws.FILTER(Ladeleistung,(Ladeleistung&gt;=Y11))),'1b. Corrected Inputs Segment'!$J$25),0)</f>
        <v>0</v>
      </c>
      <c r="AA11" s="68">
        <f ca="1">IFERROR(0.8/(SUM('3a. Detailierte Ergebnisse'!$T$24:$U$24)^0.401),1)</f>
        <v>0.8</v>
      </c>
      <c r="AB11" s="66">
        <f ca="1">MAX(X11*Y11,X11*'1b. Corrected Inputs Segment'!$J$25*AA11)</f>
        <v>0</v>
      </c>
      <c r="AC11" s="67">
        <f>'2. Eingaben Fahrzeug-Ebene'!AI11</f>
        <v>0</v>
      </c>
      <c r="AD11" s="67">
        <f t="shared" si="14"/>
        <v>0</v>
      </c>
      <c r="AE11" s="66">
        <f>IF(U11&gt;0,MIN('1b. Corrected Inputs Segment'!$J$26,U11/'2. Eingaben Fahrzeug-Ebene'!AE11/'2d. Annahmen'!$B$57),0)</f>
        <v>0</v>
      </c>
      <c r="AF11" s="67" cm="1">
        <f t="array" ref="AF11">IF(AE11&gt;0,MIN(_xlfn._xlws.FILTER(Ladeleistung,(Ladeleistung&gt;=AE11))),0)</f>
        <v>0</v>
      </c>
      <c r="AG11" s="67">
        <f>IF(B11,ROUNDUP(U11/'2. Eingaben Fahrzeug-Ebene'!I11,0),0)</f>
        <v>0</v>
      </c>
      <c r="AH11" s="68">
        <f ca="1">_xlfn.LET(_xlpm.nS,'3a. Detailierte Ergebnisse'!$E$24,_xlpm.nM,'3a. Detailierte Ergebnisse'!$F$24,_xlpm.nL,'3a. Detailierte Ergebnisse'!$G$24,_xlpm.n,_xlpm.nS+_xlpm.nM+_xlpm.nL,IF(AF11&lt;=100,IF(_xlpm.n&lt;=3,1,1.119/(_xlpm.n^0.094)),IF(AF11&lt;=150,IF(_xlpm.n&lt;=3,1,1.226/(_xlpm.n^0.164)),IF(_xlpm.n=1,1,1.111/(_xlpm.n^0.192)))))</f>
        <v>1</v>
      </c>
      <c r="AI11" s="66">
        <f>IF(B11,MAX(AD11*AE11/'2d. Annahmen'!$B$56,AD11*AF11*AH11/'2d. Annahmen'!$B$56),0)</f>
        <v>0</v>
      </c>
      <c r="AJ11" s="62">
        <f>IF(SUM('2. Eingaben Fahrzeug-Ebene'!AA11:AC11)&gt;0,U11/SUM('2. Eingaben Fahrzeug-Ebene'!AA11:AC11),0)</f>
        <v>0</v>
      </c>
      <c r="AK11" s="62">
        <f t="shared" si="15"/>
        <v>0</v>
      </c>
      <c r="AL11" s="62">
        <f>IF('2. Eingaben Fahrzeug-Ebene'!E11,MAX(H11-AK11,0),MAX(H11-AK11,0))</f>
        <v>0</v>
      </c>
      <c r="AM11" s="62">
        <f>AK11+AL11-H11+'2. Eingaben Fahrzeug-Ebene'!AA11*AJ11</f>
        <v>0</v>
      </c>
      <c r="AN11" s="62">
        <f>-MIN(AM11+'2. Eingaben Fahrzeug-Ebene'!AB11*AJ11-'2. Eingaben Fahrzeug-Ebene'!Z11*I11,0)</f>
        <v>0</v>
      </c>
      <c r="AO11" s="62">
        <f>AM11+AN11+'2. Eingaben Fahrzeug-Ebene'!AC11*AJ11-'2. Eingaben Fahrzeug-Ebene'!Z11*I11+'2. Eingaben Fahrzeug-Ebene'!AB11*AJ11</f>
        <v>0</v>
      </c>
      <c r="AP11" s="62">
        <f t="shared" si="16"/>
        <v>0</v>
      </c>
      <c r="AQ11" s="62">
        <f t="shared" si="17"/>
        <v>0</v>
      </c>
      <c r="AR11" s="62" t="b">
        <f t="shared" si="18"/>
        <v>1</v>
      </c>
      <c r="AS11" s="62" t="b">
        <f t="shared" si="19"/>
        <v>1</v>
      </c>
      <c r="AT11" s="62" t="b">
        <f t="shared" si="20"/>
        <v>1</v>
      </c>
      <c r="AU11" s="69" t="str">
        <f>""</f>
        <v/>
      </c>
    </row>
    <row r="12" spans="1:48" x14ac:dyDescent="0.35">
      <c r="A12" s="58" t="s">
        <v>149</v>
      </c>
      <c r="B12" s="59">
        <f>'2. Eingaben Fahrzeug-Ebene'!B12*(SUM('2. Eingaben Fahrzeug-Ebene'!D12:E12)&gt;0)</f>
        <v>0</v>
      </c>
      <c r="C12" s="59">
        <f>'2. Eingaben Fahrzeug-Ebene'!C12</f>
        <v>0</v>
      </c>
      <c r="D12" s="60">
        <f>'2. Eingaben Fahrzeug-Ebene'!V12*'2. Eingaben Fahrzeug-Ebene'!$J12/100</f>
        <v>0</v>
      </c>
      <c r="E12" s="60">
        <f>'2. Eingaben Fahrzeug-Ebene'!T12*'2. Eingaben Fahrzeug-Ebene'!$J12/100</f>
        <v>0</v>
      </c>
      <c r="F12" s="60">
        <f>IF(B12,E12/'2. Eingaben Fahrzeug-Ebene'!Z12,0)</f>
        <v>0</v>
      </c>
      <c r="G12" s="60">
        <f>'2. Eingaben Fahrzeug-Ebene'!U12*'2. Eingaben Fahrzeug-Ebene'!$J12/100/2</f>
        <v>0</v>
      </c>
      <c r="H12" s="60">
        <f t="shared" si="4"/>
        <v>0</v>
      </c>
      <c r="I12" s="60">
        <f t="shared" si="5"/>
        <v>0</v>
      </c>
      <c r="J12" s="60">
        <f t="shared" si="6"/>
        <v>0</v>
      </c>
      <c r="K12" s="61">
        <f>MIN('2. Eingaben Fahrzeug-Ebene'!AG12*'1b. Corrected Inputs Segment'!$J$24*'2. Eingaben Fahrzeug-Ebene'!AF12*'2d. Annahmen'!$B$57,'2. Eingaben Fahrzeug-Ebene'!I12)</f>
        <v>0</v>
      </c>
      <c r="L12" s="61">
        <f>MIN('2. Eingaben Fahrzeug-Ebene'!AH12*'1b. Corrected Inputs Segment'!$J$25*'2. Eingaben Fahrzeug-Ebene'!AF12*'2d. Annahmen'!$B$57,'2. Eingaben Fahrzeug-Ebene'!I12)</f>
        <v>0</v>
      </c>
      <c r="M12" s="61">
        <f>MIN('1b. Corrected Inputs Segment'!$J$26*'2. Eingaben Fahrzeug-Ebene'!AD12*'2d. Annahmen'!$B$57,'2. Eingaben Fahrzeug-Ebene'!I12)</f>
        <v>0</v>
      </c>
      <c r="N12" s="61">
        <f>M12*SUM('2. Eingaben Fahrzeug-Ebene'!AA12:AC12)</f>
        <v>0</v>
      </c>
      <c r="O12" s="62">
        <f>SUM(MAX(H12-'2. Eingaben Fahrzeug-Ebene'!I12,0),MAX(('2. Eingaben Fahrzeug-Ebene'!Z12)*(I12-'2. Eingaben Fahrzeug-Ebene'!I12),0),MAX(J12-'2. Eingaben Fahrzeug-Ebene'!I12,0))</f>
        <v>0</v>
      </c>
      <c r="P12" s="62">
        <f t="shared" si="7"/>
        <v>0</v>
      </c>
      <c r="Q12" s="62">
        <f t="shared" si="8"/>
        <v>0</v>
      </c>
      <c r="R12" s="63">
        <f t="shared" si="9"/>
        <v>0</v>
      </c>
      <c r="S12" s="64">
        <f t="shared" si="10"/>
        <v>0</v>
      </c>
      <c r="T12" s="64">
        <f t="shared" si="11"/>
        <v>0</v>
      </c>
      <c r="U12" s="64">
        <f t="shared" si="12"/>
        <v>0</v>
      </c>
      <c r="V12" s="65">
        <f>(S12&gt;0)*1/'1b. Corrected Inputs Segment'!$J$28</f>
        <v>0</v>
      </c>
      <c r="W12" s="66">
        <f>'1b. Corrected Inputs Segment'!$J$29</f>
        <v>1</v>
      </c>
      <c r="X12" s="67">
        <f t="shared" si="13"/>
        <v>0</v>
      </c>
      <c r="Y12" s="66">
        <f>IF(T12&gt;0,T12/'2. Eingaben Fahrzeug-Ebene'!AF12/'2d. Annahmen'!$B$57,0)</f>
        <v>0</v>
      </c>
      <c r="Z12" s="66" cm="1">
        <f t="array" ref="Z12">IF(Y12&gt;0,MIN(MIN(_xlfn._xlws.FILTER(Ladeleistung,(Ladeleistung&gt;=Y12))),'1b. Corrected Inputs Segment'!$J$25),0)</f>
        <v>0</v>
      </c>
      <c r="AA12" s="68">
        <f ca="1">IFERROR(0.8/(SUM('3a. Detailierte Ergebnisse'!$T$24:$U$24)^0.401),1)</f>
        <v>0.8</v>
      </c>
      <c r="AB12" s="66">
        <f ca="1">MAX(X12*Y12,X12*'1b. Corrected Inputs Segment'!$J$25*AA12)</f>
        <v>0</v>
      </c>
      <c r="AC12" s="67">
        <f>'2. Eingaben Fahrzeug-Ebene'!AI12</f>
        <v>0</v>
      </c>
      <c r="AD12" s="67">
        <f t="shared" si="14"/>
        <v>0</v>
      </c>
      <c r="AE12" s="66">
        <f>IF(U12&gt;0,MIN('1b. Corrected Inputs Segment'!$J$26,U12/'2. Eingaben Fahrzeug-Ebene'!AE12/'2d. Annahmen'!$B$57),0)</f>
        <v>0</v>
      </c>
      <c r="AF12" s="67" cm="1">
        <f t="array" ref="AF12">IF(AE12&gt;0,MIN(_xlfn._xlws.FILTER(Ladeleistung,(Ladeleistung&gt;=AE12))),0)</f>
        <v>0</v>
      </c>
      <c r="AG12" s="67">
        <f>IF(B12,ROUNDUP(U12/'2. Eingaben Fahrzeug-Ebene'!I12,0),0)</f>
        <v>0</v>
      </c>
      <c r="AH12" s="68">
        <f ca="1">_xlfn.LET(_xlpm.nS,'3a. Detailierte Ergebnisse'!$E$24,_xlpm.nM,'3a. Detailierte Ergebnisse'!$F$24,_xlpm.nL,'3a. Detailierte Ergebnisse'!$G$24,_xlpm.n,_xlpm.nS+_xlpm.nM+_xlpm.nL,IF(AF12&lt;=100,IF(_xlpm.n&lt;=3,1,1.119/(_xlpm.n^0.094)),IF(AF12&lt;=150,IF(_xlpm.n&lt;=3,1,1.226/(_xlpm.n^0.164)),IF(_xlpm.n=1,1,1.111/(_xlpm.n^0.192)))))</f>
        <v>1</v>
      </c>
      <c r="AI12" s="66">
        <f>IF(B12,MAX(AD12*AE12/'2d. Annahmen'!$B$56,AD12*AF12*AH12/'2d. Annahmen'!$B$56),0)</f>
        <v>0</v>
      </c>
      <c r="AJ12" s="62">
        <f>IF(SUM('2. Eingaben Fahrzeug-Ebene'!AA12:AC12)&gt;0,U12/SUM('2. Eingaben Fahrzeug-Ebene'!AA12:AC12),0)</f>
        <v>0</v>
      </c>
      <c r="AK12" s="62">
        <f t="shared" si="15"/>
        <v>0</v>
      </c>
      <c r="AL12" s="62">
        <f>IF('2. Eingaben Fahrzeug-Ebene'!E12,MAX(H12-AK12,0),MAX(H12-AK12,0))</f>
        <v>0</v>
      </c>
      <c r="AM12" s="62">
        <f>AK12+AL12-H12+'2. Eingaben Fahrzeug-Ebene'!AA12*AJ12</f>
        <v>0</v>
      </c>
      <c r="AN12" s="62">
        <f>-MIN(AM12+'2. Eingaben Fahrzeug-Ebene'!AB12*AJ12-'2. Eingaben Fahrzeug-Ebene'!Z12*I12,0)</f>
        <v>0</v>
      </c>
      <c r="AO12" s="62">
        <f>AM12+AN12+'2. Eingaben Fahrzeug-Ebene'!AC12*AJ12-'2. Eingaben Fahrzeug-Ebene'!Z12*I12+'2. Eingaben Fahrzeug-Ebene'!AB12*AJ12</f>
        <v>0</v>
      </c>
      <c r="AP12" s="62">
        <f t="shared" si="16"/>
        <v>0</v>
      </c>
      <c r="AQ12" s="62">
        <f t="shared" si="17"/>
        <v>0</v>
      </c>
      <c r="AR12" s="62" t="b">
        <f t="shared" si="18"/>
        <v>1</v>
      </c>
      <c r="AS12" s="62" t="b">
        <f t="shared" si="19"/>
        <v>1</v>
      </c>
      <c r="AT12" s="62" t="b">
        <f t="shared" si="20"/>
        <v>1</v>
      </c>
      <c r="AU12" s="69" t="str">
        <f>""</f>
        <v/>
      </c>
    </row>
    <row r="13" spans="1:48" x14ac:dyDescent="0.35">
      <c r="A13" s="58" t="s">
        <v>150</v>
      </c>
      <c r="B13" s="59">
        <f>'2. Eingaben Fahrzeug-Ebene'!B13*(SUM('2. Eingaben Fahrzeug-Ebene'!D13:E13)&gt;0)</f>
        <v>0</v>
      </c>
      <c r="C13" s="59">
        <f>'2. Eingaben Fahrzeug-Ebene'!C13</f>
        <v>0</v>
      </c>
      <c r="D13" s="60">
        <f>'2. Eingaben Fahrzeug-Ebene'!V13*'2. Eingaben Fahrzeug-Ebene'!$J13/100</f>
        <v>0</v>
      </c>
      <c r="E13" s="60">
        <f>'2. Eingaben Fahrzeug-Ebene'!T13*'2. Eingaben Fahrzeug-Ebene'!$J13/100</f>
        <v>0</v>
      </c>
      <c r="F13" s="60">
        <f>IF(B13,E13/'2. Eingaben Fahrzeug-Ebene'!Z13,0)</f>
        <v>0</v>
      </c>
      <c r="G13" s="60">
        <f>'2. Eingaben Fahrzeug-Ebene'!U13*'2. Eingaben Fahrzeug-Ebene'!$J13/100/2</f>
        <v>0</v>
      </c>
      <c r="H13" s="60">
        <f t="shared" si="4"/>
        <v>0</v>
      </c>
      <c r="I13" s="60">
        <f t="shared" si="5"/>
        <v>0</v>
      </c>
      <c r="J13" s="60">
        <f t="shared" si="6"/>
        <v>0</v>
      </c>
      <c r="K13" s="61">
        <f>MIN('2. Eingaben Fahrzeug-Ebene'!AG13*'1b. Corrected Inputs Segment'!$J$24*'2. Eingaben Fahrzeug-Ebene'!AF13*'2d. Annahmen'!$B$57,'2. Eingaben Fahrzeug-Ebene'!I13)</f>
        <v>0</v>
      </c>
      <c r="L13" s="61">
        <f>MIN('2. Eingaben Fahrzeug-Ebene'!AH13*'1b. Corrected Inputs Segment'!$J$25*'2. Eingaben Fahrzeug-Ebene'!AF13*'2d. Annahmen'!$B$57,'2. Eingaben Fahrzeug-Ebene'!I13)</f>
        <v>0</v>
      </c>
      <c r="M13" s="61">
        <f>MIN('1b. Corrected Inputs Segment'!$J$26*'2. Eingaben Fahrzeug-Ebene'!AD13*'2d. Annahmen'!$B$57,'2. Eingaben Fahrzeug-Ebene'!I13)</f>
        <v>0</v>
      </c>
      <c r="N13" s="61">
        <f>M13*SUM('2. Eingaben Fahrzeug-Ebene'!AA13:AC13)</f>
        <v>0</v>
      </c>
      <c r="O13" s="62">
        <f>SUM(MAX(H13-'2. Eingaben Fahrzeug-Ebene'!I13,0),MAX(('2. Eingaben Fahrzeug-Ebene'!Z13)*(I13-'2. Eingaben Fahrzeug-Ebene'!I13),0),MAX(J13-'2. Eingaben Fahrzeug-Ebene'!I13,0))</f>
        <v>0</v>
      </c>
      <c r="P13" s="62">
        <f t="shared" si="7"/>
        <v>0</v>
      </c>
      <c r="Q13" s="62">
        <f t="shared" si="8"/>
        <v>0</v>
      </c>
      <c r="R13" s="63">
        <f t="shared" si="9"/>
        <v>0</v>
      </c>
      <c r="S13" s="64">
        <f t="shared" si="10"/>
        <v>0</v>
      </c>
      <c r="T13" s="64">
        <f t="shared" si="11"/>
        <v>0</v>
      </c>
      <c r="U13" s="64">
        <f t="shared" si="12"/>
        <v>0</v>
      </c>
      <c r="V13" s="65">
        <f>(S13&gt;0)*1/'1b. Corrected Inputs Segment'!$J$28</f>
        <v>0</v>
      </c>
      <c r="W13" s="66">
        <f>'1b. Corrected Inputs Segment'!$J$29</f>
        <v>1</v>
      </c>
      <c r="X13" s="67">
        <f t="shared" si="13"/>
        <v>0</v>
      </c>
      <c r="Y13" s="66">
        <f>IF(T13&gt;0,T13/'2. Eingaben Fahrzeug-Ebene'!AF13/'2d. Annahmen'!$B$57,0)</f>
        <v>0</v>
      </c>
      <c r="Z13" s="66" cm="1">
        <f t="array" ref="Z13">IF(Y13&gt;0,MIN(MIN(_xlfn._xlws.FILTER(Ladeleistung,(Ladeleistung&gt;=Y13))),'1b. Corrected Inputs Segment'!$J$25),0)</f>
        <v>0</v>
      </c>
      <c r="AA13" s="68">
        <f ca="1">IFERROR(0.8/(SUM('3a. Detailierte Ergebnisse'!$T$24:$U$24)^0.401),1)</f>
        <v>0.8</v>
      </c>
      <c r="AB13" s="66">
        <f ca="1">MAX(X13*Y13,X13*'1b. Corrected Inputs Segment'!$J$25*AA13)</f>
        <v>0</v>
      </c>
      <c r="AC13" s="67">
        <f>'2. Eingaben Fahrzeug-Ebene'!AI13</f>
        <v>0</v>
      </c>
      <c r="AD13" s="67">
        <f t="shared" si="14"/>
        <v>0</v>
      </c>
      <c r="AE13" s="66">
        <f>IF(U13&gt;0,MIN('1b. Corrected Inputs Segment'!$J$26,U13/'2. Eingaben Fahrzeug-Ebene'!AE13/'2d. Annahmen'!$B$57),0)</f>
        <v>0</v>
      </c>
      <c r="AF13" s="67" cm="1">
        <f t="array" ref="AF13">IF(AE13&gt;0,MIN(_xlfn._xlws.FILTER(Ladeleistung,(Ladeleistung&gt;=AE13))),0)</f>
        <v>0</v>
      </c>
      <c r="AG13" s="67">
        <f>IF(B13,ROUNDUP(U13/'2. Eingaben Fahrzeug-Ebene'!I13,0),0)</f>
        <v>0</v>
      </c>
      <c r="AH13" s="68">
        <f ca="1">_xlfn.LET(_xlpm.nS,'3a. Detailierte Ergebnisse'!$E$24,_xlpm.nM,'3a. Detailierte Ergebnisse'!$F$24,_xlpm.nL,'3a. Detailierte Ergebnisse'!$G$24,_xlpm.n,_xlpm.nS+_xlpm.nM+_xlpm.nL,IF(AF13&lt;=100,IF(_xlpm.n&lt;=3,1,1.119/(_xlpm.n^0.094)),IF(AF13&lt;=150,IF(_xlpm.n&lt;=3,1,1.226/(_xlpm.n^0.164)),IF(_xlpm.n=1,1,1.111/(_xlpm.n^0.192)))))</f>
        <v>1</v>
      </c>
      <c r="AI13" s="66">
        <f>IF(B13,MAX(AD13*AE13/'2d. Annahmen'!$B$56,AD13*AF13*AH13/'2d. Annahmen'!$B$56),0)</f>
        <v>0</v>
      </c>
      <c r="AJ13" s="62">
        <f>IF(SUM('2. Eingaben Fahrzeug-Ebene'!AA13:AC13)&gt;0,U13/SUM('2. Eingaben Fahrzeug-Ebene'!AA13:AC13),0)</f>
        <v>0</v>
      </c>
      <c r="AK13" s="62">
        <f t="shared" si="15"/>
        <v>0</v>
      </c>
      <c r="AL13" s="62">
        <f>IF('2. Eingaben Fahrzeug-Ebene'!E13,MAX(H13-AK13,0),MAX(H13-AK13,0))</f>
        <v>0</v>
      </c>
      <c r="AM13" s="62">
        <f>AK13+AL13-H13+'2. Eingaben Fahrzeug-Ebene'!AA13*AJ13</f>
        <v>0</v>
      </c>
      <c r="AN13" s="62">
        <f>-MIN(AM13+'2. Eingaben Fahrzeug-Ebene'!AB13*AJ13-'2. Eingaben Fahrzeug-Ebene'!Z13*I13,0)</f>
        <v>0</v>
      </c>
      <c r="AO13" s="62">
        <f>AM13+AN13+'2. Eingaben Fahrzeug-Ebene'!AC13*AJ13-'2. Eingaben Fahrzeug-Ebene'!Z13*I13+'2. Eingaben Fahrzeug-Ebene'!AB13*AJ13</f>
        <v>0</v>
      </c>
      <c r="AP13" s="62">
        <f t="shared" si="16"/>
        <v>0</v>
      </c>
      <c r="AQ13" s="62">
        <f t="shared" si="17"/>
        <v>0</v>
      </c>
      <c r="AR13" s="62" t="b">
        <f t="shared" si="18"/>
        <v>1</v>
      </c>
      <c r="AS13" s="62" t="b">
        <f t="shared" si="19"/>
        <v>1</v>
      </c>
      <c r="AT13" s="62" t="b">
        <f t="shared" si="20"/>
        <v>1</v>
      </c>
      <c r="AU13" s="69" t="str">
        <f>""</f>
        <v/>
      </c>
    </row>
    <row r="14" spans="1:48" x14ac:dyDescent="0.35">
      <c r="A14" s="58" t="s">
        <v>151</v>
      </c>
      <c r="B14" s="59">
        <f>'2. Eingaben Fahrzeug-Ebene'!B14*(SUM('2. Eingaben Fahrzeug-Ebene'!D14:E14)&gt;0)</f>
        <v>0</v>
      </c>
      <c r="C14" s="59">
        <f>'2. Eingaben Fahrzeug-Ebene'!C14</f>
        <v>0</v>
      </c>
      <c r="D14" s="60">
        <f>'2. Eingaben Fahrzeug-Ebene'!V14*'2. Eingaben Fahrzeug-Ebene'!$J14/100</f>
        <v>0</v>
      </c>
      <c r="E14" s="60">
        <f>'2. Eingaben Fahrzeug-Ebene'!T14*'2. Eingaben Fahrzeug-Ebene'!$J14/100</f>
        <v>0</v>
      </c>
      <c r="F14" s="60">
        <f>IF(B14,E14/'2. Eingaben Fahrzeug-Ebene'!Z14,0)</f>
        <v>0</v>
      </c>
      <c r="G14" s="60">
        <f>'2. Eingaben Fahrzeug-Ebene'!U14*'2. Eingaben Fahrzeug-Ebene'!$J14/100/2</f>
        <v>0</v>
      </c>
      <c r="H14" s="60">
        <f t="shared" si="4"/>
        <v>0</v>
      </c>
      <c r="I14" s="60">
        <f t="shared" si="5"/>
        <v>0</v>
      </c>
      <c r="J14" s="60">
        <f t="shared" si="6"/>
        <v>0</v>
      </c>
      <c r="K14" s="61">
        <f>MIN('2. Eingaben Fahrzeug-Ebene'!AG14*'1b. Corrected Inputs Segment'!$J$24*'2. Eingaben Fahrzeug-Ebene'!AF14*'2d. Annahmen'!$B$57,'2. Eingaben Fahrzeug-Ebene'!I14)</f>
        <v>0</v>
      </c>
      <c r="L14" s="61">
        <f>MIN('2. Eingaben Fahrzeug-Ebene'!AH14*'1b. Corrected Inputs Segment'!$J$25*'2. Eingaben Fahrzeug-Ebene'!AF14*'2d. Annahmen'!$B$57,'2. Eingaben Fahrzeug-Ebene'!I14)</f>
        <v>0</v>
      </c>
      <c r="M14" s="61">
        <f>MIN('1b. Corrected Inputs Segment'!$J$26*'2. Eingaben Fahrzeug-Ebene'!AD14*'2d. Annahmen'!$B$57,'2. Eingaben Fahrzeug-Ebene'!I14)</f>
        <v>0</v>
      </c>
      <c r="N14" s="61">
        <f>M14*SUM('2. Eingaben Fahrzeug-Ebene'!AA14:AC14)</f>
        <v>0</v>
      </c>
      <c r="O14" s="62">
        <f>SUM(MAX(H14-'2. Eingaben Fahrzeug-Ebene'!I14,0),MAX(('2. Eingaben Fahrzeug-Ebene'!Z14)*(I14-'2. Eingaben Fahrzeug-Ebene'!I14),0),MAX(J14-'2. Eingaben Fahrzeug-Ebene'!I14,0))</f>
        <v>0</v>
      </c>
      <c r="P14" s="62">
        <f t="shared" si="7"/>
        <v>0</v>
      </c>
      <c r="Q14" s="62">
        <f t="shared" si="8"/>
        <v>0</v>
      </c>
      <c r="R14" s="63">
        <f t="shared" si="9"/>
        <v>0</v>
      </c>
      <c r="S14" s="64">
        <f t="shared" si="10"/>
        <v>0</v>
      </c>
      <c r="T14" s="64">
        <f t="shared" si="11"/>
        <v>0</v>
      </c>
      <c r="U14" s="64">
        <f t="shared" si="12"/>
        <v>0</v>
      </c>
      <c r="V14" s="65">
        <f>(S14&gt;0)*1/'1b. Corrected Inputs Segment'!$J$28</f>
        <v>0</v>
      </c>
      <c r="W14" s="66">
        <f>'1b. Corrected Inputs Segment'!$J$29</f>
        <v>1</v>
      </c>
      <c r="X14" s="67">
        <f t="shared" si="13"/>
        <v>0</v>
      </c>
      <c r="Y14" s="66">
        <f>IF(T14&gt;0,T14/'2. Eingaben Fahrzeug-Ebene'!AF14/'2d. Annahmen'!$B$57,0)</f>
        <v>0</v>
      </c>
      <c r="Z14" s="66" cm="1">
        <f t="array" ref="Z14">IF(Y14&gt;0,MIN(MIN(_xlfn._xlws.FILTER(Ladeleistung,(Ladeleistung&gt;=Y14))),'1b. Corrected Inputs Segment'!$J$25),0)</f>
        <v>0</v>
      </c>
      <c r="AA14" s="68">
        <f ca="1">IFERROR(0.8/(SUM('3a. Detailierte Ergebnisse'!$T$24:$U$24)^0.401),1)</f>
        <v>0.8</v>
      </c>
      <c r="AB14" s="66">
        <f ca="1">MAX(X14*Y14,X14*'1b. Corrected Inputs Segment'!$J$25*AA14)</f>
        <v>0</v>
      </c>
      <c r="AC14" s="67">
        <f>'2. Eingaben Fahrzeug-Ebene'!AI14</f>
        <v>0</v>
      </c>
      <c r="AD14" s="67">
        <f t="shared" si="14"/>
        <v>0</v>
      </c>
      <c r="AE14" s="66">
        <f>IF(U14&gt;0,MIN('1b. Corrected Inputs Segment'!$J$26,U14/'2. Eingaben Fahrzeug-Ebene'!AE14/'2d. Annahmen'!$B$57),0)</f>
        <v>0</v>
      </c>
      <c r="AF14" s="67" cm="1">
        <f t="array" ref="AF14">IF(AE14&gt;0,MIN(_xlfn._xlws.FILTER(Ladeleistung,(Ladeleistung&gt;=AE14))),0)</f>
        <v>0</v>
      </c>
      <c r="AG14" s="67">
        <f>IF(B14,ROUNDUP(U14/'2. Eingaben Fahrzeug-Ebene'!I14,0),0)</f>
        <v>0</v>
      </c>
      <c r="AH14" s="68">
        <f ca="1">_xlfn.LET(_xlpm.nS,'3a. Detailierte Ergebnisse'!$E$24,_xlpm.nM,'3a. Detailierte Ergebnisse'!$F$24,_xlpm.nL,'3a. Detailierte Ergebnisse'!$G$24,_xlpm.n,_xlpm.nS+_xlpm.nM+_xlpm.nL,IF(AF14&lt;=100,IF(_xlpm.n&lt;=3,1,1.119/(_xlpm.n^0.094)),IF(AF14&lt;=150,IF(_xlpm.n&lt;=3,1,1.226/(_xlpm.n^0.164)),IF(_xlpm.n=1,1,1.111/(_xlpm.n^0.192)))))</f>
        <v>1</v>
      </c>
      <c r="AI14" s="66">
        <f>IF(B14,MAX(AD14*AE14/'2d. Annahmen'!$B$56,AD14*AF14*AH14/'2d. Annahmen'!$B$56),0)</f>
        <v>0</v>
      </c>
      <c r="AJ14" s="62">
        <f>IF(SUM('2. Eingaben Fahrzeug-Ebene'!AA14:AC14)&gt;0,U14/SUM('2. Eingaben Fahrzeug-Ebene'!AA14:AC14),0)</f>
        <v>0</v>
      </c>
      <c r="AK14" s="62">
        <f t="shared" si="15"/>
        <v>0</v>
      </c>
      <c r="AL14" s="62">
        <f>IF('2. Eingaben Fahrzeug-Ebene'!E14,MAX(H14-AK14,0),MAX(H14-AK14,0))</f>
        <v>0</v>
      </c>
      <c r="AM14" s="62">
        <f>AK14+AL14-H14+'2. Eingaben Fahrzeug-Ebene'!AA14*AJ14</f>
        <v>0</v>
      </c>
      <c r="AN14" s="62">
        <f>-MIN(AM14+'2. Eingaben Fahrzeug-Ebene'!AB14*AJ14-'2. Eingaben Fahrzeug-Ebene'!Z14*I14,0)</f>
        <v>0</v>
      </c>
      <c r="AO14" s="62">
        <f>AM14+AN14+'2. Eingaben Fahrzeug-Ebene'!AC14*AJ14-'2. Eingaben Fahrzeug-Ebene'!Z14*I14+'2. Eingaben Fahrzeug-Ebene'!AB14*AJ14</f>
        <v>0</v>
      </c>
      <c r="AP14" s="62">
        <f t="shared" si="16"/>
        <v>0</v>
      </c>
      <c r="AQ14" s="62">
        <f t="shared" si="17"/>
        <v>0</v>
      </c>
      <c r="AR14" s="62" t="b">
        <f t="shared" si="18"/>
        <v>1</v>
      </c>
      <c r="AS14" s="62" t="b">
        <f t="shared" si="19"/>
        <v>1</v>
      </c>
      <c r="AT14" s="62" t="b">
        <f t="shared" si="20"/>
        <v>1</v>
      </c>
      <c r="AU14" s="69" t="str">
        <f>""</f>
        <v/>
      </c>
    </row>
    <row r="15" spans="1:48" x14ac:dyDescent="0.35">
      <c r="B15" s="59"/>
      <c r="C15" s="59"/>
      <c r="D15" s="60"/>
      <c r="E15" s="60"/>
      <c r="F15" s="60"/>
      <c r="G15" s="60"/>
      <c r="H15" s="60"/>
      <c r="I15" s="60"/>
      <c r="J15" s="60"/>
      <c r="K15" s="61"/>
      <c r="L15" s="61"/>
      <c r="M15" s="61"/>
      <c r="N15" s="61"/>
      <c r="O15" s="62"/>
      <c r="P15" s="62"/>
      <c r="Q15" s="62"/>
      <c r="S15" s="64"/>
      <c r="T15" s="64"/>
      <c r="U15" s="64"/>
      <c r="W15" s="66"/>
      <c r="Y15" s="66"/>
      <c r="Z15" s="66"/>
      <c r="AA15" s="68"/>
      <c r="AB15" s="66"/>
      <c r="AE15" s="66"/>
      <c r="AH15" s="68"/>
      <c r="AI15" s="66"/>
      <c r="AJ15" s="62"/>
      <c r="AK15" s="62"/>
      <c r="AL15" s="62"/>
      <c r="AM15" s="62"/>
      <c r="AN15" s="62"/>
      <c r="AO15" s="62"/>
      <c r="AP15" s="62"/>
      <c r="AQ15" s="62"/>
      <c r="AR15" s="62"/>
      <c r="AS15" s="62"/>
      <c r="AT15" s="62"/>
      <c r="AU15" s="69"/>
    </row>
    <row r="16" spans="1:48" x14ac:dyDescent="0.35">
      <c r="B16" s="59"/>
      <c r="C16" s="59"/>
      <c r="D16" s="60"/>
      <c r="E16" s="60"/>
      <c r="F16" s="60"/>
      <c r="G16" s="60"/>
      <c r="H16" s="60"/>
      <c r="I16" s="60"/>
      <c r="J16" s="60"/>
      <c r="K16" s="61"/>
      <c r="L16" s="61"/>
      <c r="M16" s="61"/>
      <c r="N16" s="61"/>
      <c r="O16" s="62"/>
      <c r="P16" s="62"/>
      <c r="Q16" s="62"/>
      <c r="S16" s="64"/>
      <c r="T16" s="64"/>
      <c r="U16" s="64"/>
      <c r="W16" s="66"/>
      <c r="Y16" s="66"/>
      <c r="Z16" s="66"/>
      <c r="AA16" s="68"/>
      <c r="AB16" s="66"/>
      <c r="AE16" s="66"/>
      <c r="AH16" s="68"/>
      <c r="AI16" s="66"/>
      <c r="AJ16" s="62"/>
      <c r="AK16" s="62"/>
      <c r="AL16" s="62"/>
      <c r="AM16" s="62"/>
      <c r="AN16" s="62"/>
      <c r="AO16" s="62"/>
      <c r="AP16" s="62"/>
      <c r="AQ16" s="62"/>
      <c r="AR16" s="62"/>
      <c r="AS16" s="62"/>
      <c r="AT16" s="62"/>
      <c r="AU16" s="69"/>
    </row>
    <row r="17" spans="2:47" x14ac:dyDescent="0.35">
      <c r="B17" s="59"/>
      <c r="C17" s="59"/>
      <c r="D17" s="60"/>
      <c r="E17" s="60"/>
      <c r="F17" s="60"/>
      <c r="G17" s="60"/>
      <c r="H17" s="60"/>
      <c r="I17" s="60"/>
      <c r="J17" s="60"/>
      <c r="K17" s="61"/>
      <c r="L17" s="61"/>
      <c r="M17" s="61"/>
      <c r="N17" s="61"/>
      <c r="O17" s="62"/>
      <c r="P17" s="62"/>
      <c r="Q17" s="62"/>
      <c r="S17" s="64"/>
      <c r="T17" s="64"/>
      <c r="U17" s="64"/>
      <c r="W17" s="66"/>
      <c r="Y17" s="66"/>
      <c r="Z17" s="66"/>
      <c r="AA17" s="68"/>
      <c r="AB17" s="66"/>
      <c r="AE17" s="66"/>
      <c r="AH17" s="68"/>
      <c r="AI17" s="66"/>
      <c r="AJ17" s="62"/>
      <c r="AK17" s="62"/>
      <c r="AL17" s="62"/>
      <c r="AM17" s="62"/>
      <c r="AN17" s="62"/>
      <c r="AO17" s="62"/>
      <c r="AP17" s="62"/>
      <c r="AQ17" s="62"/>
      <c r="AR17" s="62"/>
      <c r="AS17" s="62"/>
      <c r="AT17" s="62"/>
      <c r="AU17" s="69"/>
    </row>
    <row r="18" spans="2:47" x14ac:dyDescent="0.35">
      <c r="B18" s="59"/>
      <c r="C18" s="59"/>
      <c r="D18" s="60"/>
      <c r="E18" s="60"/>
      <c r="F18" s="60"/>
      <c r="G18" s="60"/>
      <c r="H18" s="60"/>
      <c r="I18" s="60"/>
      <c r="J18" s="60"/>
      <c r="K18" s="61"/>
      <c r="L18" s="61"/>
      <c r="M18" s="61"/>
      <c r="N18" s="61"/>
      <c r="O18" s="62"/>
      <c r="P18" s="62"/>
      <c r="Q18" s="62"/>
      <c r="S18" s="64"/>
      <c r="T18" s="64"/>
      <c r="U18" s="64"/>
      <c r="W18" s="66"/>
      <c r="Y18" s="66"/>
      <c r="Z18" s="66"/>
      <c r="AA18" s="68"/>
      <c r="AB18" s="66"/>
      <c r="AE18" s="66"/>
      <c r="AH18" s="68"/>
      <c r="AI18" s="66"/>
      <c r="AJ18" s="62"/>
      <c r="AK18" s="62"/>
      <c r="AL18" s="62"/>
      <c r="AM18" s="62"/>
      <c r="AN18" s="62"/>
      <c r="AO18" s="62"/>
      <c r="AP18" s="62"/>
      <c r="AQ18" s="62"/>
      <c r="AR18" s="62"/>
      <c r="AS18" s="62"/>
      <c r="AT18" s="62"/>
      <c r="AU18" s="69"/>
    </row>
    <row r="19" spans="2:47" x14ac:dyDescent="0.35">
      <c r="B19" s="59"/>
      <c r="C19" s="59"/>
      <c r="D19" s="60"/>
      <c r="E19" s="60"/>
      <c r="F19" s="60"/>
      <c r="G19" s="60"/>
      <c r="H19" s="60"/>
      <c r="I19" s="60"/>
      <c r="J19" s="60"/>
      <c r="K19" s="61"/>
      <c r="L19" s="61"/>
      <c r="M19" s="61"/>
      <c r="N19" s="61"/>
      <c r="O19" s="62"/>
      <c r="P19" s="62"/>
      <c r="Q19" s="62"/>
      <c r="S19" s="64"/>
      <c r="T19" s="64"/>
      <c r="U19" s="64"/>
      <c r="W19" s="66"/>
      <c r="Y19" s="66"/>
      <c r="Z19" s="66"/>
      <c r="AA19" s="68"/>
      <c r="AB19" s="66"/>
      <c r="AE19" s="66"/>
      <c r="AH19" s="68"/>
      <c r="AI19" s="66"/>
      <c r="AJ19" s="62"/>
      <c r="AK19" s="62"/>
      <c r="AL19" s="62"/>
      <c r="AM19" s="62"/>
      <c r="AN19" s="62"/>
      <c r="AO19" s="62"/>
      <c r="AP19" s="62"/>
      <c r="AQ19" s="62"/>
      <c r="AR19" s="62"/>
      <c r="AS19" s="62"/>
      <c r="AT19" s="62"/>
      <c r="AU19" s="69"/>
    </row>
    <row r="20" spans="2:47" x14ac:dyDescent="0.35">
      <c r="B20" s="59"/>
      <c r="C20" s="59"/>
      <c r="D20" s="60"/>
      <c r="E20" s="60"/>
      <c r="F20" s="60"/>
      <c r="G20" s="60"/>
      <c r="H20" s="60"/>
      <c r="I20" s="60"/>
      <c r="J20" s="60"/>
      <c r="K20" s="61"/>
      <c r="L20" s="61"/>
      <c r="M20" s="61"/>
      <c r="N20" s="61"/>
      <c r="O20" s="62"/>
      <c r="P20" s="62"/>
      <c r="Q20" s="62"/>
      <c r="S20" s="64"/>
      <c r="T20" s="64"/>
      <c r="U20" s="64"/>
      <c r="W20" s="66"/>
      <c r="Y20" s="66"/>
      <c r="Z20" s="66"/>
      <c r="AA20" s="68"/>
      <c r="AB20" s="66"/>
      <c r="AE20" s="66"/>
      <c r="AH20" s="68"/>
      <c r="AI20" s="66"/>
      <c r="AJ20" s="62"/>
      <c r="AK20" s="62"/>
      <c r="AL20" s="62"/>
      <c r="AM20" s="62"/>
      <c r="AN20" s="62"/>
      <c r="AO20" s="62"/>
      <c r="AP20" s="62"/>
      <c r="AQ20" s="62"/>
      <c r="AR20" s="62"/>
      <c r="AS20" s="62"/>
      <c r="AT20" s="62"/>
      <c r="AU20" s="69"/>
    </row>
    <row r="21" spans="2:47" x14ac:dyDescent="0.35">
      <c r="B21" s="59"/>
      <c r="C21" s="59"/>
      <c r="D21" s="60"/>
      <c r="E21" s="60"/>
      <c r="F21" s="60"/>
      <c r="G21" s="60"/>
      <c r="H21" s="60"/>
      <c r="I21" s="60"/>
      <c r="J21" s="60"/>
      <c r="K21" s="61"/>
      <c r="L21" s="61"/>
      <c r="M21" s="61"/>
      <c r="N21" s="61"/>
      <c r="O21" s="62"/>
      <c r="P21" s="62"/>
      <c r="Q21" s="62"/>
      <c r="S21" s="64"/>
      <c r="T21" s="64"/>
      <c r="U21" s="64"/>
      <c r="W21" s="66"/>
      <c r="Y21" s="66"/>
      <c r="Z21" s="66"/>
      <c r="AA21" s="68"/>
      <c r="AB21" s="66"/>
      <c r="AE21" s="66"/>
      <c r="AH21" s="68"/>
      <c r="AI21" s="66"/>
      <c r="AJ21" s="62"/>
      <c r="AK21" s="62"/>
      <c r="AL21" s="62"/>
      <c r="AM21" s="62"/>
      <c r="AN21" s="62"/>
      <c r="AO21" s="62"/>
      <c r="AP21" s="62"/>
      <c r="AQ21" s="62"/>
      <c r="AR21" s="62"/>
      <c r="AS21" s="62"/>
      <c r="AT21" s="62"/>
      <c r="AU21" s="69"/>
    </row>
    <row r="22" spans="2:47" x14ac:dyDescent="0.35">
      <c r="B22" s="59"/>
      <c r="C22" s="59"/>
      <c r="D22" s="60"/>
      <c r="E22" s="60"/>
      <c r="F22" s="60"/>
      <c r="G22" s="60"/>
      <c r="H22" s="60"/>
      <c r="I22" s="60"/>
      <c r="J22" s="60"/>
      <c r="K22" s="61"/>
      <c r="L22" s="61"/>
      <c r="M22" s="61"/>
      <c r="N22" s="61"/>
      <c r="O22" s="62"/>
      <c r="P22" s="62"/>
      <c r="Q22" s="62"/>
      <c r="S22" s="64"/>
      <c r="T22" s="64"/>
      <c r="U22" s="64"/>
      <c r="W22" s="66"/>
      <c r="Y22" s="66"/>
      <c r="Z22" s="66"/>
      <c r="AA22" s="68"/>
      <c r="AB22" s="66"/>
      <c r="AE22" s="66"/>
      <c r="AH22" s="68"/>
      <c r="AI22" s="66"/>
      <c r="AJ22" s="62"/>
      <c r="AK22" s="62"/>
      <c r="AL22" s="62"/>
      <c r="AM22" s="62"/>
      <c r="AN22" s="62"/>
      <c r="AO22" s="62"/>
      <c r="AP22" s="62"/>
      <c r="AQ22" s="62"/>
      <c r="AR22" s="62"/>
      <c r="AS22" s="62"/>
      <c r="AT22" s="62"/>
      <c r="AU22" s="69"/>
    </row>
    <row r="23" spans="2:47" x14ac:dyDescent="0.35">
      <c r="B23" s="59"/>
      <c r="C23" s="59"/>
      <c r="D23" s="60"/>
      <c r="E23" s="60"/>
      <c r="F23" s="60"/>
      <c r="G23" s="60"/>
      <c r="H23" s="60"/>
      <c r="I23" s="60"/>
      <c r="J23" s="60"/>
      <c r="K23" s="61"/>
      <c r="L23" s="61"/>
      <c r="M23" s="61"/>
      <c r="N23" s="61"/>
      <c r="O23" s="62"/>
      <c r="P23" s="62"/>
      <c r="Q23" s="62"/>
      <c r="S23" s="64"/>
      <c r="T23" s="64"/>
      <c r="U23" s="64"/>
      <c r="W23" s="66"/>
      <c r="Y23" s="66"/>
      <c r="Z23" s="66"/>
      <c r="AA23" s="68"/>
      <c r="AB23" s="66"/>
      <c r="AE23" s="66"/>
      <c r="AH23" s="68"/>
      <c r="AI23" s="66"/>
      <c r="AJ23" s="62"/>
      <c r="AK23" s="62"/>
      <c r="AL23" s="62"/>
      <c r="AM23" s="62"/>
      <c r="AN23" s="62"/>
      <c r="AO23" s="62"/>
      <c r="AP23" s="62"/>
      <c r="AQ23" s="62"/>
      <c r="AR23" s="62"/>
      <c r="AS23" s="62"/>
      <c r="AT23" s="62"/>
      <c r="AU23" s="69"/>
    </row>
    <row r="24" spans="2:47" x14ac:dyDescent="0.35">
      <c r="B24" s="59"/>
      <c r="C24" s="59"/>
      <c r="D24" s="60"/>
      <c r="E24" s="60"/>
      <c r="F24" s="60"/>
      <c r="G24" s="60"/>
      <c r="H24" s="60"/>
      <c r="I24" s="60"/>
      <c r="J24" s="60"/>
      <c r="K24" s="61"/>
      <c r="L24" s="61"/>
      <c r="M24" s="61"/>
      <c r="N24" s="61"/>
      <c r="O24" s="62"/>
      <c r="P24" s="62"/>
      <c r="Q24" s="62"/>
      <c r="S24" s="64"/>
      <c r="T24" s="64"/>
      <c r="U24" s="64"/>
      <c r="W24" s="66"/>
      <c r="Y24" s="66"/>
      <c r="Z24" s="66"/>
      <c r="AA24" s="68"/>
      <c r="AB24" s="66"/>
      <c r="AE24" s="66"/>
      <c r="AH24" s="68"/>
      <c r="AI24" s="66"/>
      <c r="AJ24" s="62"/>
      <c r="AK24" s="62"/>
      <c r="AL24" s="62"/>
      <c r="AM24" s="62"/>
      <c r="AN24" s="62"/>
      <c r="AO24" s="62"/>
      <c r="AP24" s="62"/>
      <c r="AQ24" s="62"/>
      <c r="AR24" s="62"/>
      <c r="AS24" s="62"/>
      <c r="AT24" s="62"/>
      <c r="AU24" s="69"/>
    </row>
    <row r="25" spans="2:47" x14ac:dyDescent="0.35">
      <c r="B25" s="59"/>
      <c r="C25" s="59"/>
      <c r="D25" s="60"/>
      <c r="E25" s="60"/>
      <c r="F25" s="60"/>
      <c r="G25" s="60"/>
      <c r="H25" s="60"/>
      <c r="I25" s="60"/>
      <c r="J25" s="60"/>
      <c r="K25" s="61"/>
      <c r="L25" s="61"/>
      <c r="M25" s="61"/>
      <c r="N25" s="61"/>
      <c r="O25" s="62"/>
      <c r="P25" s="62"/>
      <c r="Q25" s="62"/>
      <c r="S25" s="64"/>
      <c r="T25" s="64"/>
      <c r="U25" s="64"/>
      <c r="W25" s="66"/>
      <c r="Y25" s="66"/>
      <c r="Z25" s="66"/>
      <c r="AA25" s="68"/>
      <c r="AB25" s="66"/>
      <c r="AE25" s="66"/>
      <c r="AH25" s="68"/>
      <c r="AI25" s="66"/>
      <c r="AJ25" s="62"/>
      <c r="AK25" s="62"/>
      <c r="AL25" s="62"/>
      <c r="AM25" s="62"/>
      <c r="AN25" s="62"/>
      <c r="AO25" s="62"/>
      <c r="AP25" s="62"/>
      <c r="AQ25" s="62"/>
      <c r="AR25" s="62"/>
      <c r="AS25" s="62"/>
      <c r="AT25" s="62"/>
      <c r="AU25" s="69"/>
    </row>
    <row r="26" spans="2:47" x14ac:dyDescent="0.35">
      <c r="B26" s="59"/>
      <c r="C26" s="59"/>
      <c r="D26" s="60"/>
      <c r="E26" s="60"/>
      <c r="F26" s="60"/>
      <c r="G26" s="60"/>
      <c r="H26" s="60"/>
      <c r="I26" s="60"/>
      <c r="J26" s="60"/>
      <c r="K26" s="61"/>
      <c r="L26" s="61"/>
      <c r="M26" s="61"/>
      <c r="N26" s="61"/>
      <c r="O26" s="62"/>
      <c r="P26" s="62"/>
      <c r="Q26" s="62"/>
      <c r="S26" s="64"/>
      <c r="T26" s="64"/>
      <c r="U26" s="64"/>
      <c r="W26" s="66"/>
      <c r="Y26" s="66"/>
      <c r="Z26" s="66"/>
      <c r="AA26" s="68"/>
      <c r="AB26" s="66"/>
      <c r="AE26" s="66"/>
      <c r="AH26" s="68"/>
      <c r="AI26" s="66"/>
      <c r="AJ26" s="62"/>
      <c r="AK26" s="62"/>
      <c r="AL26" s="62"/>
      <c r="AM26" s="62"/>
      <c r="AN26" s="62"/>
      <c r="AO26" s="62"/>
      <c r="AP26" s="62"/>
      <c r="AQ26" s="62"/>
      <c r="AR26" s="62"/>
      <c r="AS26" s="62"/>
      <c r="AT26" s="62"/>
      <c r="AU26" s="69"/>
    </row>
    <row r="27" spans="2:47" x14ac:dyDescent="0.35">
      <c r="B27" s="59"/>
      <c r="C27" s="59"/>
      <c r="D27" s="60"/>
      <c r="E27" s="60"/>
      <c r="F27" s="60"/>
      <c r="G27" s="60"/>
      <c r="H27" s="60"/>
      <c r="I27" s="60"/>
      <c r="J27" s="60"/>
      <c r="K27" s="61"/>
      <c r="L27" s="61"/>
      <c r="M27" s="61"/>
      <c r="N27" s="61"/>
      <c r="O27" s="62"/>
      <c r="P27" s="62"/>
      <c r="Q27" s="62"/>
      <c r="S27" s="64"/>
      <c r="T27" s="64"/>
      <c r="U27" s="64"/>
      <c r="W27" s="66"/>
      <c r="Y27" s="66"/>
      <c r="Z27" s="66"/>
      <c r="AA27" s="68"/>
      <c r="AB27" s="66"/>
      <c r="AE27" s="66"/>
      <c r="AH27" s="68"/>
      <c r="AI27" s="66"/>
      <c r="AJ27" s="62"/>
      <c r="AK27" s="62"/>
      <c r="AL27" s="62"/>
      <c r="AM27" s="62"/>
      <c r="AN27" s="62"/>
      <c r="AO27" s="62"/>
      <c r="AP27" s="62"/>
      <c r="AQ27" s="62"/>
      <c r="AR27" s="62"/>
      <c r="AS27" s="62"/>
      <c r="AT27" s="62"/>
      <c r="AU27" s="69"/>
    </row>
    <row r="28" spans="2:47" x14ac:dyDescent="0.35">
      <c r="B28" s="59"/>
      <c r="C28" s="59"/>
      <c r="D28" s="60"/>
      <c r="E28" s="60"/>
      <c r="F28" s="60"/>
      <c r="G28" s="60"/>
      <c r="H28" s="60"/>
      <c r="I28" s="60"/>
      <c r="J28" s="60"/>
      <c r="K28" s="61"/>
      <c r="L28" s="61"/>
      <c r="M28" s="61"/>
      <c r="N28" s="61"/>
      <c r="O28" s="62"/>
      <c r="P28" s="62"/>
      <c r="Q28" s="62"/>
      <c r="S28" s="64"/>
      <c r="T28" s="64"/>
      <c r="U28" s="64"/>
      <c r="W28" s="66"/>
      <c r="Y28" s="66"/>
      <c r="Z28" s="66"/>
      <c r="AA28" s="68"/>
      <c r="AB28" s="66"/>
      <c r="AE28" s="66"/>
      <c r="AH28" s="68"/>
      <c r="AI28" s="66"/>
      <c r="AJ28" s="62"/>
      <c r="AK28" s="62"/>
      <c r="AL28" s="62"/>
      <c r="AM28" s="62"/>
      <c r="AN28" s="62"/>
      <c r="AO28" s="62"/>
      <c r="AP28" s="62"/>
      <c r="AQ28" s="62"/>
      <c r="AR28" s="62"/>
      <c r="AS28" s="62"/>
      <c r="AT28" s="62"/>
      <c r="AU28" s="69"/>
    </row>
    <row r="29" spans="2:47" x14ac:dyDescent="0.35">
      <c r="B29" s="59"/>
      <c r="C29" s="59"/>
      <c r="D29" s="60"/>
      <c r="E29" s="60"/>
      <c r="F29" s="60"/>
      <c r="G29" s="60"/>
      <c r="H29" s="60"/>
      <c r="I29" s="60"/>
      <c r="J29" s="60"/>
      <c r="K29" s="61"/>
      <c r="L29" s="61"/>
      <c r="M29" s="61"/>
      <c r="N29" s="61"/>
      <c r="O29" s="62"/>
      <c r="P29" s="62"/>
      <c r="Q29" s="62"/>
      <c r="S29" s="64"/>
      <c r="T29" s="64"/>
      <c r="U29" s="64"/>
      <c r="W29" s="66"/>
      <c r="Y29" s="66"/>
      <c r="Z29" s="66"/>
      <c r="AA29" s="68"/>
      <c r="AB29" s="66"/>
      <c r="AE29" s="66"/>
      <c r="AH29" s="68"/>
      <c r="AI29" s="66"/>
      <c r="AJ29" s="62"/>
      <c r="AK29" s="62"/>
      <c r="AL29" s="62"/>
      <c r="AM29" s="62"/>
      <c r="AN29" s="62"/>
      <c r="AO29" s="62"/>
      <c r="AP29" s="62"/>
      <c r="AQ29" s="62"/>
      <c r="AR29" s="62"/>
      <c r="AS29" s="62"/>
      <c r="AT29" s="62"/>
      <c r="AU29" s="69"/>
    </row>
    <row r="30" spans="2:47" x14ac:dyDescent="0.35">
      <c r="B30" s="59"/>
      <c r="C30" s="59"/>
      <c r="D30" s="60"/>
      <c r="E30" s="60"/>
      <c r="F30" s="60"/>
      <c r="G30" s="60"/>
      <c r="H30" s="60"/>
      <c r="I30" s="60"/>
      <c r="J30" s="60"/>
      <c r="K30" s="61"/>
      <c r="L30" s="61"/>
      <c r="M30" s="61"/>
      <c r="N30" s="61"/>
      <c r="O30" s="62"/>
      <c r="P30" s="62"/>
      <c r="Q30" s="62"/>
      <c r="S30" s="64"/>
      <c r="T30" s="64"/>
      <c r="U30" s="64"/>
      <c r="W30" s="66"/>
      <c r="Y30" s="66"/>
      <c r="Z30" s="66"/>
      <c r="AA30" s="68"/>
      <c r="AB30" s="66"/>
      <c r="AE30" s="66"/>
      <c r="AH30" s="68"/>
      <c r="AI30" s="66"/>
      <c r="AJ30" s="62"/>
      <c r="AK30" s="62"/>
      <c r="AL30" s="62"/>
      <c r="AM30" s="62"/>
      <c r="AN30" s="62"/>
      <c r="AO30" s="62"/>
      <c r="AP30" s="62"/>
      <c r="AQ30" s="62"/>
      <c r="AR30" s="62"/>
      <c r="AS30" s="62"/>
      <c r="AT30" s="62"/>
      <c r="AU30" s="69"/>
    </row>
    <row r="31" spans="2:47" x14ac:dyDescent="0.35">
      <c r="B31" s="59"/>
      <c r="C31" s="59"/>
      <c r="D31" s="60"/>
      <c r="E31" s="60"/>
      <c r="F31" s="60"/>
      <c r="G31" s="60"/>
      <c r="H31" s="60"/>
      <c r="I31" s="60"/>
      <c r="J31" s="60"/>
      <c r="K31" s="61"/>
      <c r="L31" s="61"/>
      <c r="M31" s="61"/>
      <c r="N31" s="61"/>
      <c r="O31" s="62"/>
      <c r="P31" s="62"/>
      <c r="Q31" s="62"/>
      <c r="S31" s="64"/>
      <c r="T31" s="64"/>
      <c r="U31" s="64"/>
      <c r="W31" s="66"/>
      <c r="Y31" s="66"/>
      <c r="Z31" s="66"/>
      <c r="AA31" s="68"/>
      <c r="AB31" s="66"/>
      <c r="AE31" s="66"/>
      <c r="AH31" s="68"/>
      <c r="AI31" s="66"/>
      <c r="AJ31" s="62"/>
      <c r="AK31" s="62"/>
      <c r="AL31" s="62"/>
      <c r="AM31" s="62"/>
      <c r="AN31" s="62"/>
      <c r="AO31" s="62"/>
      <c r="AP31" s="62"/>
      <c r="AQ31" s="62"/>
      <c r="AR31" s="62"/>
      <c r="AS31" s="62"/>
      <c r="AT31" s="62"/>
      <c r="AU31" s="69"/>
    </row>
    <row r="32" spans="2:47" x14ac:dyDescent="0.35">
      <c r="B32" s="59"/>
      <c r="C32" s="59"/>
      <c r="D32" s="60"/>
      <c r="E32" s="60"/>
      <c r="F32" s="60"/>
      <c r="G32" s="60"/>
      <c r="H32" s="60"/>
      <c r="I32" s="60"/>
      <c r="J32" s="60"/>
      <c r="K32" s="61"/>
      <c r="L32" s="61"/>
      <c r="M32" s="61"/>
      <c r="N32" s="61"/>
      <c r="O32" s="62"/>
      <c r="P32" s="62"/>
      <c r="Q32" s="62"/>
      <c r="S32" s="64"/>
      <c r="T32" s="64"/>
      <c r="U32" s="64"/>
      <c r="W32" s="66"/>
      <c r="Y32" s="66"/>
      <c r="Z32" s="66"/>
      <c r="AA32" s="68"/>
      <c r="AB32" s="66"/>
      <c r="AE32" s="66"/>
      <c r="AH32" s="68"/>
      <c r="AI32" s="66"/>
      <c r="AJ32" s="62"/>
      <c r="AK32" s="62"/>
      <c r="AL32" s="62"/>
      <c r="AM32" s="62"/>
      <c r="AN32" s="62"/>
      <c r="AO32" s="62"/>
      <c r="AP32" s="62"/>
      <c r="AQ32" s="62"/>
      <c r="AR32" s="62"/>
      <c r="AS32" s="62"/>
      <c r="AT32" s="62"/>
      <c r="AU32" s="69"/>
    </row>
    <row r="33" spans="2:47" x14ac:dyDescent="0.35">
      <c r="B33" s="59"/>
      <c r="C33" s="59"/>
      <c r="D33" s="60"/>
      <c r="E33" s="60"/>
      <c r="F33" s="60"/>
      <c r="G33" s="60"/>
      <c r="H33" s="60"/>
      <c r="I33" s="60"/>
      <c r="J33" s="60"/>
      <c r="K33" s="61"/>
      <c r="L33" s="61"/>
      <c r="M33" s="61"/>
      <c r="N33" s="61"/>
      <c r="O33" s="62"/>
      <c r="P33" s="62"/>
      <c r="Q33" s="62"/>
      <c r="S33" s="64"/>
      <c r="T33" s="64"/>
      <c r="U33" s="64"/>
      <c r="W33" s="66"/>
      <c r="Y33" s="66"/>
      <c r="Z33" s="66"/>
      <c r="AA33" s="68"/>
      <c r="AB33" s="66"/>
      <c r="AE33" s="66"/>
      <c r="AH33" s="68"/>
      <c r="AI33" s="66"/>
      <c r="AJ33" s="62"/>
      <c r="AK33" s="62"/>
      <c r="AL33" s="62"/>
      <c r="AM33" s="62"/>
      <c r="AN33" s="62"/>
      <c r="AO33" s="62"/>
      <c r="AP33" s="62"/>
      <c r="AQ33" s="62"/>
      <c r="AR33" s="62"/>
      <c r="AS33" s="62"/>
      <c r="AT33" s="62"/>
      <c r="AU33" s="69"/>
    </row>
    <row r="34" spans="2:47" x14ac:dyDescent="0.35">
      <c r="B34" s="59"/>
      <c r="C34" s="59"/>
      <c r="D34" s="60"/>
      <c r="E34" s="60"/>
      <c r="F34" s="60"/>
      <c r="G34" s="60"/>
      <c r="H34" s="60"/>
      <c r="I34" s="60"/>
      <c r="J34" s="60"/>
      <c r="K34" s="61"/>
      <c r="L34" s="61"/>
      <c r="M34" s="61"/>
      <c r="N34" s="61"/>
      <c r="O34" s="62"/>
      <c r="P34" s="62"/>
      <c r="Q34" s="62"/>
      <c r="S34" s="64"/>
      <c r="T34" s="64"/>
      <c r="U34" s="64"/>
      <c r="W34" s="66"/>
      <c r="Y34" s="66"/>
      <c r="Z34" s="66"/>
      <c r="AA34" s="68"/>
      <c r="AB34" s="66"/>
      <c r="AE34" s="66"/>
      <c r="AH34" s="68"/>
      <c r="AI34" s="66"/>
      <c r="AJ34" s="62"/>
      <c r="AK34" s="62"/>
      <c r="AL34" s="62"/>
      <c r="AM34" s="62"/>
      <c r="AN34" s="62"/>
      <c r="AO34" s="62"/>
      <c r="AP34" s="62"/>
      <c r="AQ34" s="62"/>
      <c r="AR34" s="62"/>
      <c r="AS34" s="62"/>
      <c r="AT34" s="62"/>
      <c r="AU34" s="69"/>
    </row>
    <row r="35" spans="2:47" x14ac:dyDescent="0.35">
      <c r="B35" s="59"/>
      <c r="C35" s="59"/>
      <c r="D35" s="60"/>
      <c r="E35" s="60"/>
      <c r="F35" s="60"/>
      <c r="G35" s="60"/>
      <c r="H35" s="60"/>
      <c r="I35" s="60"/>
      <c r="J35" s="60"/>
      <c r="K35" s="61"/>
      <c r="L35" s="61"/>
      <c r="M35" s="61"/>
      <c r="N35" s="61"/>
      <c r="O35" s="62"/>
      <c r="P35" s="62"/>
      <c r="Q35" s="62"/>
      <c r="S35" s="64"/>
      <c r="T35" s="64"/>
      <c r="U35" s="64"/>
      <c r="W35" s="66"/>
      <c r="Y35" s="66"/>
      <c r="Z35" s="66"/>
      <c r="AA35" s="68"/>
      <c r="AB35" s="66"/>
      <c r="AE35" s="66"/>
      <c r="AH35" s="68"/>
      <c r="AI35" s="66"/>
      <c r="AJ35" s="62"/>
      <c r="AK35" s="62"/>
      <c r="AL35" s="62"/>
      <c r="AM35" s="62"/>
      <c r="AN35" s="62"/>
      <c r="AO35" s="62"/>
      <c r="AP35" s="62"/>
      <c r="AQ35" s="62"/>
      <c r="AR35" s="62"/>
      <c r="AS35" s="62"/>
      <c r="AT35" s="62"/>
      <c r="AU35" s="69"/>
    </row>
    <row r="36" spans="2:47" x14ac:dyDescent="0.35">
      <c r="B36" s="59"/>
      <c r="C36" s="59"/>
      <c r="D36" s="60"/>
      <c r="E36" s="60"/>
      <c r="F36" s="60"/>
      <c r="G36" s="60"/>
      <c r="H36" s="60"/>
      <c r="I36" s="60"/>
      <c r="J36" s="60"/>
      <c r="K36" s="61"/>
      <c r="L36" s="61"/>
      <c r="M36" s="61"/>
      <c r="N36" s="61"/>
      <c r="O36" s="62"/>
      <c r="P36" s="62"/>
      <c r="Q36" s="62"/>
      <c r="S36" s="64"/>
      <c r="T36" s="64"/>
      <c r="U36" s="64"/>
      <c r="W36" s="66"/>
      <c r="Y36" s="66"/>
      <c r="Z36" s="66"/>
      <c r="AA36" s="68"/>
      <c r="AB36" s="66"/>
      <c r="AE36" s="66"/>
      <c r="AH36" s="68"/>
      <c r="AI36" s="66"/>
      <c r="AJ36" s="62"/>
      <c r="AK36" s="62"/>
      <c r="AL36" s="62"/>
      <c r="AM36" s="62"/>
      <c r="AN36" s="62"/>
      <c r="AO36" s="62"/>
      <c r="AP36" s="62"/>
      <c r="AQ36" s="62"/>
      <c r="AR36" s="62"/>
      <c r="AS36" s="62"/>
      <c r="AT36" s="62"/>
      <c r="AU36" s="69"/>
    </row>
    <row r="37" spans="2:47" x14ac:dyDescent="0.35">
      <c r="B37" s="59"/>
      <c r="C37" s="59"/>
      <c r="D37" s="60"/>
      <c r="E37" s="60"/>
      <c r="F37" s="60"/>
      <c r="G37" s="60"/>
      <c r="H37" s="60"/>
      <c r="I37" s="60"/>
      <c r="J37" s="60"/>
      <c r="K37" s="61"/>
      <c r="L37" s="61"/>
      <c r="M37" s="61"/>
      <c r="N37" s="61"/>
      <c r="O37" s="62"/>
      <c r="P37" s="62"/>
      <c r="Q37" s="62"/>
      <c r="S37" s="64"/>
      <c r="T37" s="64"/>
      <c r="U37" s="64"/>
      <c r="W37" s="66"/>
      <c r="Y37" s="66"/>
      <c r="Z37" s="66"/>
      <c r="AA37" s="68"/>
      <c r="AB37" s="66"/>
      <c r="AE37" s="66"/>
      <c r="AH37" s="68"/>
      <c r="AI37" s="66"/>
      <c r="AJ37" s="62"/>
      <c r="AK37" s="62"/>
      <c r="AL37" s="62"/>
      <c r="AM37" s="62"/>
      <c r="AN37" s="62"/>
      <c r="AO37" s="62"/>
      <c r="AP37" s="62"/>
      <c r="AQ37" s="62"/>
      <c r="AR37" s="62"/>
      <c r="AS37" s="62"/>
      <c r="AT37" s="62"/>
      <c r="AU37" s="69"/>
    </row>
    <row r="38" spans="2:47" x14ac:dyDescent="0.35">
      <c r="B38" s="59"/>
      <c r="C38" s="59"/>
      <c r="D38" s="60"/>
      <c r="E38" s="60"/>
      <c r="F38" s="60"/>
      <c r="G38" s="60"/>
      <c r="H38" s="60"/>
      <c r="I38" s="60"/>
      <c r="J38" s="60"/>
      <c r="K38" s="61"/>
      <c r="L38" s="61"/>
      <c r="M38" s="61"/>
      <c r="N38" s="61"/>
      <c r="O38" s="62"/>
      <c r="P38" s="62"/>
      <c r="Q38" s="62"/>
      <c r="S38" s="64"/>
      <c r="T38" s="64"/>
      <c r="U38" s="64"/>
      <c r="W38" s="66"/>
      <c r="Y38" s="66"/>
      <c r="Z38" s="66"/>
      <c r="AA38" s="68"/>
      <c r="AB38" s="66"/>
      <c r="AE38" s="66"/>
      <c r="AH38" s="68"/>
      <c r="AI38" s="66"/>
      <c r="AJ38" s="62"/>
      <c r="AK38" s="62"/>
      <c r="AL38" s="62"/>
      <c r="AM38" s="62"/>
      <c r="AN38" s="62"/>
      <c r="AO38" s="62"/>
      <c r="AP38" s="62"/>
      <c r="AQ38" s="62"/>
      <c r="AR38" s="62"/>
      <c r="AS38" s="62"/>
      <c r="AT38" s="62"/>
      <c r="AU38" s="69"/>
    </row>
    <row r="39" spans="2:47" x14ac:dyDescent="0.35">
      <c r="B39" s="59"/>
      <c r="C39" s="59"/>
      <c r="D39" s="60"/>
      <c r="E39" s="60"/>
      <c r="F39" s="60"/>
      <c r="G39" s="60"/>
      <c r="H39" s="60"/>
      <c r="I39" s="60"/>
      <c r="J39" s="60"/>
      <c r="K39" s="61"/>
      <c r="L39" s="61"/>
      <c r="M39" s="61"/>
      <c r="N39" s="61"/>
      <c r="O39" s="62"/>
      <c r="P39" s="62"/>
      <c r="Q39" s="62"/>
      <c r="S39" s="64"/>
      <c r="T39" s="64"/>
      <c r="U39" s="64"/>
      <c r="W39" s="66"/>
      <c r="Y39" s="66"/>
      <c r="Z39" s="66"/>
      <c r="AA39" s="68"/>
      <c r="AB39" s="66"/>
      <c r="AE39" s="66"/>
      <c r="AH39" s="68"/>
      <c r="AI39" s="66"/>
      <c r="AJ39" s="62"/>
      <c r="AK39" s="62"/>
      <c r="AL39" s="62"/>
      <c r="AM39" s="62"/>
      <c r="AN39" s="62"/>
      <c r="AO39" s="62"/>
      <c r="AP39" s="62"/>
      <c r="AQ39" s="62"/>
      <c r="AR39" s="62"/>
      <c r="AS39" s="62"/>
      <c r="AT39" s="62"/>
      <c r="AU39" s="69"/>
    </row>
    <row r="40" spans="2:47" x14ac:dyDescent="0.35">
      <c r="B40" s="59"/>
      <c r="C40" s="59"/>
      <c r="D40" s="60"/>
      <c r="E40" s="60"/>
      <c r="F40" s="60"/>
      <c r="G40" s="60"/>
      <c r="H40" s="60"/>
      <c r="I40" s="60"/>
      <c r="J40" s="60"/>
      <c r="K40" s="61"/>
      <c r="L40" s="61"/>
      <c r="M40" s="61"/>
      <c r="N40" s="61"/>
      <c r="O40" s="62"/>
      <c r="P40" s="62"/>
      <c r="Q40" s="62"/>
      <c r="S40" s="64"/>
      <c r="T40" s="64"/>
      <c r="U40" s="64"/>
      <c r="W40" s="66"/>
      <c r="Y40" s="66"/>
      <c r="Z40" s="66"/>
      <c r="AA40" s="68"/>
      <c r="AB40" s="66"/>
      <c r="AE40" s="66"/>
      <c r="AH40" s="68"/>
      <c r="AI40" s="66"/>
      <c r="AJ40" s="62"/>
      <c r="AK40" s="62"/>
      <c r="AL40" s="62"/>
      <c r="AM40" s="62"/>
      <c r="AN40" s="62"/>
      <c r="AO40" s="62"/>
      <c r="AP40" s="62"/>
      <c r="AQ40" s="62"/>
      <c r="AR40" s="62"/>
      <c r="AS40" s="62"/>
      <c r="AT40" s="62"/>
      <c r="AU40" s="69"/>
    </row>
    <row r="41" spans="2:47" x14ac:dyDescent="0.35">
      <c r="B41" s="59"/>
      <c r="C41" s="59"/>
      <c r="D41" s="60"/>
      <c r="E41" s="60"/>
      <c r="F41" s="60"/>
      <c r="G41" s="60"/>
      <c r="H41" s="60"/>
      <c r="I41" s="60"/>
      <c r="J41" s="60"/>
      <c r="K41" s="61"/>
      <c r="L41" s="61"/>
      <c r="M41" s="61"/>
      <c r="N41" s="61"/>
      <c r="O41" s="62"/>
      <c r="P41" s="62"/>
      <c r="Q41" s="62"/>
      <c r="S41" s="64"/>
      <c r="T41" s="64"/>
      <c r="U41" s="64"/>
      <c r="W41" s="66"/>
      <c r="Y41" s="66"/>
      <c r="Z41" s="66"/>
      <c r="AA41" s="68"/>
      <c r="AB41" s="66"/>
      <c r="AE41" s="66"/>
      <c r="AH41" s="68"/>
      <c r="AI41" s="66"/>
      <c r="AJ41" s="62"/>
      <c r="AK41" s="62"/>
      <c r="AL41" s="62"/>
      <c r="AM41" s="62"/>
      <c r="AN41" s="62"/>
      <c r="AO41" s="62"/>
      <c r="AP41" s="62"/>
      <c r="AQ41" s="62"/>
      <c r="AR41" s="62"/>
      <c r="AS41" s="62"/>
      <c r="AT41" s="62"/>
      <c r="AU41" s="69"/>
    </row>
    <row r="42" spans="2:47" x14ac:dyDescent="0.35">
      <c r="B42" s="59"/>
      <c r="C42" s="59"/>
      <c r="D42" s="60"/>
      <c r="E42" s="60"/>
      <c r="F42" s="60"/>
      <c r="G42" s="60"/>
      <c r="H42" s="60"/>
      <c r="I42" s="60"/>
      <c r="J42" s="60"/>
      <c r="K42" s="61"/>
      <c r="L42" s="61"/>
      <c r="M42" s="61"/>
      <c r="N42" s="61"/>
      <c r="O42" s="62"/>
      <c r="P42" s="62"/>
      <c r="Q42" s="62"/>
      <c r="S42" s="64"/>
      <c r="T42" s="64"/>
      <c r="U42" s="64"/>
      <c r="W42" s="66"/>
      <c r="Y42" s="66"/>
      <c r="Z42" s="66"/>
      <c r="AA42" s="68"/>
      <c r="AB42" s="66"/>
      <c r="AE42" s="66"/>
      <c r="AH42" s="68"/>
      <c r="AI42" s="66"/>
      <c r="AJ42" s="62"/>
      <c r="AK42" s="62"/>
      <c r="AL42" s="62"/>
      <c r="AM42" s="62"/>
      <c r="AN42" s="62"/>
      <c r="AO42" s="62"/>
      <c r="AP42" s="62"/>
      <c r="AQ42" s="62"/>
      <c r="AR42" s="62"/>
      <c r="AS42" s="62"/>
      <c r="AT42" s="62"/>
      <c r="AU42" s="69"/>
    </row>
    <row r="43" spans="2:47" x14ac:dyDescent="0.35">
      <c r="B43" s="59"/>
      <c r="C43" s="59"/>
      <c r="D43" s="60"/>
      <c r="E43" s="60"/>
      <c r="F43" s="60"/>
      <c r="G43" s="60"/>
      <c r="H43" s="60"/>
      <c r="I43" s="60"/>
      <c r="J43" s="60"/>
      <c r="K43" s="61"/>
      <c r="L43" s="61"/>
      <c r="M43" s="61"/>
      <c r="N43" s="61"/>
      <c r="O43" s="62"/>
      <c r="P43" s="62"/>
      <c r="Q43" s="62"/>
      <c r="S43" s="64"/>
      <c r="T43" s="64"/>
      <c r="U43" s="64"/>
      <c r="W43" s="66"/>
      <c r="Y43" s="66"/>
      <c r="Z43" s="66"/>
      <c r="AA43" s="68"/>
      <c r="AB43" s="66"/>
      <c r="AE43" s="66"/>
      <c r="AH43" s="68"/>
      <c r="AI43" s="66"/>
      <c r="AJ43" s="62"/>
      <c r="AK43" s="62"/>
      <c r="AL43" s="62"/>
      <c r="AM43" s="62"/>
      <c r="AN43" s="62"/>
      <c r="AO43" s="62"/>
      <c r="AP43" s="62"/>
      <c r="AQ43" s="62"/>
      <c r="AR43" s="62"/>
      <c r="AS43" s="62"/>
      <c r="AT43" s="62"/>
      <c r="AU43" s="69"/>
    </row>
    <row r="44" spans="2:47" x14ac:dyDescent="0.35">
      <c r="B44" s="59"/>
      <c r="C44" s="59"/>
      <c r="D44" s="60"/>
      <c r="E44" s="60"/>
      <c r="F44" s="60"/>
      <c r="G44" s="60"/>
      <c r="H44" s="60"/>
      <c r="I44" s="60"/>
      <c r="J44" s="60"/>
      <c r="K44" s="61"/>
      <c r="L44" s="61"/>
      <c r="M44" s="61"/>
      <c r="N44" s="61"/>
      <c r="O44" s="62"/>
      <c r="P44" s="62"/>
      <c r="Q44" s="62"/>
      <c r="S44" s="64"/>
      <c r="T44" s="64"/>
      <c r="U44" s="64"/>
      <c r="W44" s="66"/>
      <c r="Y44" s="66"/>
      <c r="Z44" s="66"/>
      <c r="AA44" s="68"/>
      <c r="AB44" s="66"/>
      <c r="AE44" s="66"/>
      <c r="AH44" s="68"/>
      <c r="AI44" s="66"/>
      <c r="AJ44" s="62"/>
      <c r="AK44" s="62"/>
      <c r="AL44" s="62"/>
      <c r="AM44" s="62"/>
      <c r="AN44" s="62"/>
      <c r="AO44" s="62"/>
      <c r="AP44" s="62"/>
      <c r="AQ44" s="62"/>
      <c r="AR44" s="62"/>
      <c r="AS44" s="62"/>
      <c r="AT44" s="62"/>
      <c r="AU44" s="69"/>
    </row>
    <row r="45" spans="2:47" x14ac:dyDescent="0.35">
      <c r="B45" s="59"/>
      <c r="C45" s="59"/>
      <c r="D45" s="60"/>
      <c r="E45" s="60"/>
      <c r="F45" s="60"/>
      <c r="G45" s="60"/>
      <c r="H45" s="60"/>
      <c r="I45" s="60"/>
      <c r="J45" s="60"/>
      <c r="K45" s="61"/>
      <c r="L45" s="61"/>
      <c r="M45" s="61"/>
      <c r="N45" s="61"/>
      <c r="O45" s="62"/>
      <c r="P45" s="62"/>
      <c r="Q45" s="62"/>
      <c r="S45" s="64"/>
      <c r="T45" s="64"/>
      <c r="U45" s="64"/>
      <c r="W45" s="66"/>
      <c r="Y45" s="66"/>
      <c r="Z45" s="66"/>
      <c r="AA45" s="68"/>
      <c r="AB45" s="66"/>
      <c r="AE45" s="66"/>
      <c r="AH45" s="68"/>
      <c r="AI45" s="66"/>
      <c r="AJ45" s="62"/>
      <c r="AK45" s="62"/>
      <c r="AL45" s="62"/>
      <c r="AM45" s="62"/>
      <c r="AN45" s="62"/>
      <c r="AO45" s="62"/>
      <c r="AP45" s="62"/>
      <c r="AQ45" s="62"/>
      <c r="AR45" s="62"/>
      <c r="AS45" s="62"/>
      <c r="AT45" s="62"/>
      <c r="AU45" s="69"/>
    </row>
    <row r="46" spans="2:47" x14ac:dyDescent="0.35">
      <c r="B46" s="59"/>
      <c r="C46" s="59"/>
      <c r="D46" s="60"/>
      <c r="E46" s="60"/>
      <c r="F46" s="60"/>
      <c r="G46" s="60"/>
      <c r="H46" s="60"/>
      <c r="I46" s="60"/>
      <c r="J46" s="60"/>
      <c r="K46" s="61"/>
      <c r="L46" s="61"/>
      <c r="M46" s="61"/>
      <c r="N46" s="61"/>
      <c r="O46" s="62"/>
      <c r="P46" s="62"/>
      <c r="Q46" s="62"/>
      <c r="S46" s="64"/>
      <c r="T46" s="64"/>
      <c r="U46" s="64"/>
      <c r="W46" s="66"/>
      <c r="Y46" s="66"/>
      <c r="Z46" s="66"/>
      <c r="AA46" s="68"/>
      <c r="AB46" s="66"/>
      <c r="AE46" s="66"/>
      <c r="AH46" s="68"/>
      <c r="AI46" s="66"/>
      <c r="AJ46" s="62"/>
      <c r="AK46" s="62"/>
      <c r="AL46" s="62"/>
      <c r="AM46" s="62"/>
      <c r="AN46" s="62"/>
      <c r="AO46" s="62"/>
      <c r="AP46" s="62"/>
      <c r="AQ46" s="62"/>
      <c r="AR46" s="62"/>
      <c r="AS46" s="62"/>
      <c r="AT46" s="62"/>
      <c r="AU46" s="69"/>
    </row>
    <row r="47" spans="2:47" x14ac:dyDescent="0.35">
      <c r="B47" s="59"/>
      <c r="C47" s="59"/>
      <c r="D47" s="60"/>
      <c r="E47" s="60"/>
      <c r="F47" s="60"/>
      <c r="G47" s="60"/>
      <c r="H47" s="60"/>
      <c r="I47" s="60"/>
      <c r="J47" s="60"/>
      <c r="K47" s="61"/>
      <c r="L47" s="61"/>
      <c r="M47" s="61"/>
      <c r="N47" s="61"/>
      <c r="O47" s="62"/>
      <c r="P47" s="62"/>
      <c r="Q47" s="62"/>
      <c r="S47" s="64"/>
      <c r="T47" s="64"/>
      <c r="U47" s="64"/>
      <c r="W47" s="66"/>
      <c r="Y47" s="66"/>
      <c r="Z47" s="66"/>
      <c r="AA47" s="68"/>
      <c r="AB47" s="66"/>
      <c r="AE47" s="66"/>
      <c r="AH47" s="68"/>
      <c r="AI47" s="66"/>
      <c r="AJ47" s="62"/>
      <c r="AK47" s="62"/>
      <c r="AL47" s="62"/>
      <c r="AM47" s="62"/>
      <c r="AN47" s="62"/>
      <c r="AO47" s="62"/>
      <c r="AP47" s="62"/>
      <c r="AQ47" s="62"/>
      <c r="AR47" s="62"/>
      <c r="AS47" s="62"/>
      <c r="AT47" s="62"/>
      <c r="AU47" s="69"/>
    </row>
    <row r="48" spans="2:47" x14ac:dyDescent="0.35">
      <c r="B48" s="59"/>
      <c r="C48" s="59"/>
      <c r="D48" s="60"/>
      <c r="E48" s="60"/>
      <c r="F48" s="60"/>
      <c r="G48" s="60"/>
      <c r="H48" s="60"/>
      <c r="I48" s="60"/>
      <c r="J48" s="60"/>
      <c r="K48" s="61"/>
      <c r="L48" s="61"/>
      <c r="M48" s="61"/>
      <c r="N48" s="61"/>
      <c r="O48" s="62"/>
      <c r="P48" s="62"/>
      <c r="Q48" s="62"/>
      <c r="S48" s="64"/>
      <c r="T48" s="64"/>
      <c r="U48" s="64"/>
      <c r="W48" s="66"/>
      <c r="Y48" s="66"/>
      <c r="Z48" s="66"/>
      <c r="AA48" s="68"/>
      <c r="AB48" s="66"/>
      <c r="AE48" s="66"/>
      <c r="AH48" s="68"/>
      <c r="AI48" s="66"/>
      <c r="AJ48" s="62"/>
      <c r="AK48" s="62"/>
      <c r="AL48" s="62"/>
      <c r="AM48" s="62"/>
      <c r="AN48" s="62"/>
      <c r="AO48" s="62"/>
      <c r="AP48" s="62"/>
      <c r="AQ48" s="62"/>
      <c r="AR48" s="62"/>
      <c r="AS48" s="62"/>
      <c r="AT48" s="62"/>
      <c r="AU48" s="69"/>
    </row>
    <row r="49" spans="2:47" x14ac:dyDescent="0.35">
      <c r="B49" s="59"/>
      <c r="C49" s="59"/>
      <c r="D49" s="60"/>
      <c r="E49" s="60"/>
      <c r="F49" s="60"/>
      <c r="G49" s="60"/>
      <c r="H49" s="60"/>
      <c r="I49" s="60"/>
      <c r="J49" s="60"/>
      <c r="K49" s="61"/>
      <c r="L49" s="61"/>
      <c r="M49" s="61"/>
      <c r="N49" s="61"/>
      <c r="O49" s="62"/>
      <c r="P49" s="62"/>
      <c r="Q49" s="62"/>
      <c r="S49" s="64"/>
      <c r="T49" s="64"/>
      <c r="U49" s="64"/>
      <c r="W49" s="66"/>
      <c r="Y49" s="66"/>
      <c r="Z49" s="66"/>
      <c r="AA49" s="68"/>
      <c r="AB49" s="66"/>
      <c r="AE49" s="66"/>
      <c r="AH49" s="68"/>
      <c r="AI49" s="66"/>
      <c r="AJ49" s="62"/>
      <c r="AK49" s="62"/>
      <c r="AL49" s="62"/>
      <c r="AM49" s="62"/>
      <c r="AN49" s="62"/>
      <c r="AO49" s="62"/>
      <c r="AP49" s="62"/>
      <c r="AQ49" s="62"/>
      <c r="AR49" s="62"/>
      <c r="AS49" s="62"/>
      <c r="AT49" s="62"/>
      <c r="AU49" s="69"/>
    </row>
    <row r="50" spans="2:47" x14ac:dyDescent="0.35">
      <c r="B50" s="59"/>
      <c r="C50" s="59"/>
      <c r="D50" s="60"/>
      <c r="E50" s="60"/>
      <c r="F50" s="60"/>
      <c r="G50" s="60"/>
      <c r="H50" s="60"/>
      <c r="I50" s="60"/>
      <c r="J50" s="60"/>
      <c r="K50" s="61"/>
      <c r="L50" s="61"/>
      <c r="M50" s="61"/>
      <c r="N50" s="61"/>
      <c r="O50" s="62"/>
      <c r="P50" s="62"/>
      <c r="Q50" s="62"/>
      <c r="S50" s="64"/>
      <c r="T50" s="64"/>
      <c r="U50" s="64"/>
      <c r="W50" s="66"/>
      <c r="Y50" s="66"/>
      <c r="Z50" s="66"/>
      <c r="AA50" s="68"/>
      <c r="AB50" s="66"/>
      <c r="AE50" s="66"/>
      <c r="AH50" s="68"/>
      <c r="AI50" s="66"/>
      <c r="AJ50" s="62"/>
      <c r="AK50" s="62"/>
      <c r="AL50" s="62"/>
      <c r="AM50" s="62"/>
      <c r="AN50" s="62"/>
      <c r="AO50" s="62"/>
      <c r="AP50" s="62"/>
      <c r="AQ50" s="62"/>
      <c r="AR50" s="62"/>
      <c r="AS50" s="62"/>
      <c r="AT50" s="62"/>
      <c r="AU50" s="69"/>
    </row>
    <row r="51" spans="2:47" x14ac:dyDescent="0.35">
      <c r="B51" s="59"/>
      <c r="C51" s="59"/>
      <c r="D51" s="60"/>
      <c r="E51" s="60"/>
      <c r="F51" s="60"/>
      <c r="G51" s="60"/>
      <c r="H51" s="60"/>
      <c r="I51" s="60"/>
      <c r="J51" s="60"/>
      <c r="K51" s="61"/>
      <c r="L51" s="61"/>
      <c r="M51" s="61"/>
      <c r="N51" s="61"/>
      <c r="O51" s="62"/>
      <c r="P51" s="62"/>
      <c r="Q51" s="62"/>
      <c r="S51" s="64"/>
      <c r="T51" s="64"/>
      <c r="U51" s="64"/>
      <c r="W51" s="66"/>
      <c r="Y51" s="66"/>
      <c r="Z51" s="66"/>
      <c r="AA51" s="68"/>
      <c r="AB51" s="66"/>
      <c r="AE51" s="66"/>
      <c r="AH51" s="68"/>
      <c r="AI51" s="66"/>
      <c r="AJ51" s="62"/>
      <c r="AK51" s="62"/>
      <c r="AL51" s="62"/>
      <c r="AM51" s="62"/>
      <c r="AN51" s="62"/>
      <c r="AO51" s="62"/>
      <c r="AP51" s="62"/>
      <c r="AQ51" s="62"/>
      <c r="AR51" s="62"/>
      <c r="AS51" s="62"/>
      <c r="AT51" s="62"/>
      <c r="AU51" s="69"/>
    </row>
    <row r="52" spans="2:47" x14ac:dyDescent="0.35">
      <c r="B52" s="59"/>
      <c r="C52" s="59"/>
      <c r="D52" s="60"/>
      <c r="E52" s="60"/>
      <c r="F52" s="60"/>
      <c r="G52" s="60"/>
      <c r="H52" s="60"/>
      <c r="I52" s="60"/>
      <c r="J52" s="60"/>
      <c r="K52" s="61"/>
      <c r="L52" s="61"/>
      <c r="M52" s="61"/>
      <c r="N52" s="61"/>
      <c r="O52" s="62"/>
      <c r="P52" s="62"/>
      <c r="Q52" s="62"/>
      <c r="S52" s="64"/>
      <c r="T52" s="64"/>
      <c r="U52" s="64"/>
      <c r="W52" s="66"/>
      <c r="Y52" s="66"/>
      <c r="Z52" s="66"/>
      <c r="AA52" s="68"/>
      <c r="AB52" s="66"/>
      <c r="AE52" s="66"/>
      <c r="AH52" s="68"/>
      <c r="AI52" s="66"/>
      <c r="AJ52" s="62"/>
      <c r="AK52" s="62"/>
      <c r="AL52" s="62"/>
      <c r="AM52" s="62"/>
      <c r="AN52" s="62"/>
      <c r="AO52" s="62"/>
      <c r="AP52" s="62"/>
      <c r="AQ52" s="62"/>
      <c r="AR52" s="62"/>
      <c r="AS52" s="62"/>
      <c r="AT52" s="62"/>
      <c r="AU52" s="69"/>
    </row>
    <row r="53" spans="2:47" x14ac:dyDescent="0.35">
      <c r="B53" s="59"/>
      <c r="C53" s="59"/>
      <c r="D53" s="60"/>
      <c r="E53" s="60"/>
      <c r="F53" s="60"/>
      <c r="G53" s="60"/>
      <c r="H53" s="60"/>
      <c r="I53" s="60"/>
      <c r="J53" s="60"/>
      <c r="K53" s="61"/>
      <c r="L53" s="61"/>
      <c r="M53" s="61"/>
      <c r="N53" s="61"/>
      <c r="O53" s="62"/>
      <c r="P53" s="62"/>
      <c r="Q53" s="62"/>
      <c r="S53" s="64"/>
      <c r="T53" s="64"/>
      <c r="U53" s="64"/>
      <c r="W53" s="66"/>
      <c r="Y53" s="66"/>
      <c r="Z53" s="66"/>
      <c r="AA53" s="68"/>
      <c r="AB53" s="66"/>
      <c r="AE53" s="66"/>
      <c r="AH53" s="68"/>
      <c r="AI53" s="66"/>
      <c r="AJ53" s="62"/>
      <c r="AK53" s="62"/>
      <c r="AL53" s="62"/>
      <c r="AM53" s="62"/>
      <c r="AN53" s="62"/>
      <c r="AO53" s="62"/>
      <c r="AP53" s="62"/>
      <c r="AQ53" s="62"/>
      <c r="AR53" s="62"/>
      <c r="AS53" s="62"/>
      <c r="AT53" s="62"/>
      <c r="AU53" s="69"/>
    </row>
    <row r="54" spans="2:47" x14ac:dyDescent="0.35">
      <c r="B54" s="59"/>
      <c r="C54" s="59"/>
      <c r="D54" s="60"/>
      <c r="E54" s="60"/>
      <c r="F54" s="60"/>
      <c r="G54" s="60"/>
      <c r="H54" s="60"/>
      <c r="I54" s="60"/>
      <c r="J54" s="60"/>
      <c r="K54" s="61"/>
      <c r="L54" s="61"/>
      <c r="M54" s="61"/>
      <c r="N54" s="61"/>
      <c r="O54" s="62"/>
      <c r="P54" s="62"/>
      <c r="Q54" s="62"/>
      <c r="S54" s="64"/>
      <c r="T54" s="64"/>
      <c r="U54" s="64"/>
      <c r="W54" s="66"/>
      <c r="Y54" s="66"/>
      <c r="Z54" s="66"/>
      <c r="AA54" s="68"/>
      <c r="AB54" s="66"/>
      <c r="AE54" s="66"/>
      <c r="AH54" s="68"/>
      <c r="AI54" s="66"/>
      <c r="AJ54" s="62"/>
      <c r="AK54" s="62"/>
      <c r="AL54" s="62"/>
      <c r="AM54" s="62"/>
      <c r="AN54" s="62"/>
      <c r="AO54" s="62"/>
      <c r="AP54" s="62"/>
      <c r="AQ54" s="62"/>
      <c r="AR54" s="62"/>
      <c r="AS54" s="62"/>
      <c r="AT54" s="62"/>
      <c r="AU54" s="69"/>
    </row>
    <row r="55" spans="2:47" x14ac:dyDescent="0.35">
      <c r="B55" s="59"/>
      <c r="C55" s="59"/>
      <c r="D55" s="60"/>
      <c r="E55" s="60"/>
      <c r="F55" s="60"/>
      <c r="G55" s="60"/>
      <c r="H55" s="60"/>
      <c r="I55" s="60"/>
      <c r="J55" s="60"/>
      <c r="K55" s="61"/>
      <c r="L55" s="61"/>
      <c r="M55" s="61"/>
      <c r="N55" s="61"/>
      <c r="O55" s="62"/>
      <c r="P55" s="62"/>
      <c r="Q55" s="62"/>
      <c r="S55" s="64"/>
      <c r="T55" s="64"/>
      <c r="U55" s="64"/>
      <c r="W55" s="66"/>
      <c r="Y55" s="66"/>
      <c r="Z55" s="66"/>
      <c r="AA55" s="68"/>
      <c r="AB55" s="66"/>
      <c r="AE55" s="66"/>
      <c r="AH55" s="68"/>
      <c r="AI55" s="66"/>
      <c r="AJ55" s="62"/>
      <c r="AK55" s="62"/>
      <c r="AL55" s="62"/>
      <c r="AM55" s="62"/>
      <c r="AN55" s="62"/>
      <c r="AO55" s="62"/>
      <c r="AP55" s="62"/>
      <c r="AQ55" s="62"/>
      <c r="AR55" s="62"/>
      <c r="AS55" s="62"/>
      <c r="AT55" s="62"/>
      <c r="AU55" s="69"/>
    </row>
    <row r="56" spans="2:47" x14ac:dyDescent="0.35">
      <c r="B56" s="59"/>
      <c r="C56" s="59"/>
      <c r="D56" s="60"/>
      <c r="E56" s="60"/>
      <c r="F56" s="60"/>
      <c r="G56" s="60"/>
      <c r="H56" s="60"/>
      <c r="I56" s="60"/>
      <c r="J56" s="60"/>
      <c r="K56" s="61"/>
      <c r="L56" s="61"/>
      <c r="M56" s="61"/>
      <c r="N56" s="61"/>
      <c r="O56" s="62"/>
      <c r="P56" s="62"/>
      <c r="Q56" s="62"/>
      <c r="S56" s="64"/>
      <c r="T56" s="64"/>
      <c r="U56" s="64"/>
      <c r="W56" s="66"/>
      <c r="Y56" s="66"/>
      <c r="Z56" s="66"/>
      <c r="AA56" s="68"/>
      <c r="AB56" s="66"/>
      <c r="AE56" s="66"/>
      <c r="AH56" s="68"/>
      <c r="AI56" s="66"/>
      <c r="AJ56" s="62"/>
      <c r="AK56" s="62"/>
      <c r="AL56" s="62"/>
      <c r="AM56" s="62"/>
      <c r="AN56" s="62"/>
      <c r="AO56" s="62"/>
      <c r="AP56" s="62"/>
      <c r="AQ56" s="62"/>
      <c r="AR56" s="62"/>
      <c r="AS56" s="62"/>
      <c r="AT56" s="62"/>
      <c r="AU56" s="69"/>
    </row>
    <row r="57" spans="2:47" x14ac:dyDescent="0.35">
      <c r="B57" s="59"/>
      <c r="C57" s="59"/>
      <c r="D57" s="60"/>
      <c r="E57" s="60"/>
      <c r="F57" s="60"/>
      <c r="G57" s="60"/>
      <c r="H57" s="60"/>
      <c r="I57" s="60"/>
      <c r="J57" s="60"/>
      <c r="K57" s="61"/>
      <c r="L57" s="61"/>
      <c r="M57" s="61"/>
      <c r="N57" s="61"/>
      <c r="O57" s="62"/>
      <c r="P57" s="62"/>
      <c r="Q57" s="62"/>
      <c r="S57" s="64"/>
      <c r="T57" s="64"/>
      <c r="U57" s="64"/>
      <c r="W57" s="66"/>
      <c r="Y57" s="66"/>
      <c r="Z57" s="66"/>
      <c r="AA57" s="68"/>
      <c r="AB57" s="66"/>
      <c r="AE57" s="66"/>
      <c r="AH57" s="68"/>
      <c r="AI57" s="66"/>
      <c r="AJ57" s="62"/>
      <c r="AK57" s="62"/>
      <c r="AL57" s="62"/>
      <c r="AM57" s="62"/>
      <c r="AN57" s="62"/>
      <c r="AO57" s="62"/>
      <c r="AP57" s="62"/>
      <c r="AQ57" s="62"/>
      <c r="AR57" s="62"/>
      <c r="AS57" s="62"/>
      <c r="AT57" s="62"/>
      <c r="AU57" s="69"/>
    </row>
    <row r="58" spans="2:47" x14ac:dyDescent="0.35">
      <c r="B58" s="59"/>
      <c r="C58" s="59"/>
      <c r="D58" s="60"/>
      <c r="E58" s="60"/>
      <c r="F58" s="60"/>
      <c r="G58" s="60"/>
      <c r="H58" s="60"/>
      <c r="I58" s="60"/>
      <c r="J58" s="60"/>
      <c r="K58" s="61"/>
      <c r="L58" s="61"/>
      <c r="M58" s="61"/>
      <c r="N58" s="61"/>
      <c r="O58" s="62"/>
      <c r="P58" s="62"/>
      <c r="Q58" s="62"/>
      <c r="S58" s="64"/>
      <c r="T58" s="64"/>
      <c r="U58" s="64"/>
      <c r="W58" s="66"/>
      <c r="Y58" s="66"/>
      <c r="Z58" s="66"/>
      <c r="AA58" s="68"/>
      <c r="AB58" s="66"/>
      <c r="AE58" s="66"/>
      <c r="AH58" s="68"/>
      <c r="AI58" s="66"/>
      <c r="AJ58" s="62"/>
      <c r="AK58" s="62"/>
      <c r="AL58" s="62"/>
      <c r="AM58" s="62"/>
      <c r="AN58" s="62"/>
      <c r="AO58" s="62"/>
      <c r="AP58" s="62"/>
      <c r="AQ58" s="62"/>
      <c r="AR58" s="62"/>
      <c r="AS58" s="62"/>
      <c r="AT58" s="62"/>
      <c r="AU58" s="69"/>
    </row>
    <row r="59" spans="2:47" x14ac:dyDescent="0.35">
      <c r="B59" s="59"/>
      <c r="C59" s="59"/>
      <c r="D59" s="60"/>
      <c r="E59" s="60"/>
      <c r="F59" s="60"/>
      <c r="G59" s="60"/>
      <c r="H59" s="60"/>
      <c r="I59" s="60"/>
      <c r="J59" s="60"/>
      <c r="K59" s="61"/>
      <c r="L59" s="61"/>
      <c r="M59" s="61"/>
      <c r="N59" s="61"/>
      <c r="O59" s="62"/>
      <c r="P59" s="62"/>
      <c r="Q59" s="62"/>
      <c r="S59" s="64"/>
      <c r="T59" s="64"/>
      <c r="U59" s="64"/>
      <c r="W59" s="66"/>
      <c r="Y59" s="66"/>
      <c r="Z59" s="66"/>
      <c r="AA59" s="68"/>
      <c r="AB59" s="66"/>
      <c r="AE59" s="66"/>
      <c r="AH59" s="68"/>
      <c r="AI59" s="66"/>
      <c r="AJ59" s="62"/>
      <c r="AK59" s="62"/>
      <c r="AL59" s="62"/>
      <c r="AM59" s="62"/>
      <c r="AN59" s="62"/>
      <c r="AO59" s="62"/>
      <c r="AP59" s="62"/>
      <c r="AQ59" s="62"/>
      <c r="AR59" s="62"/>
      <c r="AS59" s="62"/>
      <c r="AT59" s="62"/>
      <c r="AU59" s="69"/>
    </row>
    <row r="60" spans="2:47" x14ac:dyDescent="0.35">
      <c r="B60" s="59"/>
      <c r="C60" s="59"/>
      <c r="D60" s="60"/>
      <c r="E60" s="60"/>
      <c r="F60" s="60"/>
      <c r="G60" s="60"/>
      <c r="H60" s="60"/>
      <c r="I60" s="60"/>
      <c r="J60" s="60"/>
      <c r="K60" s="61"/>
      <c r="L60" s="61"/>
      <c r="M60" s="61"/>
      <c r="N60" s="61"/>
      <c r="O60" s="62"/>
      <c r="P60" s="62"/>
      <c r="Q60" s="62"/>
      <c r="S60" s="64"/>
      <c r="T60" s="64"/>
      <c r="U60" s="64"/>
      <c r="W60" s="66"/>
      <c r="Y60" s="66"/>
      <c r="Z60" s="66"/>
      <c r="AA60" s="68"/>
      <c r="AB60" s="66"/>
      <c r="AE60" s="66"/>
      <c r="AH60" s="68"/>
      <c r="AI60" s="66"/>
      <c r="AJ60" s="62"/>
      <c r="AK60" s="62"/>
      <c r="AL60" s="62"/>
      <c r="AM60" s="62"/>
      <c r="AN60" s="62"/>
      <c r="AO60" s="62"/>
      <c r="AP60" s="62"/>
      <c r="AQ60" s="62"/>
      <c r="AR60" s="62"/>
      <c r="AS60" s="62"/>
      <c r="AT60" s="62"/>
      <c r="AU60" s="69"/>
    </row>
    <row r="61" spans="2:47" x14ac:dyDescent="0.35">
      <c r="B61" s="59"/>
      <c r="C61" s="59"/>
      <c r="D61" s="60"/>
      <c r="E61" s="60"/>
      <c r="F61" s="60"/>
      <c r="G61" s="60"/>
      <c r="H61" s="60"/>
      <c r="I61" s="60"/>
      <c r="J61" s="60"/>
      <c r="K61" s="61"/>
      <c r="L61" s="61"/>
      <c r="M61" s="61"/>
      <c r="N61" s="61"/>
      <c r="O61" s="62"/>
      <c r="P61" s="62"/>
      <c r="Q61" s="62"/>
      <c r="S61" s="64"/>
      <c r="T61" s="64"/>
      <c r="U61" s="64"/>
      <c r="W61" s="66"/>
      <c r="Y61" s="66"/>
      <c r="Z61" s="66"/>
      <c r="AA61" s="68"/>
      <c r="AB61" s="66"/>
      <c r="AE61" s="66"/>
      <c r="AH61" s="68"/>
      <c r="AI61" s="66"/>
      <c r="AJ61" s="62"/>
      <c r="AK61" s="62"/>
      <c r="AL61" s="62"/>
      <c r="AM61" s="62"/>
      <c r="AN61" s="62"/>
      <c r="AO61" s="62"/>
      <c r="AP61" s="62"/>
      <c r="AQ61" s="62"/>
      <c r="AR61" s="62"/>
      <c r="AS61" s="62"/>
      <c r="AT61" s="62"/>
      <c r="AU61" s="69"/>
    </row>
    <row r="62" spans="2:47" x14ac:dyDescent="0.35">
      <c r="B62" s="59"/>
      <c r="C62" s="59"/>
      <c r="D62" s="60"/>
      <c r="E62" s="60"/>
      <c r="F62" s="60"/>
      <c r="G62" s="60"/>
      <c r="H62" s="60"/>
      <c r="I62" s="60"/>
      <c r="J62" s="60"/>
      <c r="K62" s="61"/>
      <c r="L62" s="61"/>
      <c r="M62" s="61"/>
      <c r="N62" s="61"/>
      <c r="O62" s="62"/>
      <c r="P62" s="62"/>
      <c r="Q62" s="62"/>
      <c r="S62" s="64"/>
      <c r="T62" s="64"/>
      <c r="U62" s="64"/>
      <c r="W62" s="66"/>
      <c r="Y62" s="66"/>
      <c r="Z62" s="66"/>
      <c r="AA62" s="68"/>
      <c r="AB62" s="66"/>
      <c r="AE62" s="66"/>
      <c r="AH62" s="68"/>
      <c r="AI62" s="66"/>
      <c r="AJ62" s="62"/>
      <c r="AK62" s="62"/>
      <c r="AL62" s="62"/>
      <c r="AM62" s="62"/>
      <c r="AN62" s="62"/>
      <c r="AO62" s="62"/>
      <c r="AP62" s="62"/>
      <c r="AQ62" s="62"/>
      <c r="AR62" s="62"/>
      <c r="AS62" s="62"/>
      <c r="AT62" s="62"/>
      <c r="AU62" s="69"/>
    </row>
    <row r="63" spans="2:47" x14ac:dyDescent="0.35">
      <c r="B63" s="59"/>
      <c r="C63" s="59"/>
      <c r="D63" s="60"/>
      <c r="E63" s="60"/>
      <c r="F63" s="60"/>
      <c r="G63" s="60"/>
      <c r="H63" s="60"/>
      <c r="I63" s="60"/>
      <c r="J63" s="60"/>
      <c r="K63" s="61"/>
      <c r="L63" s="61"/>
      <c r="M63" s="61"/>
      <c r="N63" s="61"/>
      <c r="O63" s="62"/>
      <c r="P63" s="62"/>
      <c r="Q63" s="62"/>
      <c r="S63" s="64"/>
      <c r="T63" s="64"/>
      <c r="U63" s="64"/>
      <c r="W63" s="66"/>
      <c r="Y63" s="66"/>
      <c r="Z63" s="66"/>
      <c r="AA63" s="68"/>
      <c r="AB63" s="66"/>
      <c r="AE63" s="66"/>
      <c r="AH63" s="68"/>
      <c r="AI63" s="66"/>
      <c r="AJ63" s="62"/>
      <c r="AK63" s="62"/>
      <c r="AL63" s="62"/>
      <c r="AM63" s="62"/>
      <c r="AN63" s="62"/>
      <c r="AO63" s="62"/>
      <c r="AP63" s="62"/>
      <c r="AQ63" s="62"/>
      <c r="AR63" s="62"/>
      <c r="AS63" s="62"/>
      <c r="AT63" s="62"/>
      <c r="AU63" s="69"/>
    </row>
    <row r="64" spans="2:47" x14ac:dyDescent="0.35">
      <c r="B64" s="59"/>
      <c r="C64" s="59"/>
      <c r="D64" s="60"/>
      <c r="E64" s="60"/>
      <c r="F64" s="60"/>
      <c r="G64" s="60"/>
      <c r="H64" s="60"/>
      <c r="I64" s="60"/>
      <c r="J64" s="60"/>
      <c r="K64" s="61"/>
      <c r="L64" s="61"/>
      <c r="M64" s="61"/>
      <c r="N64" s="61"/>
      <c r="O64" s="62"/>
      <c r="P64" s="62"/>
      <c r="Q64" s="62"/>
      <c r="S64" s="64"/>
      <c r="T64" s="64"/>
      <c r="U64" s="64"/>
      <c r="W64" s="66"/>
      <c r="Y64" s="66"/>
      <c r="Z64" s="66"/>
      <c r="AA64" s="68"/>
      <c r="AB64" s="66"/>
      <c r="AE64" s="66"/>
      <c r="AH64" s="68"/>
      <c r="AI64" s="66"/>
      <c r="AJ64" s="62"/>
      <c r="AK64" s="62"/>
      <c r="AL64" s="62"/>
      <c r="AM64" s="62"/>
      <c r="AN64" s="62"/>
      <c r="AO64" s="62"/>
      <c r="AP64" s="62"/>
      <c r="AQ64" s="62"/>
      <c r="AR64" s="62"/>
      <c r="AS64" s="62"/>
      <c r="AT64" s="62"/>
      <c r="AU64" s="69"/>
    </row>
    <row r="65" spans="2:47" x14ac:dyDescent="0.35">
      <c r="B65" s="59"/>
      <c r="C65" s="59"/>
      <c r="D65" s="60"/>
      <c r="E65" s="60"/>
      <c r="F65" s="60"/>
      <c r="G65" s="60"/>
      <c r="H65" s="60"/>
      <c r="I65" s="60"/>
      <c r="J65" s="60"/>
      <c r="K65" s="61"/>
      <c r="L65" s="61"/>
      <c r="M65" s="61"/>
      <c r="N65" s="61"/>
      <c r="O65" s="62"/>
      <c r="P65" s="62"/>
      <c r="Q65" s="62"/>
      <c r="S65" s="64"/>
      <c r="T65" s="64"/>
      <c r="U65" s="64"/>
      <c r="W65" s="66"/>
      <c r="Y65" s="66"/>
      <c r="Z65" s="66"/>
      <c r="AA65" s="68"/>
      <c r="AB65" s="66"/>
      <c r="AE65" s="66"/>
      <c r="AH65" s="68"/>
      <c r="AI65" s="66"/>
      <c r="AJ65" s="62"/>
      <c r="AK65" s="62"/>
      <c r="AL65" s="62"/>
      <c r="AM65" s="62"/>
      <c r="AN65" s="62"/>
      <c r="AO65" s="62"/>
      <c r="AP65" s="62"/>
      <c r="AQ65" s="62"/>
      <c r="AR65" s="62"/>
      <c r="AS65" s="62"/>
      <c r="AT65" s="62"/>
      <c r="AU65" s="69"/>
    </row>
    <row r="66" spans="2:47" x14ac:dyDescent="0.35">
      <c r="B66" s="59"/>
      <c r="C66" s="59"/>
      <c r="D66" s="60"/>
      <c r="E66" s="60"/>
      <c r="F66" s="60"/>
      <c r="G66" s="60"/>
      <c r="H66" s="60"/>
      <c r="I66" s="60"/>
      <c r="J66" s="60"/>
      <c r="K66" s="61"/>
      <c r="L66" s="61"/>
      <c r="M66" s="61"/>
      <c r="N66" s="61"/>
      <c r="O66" s="62"/>
      <c r="P66" s="62"/>
      <c r="Q66" s="62"/>
      <c r="S66" s="64"/>
      <c r="T66" s="64"/>
      <c r="U66" s="64"/>
      <c r="W66" s="66"/>
      <c r="Y66" s="66"/>
      <c r="Z66" s="66"/>
      <c r="AA66" s="68"/>
      <c r="AB66" s="66"/>
      <c r="AE66" s="66"/>
      <c r="AH66" s="68"/>
      <c r="AI66" s="66"/>
      <c r="AJ66" s="62"/>
      <c r="AK66" s="62"/>
      <c r="AL66" s="62"/>
      <c r="AM66" s="62"/>
      <c r="AN66" s="62"/>
      <c r="AO66" s="62"/>
      <c r="AP66" s="62"/>
      <c r="AQ66" s="62"/>
      <c r="AR66" s="62"/>
      <c r="AS66" s="62"/>
      <c r="AT66" s="62"/>
      <c r="AU66" s="69"/>
    </row>
    <row r="67" spans="2:47" x14ac:dyDescent="0.35">
      <c r="B67" s="59"/>
      <c r="C67" s="59"/>
      <c r="D67" s="60"/>
      <c r="E67" s="60"/>
      <c r="F67" s="60"/>
      <c r="G67" s="60"/>
      <c r="H67" s="60"/>
      <c r="I67" s="60"/>
      <c r="J67" s="60"/>
      <c r="K67" s="61"/>
      <c r="L67" s="61"/>
      <c r="M67" s="61"/>
      <c r="N67" s="61"/>
      <c r="O67" s="62"/>
      <c r="P67" s="62"/>
      <c r="Q67" s="62"/>
      <c r="S67" s="64"/>
      <c r="T67" s="64"/>
      <c r="U67" s="64"/>
      <c r="W67" s="66"/>
      <c r="Y67" s="66"/>
      <c r="Z67" s="66"/>
      <c r="AA67" s="68"/>
      <c r="AB67" s="66"/>
      <c r="AE67" s="66"/>
      <c r="AH67" s="68"/>
      <c r="AI67" s="66"/>
      <c r="AJ67" s="62"/>
      <c r="AK67" s="62"/>
      <c r="AL67" s="62"/>
      <c r="AM67" s="62"/>
      <c r="AN67" s="62"/>
      <c r="AO67" s="62"/>
      <c r="AP67" s="62"/>
      <c r="AQ67" s="62"/>
      <c r="AR67" s="62"/>
      <c r="AS67" s="62"/>
      <c r="AT67" s="62"/>
      <c r="AU67" s="69"/>
    </row>
    <row r="68" spans="2:47" x14ac:dyDescent="0.35">
      <c r="B68" s="59"/>
      <c r="C68" s="59"/>
      <c r="D68" s="60"/>
      <c r="E68" s="60"/>
      <c r="F68" s="60"/>
      <c r="G68" s="60"/>
      <c r="H68" s="60"/>
      <c r="I68" s="60"/>
      <c r="J68" s="60"/>
      <c r="K68" s="61"/>
      <c r="L68" s="61"/>
      <c r="M68" s="61"/>
      <c r="N68" s="61"/>
      <c r="O68" s="62"/>
      <c r="P68" s="62"/>
      <c r="Q68" s="62"/>
      <c r="S68" s="64"/>
      <c r="T68" s="64"/>
      <c r="U68" s="64"/>
      <c r="W68" s="66"/>
      <c r="Y68" s="66"/>
      <c r="Z68" s="66"/>
      <c r="AA68" s="68"/>
      <c r="AB68" s="66"/>
      <c r="AE68" s="66"/>
      <c r="AH68" s="68"/>
      <c r="AI68" s="66"/>
      <c r="AJ68" s="62"/>
      <c r="AK68" s="62"/>
      <c r="AL68" s="62"/>
      <c r="AM68" s="62"/>
      <c r="AN68" s="62"/>
      <c r="AO68" s="62"/>
      <c r="AP68" s="62"/>
      <c r="AQ68" s="62"/>
      <c r="AR68" s="62"/>
      <c r="AS68" s="62"/>
      <c r="AT68" s="62"/>
      <c r="AU68" s="69"/>
    </row>
    <row r="69" spans="2:47" x14ac:dyDescent="0.35">
      <c r="B69" s="59"/>
      <c r="C69" s="59"/>
      <c r="D69" s="60"/>
      <c r="E69" s="60"/>
      <c r="F69" s="60"/>
      <c r="G69" s="60"/>
      <c r="H69" s="60"/>
      <c r="I69" s="60"/>
      <c r="J69" s="60"/>
      <c r="K69" s="61"/>
      <c r="L69" s="61"/>
      <c r="M69" s="61"/>
      <c r="N69" s="61"/>
      <c r="O69" s="62"/>
      <c r="P69" s="62"/>
      <c r="Q69" s="62"/>
      <c r="S69" s="64"/>
      <c r="T69" s="64"/>
      <c r="U69" s="64"/>
      <c r="W69" s="66"/>
      <c r="Y69" s="66"/>
      <c r="Z69" s="66"/>
      <c r="AA69" s="68"/>
      <c r="AB69" s="66"/>
      <c r="AE69" s="66"/>
      <c r="AH69" s="68"/>
      <c r="AI69" s="66"/>
      <c r="AJ69" s="62"/>
      <c r="AK69" s="62"/>
      <c r="AL69" s="62"/>
      <c r="AM69" s="62"/>
      <c r="AN69" s="62"/>
      <c r="AO69" s="62"/>
      <c r="AP69" s="62"/>
      <c r="AQ69" s="62"/>
      <c r="AR69" s="62"/>
      <c r="AS69" s="62"/>
      <c r="AT69" s="62"/>
      <c r="AU69" s="69"/>
    </row>
    <row r="70" spans="2:47" x14ac:dyDescent="0.35">
      <c r="B70" s="59"/>
      <c r="C70" s="59"/>
      <c r="D70" s="60"/>
      <c r="E70" s="60"/>
      <c r="F70" s="60"/>
      <c r="G70" s="60"/>
      <c r="H70" s="60"/>
      <c r="I70" s="60"/>
      <c r="J70" s="60"/>
      <c r="K70" s="61"/>
      <c r="L70" s="61"/>
      <c r="M70" s="61"/>
      <c r="N70" s="61"/>
      <c r="O70" s="62"/>
      <c r="P70" s="62"/>
      <c r="Q70" s="62"/>
      <c r="S70" s="64"/>
      <c r="T70" s="64"/>
      <c r="U70" s="64"/>
      <c r="W70" s="66"/>
      <c r="Y70" s="66"/>
      <c r="Z70" s="66"/>
      <c r="AA70" s="68"/>
      <c r="AB70" s="66"/>
      <c r="AE70" s="66"/>
      <c r="AH70" s="68"/>
      <c r="AI70" s="66"/>
      <c r="AJ70" s="62"/>
      <c r="AK70" s="62"/>
      <c r="AL70" s="62"/>
      <c r="AM70" s="62"/>
      <c r="AN70" s="62"/>
      <c r="AO70" s="62"/>
      <c r="AP70" s="62"/>
      <c r="AQ70" s="62"/>
      <c r="AR70" s="62"/>
      <c r="AS70" s="62"/>
      <c r="AT70" s="62"/>
      <c r="AU70" s="69"/>
    </row>
    <row r="71" spans="2:47" x14ac:dyDescent="0.35">
      <c r="B71" s="59"/>
      <c r="C71" s="59"/>
      <c r="D71" s="60"/>
      <c r="E71" s="60"/>
      <c r="F71" s="60"/>
      <c r="G71" s="60"/>
      <c r="H71" s="60"/>
      <c r="I71" s="60"/>
      <c r="J71" s="60"/>
      <c r="K71" s="61"/>
      <c r="L71" s="61"/>
      <c r="M71" s="61"/>
      <c r="N71" s="61"/>
      <c r="O71" s="62"/>
      <c r="P71" s="62"/>
      <c r="Q71" s="62"/>
      <c r="S71" s="64"/>
      <c r="T71" s="64"/>
      <c r="U71" s="64"/>
      <c r="W71" s="66"/>
      <c r="Y71" s="66"/>
      <c r="Z71" s="66"/>
      <c r="AA71" s="68"/>
      <c r="AB71" s="66"/>
      <c r="AE71" s="66"/>
      <c r="AH71" s="68"/>
      <c r="AI71" s="66"/>
      <c r="AJ71" s="62"/>
      <c r="AK71" s="62"/>
      <c r="AL71" s="62"/>
      <c r="AM71" s="62"/>
      <c r="AN71" s="62"/>
      <c r="AO71" s="62"/>
      <c r="AP71" s="62"/>
      <c r="AQ71" s="62"/>
      <c r="AR71" s="62"/>
      <c r="AS71" s="62"/>
      <c r="AT71" s="62"/>
      <c r="AU71" s="69"/>
    </row>
    <row r="72" spans="2:47" x14ac:dyDescent="0.35">
      <c r="B72" s="59"/>
      <c r="C72" s="59"/>
      <c r="D72" s="60"/>
      <c r="E72" s="60"/>
      <c r="F72" s="60"/>
      <c r="G72" s="60"/>
      <c r="H72" s="60"/>
      <c r="I72" s="60"/>
      <c r="J72" s="60"/>
      <c r="K72" s="61"/>
      <c r="L72" s="61"/>
      <c r="M72" s="61"/>
      <c r="N72" s="61"/>
      <c r="O72" s="62"/>
      <c r="P72" s="62"/>
      <c r="Q72" s="62"/>
      <c r="S72" s="64"/>
      <c r="T72" s="64"/>
      <c r="U72" s="64"/>
      <c r="W72" s="66"/>
      <c r="Y72" s="66"/>
      <c r="Z72" s="66"/>
      <c r="AA72" s="68"/>
      <c r="AB72" s="66"/>
      <c r="AE72" s="66"/>
      <c r="AH72" s="68"/>
      <c r="AI72" s="66"/>
      <c r="AJ72" s="62"/>
      <c r="AK72" s="62"/>
      <c r="AL72" s="62"/>
      <c r="AM72" s="62"/>
      <c r="AN72" s="62"/>
      <c r="AO72" s="62"/>
      <c r="AP72" s="62"/>
      <c r="AQ72" s="62"/>
      <c r="AR72" s="62"/>
      <c r="AS72" s="62"/>
      <c r="AT72" s="62"/>
      <c r="AU72" s="69"/>
    </row>
    <row r="73" spans="2:47" x14ac:dyDescent="0.35">
      <c r="B73" s="59"/>
      <c r="C73" s="59"/>
      <c r="D73" s="60"/>
      <c r="E73" s="60"/>
      <c r="F73" s="60"/>
      <c r="G73" s="60"/>
      <c r="H73" s="60"/>
      <c r="I73" s="60"/>
      <c r="J73" s="60"/>
      <c r="K73" s="61"/>
      <c r="L73" s="61"/>
      <c r="M73" s="61"/>
      <c r="N73" s="61"/>
      <c r="O73" s="62"/>
      <c r="P73" s="62"/>
      <c r="Q73" s="62"/>
      <c r="S73" s="64"/>
      <c r="T73" s="64"/>
      <c r="U73" s="64"/>
      <c r="W73" s="66"/>
      <c r="Y73" s="66"/>
      <c r="Z73" s="66"/>
      <c r="AA73" s="68"/>
      <c r="AB73" s="66"/>
      <c r="AE73" s="66"/>
      <c r="AH73" s="68"/>
      <c r="AI73" s="66"/>
      <c r="AJ73" s="62"/>
      <c r="AK73" s="62"/>
      <c r="AL73" s="62"/>
      <c r="AM73" s="62"/>
      <c r="AN73" s="62"/>
      <c r="AO73" s="62"/>
      <c r="AP73" s="62"/>
      <c r="AQ73" s="62"/>
      <c r="AR73" s="62"/>
      <c r="AS73" s="62"/>
      <c r="AT73" s="62"/>
      <c r="AU73" s="69"/>
    </row>
    <row r="74" spans="2:47" x14ac:dyDescent="0.35">
      <c r="B74" s="59"/>
      <c r="C74" s="59"/>
      <c r="D74" s="60"/>
      <c r="E74" s="60"/>
      <c r="F74" s="60"/>
      <c r="G74" s="60"/>
      <c r="H74" s="60"/>
      <c r="I74" s="60"/>
      <c r="J74" s="60"/>
      <c r="K74" s="61"/>
      <c r="L74" s="61"/>
      <c r="M74" s="61"/>
      <c r="N74" s="61"/>
      <c r="O74" s="62"/>
      <c r="P74" s="62"/>
      <c r="Q74" s="62"/>
      <c r="S74" s="64"/>
      <c r="T74" s="64"/>
      <c r="U74" s="64"/>
      <c r="W74" s="66"/>
      <c r="Y74" s="66"/>
      <c r="Z74" s="66"/>
      <c r="AA74" s="68"/>
      <c r="AB74" s="66"/>
      <c r="AE74" s="66"/>
      <c r="AH74" s="68"/>
      <c r="AI74" s="66"/>
      <c r="AJ74" s="62"/>
      <c r="AK74" s="62"/>
      <c r="AL74" s="62"/>
      <c r="AM74" s="62"/>
      <c r="AN74" s="62"/>
      <c r="AO74" s="62"/>
      <c r="AP74" s="62"/>
      <c r="AQ74" s="62"/>
      <c r="AR74" s="62"/>
      <c r="AS74" s="62"/>
      <c r="AT74" s="62"/>
      <c r="AU74" s="69"/>
    </row>
    <row r="75" spans="2:47" x14ac:dyDescent="0.35">
      <c r="B75" s="59"/>
      <c r="C75" s="59"/>
      <c r="D75" s="60"/>
      <c r="E75" s="60"/>
      <c r="F75" s="60"/>
      <c r="G75" s="60"/>
      <c r="H75" s="60"/>
      <c r="I75" s="60"/>
      <c r="J75" s="60"/>
      <c r="K75" s="61"/>
      <c r="L75" s="61"/>
      <c r="M75" s="61"/>
      <c r="N75" s="61"/>
      <c r="O75" s="62"/>
      <c r="P75" s="62"/>
      <c r="Q75" s="62"/>
      <c r="S75" s="64"/>
      <c r="T75" s="64"/>
      <c r="U75" s="64"/>
      <c r="W75" s="66"/>
      <c r="Y75" s="66"/>
      <c r="Z75" s="66"/>
      <c r="AA75" s="68"/>
      <c r="AB75" s="66"/>
      <c r="AE75" s="66"/>
      <c r="AH75" s="68"/>
      <c r="AI75" s="66"/>
      <c r="AJ75" s="62"/>
      <c r="AK75" s="62"/>
      <c r="AL75" s="62"/>
      <c r="AM75" s="62"/>
      <c r="AN75" s="62"/>
      <c r="AO75" s="62"/>
      <c r="AP75" s="62"/>
      <c r="AQ75" s="62"/>
      <c r="AR75" s="62"/>
      <c r="AS75" s="62"/>
      <c r="AT75" s="62"/>
      <c r="AU75" s="69"/>
    </row>
    <row r="76" spans="2:47" x14ac:dyDescent="0.35">
      <c r="B76" s="59"/>
      <c r="C76" s="59"/>
      <c r="D76" s="60"/>
      <c r="E76" s="60"/>
      <c r="F76" s="60"/>
      <c r="G76" s="60"/>
      <c r="H76" s="60"/>
      <c r="I76" s="60"/>
      <c r="J76" s="60"/>
      <c r="K76" s="61"/>
      <c r="L76" s="61"/>
      <c r="M76" s="61"/>
      <c r="N76" s="61"/>
      <c r="O76" s="62"/>
      <c r="P76" s="62"/>
      <c r="Q76" s="62"/>
      <c r="S76" s="64"/>
      <c r="T76" s="64"/>
      <c r="U76" s="64"/>
      <c r="W76" s="66"/>
      <c r="Y76" s="66"/>
      <c r="Z76" s="66"/>
      <c r="AA76" s="68"/>
      <c r="AB76" s="66"/>
      <c r="AE76" s="66"/>
      <c r="AH76" s="68"/>
      <c r="AI76" s="66"/>
      <c r="AJ76" s="62"/>
      <c r="AK76" s="62"/>
      <c r="AL76" s="62"/>
      <c r="AM76" s="62"/>
      <c r="AN76" s="62"/>
      <c r="AO76" s="62"/>
      <c r="AP76" s="62"/>
      <c r="AQ76" s="62"/>
      <c r="AR76" s="62"/>
      <c r="AS76" s="62"/>
      <c r="AT76" s="62"/>
      <c r="AU76" s="69"/>
    </row>
    <row r="77" spans="2:47" x14ac:dyDescent="0.35">
      <c r="B77" s="59"/>
      <c r="C77" s="59"/>
      <c r="D77" s="60"/>
      <c r="E77" s="60"/>
      <c r="F77" s="60"/>
      <c r="G77" s="60"/>
      <c r="H77" s="60"/>
      <c r="I77" s="60"/>
      <c r="J77" s="60"/>
      <c r="K77" s="61"/>
      <c r="L77" s="61"/>
      <c r="M77" s="61"/>
      <c r="N77" s="61"/>
      <c r="O77" s="62"/>
      <c r="P77" s="62"/>
      <c r="Q77" s="62"/>
      <c r="S77" s="64"/>
      <c r="T77" s="64"/>
      <c r="U77" s="64"/>
      <c r="W77" s="66"/>
      <c r="Y77" s="66"/>
      <c r="Z77" s="66"/>
      <c r="AA77" s="68"/>
      <c r="AB77" s="66"/>
      <c r="AE77" s="66"/>
      <c r="AH77" s="68"/>
      <c r="AI77" s="66"/>
      <c r="AJ77" s="62"/>
      <c r="AK77" s="62"/>
      <c r="AL77" s="62"/>
      <c r="AM77" s="62"/>
      <c r="AN77" s="62"/>
      <c r="AO77" s="62"/>
      <c r="AP77" s="62"/>
      <c r="AQ77" s="62"/>
      <c r="AR77" s="62"/>
      <c r="AS77" s="62"/>
      <c r="AT77" s="62"/>
      <c r="AU77" s="69"/>
    </row>
    <row r="78" spans="2:47" x14ac:dyDescent="0.35">
      <c r="B78" s="59"/>
      <c r="C78" s="59"/>
      <c r="D78" s="60"/>
      <c r="E78" s="60"/>
      <c r="F78" s="60"/>
      <c r="G78" s="60"/>
      <c r="H78" s="60"/>
      <c r="I78" s="60"/>
      <c r="J78" s="60"/>
      <c r="K78" s="61"/>
      <c r="L78" s="61"/>
      <c r="M78" s="61"/>
      <c r="N78" s="61"/>
      <c r="O78" s="62"/>
      <c r="P78" s="62"/>
      <c r="Q78" s="62"/>
      <c r="S78" s="64"/>
      <c r="T78" s="64"/>
      <c r="U78" s="64"/>
      <c r="W78" s="66"/>
      <c r="Y78" s="66"/>
      <c r="Z78" s="66"/>
      <c r="AA78" s="68"/>
      <c r="AB78" s="66"/>
      <c r="AE78" s="66"/>
      <c r="AH78" s="68"/>
      <c r="AI78" s="66"/>
      <c r="AJ78" s="62"/>
      <c r="AK78" s="62"/>
      <c r="AL78" s="62"/>
      <c r="AM78" s="62"/>
      <c r="AN78" s="62"/>
      <c r="AO78" s="62"/>
      <c r="AP78" s="62"/>
      <c r="AQ78" s="62"/>
      <c r="AR78" s="62"/>
      <c r="AS78" s="62"/>
      <c r="AT78" s="62"/>
      <c r="AU78" s="69"/>
    </row>
    <row r="79" spans="2:47" x14ac:dyDescent="0.35">
      <c r="B79" s="59"/>
      <c r="C79" s="59"/>
      <c r="D79" s="60"/>
      <c r="E79" s="60"/>
      <c r="F79" s="60"/>
      <c r="G79" s="60"/>
      <c r="H79" s="60"/>
      <c r="I79" s="60"/>
      <c r="J79" s="60"/>
      <c r="K79" s="61"/>
      <c r="L79" s="61"/>
      <c r="M79" s="61"/>
      <c r="N79" s="61"/>
      <c r="O79" s="62"/>
      <c r="P79" s="62"/>
      <c r="Q79" s="62"/>
      <c r="S79" s="64"/>
      <c r="T79" s="64"/>
      <c r="U79" s="64"/>
      <c r="W79" s="66"/>
      <c r="Y79" s="66"/>
      <c r="Z79" s="66"/>
      <c r="AA79" s="68"/>
      <c r="AB79" s="66"/>
      <c r="AE79" s="66"/>
      <c r="AH79" s="68"/>
      <c r="AI79" s="66"/>
      <c r="AJ79" s="62"/>
      <c r="AK79" s="62"/>
      <c r="AL79" s="62"/>
      <c r="AM79" s="62"/>
      <c r="AN79" s="62"/>
      <c r="AO79" s="62"/>
      <c r="AP79" s="62"/>
      <c r="AQ79" s="62"/>
      <c r="AR79" s="62"/>
      <c r="AS79" s="62"/>
      <c r="AT79" s="62"/>
      <c r="AU79" s="69"/>
    </row>
    <row r="80" spans="2:47" x14ac:dyDescent="0.35">
      <c r="B80" s="59"/>
      <c r="C80" s="59"/>
      <c r="D80" s="60"/>
      <c r="E80" s="60"/>
      <c r="F80" s="60"/>
      <c r="G80" s="60"/>
      <c r="H80" s="60"/>
      <c r="I80" s="60"/>
      <c r="J80" s="60"/>
      <c r="K80" s="61"/>
      <c r="L80" s="61"/>
      <c r="M80" s="61"/>
      <c r="N80" s="61"/>
      <c r="O80" s="62"/>
      <c r="P80" s="62"/>
      <c r="Q80" s="62"/>
      <c r="S80" s="64"/>
      <c r="T80" s="64"/>
      <c r="U80" s="64"/>
      <c r="W80" s="66"/>
      <c r="Y80" s="66"/>
      <c r="Z80" s="66"/>
      <c r="AA80" s="68"/>
      <c r="AB80" s="66"/>
      <c r="AE80" s="66"/>
      <c r="AH80" s="68"/>
      <c r="AI80" s="66"/>
      <c r="AJ80" s="62"/>
      <c r="AK80" s="62"/>
      <c r="AL80" s="62"/>
      <c r="AM80" s="62"/>
      <c r="AN80" s="62"/>
      <c r="AO80" s="62"/>
      <c r="AP80" s="62"/>
      <c r="AQ80" s="62"/>
      <c r="AR80" s="62"/>
      <c r="AS80" s="62"/>
      <c r="AT80" s="62"/>
      <c r="AU80" s="69"/>
    </row>
    <row r="81" spans="2:47" x14ac:dyDescent="0.35">
      <c r="B81" s="59"/>
      <c r="C81" s="59"/>
      <c r="D81" s="60"/>
      <c r="E81" s="60"/>
      <c r="F81" s="60"/>
      <c r="G81" s="60"/>
      <c r="H81" s="60"/>
      <c r="I81" s="60"/>
      <c r="J81" s="60"/>
      <c r="K81" s="61"/>
      <c r="L81" s="61"/>
      <c r="M81" s="61"/>
      <c r="N81" s="61"/>
      <c r="O81" s="62"/>
      <c r="P81" s="62"/>
      <c r="Q81" s="62"/>
      <c r="S81" s="64"/>
      <c r="T81" s="64"/>
      <c r="U81" s="64"/>
      <c r="W81" s="66"/>
      <c r="Y81" s="66"/>
      <c r="Z81" s="66"/>
      <c r="AA81" s="68"/>
      <c r="AB81" s="66"/>
      <c r="AE81" s="66"/>
      <c r="AH81" s="68"/>
      <c r="AI81" s="66"/>
      <c r="AJ81" s="62"/>
      <c r="AK81" s="62"/>
      <c r="AL81" s="62"/>
      <c r="AM81" s="62"/>
      <c r="AN81" s="62"/>
      <c r="AO81" s="62"/>
      <c r="AP81" s="62"/>
      <c r="AQ81" s="62"/>
      <c r="AR81" s="62"/>
      <c r="AS81" s="62"/>
      <c r="AT81" s="62"/>
      <c r="AU81" s="69"/>
    </row>
    <row r="82" spans="2:47" x14ac:dyDescent="0.35">
      <c r="B82" s="59"/>
      <c r="C82" s="59"/>
      <c r="D82" s="60"/>
      <c r="E82" s="60"/>
      <c r="F82" s="60"/>
      <c r="G82" s="60"/>
      <c r="H82" s="60"/>
      <c r="I82" s="60"/>
      <c r="J82" s="60"/>
      <c r="K82" s="61"/>
      <c r="L82" s="61"/>
      <c r="M82" s="61"/>
      <c r="N82" s="61"/>
      <c r="O82" s="62"/>
      <c r="P82" s="62"/>
      <c r="Q82" s="62"/>
      <c r="S82" s="64"/>
      <c r="T82" s="64"/>
      <c r="U82" s="64"/>
      <c r="W82" s="66"/>
      <c r="Y82" s="66"/>
      <c r="Z82" s="66"/>
      <c r="AA82" s="68"/>
      <c r="AB82" s="66"/>
      <c r="AE82" s="66"/>
      <c r="AH82" s="68"/>
      <c r="AI82" s="66"/>
      <c r="AJ82" s="62"/>
      <c r="AK82" s="62"/>
      <c r="AL82" s="62"/>
      <c r="AM82" s="62"/>
      <c r="AN82" s="62"/>
      <c r="AO82" s="62"/>
      <c r="AP82" s="62"/>
      <c r="AQ82" s="62"/>
      <c r="AR82" s="62"/>
      <c r="AS82" s="62"/>
      <c r="AT82" s="62"/>
      <c r="AU82" s="69"/>
    </row>
    <row r="83" spans="2:47" x14ac:dyDescent="0.35">
      <c r="B83" s="59"/>
      <c r="C83" s="59"/>
      <c r="D83" s="60"/>
      <c r="E83" s="60"/>
      <c r="F83" s="60"/>
      <c r="G83" s="60"/>
      <c r="H83" s="60"/>
      <c r="I83" s="60"/>
      <c r="J83" s="60"/>
      <c r="K83" s="61"/>
      <c r="L83" s="61"/>
      <c r="M83" s="61"/>
      <c r="N83" s="61"/>
      <c r="O83" s="62"/>
      <c r="P83" s="62"/>
      <c r="Q83" s="62"/>
      <c r="S83" s="64"/>
      <c r="T83" s="64"/>
      <c r="U83" s="64"/>
      <c r="W83" s="66"/>
      <c r="Y83" s="66"/>
      <c r="Z83" s="66"/>
      <c r="AA83" s="68"/>
      <c r="AB83" s="66"/>
      <c r="AE83" s="66"/>
      <c r="AH83" s="68"/>
      <c r="AI83" s="66"/>
      <c r="AJ83" s="62"/>
      <c r="AK83" s="62"/>
      <c r="AL83" s="62"/>
      <c r="AM83" s="62"/>
      <c r="AN83" s="62"/>
      <c r="AO83" s="62"/>
      <c r="AP83" s="62"/>
      <c r="AQ83" s="62"/>
      <c r="AR83" s="62"/>
      <c r="AS83" s="62"/>
      <c r="AT83" s="62"/>
      <c r="AU83" s="69"/>
    </row>
    <row r="84" spans="2:47" x14ac:dyDescent="0.35">
      <c r="B84" s="59"/>
      <c r="C84" s="59"/>
      <c r="D84" s="60"/>
      <c r="E84" s="60"/>
      <c r="F84" s="60"/>
      <c r="G84" s="60"/>
      <c r="H84" s="60"/>
      <c r="I84" s="60"/>
      <c r="J84" s="60"/>
      <c r="K84" s="61"/>
      <c r="L84" s="61"/>
      <c r="M84" s="61"/>
      <c r="N84" s="61"/>
      <c r="O84" s="62"/>
      <c r="P84" s="62"/>
      <c r="Q84" s="62"/>
      <c r="S84" s="64"/>
      <c r="T84" s="64"/>
      <c r="U84" s="64"/>
      <c r="W84" s="66"/>
      <c r="Y84" s="66"/>
      <c r="Z84" s="66"/>
      <c r="AA84" s="68"/>
      <c r="AB84" s="66"/>
      <c r="AE84" s="66"/>
      <c r="AH84" s="68"/>
      <c r="AI84" s="66"/>
      <c r="AJ84" s="62"/>
      <c r="AK84" s="62"/>
      <c r="AL84" s="62"/>
      <c r="AM84" s="62"/>
      <c r="AN84" s="62"/>
      <c r="AO84" s="62"/>
      <c r="AP84" s="62"/>
      <c r="AQ84" s="62"/>
      <c r="AR84" s="62"/>
      <c r="AS84" s="62"/>
      <c r="AT84" s="62"/>
      <c r="AU84" s="69"/>
    </row>
    <row r="85" spans="2:47" x14ac:dyDescent="0.35">
      <c r="B85" s="59"/>
      <c r="C85" s="59"/>
      <c r="D85" s="60"/>
      <c r="E85" s="60"/>
      <c r="F85" s="60"/>
      <c r="G85" s="60"/>
      <c r="H85" s="60"/>
      <c r="I85" s="60"/>
      <c r="J85" s="60"/>
      <c r="K85" s="61"/>
      <c r="L85" s="61"/>
      <c r="M85" s="61"/>
      <c r="N85" s="61"/>
      <c r="O85" s="62"/>
      <c r="P85" s="62"/>
      <c r="Q85" s="62"/>
      <c r="S85" s="64"/>
      <c r="T85" s="64"/>
      <c r="U85" s="64"/>
      <c r="W85" s="66"/>
      <c r="Y85" s="66"/>
      <c r="Z85" s="66"/>
      <c r="AA85" s="68"/>
      <c r="AB85" s="66"/>
      <c r="AE85" s="66"/>
      <c r="AH85" s="68"/>
      <c r="AI85" s="66"/>
      <c r="AJ85" s="62"/>
      <c r="AK85" s="62"/>
      <c r="AL85" s="62"/>
      <c r="AM85" s="62"/>
      <c r="AN85" s="62"/>
      <c r="AO85" s="62"/>
      <c r="AP85" s="62"/>
      <c r="AQ85" s="62"/>
      <c r="AR85" s="62"/>
      <c r="AS85" s="62"/>
      <c r="AT85" s="62"/>
      <c r="AU85" s="69"/>
    </row>
    <row r="86" spans="2:47" x14ac:dyDescent="0.35">
      <c r="B86" s="59"/>
      <c r="C86" s="59"/>
      <c r="D86" s="60"/>
      <c r="E86" s="60"/>
      <c r="F86" s="60"/>
      <c r="G86" s="60"/>
      <c r="H86" s="60"/>
      <c r="I86" s="60"/>
      <c r="J86" s="60"/>
      <c r="K86" s="61"/>
      <c r="L86" s="61"/>
      <c r="M86" s="61"/>
      <c r="N86" s="61"/>
      <c r="O86" s="62"/>
      <c r="P86" s="62"/>
      <c r="Q86" s="62"/>
      <c r="S86" s="64"/>
      <c r="T86" s="64"/>
      <c r="U86" s="64"/>
      <c r="W86" s="66"/>
      <c r="Y86" s="66"/>
      <c r="Z86" s="66"/>
      <c r="AA86" s="68"/>
      <c r="AB86" s="66"/>
      <c r="AE86" s="66"/>
      <c r="AH86" s="68"/>
      <c r="AI86" s="66"/>
      <c r="AJ86" s="62"/>
      <c r="AK86" s="62"/>
      <c r="AL86" s="62"/>
      <c r="AM86" s="62"/>
      <c r="AN86" s="62"/>
      <c r="AO86" s="62"/>
      <c r="AP86" s="62"/>
      <c r="AQ86" s="62"/>
      <c r="AR86" s="62"/>
      <c r="AS86" s="62"/>
      <c r="AT86" s="62"/>
      <c r="AU86" s="69"/>
    </row>
    <row r="87" spans="2:47" x14ac:dyDescent="0.35">
      <c r="B87" s="59"/>
      <c r="C87" s="59"/>
      <c r="D87" s="60"/>
      <c r="E87" s="60"/>
      <c r="F87" s="60"/>
      <c r="G87" s="60"/>
      <c r="H87" s="60"/>
      <c r="I87" s="60"/>
      <c r="J87" s="60"/>
      <c r="K87" s="61"/>
      <c r="L87" s="61"/>
      <c r="M87" s="61"/>
      <c r="N87" s="61"/>
      <c r="O87" s="62"/>
      <c r="P87" s="62"/>
      <c r="Q87" s="62"/>
      <c r="S87" s="64"/>
      <c r="T87" s="64"/>
      <c r="U87" s="64"/>
      <c r="W87" s="66"/>
      <c r="Y87" s="66"/>
      <c r="Z87" s="66"/>
      <c r="AA87" s="68"/>
      <c r="AB87" s="66"/>
      <c r="AE87" s="66"/>
      <c r="AH87" s="68"/>
      <c r="AI87" s="66"/>
      <c r="AJ87" s="62"/>
      <c r="AK87" s="62"/>
      <c r="AL87" s="62"/>
      <c r="AM87" s="62"/>
      <c r="AN87" s="62"/>
      <c r="AO87" s="62"/>
      <c r="AP87" s="62"/>
      <c r="AQ87" s="62"/>
      <c r="AR87" s="62"/>
      <c r="AS87" s="62"/>
      <c r="AT87" s="62"/>
      <c r="AU87" s="69"/>
    </row>
    <row r="88" spans="2:47" x14ac:dyDescent="0.35">
      <c r="B88" s="59"/>
      <c r="C88" s="59"/>
      <c r="D88" s="60"/>
      <c r="E88" s="60"/>
      <c r="F88" s="60"/>
      <c r="G88" s="60"/>
      <c r="H88" s="60"/>
      <c r="I88" s="60"/>
      <c r="J88" s="60"/>
      <c r="K88" s="61"/>
      <c r="L88" s="61"/>
      <c r="M88" s="61"/>
      <c r="N88" s="61"/>
      <c r="O88" s="62"/>
      <c r="P88" s="62"/>
      <c r="Q88" s="62"/>
      <c r="S88" s="64"/>
      <c r="T88" s="64"/>
      <c r="U88" s="64"/>
      <c r="W88" s="66"/>
      <c r="Y88" s="66"/>
      <c r="Z88" s="66"/>
      <c r="AA88" s="68"/>
      <c r="AB88" s="66"/>
      <c r="AE88" s="66"/>
      <c r="AH88" s="68"/>
      <c r="AI88" s="66"/>
      <c r="AJ88" s="62"/>
      <c r="AK88" s="62"/>
      <c r="AL88" s="62"/>
      <c r="AM88" s="62"/>
      <c r="AN88" s="62"/>
      <c r="AO88" s="62"/>
      <c r="AP88" s="62"/>
      <c r="AQ88" s="62"/>
      <c r="AR88" s="62"/>
      <c r="AS88" s="62"/>
      <c r="AT88" s="62"/>
      <c r="AU88" s="69"/>
    </row>
    <row r="89" spans="2:47" x14ac:dyDescent="0.35">
      <c r="B89" s="59"/>
      <c r="C89" s="59"/>
      <c r="D89" s="60"/>
      <c r="E89" s="60"/>
      <c r="F89" s="60"/>
      <c r="G89" s="60"/>
      <c r="H89" s="60"/>
      <c r="I89" s="60"/>
      <c r="J89" s="60"/>
      <c r="K89" s="61"/>
      <c r="L89" s="61"/>
      <c r="M89" s="61"/>
      <c r="N89" s="61"/>
      <c r="O89" s="62"/>
      <c r="P89" s="62"/>
      <c r="Q89" s="62"/>
      <c r="S89" s="64"/>
      <c r="T89" s="64"/>
      <c r="U89" s="64"/>
      <c r="W89" s="66"/>
      <c r="Y89" s="66"/>
      <c r="Z89" s="66"/>
      <c r="AA89" s="68"/>
      <c r="AB89" s="66"/>
      <c r="AE89" s="66"/>
      <c r="AH89" s="68"/>
      <c r="AI89" s="66"/>
      <c r="AJ89" s="62"/>
      <c r="AK89" s="62"/>
      <c r="AL89" s="62"/>
      <c r="AM89" s="62"/>
      <c r="AN89" s="62"/>
      <c r="AO89" s="62"/>
      <c r="AP89" s="62"/>
      <c r="AQ89" s="62"/>
      <c r="AR89" s="62"/>
      <c r="AS89" s="62"/>
      <c r="AT89" s="62"/>
      <c r="AU89" s="69"/>
    </row>
    <row r="90" spans="2:47" x14ac:dyDescent="0.35">
      <c r="B90" s="59"/>
      <c r="C90" s="59"/>
      <c r="D90" s="60"/>
      <c r="E90" s="60"/>
      <c r="F90" s="60"/>
      <c r="G90" s="60"/>
      <c r="H90" s="60"/>
      <c r="I90" s="60"/>
      <c r="J90" s="60"/>
      <c r="K90" s="61"/>
      <c r="L90" s="61"/>
      <c r="M90" s="61"/>
      <c r="N90" s="61"/>
      <c r="O90" s="62"/>
      <c r="P90" s="62"/>
      <c r="Q90" s="62"/>
      <c r="S90" s="64"/>
      <c r="T90" s="64"/>
      <c r="U90" s="64"/>
      <c r="W90" s="66"/>
      <c r="Y90" s="66"/>
      <c r="Z90" s="66"/>
      <c r="AA90" s="68"/>
      <c r="AB90" s="66"/>
      <c r="AE90" s="66"/>
      <c r="AH90" s="68"/>
      <c r="AI90" s="66"/>
      <c r="AJ90" s="62"/>
      <c r="AK90" s="62"/>
      <c r="AL90" s="62"/>
      <c r="AM90" s="62"/>
      <c r="AN90" s="62"/>
      <c r="AO90" s="62"/>
      <c r="AP90" s="62"/>
      <c r="AQ90" s="62"/>
      <c r="AR90" s="62"/>
      <c r="AS90" s="62"/>
      <c r="AT90" s="62"/>
      <c r="AU90" s="69"/>
    </row>
    <row r="91" spans="2:47" x14ac:dyDescent="0.35">
      <c r="B91" s="59"/>
      <c r="C91" s="59"/>
      <c r="D91" s="60"/>
      <c r="E91" s="60"/>
      <c r="F91" s="60"/>
      <c r="G91" s="60"/>
      <c r="H91" s="60"/>
      <c r="I91" s="60"/>
      <c r="J91" s="60"/>
      <c r="K91" s="61"/>
      <c r="L91" s="61"/>
      <c r="M91" s="61"/>
      <c r="N91" s="61"/>
      <c r="O91" s="62"/>
      <c r="P91" s="62"/>
      <c r="Q91" s="62"/>
      <c r="S91" s="64"/>
      <c r="T91" s="64"/>
      <c r="U91" s="64"/>
      <c r="W91" s="66"/>
      <c r="Y91" s="66"/>
      <c r="Z91" s="66"/>
      <c r="AA91" s="68"/>
      <c r="AB91" s="66"/>
      <c r="AE91" s="66"/>
      <c r="AH91" s="68"/>
      <c r="AI91" s="66"/>
      <c r="AJ91" s="62"/>
      <c r="AK91" s="62"/>
      <c r="AL91" s="62"/>
      <c r="AM91" s="62"/>
      <c r="AN91" s="62"/>
      <c r="AO91" s="62"/>
      <c r="AP91" s="62"/>
      <c r="AQ91" s="62"/>
      <c r="AR91" s="62"/>
      <c r="AS91" s="62"/>
      <c r="AT91" s="62"/>
      <c r="AU91" s="69"/>
    </row>
    <row r="92" spans="2:47" x14ac:dyDescent="0.35">
      <c r="B92" s="59"/>
      <c r="C92" s="59"/>
      <c r="D92" s="60"/>
      <c r="E92" s="60"/>
      <c r="F92" s="60"/>
      <c r="G92" s="60"/>
      <c r="H92" s="60"/>
      <c r="I92" s="60"/>
      <c r="J92" s="60"/>
      <c r="K92" s="61"/>
      <c r="L92" s="61"/>
      <c r="M92" s="61"/>
      <c r="N92" s="61"/>
      <c r="O92" s="62"/>
      <c r="P92" s="62"/>
      <c r="Q92" s="62"/>
      <c r="S92" s="64"/>
      <c r="T92" s="64"/>
      <c r="U92" s="64"/>
      <c r="W92" s="66"/>
      <c r="Y92" s="66"/>
      <c r="Z92" s="66"/>
      <c r="AA92" s="68"/>
      <c r="AB92" s="66"/>
      <c r="AE92" s="66"/>
      <c r="AH92" s="68"/>
      <c r="AI92" s="66"/>
      <c r="AJ92" s="62"/>
      <c r="AK92" s="62"/>
      <c r="AL92" s="62"/>
      <c r="AM92" s="62"/>
      <c r="AN92" s="62"/>
      <c r="AO92" s="62"/>
      <c r="AP92" s="62"/>
      <c r="AQ92" s="62"/>
      <c r="AR92" s="62"/>
      <c r="AS92" s="62"/>
      <c r="AT92" s="62"/>
      <c r="AU92" s="69"/>
    </row>
    <row r="93" spans="2:47" x14ac:dyDescent="0.35">
      <c r="B93" s="59"/>
      <c r="C93" s="59"/>
      <c r="D93" s="60"/>
      <c r="E93" s="60"/>
      <c r="F93" s="60"/>
      <c r="G93" s="60"/>
      <c r="H93" s="60"/>
      <c r="I93" s="60"/>
      <c r="J93" s="60"/>
      <c r="K93" s="61"/>
      <c r="L93" s="61"/>
      <c r="M93" s="61"/>
      <c r="N93" s="61"/>
      <c r="O93" s="62"/>
      <c r="P93" s="62"/>
      <c r="Q93" s="62"/>
      <c r="S93" s="64"/>
      <c r="T93" s="64"/>
      <c r="U93" s="64"/>
      <c r="W93" s="66"/>
      <c r="Y93" s="66"/>
      <c r="Z93" s="66"/>
      <c r="AA93" s="68"/>
      <c r="AB93" s="66"/>
      <c r="AE93" s="66"/>
      <c r="AH93" s="68"/>
      <c r="AI93" s="66"/>
      <c r="AJ93" s="62"/>
      <c r="AK93" s="62"/>
      <c r="AL93" s="62"/>
      <c r="AM93" s="62"/>
      <c r="AN93" s="62"/>
      <c r="AO93" s="62"/>
      <c r="AP93" s="62"/>
      <c r="AQ93" s="62"/>
      <c r="AR93" s="62"/>
      <c r="AS93" s="62"/>
      <c r="AT93" s="62"/>
      <c r="AU93" s="69"/>
    </row>
    <row r="94" spans="2:47" x14ac:dyDescent="0.35">
      <c r="B94" s="59"/>
      <c r="C94" s="59"/>
      <c r="D94" s="60"/>
      <c r="E94" s="60"/>
      <c r="F94" s="60"/>
      <c r="G94" s="60"/>
      <c r="H94" s="60"/>
      <c r="I94" s="60"/>
      <c r="J94" s="60"/>
      <c r="K94" s="61"/>
      <c r="L94" s="61"/>
      <c r="M94" s="61"/>
      <c r="N94" s="61"/>
      <c r="O94" s="62"/>
      <c r="P94" s="62"/>
      <c r="Q94" s="62"/>
      <c r="S94" s="64"/>
      <c r="T94" s="64"/>
      <c r="U94" s="64"/>
      <c r="W94" s="66"/>
      <c r="Y94" s="66"/>
      <c r="Z94" s="66"/>
      <c r="AA94" s="68"/>
      <c r="AB94" s="66"/>
      <c r="AE94" s="66"/>
      <c r="AH94" s="68"/>
      <c r="AI94" s="66"/>
      <c r="AJ94" s="62"/>
      <c r="AK94" s="62"/>
      <c r="AL94" s="62"/>
      <c r="AM94" s="62"/>
      <c r="AN94" s="62"/>
      <c r="AO94" s="62"/>
      <c r="AP94" s="62"/>
      <c r="AQ94" s="62"/>
      <c r="AR94" s="62"/>
      <c r="AS94" s="62"/>
      <c r="AT94" s="62"/>
      <c r="AU94" s="69"/>
    </row>
    <row r="95" spans="2:47" x14ac:dyDescent="0.35">
      <c r="B95" s="59"/>
      <c r="C95" s="59"/>
      <c r="D95" s="60"/>
      <c r="E95" s="60"/>
      <c r="F95" s="60"/>
      <c r="G95" s="60"/>
      <c r="H95" s="60"/>
      <c r="I95" s="60"/>
      <c r="J95" s="60"/>
      <c r="K95" s="61"/>
      <c r="L95" s="61"/>
      <c r="M95" s="61"/>
      <c r="N95" s="61"/>
      <c r="O95" s="62"/>
      <c r="P95" s="62"/>
      <c r="Q95" s="62"/>
      <c r="S95" s="64"/>
      <c r="T95" s="64"/>
      <c r="U95" s="64"/>
      <c r="W95" s="66"/>
      <c r="Y95" s="66"/>
      <c r="Z95" s="66"/>
      <c r="AA95" s="68"/>
      <c r="AB95" s="66"/>
      <c r="AE95" s="66"/>
      <c r="AH95" s="68"/>
      <c r="AI95" s="66"/>
      <c r="AJ95" s="62"/>
      <c r="AK95" s="62"/>
      <c r="AL95" s="62"/>
      <c r="AM95" s="62"/>
      <c r="AN95" s="62"/>
      <c r="AO95" s="62"/>
      <c r="AP95" s="62"/>
      <c r="AQ95" s="62"/>
      <c r="AR95" s="62"/>
      <c r="AS95" s="62"/>
      <c r="AT95" s="62"/>
      <c r="AU95" s="69"/>
    </row>
    <row r="96" spans="2:47" x14ac:dyDescent="0.35">
      <c r="B96" s="59"/>
      <c r="C96" s="59"/>
      <c r="D96" s="60"/>
      <c r="E96" s="60"/>
      <c r="F96" s="60"/>
      <c r="G96" s="60"/>
      <c r="H96" s="60"/>
      <c r="I96" s="60"/>
      <c r="J96" s="60"/>
      <c r="K96" s="61"/>
      <c r="L96" s="61"/>
      <c r="M96" s="61"/>
      <c r="N96" s="61"/>
      <c r="O96" s="62"/>
      <c r="P96" s="62"/>
      <c r="Q96" s="62"/>
      <c r="S96" s="64"/>
      <c r="T96" s="64"/>
      <c r="U96" s="64"/>
      <c r="W96" s="66"/>
      <c r="Y96" s="66"/>
      <c r="Z96" s="66"/>
      <c r="AA96" s="68"/>
      <c r="AB96" s="66"/>
      <c r="AE96" s="66"/>
      <c r="AH96" s="68"/>
      <c r="AI96" s="66"/>
      <c r="AJ96" s="62"/>
      <c r="AK96" s="62"/>
      <c r="AL96" s="62"/>
      <c r="AM96" s="62"/>
      <c r="AN96" s="62"/>
      <c r="AO96" s="62"/>
      <c r="AP96" s="62"/>
      <c r="AQ96" s="62"/>
      <c r="AR96" s="62"/>
      <c r="AS96" s="62"/>
      <c r="AT96" s="62"/>
      <c r="AU96" s="69"/>
    </row>
    <row r="97" spans="2:47" x14ac:dyDescent="0.35">
      <c r="B97" s="59"/>
      <c r="C97" s="59"/>
      <c r="D97" s="60"/>
      <c r="E97" s="60"/>
      <c r="F97" s="60"/>
      <c r="G97" s="60"/>
      <c r="H97" s="60"/>
      <c r="I97" s="60"/>
      <c r="J97" s="60"/>
      <c r="K97" s="61"/>
      <c r="L97" s="61"/>
      <c r="M97" s="61"/>
      <c r="N97" s="61"/>
      <c r="O97" s="62"/>
      <c r="P97" s="62"/>
      <c r="Q97" s="62"/>
      <c r="S97" s="64"/>
      <c r="T97" s="64"/>
      <c r="U97" s="64"/>
      <c r="W97" s="66"/>
      <c r="Y97" s="66"/>
      <c r="Z97" s="66"/>
      <c r="AA97" s="68"/>
      <c r="AB97" s="66"/>
      <c r="AE97" s="66"/>
      <c r="AH97" s="68"/>
      <c r="AI97" s="66"/>
      <c r="AJ97" s="62"/>
      <c r="AK97" s="62"/>
      <c r="AL97" s="62"/>
      <c r="AM97" s="62"/>
      <c r="AN97" s="62"/>
      <c r="AO97" s="62"/>
      <c r="AP97" s="62"/>
      <c r="AQ97" s="62"/>
      <c r="AR97" s="62"/>
      <c r="AS97" s="62"/>
      <c r="AT97" s="62"/>
      <c r="AU97" s="69"/>
    </row>
    <row r="98" spans="2:47" x14ac:dyDescent="0.35">
      <c r="B98" s="59"/>
      <c r="C98" s="59"/>
      <c r="D98" s="60"/>
      <c r="E98" s="60"/>
      <c r="F98" s="60"/>
      <c r="G98" s="60"/>
      <c r="H98" s="60"/>
      <c r="I98" s="60"/>
      <c r="J98" s="60"/>
      <c r="K98" s="61"/>
      <c r="L98" s="61"/>
      <c r="M98" s="61"/>
      <c r="N98" s="61"/>
      <c r="O98" s="62"/>
      <c r="P98" s="62"/>
      <c r="Q98" s="62"/>
      <c r="S98" s="64"/>
      <c r="T98" s="64"/>
      <c r="U98" s="64"/>
      <c r="W98" s="66"/>
      <c r="Y98" s="66"/>
      <c r="Z98" s="66"/>
      <c r="AA98" s="68"/>
      <c r="AB98" s="66"/>
      <c r="AE98" s="66"/>
      <c r="AH98" s="68"/>
      <c r="AI98" s="66"/>
      <c r="AJ98" s="62"/>
      <c r="AK98" s="62"/>
      <c r="AL98" s="62"/>
      <c r="AM98" s="62"/>
      <c r="AN98" s="62"/>
      <c r="AO98" s="62"/>
      <c r="AP98" s="62"/>
      <c r="AQ98" s="62"/>
      <c r="AR98" s="62"/>
      <c r="AS98" s="62"/>
      <c r="AT98" s="62"/>
      <c r="AU98" s="69"/>
    </row>
    <row r="99" spans="2:47" x14ac:dyDescent="0.35">
      <c r="B99" s="59"/>
      <c r="C99" s="59"/>
      <c r="D99" s="60"/>
      <c r="E99" s="60"/>
      <c r="F99" s="60"/>
      <c r="G99" s="60"/>
      <c r="H99" s="60"/>
      <c r="I99" s="60"/>
      <c r="J99" s="60"/>
      <c r="K99" s="61"/>
      <c r="L99" s="61"/>
      <c r="M99" s="61"/>
      <c r="N99" s="61"/>
      <c r="O99" s="62"/>
      <c r="P99" s="62"/>
      <c r="Q99" s="62"/>
      <c r="S99" s="64"/>
      <c r="T99" s="64"/>
      <c r="U99" s="64"/>
      <c r="W99" s="66"/>
      <c r="Y99" s="66"/>
      <c r="Z99" s="66"/>
      <c r="AA99" s="68"/>
      <c r="AB99" s="66"/>
      <c r="AE99" s="66"/>
      <c r="AH99" s="68"/>
      <c r="AI99" s="66"/>
      <c r="AJ99" s="62"/>
      <c r="AK99" s="62"/>
      <c r="AL99" s="62"/>
      <c r="AM99" s="62"/>
      <c r="AN99" s="62"/>
      <c r="AO99" s="62"/>
      <c r="AP99" s="62"/>
      <c r="AQ99" s="62"/>
      <c r="AR99" s="62"/>
      <c r="AS99" s="62"/>
      <c r="AT99" s="62"/>
      <c r="AU99" s="69"/>
    </row>
    <row r="100" spans="2:47" x14ac:dyDescent="0.35">
      <c r="B100" s="59"/>
      <c r="C100" s="59"/>
      <c r="D100" s="60"/>
      <c r="E100" s="60"/>
      <c r="F100" s="60"/>
      <c r="G100" s="60"/>
      <c r="H100" s="60"/>
      <c r="I100" s="60"/>
      <c r="J100" s="60"/>
      <c r="K100" s="61"/>
      <c r="L100" s="61"/>
      <c r="M100" s="61"/>
      <c r="N100" s="61"/>
      <c r="O100" s="62"/>
      <c r="P100" s="62"/>
      <c r="Q100" s="62"/>
      <c r="S100" s="64"/>
      <c r="T100" s="64"/>
      <c r="U100" s="64"/>
      <c r="W100" s="66"/>
      <c r="Y100" s="66"/>
      <c r="Z100" s="66"/>
      <c r="AA100" s="68"/>
      <c r="AB100" s="66"/>
      <c r="AE100" s="66"/>
      <c r="AH100" s="68"/>
      <c r="AI100" s="66"/>
      <c r="AJ100" s="62"/>
      <c r="AK100" s="62"/>
      <c r="AL100" s="62"/>
      <c r="AM100" s="62"/>
      <c r="AN100" s="62"/>
      <c r="AO100" s="62"/>
      <c r="AP100" s="62"/>
      <c r="AQ100" s="62"/>
      <c r="AR100" s="62"/>
      <c r="AS100" s="62"/>
      <c r="AT100" s="62"/>
      <c r="AU100" s="69"/>
    </row>
    <row r="101" spans="2:47" x14ac:dyDescent="0.35">
      <c r="B101" s="59"/>
      <c r="C101" s="59"/>
      <c r="D101" s="60"/>
      <c r="E101" s="60"/>
      <c r="F101" s="60"/>
      <c r="G101" s="60"/>
      <c r="H101" s="60"/>
      <c r="I101" s="60"/>
      <c r="J101" s="60"/>
      <c r="K101" s="61"/>
      <c r="L101" s="61"/>
      <c r="M101" s="61"/>
      <c r="N101" s="61"/>
      <c r="O101" s="62"/>
      <c r="P101" s="62"/>
      <c r="Q101" s="62"/>
      <c r="S101" s="64"/>
      <c r="T101" s="64"/>
      <c r="U101" s="64"/>
      <c r="W101" s="66"/>
      <c r="Y101" s="66"/>
      <c r="Z101" s="66"/>
      <c r="AA101" s="68"/>
      <c r="AB101" s="66"/>
      <c r="AE101" s="66"/>
      <c r="AH101" s="68"/>
      <c r="AI101" s="66"/>
      <c r="AJ101" s="62"/>
      <c r="AK101" s="62"/>
      <c r="AL101" s="62"/>
      <c r="AM101" s="62"/>
      <c r="AN101" s="62"/>
      <c r="AO101" s="62"/>
      <c r="AP101" s="62"/>
      <c r="AQ101" s="62"/>
      <c r="AR101" s="62"/>
      <c r="AS101" s="62"/>
      <c r="AT101" s="62"/>
      <c r="AU101" s="69"/>
    </row>
    <row r="102" spans="2:47" x14ac:dyDescent="0.35">
      <c r="B102" s="59"/>
      <c r="C102" s="59"/>
      <c r="D102" s="60"/>
      <c r="E102" s="60"/>
      <c r="F102" s="60"/>
      <c r="G102" s="60"/>
      <c r="H102" s="60"/>
      <c r="I102" s="60"/>
      <c r="J102" s="60"/>
      <c r="K102" s="61"/>
      <c r="L102" s="61"/>
      <c r="M102" s="61"/>
      <c r="N102" s="61"/>
      <c r="O102" s="62"/>
      <c r="P102" s="62"/>
      <c r="Q102" s="62"/>
      <c r="S102" s="64"/>
      <c r="T102" s="64"/>
      <c r="U102" s="64"/>
      <c r="W102" s="66"/>
      <c r="Y102" s="66"/>
      <c r="Z102" s="66"/>
      <c r="AA102" s="68"/>
      <c r="AB102" s="66"/>
      <c r="AE102" s="66"/>
      <c r="AH102" s="68"/>
      <c r="AI102" s="66"/>
      <c r="AJ102" s="62"/>
      <c r="AK102" s="62"/>
      <c r="AL102" s="62"/>
      <c r="AM102" s="62"/>
      <c r="AN102" s="62"/>
      <c r="AO102" s="62"/>
      <c r="AP102" s="62"/>
      <c r="AQ102" s="62"/>
      <c r="AR102" s="62"/>
      <c r="AS102" s="62"/>
      <c r="AT102" s="62"/>
      <c r="AU102" s="69"/>
    </row>
    <row r="103" spans="2:47" x14ac:dyDescent="0.35">
      <c r="B103" s="59"/>
      <c r="C103" s="59"/>
      <c r="D103" s="60"/>
      <c r="E103" s="60"/>
      <c r="F103" s="60"/>
      <c r="G103" s="60"/>
      <c r="H103" s="60"/>
      <c r="I103" s="60"/>
      <c r="J103" s="60"/>
      <c r="K103" s="61"/>
      <c r="L103" s="61"/>
      <c r="M103" s="61"/>
      <c r="N103" s="61"/>
      <c r="O103" s="62"/>
      <c r="P103" s="62"/>
      <c r="Q103" s="62"/>
      <c r="S103" s="64"/>
      <c r="T103" s="64"/>
      <c r="U103" s="64"/>
      <c r="W103" s="66"/>
      <c r="Y103" s="66"/>
      <c r="Z103" s="66"/>
      <c r="AA103" s="68"/>
      <c r="AB103" s="66"/>
      <c r="AE103" s="66"/>
      <c r="AH103" s="68"/>
      <c r="AI103" s="66"/>
      <c r="AJ103" s="62"/>
      <c r="AK103" s="62"/>
      <c r="AL103" s="62"/>
      <c r="AM103" s="62"/>
      <c r="AN103" s="62"/>
      <c r="AO103" s="62"/>
      <c r="AP103" s="62"/>
      <c r="AQ103" s="62"/>
      <c r="AR103" s="62"/>
      <c r="AS103" s="62"/>
      <c r="AT103" s="62"/>
      <c r="AU103" s="69"/>
    </row>
    <row r="104" spans="2:47" x14ac:dyDescent="0.35">
      <c r="B104" s="59"/>
      <c r="C104" s="59"/>
      <c r="D104" s="60"/>
      <c r="E104" s="60"/>
      <c r="F104" s="60"/>
      <c r="G104" s="60"/>
      <c r="H104" s="60"/>
      <c r="I104" s="60"/>
      <c r="J104" s="60"/>
      <c r="K104" s="61"/>
      <c r="L104" s="61"/>
      <c r="M104" s="61"/>
      <c r="N104" s="61"/>
      <c r="O104" s="62"/>
      <c r="P104" s="62"/>
      <c r="Q104" s="62"/>
      <c r="S104" s="64"/>
      <c r="T104" s="64"/>
      <c r="U104" s="64"/>
      <c r="W104" s="66"/>
      <c r="Y104" s="66"/>
      <c r="Z104" s="66"/>
      <c r="AA104" s="68"/>
      <c r="AB104" s="66"/>
      <c r="AE104" s="66"/>
      <c r="AH104" s="68"/>
      <c r="AI104" s="66"/>
      <c r="AJ104" s="62"/>
      <c r="AK104" s="62"/>
      <c r="AL104" s="62"/>
      <c r="AM104" s="62"/>
      <c r="AN104" s="62"/>
      <c r="AO104" s="62"/>
      <c r="AP104" s="62"/>
      <c r="AQ104" s="62"/>
      <c r="AR104" s="62"/>
      <c r="AS104" s="62"/>
      <c r="AT104" s="62"/>
      <c r="AU104" s="69"/>
    </row>
    <row r="105" spans="2:47" x14ac:dyDescent="0.35">
      <c r="B105" s="59"/>
      <c r="C105" s="59"/>
      <c r="D105" s="60"/>
      <c r="E105" s="60"/>
      <c r="F105" s="60"/>
      <c r="G105" s="60"/>
      <c r="H105" s="60"/>
      <c r="I105" s="60"/>
      <c r="J105" s="60"/>
      <c r="K105" s="61"/>
      <c r="L105" s="61"/>
      <c r="M105" s="61"/>
      <c r="N105" s="61"/>
      <c r="O105" s="62"/>
      <c r="P105" s="62"/>
      <c r="Q105" s="62"/>
      <c r="S105" s="64"/>
      <c r="T105" s="64"/>
      <c r="U105" s="64"/>
      <c r="W105" s="66"/>
      <c r="Y105" s="66"/>
      <c r="Z105" s="66"/>
      <c r="AA105" s="68"/>
      <c r="AB105" s="66"/>
      <c r="AE105" s="66"/>
      <c r="AH105" s="68"/>
      <c r="AI105" s="66"/>
      <c r="AJ105" s="62"/>
      <c r="AK105" s="62"/>
      <c r="AL105" s="62"/>
      <c r="AM105" s="62"/>
      <c r="AN105" s="62"/>
      <c r="AO105" s="62"/>
      <c r="AP105" s="62"/>
      <c r="AQ105" s="62"/>
      <c r="AR105" s="62"/>
      <c r="AS105" s="62"/>
      <c r="AT105" s="62"/>
      <c r="AU105" s="69"/>
    </row>
    <row r="106" spans="2:47" x14ac:dyDescent="0.35">
      <c r="B106" s="59"/>
      <c r="C106" s="59"/>
      <c r="D106" s="60"/>
      <c r="E106" s="60"/>
      <c r="F106" s="60"/>
      <c r="G106" s="60"/>
      <c r="H106" s="60"/>
      <c r="I106" s="60"/>
      <c r="J106" s="60"/>
      <c r="K106" s="61"/>
      <c r="L106" s="61"/>
      <c r="M106" s="61"/>
      <c r="N106" s="61"/>
      <c r="O106" s="62"/>
      <c r="P106" s="62"/>
      <c r="Q106" s="62"/>
      <c r="S106" s="64"/>
      <c r="T106" s="64"/>
      <c r="U106" s="64"/>
      <c r="W106" s="66"/>
      <c r="Y106" s="66"/>
      <c r="Z106" s="66"/>
      <c r="AA106" s="68"/>
      <c r="AB106" s="66"/>
      <c r="AE106" s="66"/>
      <c r="AH106" s="68"/>
      <c r="AI106" s="66"/>
      <c r="AJ106" s="62"/>
      <c r="AK106" s="62"/>
      <c r="AL106" s="62"/>
      <c r="AM106" s="62"/>
      <c r="AN106" s="62"/>
      <c r="AO106" s="62"/>
      <c r="AP106" s="62"/>
      <c r="AQ106" s="62"/>
      <c r="AR106" s="62"/>
      <c r="AS106" s="62"/>
      <c r="AT106" s="62"/>
      <c r="AU106" s="69"/>
    </row>
    <row r="107" spans="2:47" x14ac:dyDescent="0.35">
      <c r="B107" s="59"/>
      <c r="C107" s="59"/>
      <c r="D107" s="60"/>
      <c r="E107" s="60"/>
      <c r="F107" s="60"/>
      <c r="G107" s="60"/>
      <c r="H107" s="60"/>
      <c r="I107" s="60"/>
      <c r="J107" s="60"/>
      <c r="K107" s="61"/>
      <c r="L107" s="61"/>
      <c r="M107" s="61"/>
      <c r="N107" s="61"/>
      <c r="O107" s="62"/>
      <c r="P107" s="62"/>
      <c r="Q107" s="62"/>
      <c r="S107" s="64"/>
      <c r="T107" s="64"/>
      <c r="U107" s="64"/>
      <c r="W107" s="66"/>
      <c r="Y107" s="66"/>
      <c r="Z107" s="66"/>
      <c r="AA107" s="68"/>
      <c r="AB107" s="66"/>
      <c r="AE107" s="66"/>
      <c r="AH107" s="68"/>
      <c r="AI107" s="66"/>
      <c r="AJ107" s="62"/>
      <c r="AK107" s="62"/>
      <c r="AL107" s="62"/>
      <c r="AM107" s="62"/>
      <c r="AN107" s="62"/>
      <c r="AO107" s="62"/>
      <c r="AP107" s="62"/>
      <c r="AQ107" s="62"/>
      <c r="AR107" s="62"/>
      <c r="AS107" s="62"/>
      <c r="AT107" s="62"/>
      <c r="AU107" s="69"/>
    </row>
    <row r="108" spans="2:47" x14ac:dyDescent="0.35">
      <c r="B108" s="59"/>
      <c r="C108" s="59"/>
      <c r="D108" s="60"/>
      <c r="E108" s="60"/>
      <c r="F108" s="60"/>
      <c r="G108" s="60"/>
      <c r="H108" s="60"/>
      <c r="I108" s="60"/>
      <c r="J108" s="60"/>
      <c r="K108" s="61"/>
      <c r="L108" s="61"/>
      <c r="M108" s="61"/>
      <c r="N108" s="61"/>
      <c r="O108" s="62"/>
      <c r="P108" s="62"/>
      <c r="Q108" s="62"/>
      <c r="S108" s="64"/>
      <c r="T108" s="64"/>
      <c r="U108" s="64"/>
      <c r="W108" s="66"/>
      <c r="Y108" s="66"/>
      <c r="Z108" s="66"/>
      <c r="AA108" s="68"/>
      <c r="AB108" s="66"/>
      <c r="AE108" s="66"/>
      <c r="AH108" s="68"/>
      <c r="AI108" s="66"/>
      <c r="AJ108" s="62"/>
      <c r="AK108" s="62"/>
      <c r="AL108" s="62"/>
      <c r="AM108" s="62"/>
      <c r="AN108" s="62"/>
      <c r="AO108" s="62"/>
      <c r="AP108" s="62"/>
      <c r="AQ108" s="62"/>
      <c r="AR108" s="62"/>
      <c r="AS108" s="62"/>
      <c r="AT108" s="62"/>
      <c r="AU108" s="69"/>
    </row>
    <row r="109" spans="2:47" x14ac:dyDescent="0.35">
      <c r="B109" s="59"/>
      <c r="C109" s="59"/>
      <c r="D109" s="60"/>
      <c r="E109" s="60"/>
      <c r="F109" s="60"/>
      <c r="G109" s="60"/>
      <c r="H109" s="60"/>
      <c r="I109" s="60"/>
      <c r="J109" s="60"/>
      <c r="K109" s="61"/>
      <c r="L109" s="61"/>
      <c r="M109" s="61"/>
      <c r="N109" s="61"/>
      <c r="O109" s="62"/>
      <c r="P109" s="62"/>
      <c r="Q109" s="62"/>
      <c r="S109" s="64"/>
      <c r="T109" s="64"/>
      <c r="U109" s="64"/>
      <c r="W109" s="66"/>
      <c r="Y109" s="66"/>
      <c r="Z109" s="66"/>
      <c r="AA109" s="68"/>
      <c r="AB109" s="66"/>
      <c r="AE109" s="66"/>
      <c r="AH109" s="68"/>
      <c r="AI109" s="66"/>
      <c r="AJ109" s="62"/>
      <c r="AK109" s="62"/>
      <c r="AL109" s="62"/>
      <c r="AM109" s="62"/>
      <c r="AN109" s="62"/>
      <c r="AO109" s="62"/>
      <c r="AP109" s="62"/>
      <c r="AQ109" s="62"/>
      <c r="AR109" s="62"/>
      <c r="AS109" s="62"/>
      <c r="AT109" s="62"/>
      <c r="AU109" s="69"/>
    </row>
    <row r="110" spans="2:47" x14ac:dyDescent="0.35">
      <c r="B110" s="59"/>
      <c r="C110" s="59"/>
      <c r="D110" s="60"/>
      <c r="E110" s="60"/>
      <c r="F110" s="60"/>
      <c r="G110" s="60"/>
      <c r="H110" s="60"/>
      <c r="I110" s="60"/>
      <c r="J110" s="60"/>
      <c r="K110" s="61"/>
      <c r="L110" s="61"/>
      <c r="M110" s="61"/>
      <c r="N110" s="61"/>
      <c r="O110" s="62"/>
      <c r="P110" s="62"/>
      <c r="Q110" s="62"/>
      <c r="S110" s="64"/>
      <c r="T110" s="64"/>
      <c r="U110" s="64"/>
      <c r="W110" s="66"/>
      <c r="Y110" s="66"/>
      <c r="Z110" s="66"/>
      <c r="AA110" s="68"/>
      <c r="AB110" s="66"/>
      <c r="AE110" s="66"/>
      <c r="AH110" s="68"/>
      <c r="AI110" s="66"/>
      <c r="AJ110" s="62"/>
      <c r="AK110" s="62"/>
      <c r="AL110" s="62"/>
      <c r="AM110" s="62"/>
      <c r="AN110" s="62"/>
      <c r="AO110" s="62"/>
      <c r="AP110" s="62"/>
      <c r="AQ110" s="62"/>
      <c r="AR110" s="62"/>
      <c r="AS110" s="62"/>
      <c r="AT110" s="62"/>
      <c r="AU110" s="69"/>
    </row>
    <row r="111" spans="2:47" x14ac:dyDescent="0.35">
      <c r="B111" s="59"/>
      <c r="C111" s="59"/>
      <c r="D111" s="60"/>
      <c r="E111" s="60"/>
      <c r="F111" s="60"/>
      <c r="G111" s="60"/>
      <c r="H111" s="60"/>
      <c r="I111" s="60"/>
      <c r="J111" s="60"/>
      <c r="K111" s="61"/>
      <c r="L111" s="61"/>
      <c r="M111" s="61"/>
      <c r="N111" s="61"/>
      <c r="O111" s="62"/>
      <c r="P111" s="62"/>
      <c r="Q111" s="62"/>
      <c r="S111" s="64"/>
      <c r="T111" s="64"/>
      <c r="U111" s="64"/>
      <c r="W111" s="66"/>
      <c r="Y111" s="66"/>
      <c r="Z111" s="66"/>
      <c r="AA111" s="68"/>
      <c r="AB111" s="66"/>
      <c r="AE111" s="66"/>
      <c r="AH111" s="68"/>
      <c r="AI111" s="66"/>
      <c r="AJ111" s="62"/>
      <c r="AK111" s="62"/>
      <c r="AL111" s="62"/>
      <c r="AM111" s="62"/>
      <c r="AN111" s="62"/>
      <c r="AO111" s="62"/>
      <c r="AP111" s="62"/>
      <c r="AQ111" s="62"/>
      <c r="AR111" s="62"/>
      <c r="AS111" s="62"/>
      <c r="AT111" s="62"/>
      <c r="AU111" s="69"/>
    </row>
    <row r="112" spans="2:47" x14ac:dyDescent="0.35">
      <c r="B112" s="59"/>
      <c r="C112" s="59"/>
      <c r="D112" s="60"/>
      <c r="E112" s="60"/>
      <c r="F112" s="60"/>
      <c r="G112" s="60"/>
      <c r="H112" s="60"/>
      <c r="I112" s="60"/>
      <c r="J112" s="60"/>
      <c r="K112" s="61"/>
      <c r="L112" s="61"/>
      <c r="M112" s="61"/>
      <c r="N112" s="61"/>
      <c r="O112" s="62"/>
      <c r="P112" s="62"/>
      <c r="Q112" s="62"/>
      <c r="S112" s="64"/>
      <c r="T112" s="64"/>
      <c r="U112" s="64"/>
      <c r="W112" s="66"/>
      <c r="Y112" s="66"/>
      <c r="Z112" s="66"/>
      <c r="AA112" s="68"/>
      <c r="AB112" s="66"/>
      <c r="AE112" s="66"/>
      <c r="AH112" s="68"/>
      <c r="AI112" s="66"/>
      <c r="AJ112" s="62"/>
      <c r="AK112" s="62"/>
      <c r="AL112" s="62"/>
      <c r="AM112" s="62"/>
      <c r="AN112" s="62"/>
      <c r="AO112" s="62"/>
      <c r="AP112" s="62"/>
      <c r="AQ112" s="62"/>
      <c r="AR112" s="62"/>
      <c r="AS112" s="62"/>
      <c r="AT112" s="62"/>
      <c r="AU112" s="69"/>
    </row>
    <row r="113" spans="2:47" x14ac:dyDescent="0.35">
      <c r="B113" s="59"/>
      <c r="C113" s="59"/>
      <c r="D113" s="60"/>
      <c r="E113" s="60"/>
      <c r="F113" s="60"/>
      <c r="G113" s="60"/>
      <c r="H113" s="60"/>
      <c r="I113" s="60"/>
      <c r="J113" s="60"/>
      <c r="K113" s="61"/>
      <c r="L113" s="61"/>
      <c r="M113" s="61"/>
      <c r="N113" s="61"/>
      <c r="O113" s="62"/>
      <c r="P113" s="62"/>
      <c r="Q113" s="62"/>
      <c r="S113" s="64"/>
      <c r="T113" s="64"/>
      <c r="U113" s="64"/>
      <c r="W113" s="66"/>
      <c r="Y113" s="66"/>
      <c r="Z113" s="66"/>
      <c r="AA113" s="68"/>
      <c r="AB113" s="66"/>
      <c r="AE113" s="66"/>
      <c r="AH113" s="68"/>
      <c r="AI113" s="66"/>
      <c r="AJ113" s="62"/>
      <c r="AK113" s="62"/>
      <c r="AL113" s="62"/>
      <c r="AM113" s="62"/>
      <c r="AN113" s="62"/>
      <c r="AO113" s="62"/>
      <c r="AP113" s="62"/>
      <c r="AQ113" s="62"/>
      <c r="AR113" s="62"/>
      <c r="AS113" s="62"/>
      <c r="AT113" s="62"/>
      <c r="AU113" s="69"/>
    </row>
    <row r="114" spans="2:47" x14ac:dyDescent="0.35">
      <c r="B114" s="59"/>
      <c r="C114" s="59"/>
      <c r="D114" s="60"/>
      <c r="E114" s="60"/>
      <c r="F114" s="60"/>
      <c r="G114" s="60"/>
      <c r="H114" s="60"/>
      <c r="I114" s="60"/>
      <c r="J114" s="60"/>
      <c r="K114" s="61"/>
      <c r="L114" s="61"/>
      <c r="M114" s="61"/>
      <c r="N114" s="61"/>
      <c r="O114" s="62"/>
      <c r="P114" s="62"/>
      <c r="Q114" s="62"/>
      <c r="S114" s="64"/>
      <c r="T114" s="64"/>
      <c r="U114" s="64"/>
      <c r="W114" s="66"/>
      <c r="Y114" s="66"/>
      <c r="Z114" s="66"/>
      <c r="AA114" s="68"/>
      <c r="AB114" s="66"/>
      <c r="AE114" s="66"/>
      <c r="AH114" s="68"/>
      <c r="AI114" s="66"/>
      <c r="AJ114" s="62"/>
      <c r="AK114" s="62"/>
      <c r="AL114" s="62"/>
      <c r="AM114" s="62"/>
      <c r="AN114" s="62"/>
      <c r="AO114" s="62"/>
      <c r="AP114" s="62"/>
      <c r="AQ114" s="62"/>
      <c r="AR114" s="62"/>
      <c r="AS114" s="62"/>
      <c r="AT114" s="62"/>
      <c r="AU114" s="69"/>
    </row>
    <row r="115" spans="2:47" x14ac:dyDescent="0.35">
      <c r="B115" s="59"/>
      <c r="C115" s="59"/>
      <c r="D115" s="60"/>
      <c r="E115" s="60"/>
      <c r="F115" s="60"/>
      <c r="G115" s="60"/>
      <c r="H115" s="60"/>
      <c r="I115" s="60"/>
      <c r="J115" s="60"/>
      <c r="K115" s="61"/>
      <c r="L115" s="61"/>
      <c r="M115" s="61"/>
      <c r="N115" s="61"/>
      <c r="O115" s="62"/>
      <c r="P115" s="62"/>
      <c r="Q115" s="62"/>
      <c r="S115" s="64"/>
      <c r="T115" s="64"/>
      <c r="U115" s="64"/>
      <c r="W115" s="66"/>
      <c r="Y115" s="66"/>
      <c r="Z115" s="66"/>
      <c r="AA115" s="68"/>
      <c r="AB115" s="66"/>
      <c r="AE115" s="66"/>
      <c r="AH115" s="68"/>
      <c r="AI115" s="66"/>
      <c r="AJ115" s="62"/>
      <c r="AK115" s="62"/>
      <c r="AL115" s="62"/>
      <c r="AM115" s="62"/>
      <c r="AN115" s="62"/>
      <c r="AO115" s="62"/>
      <c r="AP115" s="62"/>
      <c r="AQ115" s="62"/>
      <c r="AR115" s="62"/>
      <c r="AS115" s="62"/>
      <c r="AT115" s="62"/>
      <c r="AU115" s="69"/>
    </row>
    <row r="116" spans="2:47" x14ac:dyDescent="0.35">
      <c r="B116" s="59"/>
      <c r="C116" s="59"/>
      <c r="D116" s="60"/>
      <c r="E116" s="60"/>
      <c r="F116" s="60"/>
      <c r="G116" s="60"/>
      <c r="H116" s="60"/>
      <c r="I116" s="60"/>
      <c r="J116" s="60"/>
      <c r="K116" s="61"/>
      <c r="L116" s="61"/>
      <c r="M116" s="61"/>
      <c r="N116" s="61"/>
      <c r="O116" s="62"/>
      <c r="P116" s="62"/>
      <c r="Q116" s="62"/>
      <c r="S116" s="64"/>
      <c r="T116" s="64"/>
      <c r="U116" s="64"/>
      <c r="W116" s="66"/>
      <c r="Y116" s="66"/>
      <c r="Z116" s="66"/>
      <c r="AA116" s="68"/>
      <c r="AB116" s="66"/>
      <c r="AE116" s="66"/>
      <c r="AH116" s="68"/>
      <c r="AI116" s="66"/>
      <c r="AJ116" s="62"/>
      <c r="AK116" s="62"/>
      <c r="AL116" s="62"/>
      <c r="AM116" s="62"/>
      <c r="AN116" s="62"/>
      <c r="AO116" s="62"/>
      <c r="AP116" s="62"/>
      <c r="AQ116" s="62"/>
      <c r="AR116" s="62"/>
      <c r="AS116" s="62"/>
      <c r="AT116" s="62"/>
      <c r="AU116" s="69"/>
    </row>
    <row r="117" spans="2:47" x14ac:dyDescent="0.35">
      <c r="B117" s="59"/>
      <c r="C117" s="59"/>
      <c r="D117" s="60"/>
      <c r="E117" s="60"/>
      <c r="F117" s="60"/>
      <c r="G117" s="60"/>
      <c r="H117" s="60"/>
      <c r="I117" s="60"/>
      <c r="J117" s="60"/>
      <c r="K117" s="61"/>
      <c r="L117" s="61"/>
      <c r="M117" s="61"/>
      <c r="N117" s="61"/>
      <c r="O117" s="62"/>
      <c r="P117" s="62"/>
      <c r="Q117" s="62"/>
      <c r="S117" s="64"/>
      <c r="T117" s="64"/>
      <c r="U117" s="64"/>
      <c r="W117" s="66"/>
      <c r="Y117" s="66"/>
      <c r="Z117" s="66"/>
      <c r="AA117" s="68"/>
      <c r="AB117" s="66"/>
      <c r="AE117" s="66"/>
      <c r="AH117" s="68"/>
      <c r="AI117" s="66"/>
      <c r="AJ117" s="62"/>
      <c r="AK117" s="62"/>
      <c r="AL117" s="62"/>
      <c r="AM117" s="62"/>
      <c r="AN117" s="62"/>
      <c r="AO117" s="62"/>
      <c r="AP117" s="62"/>
      <c r="AQ117" s="62"/>
      <c r="AR117" s="62"/>
      <c r="AS117" s="62"/>
      <c r="AT117" s="62"/>
      <c r="AU117" s="69"/>
    </row>
    <row r="118" spans="2:47" x14ac:dyDescent="0.35">
      <c r="B118" s="59"/>
      <c r="C118" s="59"/>
      <c r="D118" s="60"/>
      <c r="E118" s="60"/>
      <c r="F118" s="60"/>
      <c r="G118" s="60"/>
      <c r="H118" s="60"/>
      <c r="I118" s="60"/>
      <c r="J118" s="60"/>
      <c r="K118" s="61"/>
      <c r="L118" s="61"/>
      <c r="M118" s="61"/>
      <c r="N118" s="61"/>
      <c r="O118" s="62"/>
      <c r="P118" s="62"/>
      <c r="Q118" s="62"/>
      <c r="S118" s="64"/>
      <c r="T118" s="64"/>
      <c r="U118" s="64"/>
      <c r="W118" s="66"/>
      <c r="Y118" s="66"/>
      <c r="Z118" s="66"/>
      <c r="AA118" s="68"/>
      <c r="AB118" s="66"/>
      <c r="AE118" s="66"/>
      <c r="AH118" s="68"/>
      <c r="AI118" s="66"/>
      <c r="AJ118" s="62"/>
      <c r="AK118" s="62"/>
      <c r="AL118" s="62"/>
      <c r="AM118" s="62"/>
      <c r="AN118" s="62"/>
      <c r="AO118" s="62"/>
      <c r="AP118" s="62"/>
      <c r="AQ118" s="62"/>
      <c r="AR118" s="62"/>
      <c r="AS118" s="62"/>
      <c r="AT118" s="62"/>
      <c r="AU118" s="69"/>
    </row>
    <row r="119" spans="2:47" x14ac:dyDescent="0.35">
      <c r="B119" s="59"/>
      <c r="C119" s="59"/>
      <c r="D119" s="60"/>
      <c r="E119" s="60"/>
      <c r="F119" s="60"/>
      <c r="G119" s="60"/>
      <c r="H119" s="60"/>
      <c r="I119" s="60"/>
      <c r="J119" s="60"/>
      <c r="K119" s="61"/>
      <c r="L119" s="61"/>
      <c r="M119" s="61"/>
      <c r="N119" s="61"/>
      <c r="O119" s="62"/>
      <c r="P119" s="62"/>
      <c r="Q119" s="62"/>
      <c r="S119" s="64"/>
      <c r="T119" s="64"/>
      <c r="U119" s="64"/>
      <c r="W119" s="66"/>
      <c r="Y119" s="66"/>
      <c r="Z119" s="66"/>
      <c r="AA119" s="68"/>
      <c r="AB119" s="66"/>
      <c r="AE119" s="66"/>
      <c r="AH119" s="68"/>
      <c r="AI119" s="66"/>
      <c r="AJ119" s="62"/>
      <c r="AK119" s="62"/>
      <c r="AL119" s="62"/>
      <c r="AM119" s="62"/>
      <c r="AN119" s="62"/>
      <c r="AO119" s="62"/>
      <c r="AP119" s="62"/>
      <c r="AQ119" s="62"/>
      <c r="AR119" s="62"/>
      <c r="AS119" s="62"/>
      <c r="AT119" s="62"/>
      <c r="AU119" s="69"/>
    </row>
    <row r="120" spans="2:47" x14ac:dyDescent="0.35">
      <c r="B120" s="59"/>
      <c r="C120" s="59"/>
      <c r="D120" s="60"/>
      <c r="E120" s="60"/>
      <c r="F120" s="60"/>
      <c r="G120" s="60"/>
      <c r="H120" s="60"/>
      <c r="I120" s="60"/>
      <c r="J120" s="60"/>
      <c r="K120" s="61"/>
      <c r="L120" s="61"/>
      <c r="M120" s="61"/>
      <c r="N120" s="61"/>
      <c r="O120" s="62"/>
      <c r="P120" s="62"/>
      <c r="Q120" s="62"/>
      <c r="S120" s="64"/>
      <c r="T120" s="64"/>
      <c r="U120" s="64"/>
      <c r="W120" s="66"/>
      <c r="Y120" s="66"/>
      <c r="Z120" s="66"/>
      <c r="AA120" s="68"/>
      <c r="AB120" s="66"/>
      <c r="AE120" s="66"/>
      <c r="AH120" s="68"/>
      <c r="AI120" s="66"/>
      <c r="AJ120" s="62"/>
      <c r="AK120" s="62"/>
      <c r="AL120" s="62"/>
      <c r="AM120" s="62"/>
      <c r="AN120" s="62"/>
      <c r="AO120" s="62"/>
      <c r="AP120" s="62"/>
      <c r="AQ120" s="62"/>
      <c r="AR120" s="62"/>
      <c r="AS120" s="62"/>
      <c r="AT120" s="62"/>
      <c r="AU120" s="69"/>
    </row>
    <row r="121" spans="2:47" x14ac:dyDescent="0.35">
      <c r="B121" s="59"/>
      <c r="C121" s="59"/>
      <c r="D121" s="60"/>
      <c r="E121" s="60"/>
      <c r="F121" s="60"/>
      <c r="G121" s="60"/>
      <c r="H121" s="60"/>
      <c r="I121" s="60"/>
      <c r="J121" s="60"/>
      <c r="K121" s="61"/>
      <c r="L121" s="61"/>
      <c r="M121" s="61"/>
      <c r="N121" s="61"/>
      <c r="O121" s="62"/>
      <c r="P121" s="62"/>
      <c r="Q121" s="62"/>
      <c r="S121" s="64"/>
      <c r="T121" s="64"/>
      <c r="U121" s="64"/>
      <c r="W121" s="66"/>
      <c r="Y121" s="66"/>
      <c r="Z121" s="66"/>
      <c r="AA121" s="68"/>
      <c r="AB121" s="66"/>
      <c r="AE121" s="66"/>
      <c r="AH121" s="68"/>
      <c r="AI121" s="66"/>
      <c r="AJ121" s="62"/>
      <c r="AK121" s="62"/>
      <c r="AL121" s="62"/>
      <c r="AM121" s="62"/>
      <c r="AN121" s="62"/>
      <c r="AO121" s="62"/>
      <c r="AP121" s="62"/>
      <c r="AQ121" s="62"/>
      <c r="AR121" s="62"/>
      <c r="AS121" s="62"/>
      <c r="AT121" s="62"/>
      <c r="AU121" s="69"/>
    </row>
    <row r="122" spans="2:47" x14ac:dyDescent="0.35">
      <c r="B122" s="59"/>
      <c r="C122" s="59"/>
      <c r="D122" s="60"/>
      <c r="E122" s="60"/>
      <c r="F122" s="60"/>
      <c r="G122" s="60"/>
      <c r="H122" s="60"/>
      <c r="I122" s="60"/>
      <c r="J122" s="60"/>
      <c r="K122" s="61"/>
      <c r="L122" s="61"/>
      <c r="M122" s="61"/>
      <c r="N122" s="61"/>
      <c r="O122" s="62"/>
      <c r="P122" s="62"/>
      <c r="Q122" s="62"/>
      <c r="S122" s="64"/>
      <c r="T122" s="64"/>
      <c r="U122" s="64"/>
      <c r="W122" s="66"/>
      <c r="Y122" s="66"/>
      <c r="Z122" s="66"/>
      <c r="AA122" s="68"/>
      <c r="AB122" s="66"/>
      <c r="AE122" s="66"/>
      <c r="AH122" s="68"/>
      <c r="AI122" s="66"/>
      <c r="AJ122" s="62"/>
      <c r="AK122" s="62"/>
      <c r="AL122" s="62"/>
      <c r="AM122" s="62"/>
      <c r="AN122" s="62"/>
      <c r="AO122" s="62"/>
      <c r="AP122" s="62"/>
      <c r="AQ122" s="62"/>
      <c r="AR122" s="62"/>
      <c r="AS122" s="62"/>
      <c r="AT122" s="62"/>
      <c r="AU122" s="69"/>
    </row>
    <row r="123" spans="2:47" x14ac:dyDescent="0.35">
      <c r="B123" s="59"/>
      <c r="C123" s="59"/>
      <c r="D123" s="60"/>
      <c r="E123" s="60"/>
      <c r="F123" s="60"/>
      <c r="G123" s="60"/>
      <c r="H123" s="60"/>
      <c r="I123" s="60"/>
      <c r="J123" s="60"/>
      <c r="K123" s="61"/>
      <c r="L123" s="61"/>
      <c r="M123" s="61"/>
      <c r="N123" s="61"/>
      <c r="O123" s="62"/>
      <c r="P123" s="62"/>
      <c r="Q123" s="62"/>
      <c r="S123" s="64"/>
      <c r="T123" s="64"/>
      <c r="U123" s="64"/>
      <c r="W123" s="66"/>
      <c r="Y123" s="66"/>
      <c r="Z123" s="66"/>
      <c r="AA123" s="68"/>
      <c r="AB123" s="66"/>
      <c r="AE123" s="66"/>
      <c r="AH123" s="68"/>
      <c r="AI123" s="66"/>
      <c r="AJ123" s="62"/>
      <c r="AK123" s="62"/>
      <c r="AL123" s="62"/>
      <c r="AM123" s="62"/>
      <c r="AN123" s="62"/>
      <c r="AO123" s="62"/>
      <c r="AP123" s="62"/>
      <c r="AQ123" s="62"/>
      <c r="AR123" s="62"/>
      <c r="AS123" s="62"/>
      <c r="AT123" s="62"/>
      <c r="AU123" s="69"/>
    </row>
    <row r="124" spans="2:47" x14ac:dyDescent="0.35">
      <c r="B124" s="59"/>
      <c r="C124" s="59"/>
      <c r="D124" s="60"/>
      <c r="E124" s="60"/>
      <c r="F124" s="60"/>
      <c r="G124" s="60"/>
      <c r="H124" s="60"/>
      <c r="I124" s="60"/>
      <c r="J124" s="60"/>
      <c r="K124" s="61"/>
      <c r="L124" s="61"/>
      <c r="M124" s="61"/>
      <c r="N124" s="61"/>
      <c r="O124" s="62"/>
      <c r="P124" s="62"/>
      <c r="Q124" s="62"/>
      <c r="S124" s="64"/>
      <c r="T124" s="64"/>
      <c r="U124" s="64"/>
      <c r="W124" s="66"/>
      <c r="Y124" s="66"/>
      <c r="Z124" s="66"/>
      <c r="AA124" s="68"/>
      <c r="AB124" s="66"/>
      <c r="AE124" s="66"/>
      <c r="AH124" s="68"/>
      <c r="AI124" s="66"/>
      <c r="AJ124" s="62"/>
      <c r="AK124" s="62"/>
      <c r="AL124" s="62"/>
      <c r="AM124" s="62"/>
      <c r="AN124" s="62"/>
      <c r="AO124" s="62"/>
      <c r="AP124" s="62"/>
      <c r="AQ124" s="62"/>
      <c r="AR124" s="62"/>
      <c r="AS124" s="62"/>
      <c r="AT124" s="62"/>
      <c r="AU124" s="69"/>
    </row>
    <row r="125" spans="2:47" x14ac:dyDescent="0.35">
      <c r="B125" s="59"/>
      <c r="C125" s="59"/>
      <c r="D125" s="60"/>
      <c r="E125" s="60"/>
      <c r="F125" s="60"/>
      <c r="G125" s="60"/>
      <c r="H125" s="60"/>
      <c r="I125" s="60"/>
      <c r="J125" s="60"/>
      <c r="K125" s="61"/>
      <c r="L125" s="61"/>
      <c r="M125" s="61"/>
      <c r="N125" s="61"/>
      <c r="O125" s="62"/>
      <c r="P125" s="62"/>
      <c r="Q125" s="62"/>
      <c r="S125" s="64"/>
      <c r="T125" s="64"/>
      <c r="U125" s="64"/>
      <c r="W125" s="66"/>
      <c r="Y125" s="66"/>
      <c r="Z125" s="66"/>
      <c r="AA125" s="68"/>
      <c r="AB125" s="66"/>
      <c r="AE125" s="66"/>
      <c r="AH125" s="68"/>
      <c r="AI125" s="66"/>
      <c r="AJ125" s="62"/>
      <c r="AK125" s="62"/>
      <c r="AL125" s="62"/>
      <c r="AM125" s="62"/>
      <c r="AN125" s="62"/>
      <c r="AO125" s="62"/>
      <c r="AP125" s="62"/>
      <c r="AQ125" s="62"/>
      <c r="AR125" s="62"/>
      <c r="AS125" s="62"/>
      <c r="AT125" s="62"/>
      <c r="AU125" s="69"/>
    </row>
    <row r="126" spans="2:47" x14ac:dyDescent="0.35">
      <c r="B126" s="59"/>
      <c r="C126" s="59"/>
      <c r="D126" s="60"/>
      <c r="E126" s="60"/>
      <c r="F126" s="60"/>
      <c r="G126" s="60"/>
      <c r="H126" s="60"/>
      <c r="I126" s="60"/>
      <c r="J126" s="60"/>
      <c r="K126" s="61"/>
      <c r="L126" s="61"/>
      <c r="M126" s="61"/>
      <c r="N126" s="61"/>
      <c r="O126" s="62"/>
      <c r="P126" s="62"/>
      <c r="Q126" s="62"/>
      <c r="S126" s="64"/>
      <c r="T126" s="64"/>
      <c r="U126" s="64"/>
      <c r="W126" s="66"/>
      <c r="Y126" s="66"/>
      <c r="Z126" s="66"/>
      <c r="AA126" s="68"/>
      <c r="AB126" s="66"/>
      <c r="AE126" s="66"/>
      <c r="AH126" s="68"/>
      <c r="AI126" s="66"/>
      <c r="AJ126" s="62"/>
      <c r="AK126" s="62"/>
      <c r="AL126" s="62"/>
      <c r="AM126" s="62"/>
      <c r="AN126" s="62"/>
      <c r="AO126" s="62"/>
      <c r="AP126" s="62"/>
      <c r="AQ126" s="62"/>
      <c r="AR126" s="62"/>
      <c r="AS126" s="62"/>
      <c r="AT126" s="62"/>
      <c r="AU126" s="69"/>
    </row>
    <row r="127" spans="2:47" x14ac:dyDescent="0.35">
      <c r="B127" s="59"/>
      <c r="C127" s="59"/>
      <c r="D127" s="60"/>
      <c r="E127" s="60"/>
      <c r="F127" s="60"/>
      <c r="G127" s="60"/>
      <c r="H127" s="60"/>
      <c r="I127" s="60"/>
      <c r="J127" s="60"/>
      <c r="K127" s="61"/>
      <c r="L127" s="61"/>
      <c r="M127" s="61"/>
      <c r="N127" s="61"/>
      <c r="O127" s="62"/>
      <c r="P127" s="62"/>
      <c r="Q127" s="62"/>
      <c r="S127" s="64"/>
      <c r="T127" s="64"/>
      <c r="U127" s="64"/>
      <c r="W127" s="66"/>
      <c r="Y127" s="66"/>
      <c r="Z127" s="66"/>
      <c r="AA127" s="68"/>
      <c r="AB127" s="66"/>
      <c r="AE127" s="66"/>
      <c r="AH127" s="68"/>
      <c r="AI127" s="66"/>
      <c r="AJ127" s="62"/>
      <c r="AK127" s="62"/>
      <c r="AL127" s="62"/>
      <c r="AM127" s="62"/>
      <c r="AN127" s="62"/>
      <c r="AO127" s="62"/>
      <c r="AP127" s="62"/>
      <c r="AQ127" s="62"/>
      <c r="AR127" s="62"/>
      <c r="AS127" s="62"/>
      <c r="AT127" s="62"/>
      <c r="AU127" s="69"/>
    </row>
    <row r="128" spans="2:47" x14ac:dyDescent="0.35">
      <c r="B128" s="59"/>
      <c r="C128" s="59"/>
      <c r="D128" s="60"/>
      <c r="E128" s="60"/>
      <c r="F128" s="60"/>
      <c r="G128" s="60"/>
      <c r="H128" s="60"/>
      <c r="I128" s="60"/>
      <c r="J128" s="60"/>
      <c r="K128" s="61"/>
      <c r="L128" s="61"/>
      <c r="M128" s="61"/>
      <c r="N128" s="61"/>
      <c r="O128" s="62"/>
      <c r="P128" s="62"/>
      <c r="Q128" s="62"/>
      <c r="S128" s="64"/>
      <c r="T128" s="64"/>
      <c r="U128" s="64"/>
      <c r="W128" s="66"/>
      <c r="Y128" s="66"/>
      <c r="Z128" s="66"/>
      <c r="AA128" s="68"/>
      <c r="AB128" s="66"/>
      <c r="AE128" s="66"/>
      <c r="AH128" s="68"/>
      <c r="AI128" s="66"/>
      <c r="AJ128" s="62"/>
      <c r="AK128" s="62"/>
      <c r="AL128" s="62"/>
      <c r="AM128" s="62"/>
      <c r="AN128" s="62"/>
      <c r="AO128" s="62"/>
      <c r="AP128" s="62"/>
      <c r="AQ128" s="62"/>
      <c r="AR128" s="62"/>
      <c r="AS128" s="62"/>
      <c r="AT128" s="62"/>
      <c r="AU128" s="69"/>
    </row>
    <row r="129" spans="2:47" x14ac:dyDescent="0.35">
      <c r="B129" s="59"/>
      <c r="C129" s="59"/>
      <c r="D129" s="60"/>
      <c r="E129" s="60"/>
      <c r="F129" s="60"/>
      <c r="G129" s="60"/>
      <c r="H129" s="60"/>
      <c r="I129" s="60"/>
      <c r="J129" s="60"/>
      <c r="K129" s="61"/>
      <c r="L129" s="61"/>
      <c r="M129" s="61"/>
      <c r="N129" s="61"/>
      <c r="O129" s="62"/>
      <c r="P129" s="62"/>
      <c r="Q129" s="62"/>
      <c r="S129" s="64"/>
      <c r="T129" s="64"/>
      <c r="U129" s="64"/>
      <c r="W129" s="66"/>
      <c r="Y129" s="66"/>
      <c r="Z129" s="66"/>
      <c r="AA129" s="68"/>
      <c r="AB129" s="66"/>
      <c r="AE129" s="66"/>
      <c r="AH129" s="68"/>
      <c r="AI129" s="66"/>
      <c r="AJ129" s="62"/>
      <c r="AK129" s="62"/>
      <c r="AL129" s="62"/>
      <c r="AM129" s="62"/>
      <c r="AN129" s="62"/>
      <c r="AO129" s="62"/>
      <c r="AP129" s="62"/>
      <c r="AQ129" s="62"/>
      <c r="AR129" s="62"/>
      <c r="AS129" s="62"/>
      <c r="AT129" s="62"/>
      <c r="AU129" s="69"/>
    </row>
    <row r="130" spans="2:47" x14ac:dyDescent="0.35">
      <c r="B130" s="59"/>
      <c r="C130" s="59"/>
      <c r="D130" s="60"/>
      <c r="E130" s="60"/>
      <c r="F130" s="60"/>
      <c r="G130" s="60"/>
      <c r="H130" s="60"/>
      <c r="I130" s="60"/>
      <c r="J130" s="60"/>
      <c r="K130" s="61"/>
      <c r="L130" s="61"/>
      <c r="M130" s="61"/>
      <c r="N130" s="61"/>
      <c r="O130" s="62"/>
      <c r="P130" s="62"/>
      <c r="Q130" s="62"/>
      <c r="S130" s="64"/>
      <c r="T130" s="64"/>
      <c r="U130" s="64"/>
      <c r="W130" s="66"/>
      <c r="Y130" s="66"/>
      <c r="Z130" s="66"/>
      <c r="AA130" s="68"/>
      <c r="AB130" s="66"/>
      <c r="AE130" s="66"/>
      <c r="AH130" s="68"/>
      <c r="AI130" s="66"/>
      <c r="AJ130" s="62"/>
      <c r="AK130" s="62"/>
      <c r="AL130" s="62"/>
      <c r="AM130" s="62"/>
      <c r="AN130" s="62"/>
      <c r="AO130" s="62"/>
      <c r="AP130" s="62"/>
      <c r="AQ130" s="62"/>
      <c r="AR130" s="62"/>
      <c r="AS130" s="62"/>
      <c r="AT130" s="62"/>
      <c r="AU130" s="69"/>
    </row>
    <row r="131" spans="2:47" x14ac:dyDescent="0.35">
      <c r="B131" s="59"/>
      <c r="C131" s="59"/>
      <c r="D131" s="60"/>
      <c r="E131" s="60"/>
      <c r="F131" s="60"/>
      <c r="G131" s="60"/>
      <c r="H131" s="60"/>
      <c r="I131" s="60"/>
      <c r="J131" s="60"/>
      <c r="K131" s="61"/>
      <c r="L131" s="61"/>
      <c r="M131" s="61"/>
      <c r="N131" s="61"/>
      <c r="O131" s="62"/>
      <c r="P131" s="62"/>
      <c r="Q131" s="62"/>
      <c r="S131" s="64"/>
      <c r="T131" s="64"/>
      <c r="U131" s="64"/>
      <c r="W131" s="66"/>
      <c r="Y131" s="66"/>
      <c r="Z131" s="66"/>
      <c r="AA131" s="68"/>
      <c r="AB131" s="66"/>
      <c r="AE131" s="66"/>
      <c r="AH131" s="68"/>
      <c r="AI131" s="66"/>
      <c r="AJ131" s="62"/>
      <c r="AK131" s="62"/>
      <c r="AL131" s="62"/>
      <c r="AM131" s="62"/>
      <c r="AN131" s="62"/>
      <c r="AO131" s="62"/>
      <c r="AP131" s="62"/>
      <c r="AQ131" s="62"/>
      <c r="AR131" s="62"/>
      <c r="AS131" s="62"/>
      <c r="AT131" s="62"/>
      <c r="AU131" s="69"/>
    </row>
    <row r="132" spans="2:47" x14ac:dyDescent="0.35">
      <c r="B132" s="59"/>
      <c r="C132" s="59"/>
      <c r="D132" s="60"/>
      <c r="E132" s="60"/>
      <c r="F132" s="60"/>
      <c r="G132" s="60"/>
      <c r="H132" s="60"/>
      <c r="I132" s="60"/>
      <c r="J132" s="60"/>
      <c r="K132" s="61"/>
      <c r="L132" s="61"/>
      <c r="M132" s="61"/>
      <c r="N132" s="61"/>
      <c r="O132" s="62"/>
      <c r="P132" s="62"/>
      <c r="Q132" s="62"/>
      <c r="S132" s="64"/>
      <c r="T132" s="64"/>
      <c r="U132" s="64"/>
      <c r="W132" s="66"/>
      <c r="Y132" s="66"/>
      <c r="Z132" s="66"/>
      <c r="AA132" s="68"/>
      <c r="AB132" s="66"/>
      <c r="AE132" s="66"/>
      <c r="AH132" s="68"/>
      <c r="AI132" s="66"/>
      <c r="AJ132" s="62"/>
      <c r="AK132" s="62"/>
      <c r="AL132" s="62"/>
      <c r="AM132" s="62"/>
      <c r="AN132" s="62"/>
      <c r="AO132" s="62"/>
      <c r="AP132" s="62"/>
      <c r="AQ132" s="62"/>
      <c r="AR132" s="62"/>
      <c r="AS132" s="62"/>
      <c r="AT132" s="62"/>
      <c r="AU132" s="69"/>
    </row>
    <row r="133" spans="2:47" x14ac:dyDescent="0.35">
      <c r="B133" s="59"/>
      <c r="C133" s="59"/>
      <c r="D133" s="60"/>
      <c r="E133" s="60"/>
      <c r="F133" s="60"/>
      <c r="G133" s="60"/>
      <c r="H133" s="60"/>
      <c r="I133" s="60"/>
      <c r="J133" s="60"/>
      <c r="K133" s="61"/>
      <c r="L133" s="61"/>
      <c r="M133" s="61"/>
      <c r="N133" s="61"/>
      <c r="O133" s="62"/>
      <c r="P133" s="62"/>
      <c r="Q133" s="62"/>
      <c r="S133" s="64"/>
      <c r="T133" s="64"/>
      <c r="U133" s="64"/>
      <c r="W133" s="66"/>
      <c r="Y133" s="66"/>
      <c r="Z133" s="66"/>
      <c r="AA133" s="68"/>
      <c r="AB133" s="66"/>
      <c r="AE133" s="66"/>
      <c r="AH133" s="68"/>
      <c r="AI133" s="66"/>
      <c r="AJ133" s="62"/>
      <c r="AK133" s="62"/>
      <c r="AL133" s="62"/>
      <c r="AM133" s="62"/>
      <c r="AN133" s="62"/>
      <c r="AO133" s="62"/>
      <c r="AP133" s="62"/>
      <c r="AQ133" s="62"/>
      <c r="AR133" s="62"/>
      <c r="AS133" s="62"/>
      <c r="AT133" s="62"/>
      <c r="AU133" s="69"/>
    </row>
    <row r="134" spans="2:47" x14ac:dyDescent="0.35">
      <c r="B134" s="59"/>
      <c r="C134" s="59"/>
      <c r="D134" s="60"/>
      <c r="E134" s="60"/>
      <c r="F134" s="60"/>
      <c r="G134" s="60"/>
      <c r="H134" s="60"/>
      <c r="I134" s="60"/>
      <c r="J134" s="60"/>
      <c r="K134" s="61"/>
      <c r="L134" s="61"/>
      <c r="M134" s="61"/>
      <c r="N134" s="61"/>
      <c r="O134" s="62"/>
      <c r="P134" s="62"/>
      <c r="Q134" s="62"/>
      <c r="S134" s="64"/>
      <c r="T134" s="64"/>
      <c r="U134" s="64"/>
      <c r="W134" s="66"/>
      <c r="Y134" s="66"/>
      <c r="Z134" s="66"/>
      <c r="AA134" s="68"/>
      <c r="AB134" s="66"/>
      <c r="AE134" s="66"/>
      <c r="AH134" s="68"/>
      <c r="AI134" s="66"/>
      <c r="AJ134" s="62"/>
      <c r="AK134" s="62"/>
      <c r="AL134" s="62"/>
      <c r="AM134" s="62"/>
      <c r="AN134" s="62"/>
      <c r="AO134" s="62"/>
      <c r="AP134" s="62"/>
      <c r="AQ134" s="62"/>
      <c r="AR134" s="62"/>
      <c r="AS134" s="62"/>
      <c r="AT134" s="62"/>
      <c r="AU134" s="69"/>
    </row>
    <row r="135" spans="2:47" x14ac:dyDescent="0.35">
      <c r="B135" s="59"/>
      <c r="C135" s="59"/>
      <c r="D135" s="60"/>
      <c r="E135" s="60"/>
      <c r="F135" s="60"/>
      <c r="G135" s="60"/>
      <c r="H135" s="60"/>
      <c r="I135" s="60"/>
      <c r="J135" s="60"/>
      <c r="K135" s="61"/>
      <c r="L135" s="61"/>
      <c r="M135" s="61"/>
      <c r="N135" s="61"/>
      <c r="O135" s="62"/>
      <c r="P135" s="62"/>
      <c r="Q135" s="62"/>
      <c r="S135" s="64"/>
      <c r="T135" s="64"/>
      <c r="U135" s="64"/>
      <c r="W135" s="66"/>
      <c r="Y135" s="66"/>
      <c r="Z135" s="66"/>
      <c r="AA135" s="68"/>
      <c r="AB135" s="66"/>
      <c r="AE135" s="66"/>
      <c r="AH135" s="68"/>
      <c r="AI135" s="66"/>
      <c r="AJ135" s="62"/>
      <c r="AK135" s="62"/>
      <c r="AL135" s="62"/>
      <c r="AM135" s="62"/>
      <c r="AN135" s="62"/>
      <c r="AO135" s="62"/>
      <c r="AP135" s="62"/>
      <c r="AQ135" s="62"/>
      <c r="AR135" s="62"/>
      <c r="AS135" s="62"/>
      <c r="AT135" s="62"/>
      <c r="AU135" s="69"/>
    </row>
    <row r="136" spans="2:47" x14ac:dyDescent="0.35">
      <c r="B136" s="59"/>
      <c r="C136" s="59"/>
      <c r="D136" s="60"/>
      <c r="E136" s="60"/>
      <c r="F136" s="60"/>
      <c r="G136" s="60"/>
      <c r="H136" s="60"/>
      <c r="I136" s="60"/>
      <c r="J136" s="60"/>
      <c r="K136" s="61"/>
      <c r="L136" s="61"/>
      <c r="M136" s="61"/>
      <c r="N136" s="61"/>
      <c r="O136" s="62"/>
      <c r="P136" s="62"/>
      <c r="Q136" s="62"/>
      <c r="S136" s="64"/>
      <c r="T136" s="64"/>
      <c r="U136" s="64"/>
      <c r="W136" s="66"/>
      <c r="Y136" s="66"/>
      <c r="Z136" s="66"/>
      <c r="AA136" s="68"/>
      <c r="AB136" s="66"/>
      <c r="AE136" s="66"/>
      <c r="AH136" s="68"/>
      <c r="AI136" s="66"/>
      <c r="AJ136" s="62"/>
      <c r="AK136" s="62"/>
      <c r="AL136" s="62"/>
      <c r="AM136" s="62"/>
      <c r="AN136" s="62"/>
      <c r="AO136" s="62"/>
      <c r="AP136" s="62"/>
      <c r="AQ136" s="62"/>
      <c r="AR136" s="62"/>
      <c r="AS136" s="62"/>
      <c r="AT136" s="62"/>
      <c r="AU136" s="69"/>
    </row>
    <row r="137" spans="2:47" x14ac:dyDescent="0.35">
      <c r="B137" s="59"/>
      <c r="C137" s="59"/>
      <c r="D137" s="60"/>
      <c r="E137" s="60"/>
      <c r="F137" s="60"/>
      <c r="G137" s="60"/>
      <c r="H137" s="60"/>
      <c r="I137" s="60"/>
      <c r="J137" s="60"/>
      <c r="K137" s="61"/>
      <c r="L137" s="61"/>
      <c r="M137" s="61"/>
      <c r="N137" s="61"/>
      <c r="O137" s="62"/>
      <c r="P137" s="62"/>
      <c r="Q137" s="62"/>
      <c r="S137" s="64"/>
      <c r="T137" s="64"/>
      <c r="U137" s="64"/>
      <c r="W137" s="66"/>
      <c r="Y137" s="66"/>
      <c r="Z137" s="66"/>
      <c r="AA137" s="68"/>
      <c r="AB137" s="66"/>
      <c r="AE137" s="66"/>
      <c r="AH137" s="68"/>
      <c r="AI137" s="66"/>
      <c r="AJ137" s="62"/>
      <c r="AK137" s="62"/>
      <c r="AL137" s="62"/>
      <c r="AM137" s="62"/>
      <c r="AN137" s="62"/>
      <c r="AO137" s="62"/>
      <c r="AP137" s="62"/>
      <c r="AQ137" s="62"/>
      <c r="AR137" s="62"/>
      <c r="AS137" s="62"/>
      <c r="AT137" s="62"/>
      <c r="AU137" s="69"/>
    </row>
    <row r="138" spans="2:47" x14ac:dyDescent="0.35">
      <c r="B138" s="59"/>
      <c r="C138" s="59"/>
      <c r="D138" s="60"/>
      <c r="E138" s="60"/>
      <c r="F138" s="60"/>
      <c r="G138" s="60"/>
      <c r="H138" s="60"/>
      <c r="I138" s="60"/>
      <c r="J138" s="60"/>
      <c r="K138" s="61"/>
      <c r="L138" s="61"/>
      <c r="M138" s="61"/>
      <c r="N138" s="61"/>
      <c r="O138" s="62"/>
      <c r="P138" s="62"/>
      <c r="Q138" s="62"/>
      <c r="S138" s="64"/>
      <c r="T138" s="64"/>
      <c r="U138" s="64"/>
      <c r="W138" s="66"/>
      <c r="Y138" s="66"/>
      <c r="Z138" s="66"/>
      <c r="AA138" s="68"/>
      <c r="AB138" s="66"/>
      <c r="AE138" s="66"/>
      <c r="AH138" s="68"/>
      <c r="AI138" s="66"/>
      <c r="AJ138" s="62"/>
      <c r="AK138" s="62"/>
      <c r="AL138" s="62"/>
      <c r="AM138" s="62"/>
      <c r="AN138" s="62"/>
      <c r="AO138" s="62"/>
      <c r="AP138" s="62"/>
      <c r="AQ138" s="62"/>
      <c r="AR138" s="62"/>
      <c r="AS138" s="62"/>
      <c r="AT138" s="62"/>
      <c r="AU138" s="69"/>
    </row>
    <row r="139" spans="2:47" x14ac:dyDescent="0.35">
      <c r="B139" s="59"/>
      <c r="C139" s="59"/>
      <c r="D139" s="60"/>
      <c r="E139" s="60"/>
      <c r="F139" s="60"/>
      <c r="G139" s="60"/>
      <c r="H139" s="60"/>
      <c r="I139" s="60"/>
      <c r="J139" s="60"/>
      <c r="K139" s="61"/>
      <c r="L139" s="61"/>
      <c r="M139" s="61"/>
      <c r="N139" s="61"/>
      <c r="O139" s="62"/>
      <c r="P139" s="62"/>
      <c r="Q139" s="62"/>
      <c r="S139" s="64"/>
      <c r="T139" s="64"/>
      <c r="U139" s="64"/>
      <c r="W139" s="66"/>
      <c r="Y139" s="66"/>
      <c r="Z139" s="66"/>
      <c r="AA139" s="68"/>
      <c r="AB139" s="66"/>
      <c r="AE139" s="66"/>
      <c r="AH139" s="68"/>
      <c r="AI139" s="66"/>
      <c r="AJ139" s="62"/>
      <c r="AK139" s="62"/>
      <c r="AL139" s="62"/>
      <c r="AM139" s="62"/>
      <c r="AN139" s="62"/>
      <c r="AO139" s="62"/>
      <c r="AP139" s="62"/>
      <c r="AQ139" s="62"/>
      <c r="AR139" s="62"/>
      <c r="AS139" s="62"/>
      <c r="AT139" s="62"/>
      <c r="AU139" s="69"/>
    </row>
    <row r="140" spans="2:47" x14ac:dyDescent="0.35">
      <c r="B140" s="59"/>
      <c r="C140" s="59"/>
      <c r="D140" s="60"/>
      <c r="E140" s="60"/>
      <c r="F140" s="60"/>
      <c r="G140" s="60"/>
      <c r="H140" s="60"/>
      <c r="I140" s="60"/>
      <c r="J140" s="60"/>
      <c r="K140" s="61"/>
      <c r="L140" s="61"/>
      <c r="M140" s="61"/>
      <c r="N140" s="61"/>
      <c r="O140" s="62"/>
      <c r="P140" s="62"/>
      <c r="Q140" s="62"/>
      <c r="S140" s="64"/>
      <c r="T140" s="64"/>
      <c r="U140" s="64"/>
      <c r="W140" s="66"/>
      <c r="Y140" s="66"/>
      <c r="Z140" s="66"/>
      <c r="AA140" s="68"/>
      <c r="AB140" s="66"/>
      <c r="AE140" s="66"/>
      <c r="AH140" s="68"/>
      <c r="AI140" s="66"/>
      <c r="AJ140" s="62"/>
      <c r="AK140" s="62"/>
      <c r="AL140" s="62"/>
      <c r="AM140" s="62"/>
      <c r="AN140" s="62"/>
      <c r="AO140" s="62"/>
      <c r="AP140" s="62"/>
      <c r="AQ140" s="62"/>
      <c r="AR140" s="62"/>
      <c r="AS140" s="62"/>
      <c r="AT140" s="62"/>
      <c r="AU140" s="69"/>
    </row>
    <row r="141" spans="2:47" x14ac:dyDescent="0.35">
      <c r="B141" s="59"/>
      <c r="C141" s="59"/>
      <c r="D141" s="60"/>
      <c r="E141" s="60"/>
      <c r="F141" s="60"/>
      <c r="G141" s="60"/>
      <c r="H141" s="60"/>
      <c r="I141" s="60"/>
      <c r="J141" s="60"/>
      <c r="K141" s="61"/>
      <c r="L141" s="61"/>
      <c r="M141" s="61"/>
      <c r="N141" s="61"/>
      <c r="O141" s="62"/>
      <c r="P141" s="62"/>
      <c r="Q141" s="62"/>
      <c r="S141" s="64"/>
      <c r="T141" s="64"/>
      <c r="U141" s="64"/>
      <c r="W141" s="66"/>
      <c r="Y141" s="66"/>
      <c r="Z141" s="66"/>
      <c r="AA141" s="68"/>
      <c r="AB141" s="66"/>
      <c r="AE141" s="66"/>
      <c r="AH141" s="68"/>
      <c r="AI141" s="66"/>
      <c r="AJ141" s="62"/>
      <c r="AK141" s="62"/>
      <c r="AL141" s="62"/>
      <c r="AM141" s="62"/>
      <c r="AN141" s="62"/>
      <c r="AO141" s="62"/>
      <c r="AP141" s="62"/>
      <c r="AQ141" s="62"/>
      <c r="AR141" s="62"/>
      <c r="AS141" s="62"/>
      <c r="AT141" s="62"/>
      <c r="AU141" s="69"/>
    </row>
    <row r="142" spans="2:47" x14ac:dyDescent="0.35">
      <c r="B142" s="59"/>
      <c r="C142" s="59"/>
      <c r="D142" s="60"/>
      <c r="E142" s="60"/>
      <c r="F142" s="60"/>
      <c r="G142" s="60"/>
      <c r="H142" s="60"/>
      <c r="I142" s="60"/>
      <c r="J142" s="60"/>
      <c r="K142" s="61"/>
      <c r="L142" s="61"/>
      <c r="M142" s="61"/>
      <c r="N142" s="61"/>
      <c r="O142" s="62"/>
      <c r="P142" s="62"/>
      <c r="Q142" s="62"/>
      <c r="S142" s="64"/>
      <c r="T142" s="64"/>
      <c r="U142" s="64"/>
      <c r="W142" s="66"/>
      <c r="Y142" s="66"/>
      <c r="Z142" s="66"/>
      <c r="AA142" s="68"/>
      <c r="AB142" s="66"/>
      <c r="AE142" s="66"/>
      <c r="AH142" s="68"/>
      <c r="AI142" s="66"/>
      <c r="AJ142" s="62"/>
      <c r="AK142" s="62"/>
      <c r="AL142" s="62"/>
      <c r="AM142" s="62"/>
      <c r="AN142" s="62"/>
      <c r="AO142" s="62"/>
      <c r="AP142" s="62"/>
      <c r="AQ142" s="62"/>
      <c r="AR142" s="62"/>
      <c r="AS142" s="62"/>
      <c r="AT142" s="62"/>
      <c r="AU142" s="69"/>
    </row>
    <row r="143" spans="2:47" x14ac:dyDescent="0.35">
      <c r="B143" s="59"/>
      <c r="C143" s="59"/>
      <c r="D143" s="60"/>
      <c r="E143" s="60"/>
      <c r="F143" s="60"/>
      <c r="G143" s="60"/>
      <c r="H143" s="60"/>
      <c r="I143" s="60"/>
      <c r="J143" s="60"/>
      <c r="K143" s="61"/>
      <c r="L143" s="61"/>
      <c r="M143" s="61"/>
      <c r="N143" s="61"/>
      <c r="O143" s="62"/>
      <c r="P143" s="62"/>
      <c r="Q143" s="62"/>
      <c r="S143" s="64"/>
      <c r="T143" s="64"/>
      <c r="U143" s="64"/>
      <c r="W143" s="66"/>
      <c r="Y143" s="66"/>
      <c r="Z143" s="66"/>
      <c r="AA143" s="68"/>
      <c r="AB143" s="66"/>
      <c r="AE143" s="66"/>
      <c r="AH143" s="68"/>
      <c r="AI143" s="66"/>
      <c r="AJ143" s="62"/>
      <c r="AK143" s="62"/>
      <c r="AL143" s="62"/>
      <c r="AM143" s="62"/>
      <c r="AN143" s="62"/>
      <c r="AO143" s="62"/>
      <c r="AP143" s="62"/>
      <c r="AQ143" s="62"/>
      <c r="AR143" s="62"/>
      <c r="AS143" s="62"/>
      <c r="AT143" s="62"/>
      <c r="AU143" s="69"/>
    </row>
    <row r="144" spans="2:47" x14ac:dyDescent="0.35">
      <c r="B144" s="59"/>
      <c r="C144" s="59"/>
      <c r="D144" s="60"/>
      <c r="E144" s="60"/>
      <c r="F144" s="60"/>
      <c r="G144" s="60"/>
      <c r="H144" s="60"/>
      <c r="I144" s="60"/>
      <c r="J144" s="60"/>
      <c r="K144" s="61"/>
      <c r="L144" s="61"/>
      <c r="M144" s="61"/>
      <c r="N144" s="61"/>
      <c r="O144" s="62"/>
      <c r="P144" s="62"/>
      <c r="Q144" s="62"/>
      <c r="S144" s="64"/>
      <c r="T144" s="64"/>
      <c r="U144" s="64"/>
      <c r="W144" s="66"/>
      <c r="Y144" s="66"/>
      <c r="Z144" s="66"/>
      <c r="AA144" s="68"/>
      <c r="AB144" s="66"/>
      <c r="AE144" s="66"/>
      <c r="AH144" s="68"/>
      <c r="AI144" s="66"/>
      <c r="AJ144" s="62"/>
      <c r="AK144" s="62"/>
      <c r="AL144" s="62"/>
      <c r="AM144" s="62"/>
      <c r="AN144" s="62"/>
      <c r="AO144" s="62"/>
      <c r="AP144" s="62"/>
      <c r="AQ144" s="62"/>
      <c r="AR144" s="62"/>
      <c r="AS144" s="62"/>
      <c r="AT144" s="62"/>
      <c r="AU144" s="69"/>
    </row>
    <row r="145" spans="2:47" x14ac:dyDescent="0.35">
      <c r="B145" s="59"/>
      <c r="C145" s="59"/>
      <c r="D145" s="60"/>
      <c r="E145" s="60"/>
      <c r="F145" s="60"/>
      <c r="G145" s="60"/>
      <c r="H145" s="60"/>
      <c r="I145" s="60"/>
      <c r="J145" s="60"/>
      <c r="K145" s="61"/>
      <c r="L145" s="61"/>
      <c r="M145" s="61"/>
      <c r="N145" s="61"/>
      <c r="O145" s="62"/>
      <c r="P145" s="62"/>
      <c r="Q145" s="62"/>
      <c r="S145" s="64"/>
      <c r="T145" s="64"/>
      <c r="U145" s="64"/>
      <c r="W145" s="66"/>
      <c r="Y145" s="66"/>
      <c r="Z145" s="66"/>
      <c r="AA145" s="68"/>
      <c r="AB145" s="66"/>
      <c r="AE145" s="66"/>
      <c r="AH145" s="68"/>
      <c r="AI145" s="66"/>
      <c r="AJ145" s="62"/>
      <c r="AK145" s="62"/>
      <c r="AL145" s="62"/>
      <c r="AM145" s="62"/>
      <c r="AN145" s="62"/>
      <c r="AO145" s="62"/>
      <c r="AP145" s="62"/>
      <c r="AQ145" s="62"/>
      <c r="AR145" s="62"/>
      <c r="AS145" s="62"/>
      <c r="AT145" s="62"/>
      <c r="AU145" s="69"/>
    </row>
    <row r="146" spans="2:47" x14ac:dyDescent="0.35">
      <c r="B146" s="59"/>
      <c r="C146" s="59"/>
      <c r="D146" s="60"/>
      <c r="E146" s="60"/>
      <c r="F146" s="60"/>
      <c r="G146" s="60"/>
      <c r="H146" s="60"/>
      <c r="I146" s="60"/>
      <c r="J146" s="60"/>
      <c r="K146" s="61"/>
      <c r="L146" s="61"/>
      <c r="M146" s="61"/>
      <c r="N146" s="61"/>
      <c r="O146" s="62"/>
      <c r="P146" s="62"/>
      <c r="Q146" s="62"/>
      <c r="S146" s="64"/>
      <c r="T146" s="64"/>
      <c r="U146" s="64"/>
      <c r="W146" s="66"/>
      <c r="Y146" s="66"/>
      <c r="Z146" s="66"/>
      <c r="AA146" s="68"/>
      <c r="AB146" s="66"/>
      <c r="AE146" s="66"/>
      <c r="AH146" s="68"/>
      <c r="AI146" s="66"/>
      <c r="AJ146" s="62"/>
      <c r="AK146" s="62"/>
      <c r="AL146" s="62"/>
      <c r="AM146" s="62"/>
      <c r="AN146" s="62"/>
      <c r="AO146" s="62"/>
      <c r="AP146" s="62"/>
      <c r="AQ146" s="62"/>
      <c r="AR146" s="62"/>
      <c r="AS146" s="62"/>
      <c r="AT146" s="62"/>
      <c r="AU146" s="69"/>
    </row>
    <row r="147" spans="2:47" x14ac:dyDescent="0.35">
      <c r="B147" s="59"/>
      <c r="C147" s="59"/>
      <c r="D147" s="60"/>
      <c r="E147" s="60"/>
      <c r="F147" s="60"/>
      <c r="G147" s="60"/>
      <c r="H147" s="60"/>
      <c r="I147" s="60"/>
      <c r="J147" s="60"/>
      <c r="K147" s="61"/>
      <c r="L147" s="61"/>
      <c r="M147" s="61"/>
      <c r="N147" s="61"/>
      <c r="O147" s="62"/>
      <c r="P147" s="62"/>
      <c r="Q147" s="62"/>
      <c r="S147" s="64"/>
      <c r="T147" s="64"/>
      <c r="U147" s="64"/>
      <c r="W147" s="66"/>
      <c r="Y147" s="66"/>
      <c r="Z147" s="66"/>
      <c r="AA147" s="68"/>
      <c r="AB147" s="66"/>
      <c r="AE147" s="66"/>
      <c r="AH147" s="68"/>
      <c r="AI147" s="66"/>
      <c r="AJ147" s="62"/>
      <c r="AK147" s="62"/>
      <c r="AL147" s="62"/>
      <c r="AM147" s="62"/>
      <c r="AN147" s="62"/>
      <c r="AO147" s="62"/>
      <c r="AP147" s="62"/>
      <c r="AQ147" s="62"/>
      <c r="AR147" s="62"/>
      <c r="AS147" s="62"/>
      <c r="AT147" s="62"/>
      <c r="AU147" s="69"/>
    </row>
    <row r="148" spans="2:47" x14ac:dyDescent="0.35">
      <c r="B148" s="59"/>
      <c r="C148" s="59"/>
      <c r="D148" s="60"/>
      <c r="E148" s="60"/>
      <c r="F148" s="60"/>
      <c r="G148" s="60"/>
      <c r="H148" s="60"/>
      <c r="I148" s="60"/>
      <c r="J148" s="60"/>
      <c r="K148" s="61"/>
      <c r="L148" s="61"/>
      <c r="M148" s="61"/>
      <c r="N148" s="61"/>
      <c r="O148" s="62"/>
      <c r="P148" s="62"/>
      <c r="Q148" s="62"/>
      <c r="S148" s="64"/>
      <c r="T148" s="64"/>
      <c r="U148" s="64"/>
      <c r="W148" s="66"/>
      <c r="Y148" s="66"/>
      <c r="Z148" s="66"/>
      <c r="AA148" s="68"/>
      <c r="AB148" s="66"/>
      <c r="AE148" s="66"/>
      <c r="AH148" s="68"/>
      <c r="AI148" s="66"/>
      <c r="AJ148" s="62"/>
      <c r="AK148" s="62"/>
      <c r="AL148" s="62"/>
      <c r="AM148" s="62"/>
      <c r="AN148" s="62"/>
      <c r="AO148" s="62"/>
      <c r="AP148" s="62"/>
      <c r="AQ148" s="62"/>
      <c r="AR148" s="62"/>
      <c r="AS148" s="62"/>
      <c r="AT148" s="62"/>
      <c r="AU148" s="69"/>
    </row>
    <row r="149" spans="2:47" x14ac:dyDescent="0.35">
      <c r="B149" s="59"/>
      <c r="C149" s="59"/>
      <c r="D149" s="60"/>
      <c r="E149" s="60"/>
      <c r="F149" s="60"/>
      <c r="G149" s="60"/>
      <c r="H149" s="60"/>
      <c r="I149" s="60"/>
      <c r="J149" s="60"/>
      <c r="K149" s="61"/>
      <c r="L149" s="61"/>
      <c r="M149" s="61"/>
      <c r="N149" s="61"/>
      <c r="O149" s="62"/>
      <c r="P149" s="62"/>
      <c r="Q149" s="62"/>
      <c r="S149" s="64"/>
      <c r="T149" s="64"/>
      <c r="U149" s="64"/>
      <c r="W149" s="66"/>
      <c r="Y149" s="66"/>
      <c r="Z149" s="66"/>
      <c r="AA149" s="68"/>
      <c r="AB149" s="66"/>
      <c r="AE149" s="66"/>
      <c r="AH149" s="68"/>
      <c r="AI149" s="66"/>
      <c r="AJ149" s="62"/>
      <c r="AK149" s="62"/>
      <c r="AL149" s="62"/>
      <c r="AM149" s="62"/>
      <c r="AN149" s="62"/>
      <c r="AO149" s="62"/>
      <c r="AP149" s="62"/>
      <c r="AQ149" s="62"/>
      <c r="AR149" s="62"/>
      <c r="AS149" s="62"/>
      <c r="AT149" s="62"/>
      <c r="AU149" s="69"/>
    </row>
    <row r="150" spans="2:47" x14ac:dyDescent="0.35">
      <c r="B150" s="59"/>
      <c r="C150" s="59"/>
      <c r="D150" s="60"/>
      <c r="E150" s="60"/>
      <c r="F150" s="60"/>
      <c r="G150" s="60"/>
      <c r="H150" s="60"/>
      <c r="I150" s="60"/>
      <c r="J150" s="60"/>
      <c r="K150" s="61"/>
      <c r="L150" s="61"/>
      <c r="M150" s="61"/>
      <c r="N150" s="61"/>
      <c r="O150" s="62"/>
      <c r="P150" s="62"/>
      <c r="Q150" s="62"/>
      <c r="S150" s="64"/>
      <c r="T150" s="64"/>
      <c r="U150" s="64"/>
      <c r="W150" s="66"/>
      <c r="Y150" s="66"/>
      <c r="Z150" s="66"/>
      <c r="AA150" s="68"/>
      <c r="AB150" s="66"/>
      <c r="AE150" s="66"/>
      <c r="AH150" s="68"/>
      <c r="AI150" s="66"/>
      <c r="AJ150" s="62"/>
      <c r="AK150" s="62"/>
      <c r="AL150" s="62"/>
      <c r="AM150" s="62"/>
      <c r="AN150" s="62"/>
      <c r="AO150" s="62"/>
      <c r="AP150" s="62"/>
      <c r="AQ150" s="62"/>
      <c r="AR150" s="62"/>
      <c r="AS150" s="62"/>
      <c r="AT150" s="62"/>
      <c r="AU150" s="69"/>
    </row>
    <row r="151" spans="2:47" x14ac:dyDescent="0.35">
      <c r="B151" s="59"/>
      <c r="C151" s="59"/>
      <c r="D151" s="60"/>
      <c r="E151" s="60"/>
      <c r="F151" s="60"/>
      <c r="G151" s="60"/>
      <c r="H151" s="60"/>
      <c r="I151" s="60"/>
      <c r="J151" s="60"/>
      <c r="K151" s="61"/>
      <c r="L151" s="61"/>
      <c r="M151" s="61"/>
      <c r="N151" s="61"/>
      <c r="O151" s="62"/>
      <c r="P151" s="62"/>
      <c r="Q151" s="62"/>
      <c r="S151" s="64"/>
      <c r="T151" s="64"/>
      <c r="U151" s="64"/>
      <c r="W151" s="66"/>
      <c r="Y151" s="66"/>
      <c r="Z151" s="66"/>
      <c r="AA151" s="68"/>
      <c r="AB151" s="66"/>
      <c r="AE151" s="66"/>
      <c r="AH151" s="68"/>
      <c r="AI151" s="66"/>
      <c r="AJ151" s="62"/>
      <c r="AK151" s="62"/>
      <c r="AL151" s="62"/>
      <c r="AM151" s="62"/>
      <c r="AN151" s="62"/>
      <c r="AO151" s="62"/>
      <c r="AP151" s="62"/>
      <c r="AQ151" s="62"/>
      <c r="AR151" s="62"/>
      <c r="AS151" s="62"/>
      <c r="AT151" s="62"/>
      <c r="AU151" s="69"/>
    </row>
    <row r="152" spans="2:47" x14ac:dyDescent="0.35">
      <c r="B152" s="59"/>
      <c r="C152" s="59"/>
      <c r="D152" s="60"/>
      <c r="E152" s="60"/>
      <c r="F152" s="60"/>
      <c r="G152" s="60"/>
      <c r="H152" s="60"/>
      <c r="I152" s="60"/>
      <c r="J152" s="60"/>
      <c r="K152" s="61"/>
      <c r="L152" s="61"/>
      <c r="M152" s="61"/>
      <c r="N152" s="61"/>
      <c r="O152" s="62"/>
      <c r="P152" s="62"/>
      <c r="Q152" s="62"/>
      <c r="S152" s="64"/>
      <c r="T152" s="64"/>
      <c r="U152" s="64"/>
      <c r="W152" s="66"/>
      <c r="Y152" s="66"/>
      <c r="Z152" s="66"/>
      <c r="AA152" s="68"/>
      <c r="AB152" s="66"/>
      <c r="AE152" s="66"/>
      <c r="AH152" s="68"/>
      <c r="AI152" s="66"/>
      <c r="AJ152" s="62"/>
      <c r="AK152" s="62"/>
      <c r="AL152" s="62"/>
      <c r="AM152" s="62"/>
      <c r="AN152" s="62"/>
      <c r="AO152" s="62"/>
      <c r="AP152" s="62"/>
      <c r="AQ152" s="62"/>
      <c r="AR152" s="62"/>
      <c r="AS152" s="62"/>
      <c r="AT152" s="62"/>
      <c r="AU152" s="69"/>
    </row>
    <row r="153" spans="2:47" x14ac:dyDescent="0.35">
      <c r="B153" s="59"/>
      <c r="C153" s="59"/>
      <c r="D153" s="60"/>
      <c r="E153" s="60"/>
      <c r="F153" s="60"/>
      <c r="G153" s="60"/>
      <c r="H153" s="60"/>
      <c r="I153" s="60"/>
      <c r="J153" s="60"/>
      <c r="K153" s="61"/>
      <c r="L153" s="61"/>
      <c r="M153" s="61"/>
      <c r="N153" s="61"/>
      <c r="O153" s="62"/>
      <c r="P153" s="62"/>
      <c r="Q153" s="62"/>
      <c r="S153" s="64"/>
      <c r="T153" s="64"/>
      <c r="U153" s="64"/>
      <c r="W153" s="66"/>
      <c r="Y153" s="66"/>
      <c r="Z153" s="66"/>
      <c r="AA153" s="68"/>
      <c r="AB153" s="66"/>
      <c r="AE153" s="66"/>
      <c r="AH153" s="68"/>
      <c r="AI153" s="66"/>
      <c r="AJ153" s="62"/>
      <c r="AK153" s="62"/>
      <c r="AL153" s="62"/>
      <c r="AM153" s="62"/>
      <c r="AN153" s="62"/>
      <c r="AO153" s="62"/>
      <c r="AP153" s="62"/>
      <c r="AQ153" s="62"/>
      <c r="AR153" s="62"/>
      <c r="AS153" s="62"/>
      <c r="AT153" s="62"/>
      <c r="AU153" s="69"/>
    </row>
    <row r="154" spans="2:47" x14ac:dyDescent="0.35">
      <c r="B154" s="59"/>
      <c r="C154" s="59"/>
      <c r="D154" s="60"/>
      <c r="E154" s="60"/>
      <c r="F154" s="60"/>
      <c r="G154" s="60"/>
      <c r="H154" s="60"/>
      <c r="I154" s="60"/>
      <c r="J154" s="60"/>
      <c r="K154" s="61"/>
      <c r="L154" s="61"/>
      <c r="M154" s="61"/>
      <c r="N154" s="61"/>
      <c r="O154" s="62"/>
      <c r="P154" s="62"/>
      <c r="Q154" s="62"/>
      <c r="S154" s="64"/>
      <c r="T154" s="64"/>
      <c r="U154" s="64"/>
      <c r="W154" s="66"/>
      <c r="Y154" s="66"/>
      <c r="Z154" s="66"/>
      <c r="AA154" s="68"/>
      <c r="AB154" s="66"/>
      <c r="AE154" s="66"/>
      <c r="AH154" s="68"/>
      <c r="AI154" s="66"/>
      <c r="AJ154" s="62"/>
      <c r="AK154" s="62"/>
      <c r="AL154" s="62"/>
      <c r="AM154" s="62"/>
      <c r="AN154" s="62"/>
      <c r="AO154" s="62"/>
      <c r="AP154" s="62"/>
      <c r="AQ154" s="62"/>
      <c r="AR154" s="62"/>
      <c r="AS154" s="62"/>
      <c r="AT154" s="62"/>
      <c r="AU154" s="69"/>
    </row>
    <row r="155" spans="2:47" x14ac:dyDescent="0.35">
      <c r="B155" s="59"/>
      <c r="C155" s="59"/>
      <c r="D155" s="60"/>
      <c r="E155" s="60"/>
      <c r="F155" s="60"/>
      <c r="G155" s="60"/>
      <c r="H155" s="60"/>
      <c r="I155" s="60"/>
      <c r="J155" s="60"/>
      <c r="K155" s="61"/>
      <c r="L155" s="61"/>
      <c r="M155" s="61"/>
      <c r="N155" s="61"/>
      <c r="O155" s="62"/>
      <c r="P155" s="62"/>
      <c r="Q155" s="62"/>
      <c r="S155" s="64"/>
      <c r="T155" s="64"/>
      <c r="U155" s="64"/>
      <c r="W155" s="66"/>
      <c r="Y155" s="66"/>
      <c r="Z155" s="66"/>
      <c r="AA155" s="68"/>
      <c r="AB155" s="66"/>
      <c r="AE155" s="66"/>
      <c r="AH155" s="68"/>
      <c r="AI155" s="66"/>
      <c r="AJ155" s="62"/>
      <c r="AK155" s="62"/>
      <c r="AL155" s="62"/>
      <c r="AM155" s="62"/>
      <c r="AN155" s="62"/>
      <c r="AO155" s="62"/>
      <c r="AP155" s="62"/>
      <c r="AQ155" s="62"/>
      <c r="AR155" s="62"/>
      <c r="AS155" s="62"/>
      <c r="AT155" s="62"/>
      <c r="AU155" s="69"/>
    </row>
    <row r="156" spans="2:47" x14ac:dyDescent="0.35">
      <c r="B156" s="59"/>
      <c r="C156" s="59"/>
      <c r="D156" s="60"/>
      <c r="E156" s="60"/>
      <c r="F156" s="60"/>
      <c r="G156" s="60"/>
      <c r="H156" s="60"/>
      <c r="I156" s="60"/>
      <c r="J156" s="60"/>
      <c r="K156" s="61"/>
      <c r="L156" s="61"/>
      <c r="M156" s="61"/>
      <c r="N156" s="61"/>
      <c r="O156" s="62"/>
      <c r="P156" s="62"/>
      <c r="Q156" s="62"/>
      <c r="S156" s="64"/>
      <c r="T156" s="64"/>
      <c r="U156" s="64"/>
      <c r="W156" s="66"/>
      <c r="Y156" s="66"/>
      <c r="Z156" s="66"/>
      <c r="AA156" s="68"/>
      <c r="AB156" s="66"/>
      <c r="AE156" s="66"/>
      <c r="AH156" s="68"/>
      <c r="AI156" s="66"/>
      <c r="AJ156" s="62"/>
      <c r="AK156" s="62"/>
      <c r="AL156" s="62"/>
      <c r="AM156" s="62"/>
      <c r="AN156" s="62"/>
      <c r="AO156" s="62"/>
      <c r="AP156" s="62"/>
      <c r="AQ156" s="62"/>
      <c r="AR156" s="62"/>
      <c r="AS156" s="62"/>
      <c r="AT156" s="62"/>
      <c r="AU156" s="69"/>
    </row>
    <row r="157" spans="2:47" x14ac:dyDescent="0.35">
      <c r="B157" s="59"/>
      <c r="C157" s="59"/>
      <c r="D157" s="60"/>
      <c r="E157" s="60"/>
      <c r="F157" s="60"/>
      <c r="G157" s="60"/>
      <c r="H157" s="60"/>
      <c r="I157" s="60"/>
      <c r="J157" s="60"/>
      <c r="K157" s="61"/>
      <c r="L157" s="61"/>
      <c r="M157" s="61"/>
      <c r="N157" s="61"/>
      <c r="O157" s="62"/>
      <c r="P157" s="62"/>
      <c r="Q157" s="62"/>
      <c r="S157" s="64"/>
      <c r="T157" s="64"/>
      <c r="U157" s="64"/>
      <c r="W157" s="66"/>
      <c r="Y157" s="66"/>
      <c r="Z157" s="66"/>
      <c r="AA157" s="68"/>
      <c r="AB157" s="66"/>
      <c r="AE157" s="66"/>
      <c r="AH157" s="68"/>
      <c r="AI157" s="66"/>
      <c r="AJ157" s="62"/>
      <c r="AK157" s="62"/>
      <c r="AL157" s="62"/>
      <c r="AM157" s="62"/>
      <c r="AN157" s="62"/>
      <c r="AO157" s="62"/>
      <c r="AP157" s="62"/>
      <c r="AQ157" s="62"/>
      <c r="AR157" s="62"/>
      <c r="AS157" s="62"/>
      <c r="AT157" s="62"/>
      <c r="AU157" s="69"/>
    </row>
    <row r="158" spans="2:47" x14ac:dyDescent="0.35">
      <c r="B158" s="59"/>
      <c r="C158" s="59"/>
      <c r="D158" s="60"/>
      <c r="E158" s="60"/>
      <c r="F158" s="60"/>
      <c r="G158" s="60"/>
      <c r="H158" s="60"/>
      <c r="I158" s="60"/>
      <c r="J158" s="60"/>
      <c r="K158" s="61"/>
      <c r="L158" s="61"/>
      <c r="M158" s="61"/>
      <c r="N158" s="61"/>
      <c r="O158" s="62"/>
      <c r="P158" s="62"/>
      <c r="Q158" s="62"/>
      <c r="S158" s="64"/>
      <c r="T158" s="64"/>
      <c r="U158" s="64"/>
      <c r="W158" s="66"/>
      <c r="Y158" s="66"/>
      <c r="Z158" s="66"/>
      <c r="AA158" s="68"/>
      <c r="AB158" s="66"/>
      <c r="AE158" s="66"/>
      <c r="AH158" s="68"/>
      <c r="AI158" s="66"/>
      <c r="AJ158" s="62"/>
      <c r="AK158" s="62"/>
      <c r="AL158" s="62"/>
      <c r="AM158" s="62"/>
      <c r="AN158" s="62"/>
      <c r="AO158" s="62"/>
      <c r="AP158" s="62"/>
      <c r="AQ158" s="62"/>
      <c r="AR158" s="62"/>
      <c r="AS158" s="62"/>
      <c r="AT158" s="62"/>
      <c r="AU158" s="69"/>
    </row>
    <row r="159" spans="2:47" x14ac:dyDescent="0.35">
      <c r="B159" s="59"/>
      <c r="C159" s="59"/>
      <c r="D159" s="60"/>
      <c r="E159" s="60"/>
      <c r="F159" s="60"/>
      <c r="G159" s="60"/>
      <c r="H159" s="60"/>
      <c r="I159" s="60"/>
      <c r="J159" s="60"/>
      <c r="K159" s="61"/>
      <c r="L159" s="61"/>
      <c r="M159" s="61"/>
      <c r="N159" s="61"/>
      <c r="O159" s="62"/>
      <c r="P159" s="62"/>
      <c r="Q159" s="62"/>
      <c r="S159" s="64"/>
      <c r="T159" s="64"/>
      <c r="U159" s="64"/>
      <c r="W159" s="66"/>
      <c r="Y159" s="66"/>
      <c r="Z159" s="66"/>
      <c r="AA159" s="68"/>
      <c r="AB159" s="66"/>
      <c r="AE159" s="66"/>
      <c r="AH159" s="68"/>
      <c r="AI159" s="66"/>
      <c r="AJ159" s="62"/>
      <c r="AK159" s="62"/>
      <c r="AL159" s="62"/>
      <c r="AM159" s="62"/>
      <c r="AN159" s="62"/>
      <c r="AO159" s="62"/>
      <c r="AP159" s="62"/>
      <c r="AQ159" s="62"/>
      <c r="AR159" s="62"/>
      <c r="AS159" s="62"/>
      <c r="AT159" s="62"/>
      <c r="AU159" s="69"/>
    </row>
    <row r="160" spans="2:47" x14ac:dyDescent="0.35">
      <c r="B160" s="59"/>
      <c r="C160" s="59"/>
      <c r="D160" s="60"/>
      <c r="E160" s="60"/>
      <c r="F160" s="60"/>
      <c r="G160" s="60"/>
      <c r="H160" s="60"/>
      <c r="I160" s="60"/>
      <c r="J160" s="60"/>
      <c r="K160" s="61"/>
      <c r="L160" s="61"/>
      <c r="M160" s="61"/>
      <c r="N160" s="61"/>
      <c r="O160" s="62"/>
      <c r="P160" s="62"/>
      <c r="Q160" s="62"/>
      <c r="S160" s="64"/>
      <c r="T160" s="64"/>
      <c r="U160" s="64"/>
      <c r="W160" s="66"/>
      <c r="Y160" s="66"/>
      <c r="Z160" s="66"/>
      <c r="AA160" s="68"/>
      <c r="AB160" s="66"/>
      <c r="AE160" s="66"/>
      <c r="AH160" s="68"/>
      <c r="AI160" s="66"/>
      <c r="AJ160" s="62"/>
      <c r="AK160" s="62"/>
      <c r="AL160" s="62"/>
      <c r="AM160" s="62"/>
      <c r="AN160" s="62"/>
      <c r="AO160" s="62"/>
      <c r="AP160" s="62"/>
      <c r="AQ160" s="62"/>
      <c r="AR160" s="62"/>
      <c r="AS160" s="62"/>
      <c r="AT160" s="62"/>
      <c r="AU160" s="69"/>
    </row>
    <row r="161" spans="2:47" x14ac:dyDescent="0.35">
      <c r="B161" s="59"/>
      <c r="C161" s="59"/>
      <c r="D161" s="60"/>
      <c r="E161" s="60"/>
      <c r="F161" s="60"/>
      <c r="G161" s="60"/>
      <c r="H161" s="60"/>
      <c r="I161" s="60"/>
      <c r="J161" s="60"/>
      <c r="K161" s="61"/>
      <c r="L161" s="61"/>
      <c r="M161" s="61"/>
      <c r="N161" s="61"/>
      <c r="O161" s="62"/>
      <c r="P161" s="62"/>
      <c r="Q161" s="62"/>
      <c r="S161" s="64"/>
      <c r="T161" s="64"/>
      <c r="U161" s="64"/>
      <c r="W161" s="66"/>
      <c r="Y161" s="66"/>
      <c r="Z161" s="66"/>
      <c r="AA161" s="68"/>
      <c r="AB161" s="66"/>
      <c r="AE161" s="66"/>
      <c r="AH161" s="68"/>
      <c r="AI161" s="66"/>
      <c r="AJ161" s="62"/>
      <c r="AK161" s="62"/>
      <c r="AL161" s="62"/>
      <c r="AM161" s="62"/>
      <c r="AN161" s="62"/>
      <c r="AO161" s="62"/>
      <c r="AP161" s="62"/>
      <c r="AQ161" s="62"/>
      <c r="AR161" s="62"/>
      <c r="AS161" s="62"/>
      <c r="AT161" s="62"/>
      <c r="AU161" s="69"/>
    </row>
    <row r="162" spans="2:47" x14ac:dyDescent="0.35">
      <c r="B162" s="59"/>
      <c r="C162" s="59"/>
      <c r="D162" s="60"/>
      <c r="E162" s="60"/>
      <c r="F162" s="60"/>
      <c r="G162" s="60"/>
      <c r="H162" s="60"/>
      <c r="I162" s="60"/>
      <c r="J162" s="60"/>
      <c r="K162" s="61"/>
      <c r="L162" s="61"/>
      <c r="M162" s="61"/>
      <c r="N162" s="61"/>
      <c r="O162" s="62"/>
      <c r="P162" s="62"/>
      <c r="Q162" s="62"/>
      <c r="S162" s="64"/>
      <c r="T162" s="64"/>
      <c r="U162" s="64"/>
      <c r="W162" s="66"/>
      <c r="Y162" s="66"/>
      <c r="Z162" s="66"/>
      <c r="AA162" s="68"/>
      <c r="AB162" s="66"/>
      <c r="AE162" s="66"/>
      <c r="AH162" s="68"/>
      <c r="AI162" s="66"/>
      <c r="AJ162" s="62"/>
      <c r="AK162" s="62"/>
      <c r="AL162" s="62"/>
      <c r="AM162" s="62"/>
      <c r="AN162" s="62"/>
      <c r="AO162" s="62"/>
      <c r="AP162" s="62"/>
      <c r="AQ162" s="62"/>
      <c r="AR162" s="62"/>
      <c r="AS162" s="62"/>
      <c r="AT162" s="62"/>
      <c r="AU162" s="69"/>
    </row>
    <row r="163" spans="2:47" x14ac:dyDescent="0.35">
      <c r="B163" s="59"/>
      <c r="C163" s="59"/>
      <c r="D163" s="60"/>
      <c r="E163" s="60"/>
      <c r="F163" s="60"/>
      <c r="G163" s="60"/>
      <c r="H163" s="60"/>
      <c r="I163" s="60"/>
      <c r="J163" s="60"/>
      <c r="K163" s="61"/>
      <c r="L163" s="61"/>
      <c r="M163" s="61"/>
      <c r="N163" s="61"/>
      <c r="O163" s="62"/>
      <c r="P163" s="62"/>
      <c r="Q163" s="62"/>
      <c r="S163" s="64"/>
      <c r="T163" s="64"/>
      <c r="U163" s="64"/>
      <c r="W163" s="66"/>
      <c r="Y163" s="66"/>
      <c r="Z163" s="66"/>
      <c r="AA163" s="68"/>
      <c r="AB163" s="66"/>
      <c r="AE163" s="66"/>
      <c r="AH163" s="68"/>
      <c r="AI163" s="66"/>
      <c r="AJ163" s="62"/>
      <c r="AK163" s="62"/>
      <c r="AL163" s="62"/>
      <c r="AM163" s="62"/>
      <c r="AN163" s="62"/>
      <c r="AO163" s="62"/>
      <c r="AP163" s="62"/>
      <c r="AQ163" s="62"/>
      <c r="AR163" s="62"/>
      <c r="AS163" s="62"/>
      <c r="AT163" s="62"/>
      <c r="AU163" s="69"/>
    </row>
    <row r="164" spans="2:47" x14ac:dyDescent="0.35">
      <c r="B164" s="59"/>
      <c r="C164" s="59"/>
      <c r="D164" s="60"/>
      <c r="E164" s="60"/>
      <c r="F164" s="60"/>
      <c r="G164" s="60"/>
      <c r="H164" s="60"/>
      <c r="I164" s="60"/>
      <c r="J164" s="60"/>
      <c r="K164" s="61"/>
      <c r="L164" s="61"/>
      <c r="M164" s="61"/>
      <c r="N164" s="61"/>
      <c r="O164" s="62"/>
      <c r="P164" s="62"/>
      <c r="Q164" s="62"/>
      <c r="S164" s="64"/>
      <c r="T164" s="64"/>
      <c r="U164" s="64"/>
      <c r="W164" s="66"/>
      <c r="Y164" s="66"/>
      <c r="Z164" s="66"/>
      <c r="AA164" s="68"/>
      <c r="AB164" s="66"/>
      <c r="AE164" s="66"/>
      <c r="AH164" s="68"/>
      <c r="AI164" s="66"/>
      <c r="AJ164" s="62"/>
      <c r="AK164" s="62"/>
      <c r="AL164" s="62"/>
      <c r="AM164" s="62"/>
      <c r="AN164" s="62"/>
      <c r="AO164" s="62"/>
      <c r="AP164" s="62"/>
      <c r="AQ164" s="62"/>
      <c r="AR164" s="62"/>
      <c r="AS164" s="62"/>
      <c r="AT164" s="62"/>
      <c r="AU164" s="69"/>
    </row>
    <row r="165" spans="2:47" x14ac:dyDescent="0.35">
      <c r="B165" s="59"/>
      <c r="C165" s="59"/>
      <c r="D165" s="60"/>
      <c r="E165" s="60"/>
      <c r="F165" s="60"/>
      <c r="G165" s="60"/>
      <c r="H165" s="60"/>
      <c r="I165" s="60"/>
      <c r="J165" s="60"/>
      <c r="K165" s="61"/>
      <c r="L165" s="61"/>
      <c r="M165" s="61"/>
      <c r="N165" s="61"/>
      <c r="O165" s="62"/>
      <c r="P165" s="62"/>
      <c r="Q165" s="62"/>
      <c r="S165" s="64"/>
      <c r="T165" s="64"/>
      <c r="U165" s="64"/>
      <c r="W165" s="66"/>
      <c r="Y165" s="66"/>
      <c r="Z165" s="66"/>
      <c r="AA165" s="68"/>
      <c r="AB165" s="66"/>
      <c r="AE165" s="66"/>
      <c r="AH165" s="68"/>
      <c r="AI165" s="66"/>
      <c r="AJ165" s="62"/>
      <c r="AK165" s="62"/>
      <c r="AL165" s="62"/>
      <c r="AM165" s="62"/>
      <c r="AN165" s="62"/>
      <c r="AO165" s="62"/>
      <c r="AP165" s="62"/>
      <c r="AQ165" s="62"/>
      <c r="AR165" s="62"/>
      <c r="AS165" s="62"/>
      <c r="AT165" s="62"/>
      <c r="AU165" s="69"/>
    </row>
    <row r="166" spans="2:47" x14ac:dyDescent="0.35">
      <c r="B166" s="59"/>
      <c r="C166" s="59"/>
      <c r="D166" s="60"/>
      <c r="E166" s="60"/>
      <c r="F166" s="60"/>
      <c r="G166" s="60"/>
      <c r="H166" s="60"/>
      <c r="I166" s="60"/>
      <c r="J166" s="60"/>
      <c r="K166" s="61"/>
      <c r="L166" s="61"/>
      <c r="M166" s="61"/>
      <c r="N166" s="61"/>
      <c r="O166" s="62"/>
      <c r="P166" s="62"/>
      <c r="Q166" s="62"/>
      <c r="S166" s="64"/>
      <c r="T166" s="64"/>
      <c r="U166" s="64"/>
      <c r="W166" s="66"/>
      <c r="Y166" s="66"/>
      <c r="Z166" s="66"/>
      <c r="AA166" s="68"/>
      <c r="AB166" s="66"/>
      <c r="AE166" s="66"/>
      <c r="AH166" s="68"/>
      <c r="AI166" s="66"/>
      <c r="AJ166" s="62"/>
      <c r="AK166" s="62"/>
      <c r="AL166" s="62"/>
      <c r="AM166" s="62"/>
      <c r="AN166" s="62"/>
      <c r="AO166" s="62"/>
      <c r="AP166" s="62"/>
      <c r="AQ166" s="62"/>
      <c r="AR166" s="62"/>
      <c r="AS166" s="62"/>
      <c r="AT166" s="62"/>
      <c r="AU166" s="69"/>
    </row>
    <row r="167" spans="2:47" x14ac:dyDescent="0.35">
      <c r="B167" s="59"/>
      <c r="C167" s="59"/>
      <c r="D167" s="60"/>
      <c r="E167" s="60"/>
      <c r="F167" s="60"/>
      <c r="G167" s="60"/>
      <c r="H167" s="60"/>
      <c r="I167" s="60"/>
      <c r="J167" s="60"/>
      <c r="K167" s="61"/>
      <c r="L167" s="61"/>
      <c r="M167" s="61"/>
      <c r="N167" s="61"/>
      <c r="O167" s="62"/>
      <c r="P167" s="62"/>
      <c r="Q167" s="62"/>
      <c r="S167" s="64"/>
      <c r="T167" s="64"/>
      <c r="U167" s="64"/>
      <c r="W167" s="66"/>
      <c r="Y167" s="66"/>
      <c r="Z167" s="66"/>
      <c r="AA167" s="68"/>
      <c r="AB167" s="66"/>
      <c r="AE167" s="66"/>
      <c r="AH167" s="68"/>
      <c r="AI167" s="66"/>
      <c r="AJ167" s="62"/>
      <c r="AK167" s="62"/>
      <c r="AL167" s="62"/>
      <c r="AM167" s="62"/>
      <c r="AN167" s="62"/>
      <c r="AO167" s="62"/>
      <c r="AP167" s="62"/>
      <c r="AQ167" s="62"/>
      <c r="AR167" s="62"/>
      <c r="AS167" s="62"/>
      <c r="AT167" s="62"/>
      <c r="AU167" s="69"/>
    </row>
    <row r="168" spans="2:47" x14ac:dyDescent="0.35">
      <c r="B168" s="59"/>
      <c r="C168" s="59"/>
      <c r="D168" s="60"/>
      <c r="E168" s="60"/>
      <c r="F168" s="60"/>
      <c r="G168" s="60"/>
      <c r="H168" s="60"/>
      <c r="I168" s="60"/>
      <c r="J168" s="60"/>
      <c r="K168" s="61"/>
      <c r="L168" s="61"/>
      <c r="M168" s="61"/>
      <c r="N168" s="61"/>
      <c r="O168" s="62"/>
      <c r="P168" s="62"/>
      <c r="Q168" s="62"/>
      <c r="S168" s="64"/>
      <c r="T168" s="64"/>
      <c r="U168" s="64"/>
      <c r="W168" s="66"/>
      <c r="Y168" s="66"/>
      <c r="Z168" s="66"/>
      <c r="AA168" s="68"/>
      <c r="AB168" s="66"/>
      <c r="AE168" s="66"/>
      <c r="AH168" s="68"/>
      <c r="AI168" s="66"/>
      <c r="AJ168" s="62"/>
      <c r="AK168" s="62"/>
      <c r="AL168" s="62"/>
      <c r="AM168" s="62"/>
      <c r="AN168" s="62"/>
      <c r="AO168" s="62"/>
      <c r="AP168" s="62"/>
      <c r="AQ168" s="62"/>
      <c r="AR168" s="62"/>
      <c r="AS168" s="62"/>
      <c r="AT168" s="62"/>
      <c r="AU168" s="69"/>
    </row>
    <row r="169" spans="2:47" x14ac:dyDescent="0.35">
      <c r="B169" s="59"/>
      <c r="C169" s="59"/>
      <c r="D169" s="60"/>
      <c r="E169" s="60"/>
      <c r="F169" s="60"/>
      <c r="G169" s="60"/>
      <c r="H169" s="60"/>
      <c r="I169" s="60"/>
      <c r="J169" s="60"/>
      <c r="K169" s="61"/>
      <c r="L169" s="61"/>
      <c r="M169" s="61"/>
      <c r="N169" s="61"/>
      <c r="O169" s="62"/>
      <c r="P169" s="62"/>
      <c r="Q169" s="62"/>
      <c r="S169" s="64"/>
      <c r="T169" s="64"/>
      <c r="U169" s="64"/>
      <c r="W169" s="66"/>
      <c r="Y169" s="66"/>
      <c r="Z169" s="66"/>
      <c r="AA169" s="68"/>
      <c r="AB169" s="66"/>
      <c r="AE169" s="66"/>
      <c r="AH169" s="68"/>
      <c r="AI169" s="66"/>
      <c r="AJ169" s="62"/>
      <c r="AK169" s="62"/>
      <c r="AL169" s="62"/>
      <c r="AM169" s="62"/>
      <c r="AN169" s="62"/>
      <c r="AO169" s="62"/>
      <c r="AP169" s="62"/>
      <c r="AQ169" s="62"/>
      <c r="AR169" s="62"/>
      <c r="AS169" s="62"/>
      <c r="AT169" s="62"/>
      <c r="AU169" s="69"/>
    </row>
    <row r="170" spans="2:47" x14ac:dyDescent="0.35">
      <c r="B170" s="59"/>
      <c r="C170" s="59"/>
      <c r="D170" s="60"/>
      <c r="E170" s="60"/>
      <c r="F170" s="60"/>
      <c r="G170" s="60"/>
      <c r="H170" s="60"/>
      <c r="I170" s="60"/>
      <c r="J170" s="60"/>
      <c r="K170" s="61"/>
      <c r="L170" s="61"/>
      <c r="M170" s="61"/>
      <c r="N170" s="61"/>
      <c r="O170" s="62"/>
      <c r="P170" s="62"/>
      <c r="Q170" s="62"/>
      <c r="S170" s="64"/>
      <c r="T170" s="64"/>
      <c r="U170" s="64"/>
      <c r="W170" s="66"/>
      <c r="Y170" s="66"/>
      <c r="Z170" s="66"/>
      <c r="AA170" s="68"/>
      <c r="AB170" s="66"/>
      <c r="AE170" s="66"/>
      <c r="AH170" s="68"/>
      <c r="AI170" s="66"/>
      <c r="AJ170" s="62"/>
      <c r="AK170" s="62"/>
      <c r="AL170" s="62"/>
      <c r="AM170" s="62"/>
      <c r="AN170" s="62"/>
      <c r="AO170" s="62"/>
      <c r="AP170" s="62"/>
      <c r="AQ170" s="62"/>
      <c r="AR170" s="62"/>
      <c r="AS170" s="62"/>
      <c r="AT170" s="62"/>
      <c r="AU170" s="69"/>
    </row>
    <row r="171" spans="2:47" x14ac:dyDescent="0.35">
      <c r="B171" s="59"/>
      <c r="C171" s="59"/>
      <c r="D171" s="60"/>
      <c r="E171" s="60"/>
      <c r="F171" s="60"/>
      <c r="G171" s="60"/>
      <c r="H171" s="60"/>
      <c r="I171" s="60"/>
      <c r="J171" s="60"/>
      <c r="K171" s="61"/>
      <c r="L171" s="61"/>
      <c r="M171" s="61"/>
      <c r="N171" s="61"/>
      <c r="O171" s="62"/>
      <c r="P171" s="62"/>
      <c r="Q171" s="62"/>
      <c r="S171" s="64"/>
      <c r="T171" s="64"/>
      <c r="U171" s="64"/>
      <c r="W171" s="66"/>
      <c r="Y171" s="66"/>
      <c r="Z171" s="66"/>
      <c r="AA171" s="68"/>
      <c r="AB171" s="66"/>
      <c r="AE171" s="66"/>
      <c r="AH171" s="68"/>
      <c r="AI171" s="66"/>
      <c r="AJ171" s="62"/>
      <c r="AK171" s="62"/>
      <c r="AL171" s="62"/>
      <c r="AM171" s="62"/>
      <c r="AN171" s="62"/>
      <c r="AO171" s="62"/>
      <c r="AP171" s="62"/>
      <c r="AQ171" s="62"/>
      <c r="AR171" s="62"/>
      <c r="AS171" s="62"/>
      <c r="AT171" s="62"/>
      <c r="AU171" s="69"/>
    </row>
    <row r="172" spans="2:47" x14ac:dyDescent="0.35">
      <c r="B172" s="59"/>
      <c r="C172" s="59"/>
      <c r="D172" s="60"/>
      <c r="E172" s="60"/>
      <c r="F172" s="60"/>
      <c r="G172" s="60"/>
      <c r="H172" s="60"/>
      <c r="I172" s="60"/>
      <c r="J172" s="60"/>
      <c r="K172" s="61"/>
      <c r="L172" s="61"/>
      <c r="M172" s="61"/>
      <c r="N172" s="61"/>
      <c r="O172" s="62"/>
      <c r="P172" s="62"/>
      <c r="Q172" s="62"/>
      <c r="S172" s="64"/>
      <c r="T172" s="64"/>
      <c r="U172" s="64"/>
      <c r="W172" s="66"/>
      <c r="Y172" s="66"/>
      <c r="Z172" s="66"/>
      <c r="AA172" s="68"/>
      <c r="AB172" s="66"/>
      <c r="AE172" s="66"/>
      <c r="AH172" s="68"/>
      <c r="AI172" s="66"/>
      <c r="AJ172" s="62"/>
      <c r="AK172" s="62"/>
      <c r="AL172" s="62"/>
      <c r="AM172" s="62"/>
      <c r="AN172" s="62"/>
      <c r="AO172" s="62"/>
      <c r="AP172" s="62"/>
      <c r="AQ172" s="62"/>
      <c r="AR172" s="62"/>
      <c r="AS172" s="62"/>
      <c r="AT172" s="62"/>
      <c r="AU172" s="69"/>
    </row>
    <row r="173" spans="2:47" x14ac:dyDescent="0.35">
      <c r="B173" s="59"/>
      <c r="C173" s="59"/>
      <c r="D173" s="60"/>
      <c r="E173" s="60"/>
      <c r="F173" s="60"/>
      <c r="G173" s="60"/>
      <c r="H173" s="60"/>
      <c r="I173" s="60"/>
      <c r="J173" s="60"/>
      <c r="K173" s="61"/>
      <c r="L173" s="61"/>
      <c r="M173" s="61"/>
      <c r="N173" s="61"/>
      <c r="O173" s="62"/>
      <c r="P173" s="62"/>
      <c r="Q173" s="62"/>
      <c r="S173" s="64"/>
      <c r="T173" s="64"/>
      <c r="U173" s="64"/>
      <c r="W173" s="66"/>
      <c r="Y173" s="66"/>
      <c r="Z173" s="66"/>
      <c r="AA173" s="68"/>
      <c r="AB173" s="66"/>
      <c r="AE173" s="66"/>
      <c r="AH173" s="68"/>
      <c r="AI173" s="66"/>
      <c r="AJ173" s="62"/>
      <c r="AK173" s="62"/>
      <c r="AL173" s="62"/>
      <c r="AM173" s="62"/>
      <c r="AN173" s="62"/>
      <c r="AO173" s="62"/>
      <c r="AP173" s="62"/>
      <c r="AQ173" s="62"/>
      <c r="AR173" s="62"/>
      <c r="AS173" s="62"/>
      <c r="AT173" s="62"/>
      <c r="AU173" s="69"/>
    </row>
    <row r="174" spans="2:47" x14ac:dyDescent="0.35">
      <c r="B174" s="59"/>
      <c r="C174" s="59"/>
      <c r="D174" s="60"/>
      <c r="E174" s="60"/>
      <c r="F174" s="60"/>
      <c r="G174" s="60"/>
      <c r="H174" s="60"/>
      <c r="I174" s="60"/>
      <c r="J174" s="60"/>
      <c r="K174" s="61"/>
      <c r="L174" s="61"/>
      <c r="M174" s="61"/>
      <c r="N174" s="61"/>
      <c r="O174" s="62"/>
      <c r="P174" s="62"/>
      <c r="Q174" s="62"/>
      <c r="S174" s="64"/>
      <c r="T174" s="64"/>
      <c r="U174" s="64"/>
      <c r="W174" s="66"/>
      <c r="Y174" s="66"/>
      <c r="Z174" s="66"/>
      <c r="AA174" s="68"/>
      <c r="AB174" s="66"/>
      <c r="AE174" s="66"/>
      <c r="AH174" s="68"/>
      <c r="AI174" s="66"/>
      <c r="AJ174" s="62"/>
      <c r="AK174" s="62"/>
      <c r="AL174" s="62"/>
      <c r="AM174" s="62"/>
      <c r="AN174" s="62"/>
      <c r="AO174" s="62"/>
      <c r="AP174" s="62"/>
      <c r="AQ174" s="62"/>
      <c r="AR174" s="62"/>
      <c r="AS174" s="62"/>
      <c r="AT174" s="62"/>
      <c r="AU174" s="69"/>
    </row>
    <row r="175" spans="2:47" x14ac:dyDescent="0.35">
      <c r="B175" s="59"/>
      <c r="C175" s="59"/>
      <c r="D175" s="60"/>
      <c r="E175" s="60"/>
      <c r="F175" s="60"/>
      <c r="G175" s="60"/>
      <c r="H175" s="60"/>
      <c r="I175" s="60"/>
      <c r="J175" s="60"/>
      <c r="K175" s="61"/>
      <c r="L175" s="61"/>
      <c r="M175" s="61"/>
      <c r="N175" s="61"/>
      <c r="O175" s="62"/>
      <c r="P175" s="62"/>
      <c r="Q175" s="62"/>
      <c r="S175" s="64"/>
      <c r="T175" s="64"/>
      <c r="U175" s="64"/>
      <c r="W175" s="66"/>
      <c r="Y175" s="66"/>
      <c r="Z175" s="66"/>
      <c r="AA175" s="68"/>
      <c r="AB175" s="66"/>
      <c r="AE175" s="66"/>
      <c r="AH175" s="68"/>
      <c r="AI175" s="66"/>
      <c r="AJ175" s="62"/>
      <c r="AK175" s="62"/>
      <c r="AL175" s="62"/>
      <c r="AM175" s="62"/>
      <c r="AN175" s="62"/>
      <c r="AO175" s="62"/>
      <c r="AP175" s="62"/>
      <c r="AQ175" s="62"/>
      <c r="AR175" s="62"/>
      <c r="AS175" s="62"/>
      <c r="AT175" s="62"/>
      <c r="AU175" s="69"/>
    </row>
    <row r="176" spans="2:47" x14ac:dyDescent="0.35">
      <c r="B176" s="59"/>
      <c r="C176" s="59"/>
      <c r="D176" s="60"/>
      <c r="E176" s="60"/>
      <c r="F176" s="60"/>
      <c r="G176" s="60"/>
      <c r="H176" s="60"/>
      <c r="I176" s="60"/>
      <c r="J176" s="60"/>
      <c r="K176" s="61"/>
      <c r="L176" s="61"/>
      <c r="M176" s="61"/>
      <c r="N176" s="61"/>
      <c r="O176" s="62"/>
      <c r="P176" s="62"/>
      <c r="Q176" s="62"/>
      <c r="S176" s="64"/>
      <c r="T176" s="64"/>
      <c r="U176" s="64"/>
      <c r="W176" s="66"/>
      <c r="Y176" s="66"/>
      <c r="Z176" s="66"/>
      <c r="AA176" s="68"/>
      <c r="AB176" s="66"/>
      <c r="AE176" s="66"/>
      <c r="AH176" s="68"/>
      <c r="AI176" s="66"/>
      <c r="AJ176" s="62"/>
      <c r="AK176" s="62"/>
      <c r="AL176" s="62"/>
      <c r="AM176" s="62"/>
      <c r="AN176" s="62"/>
      <c r="AO176" s="62"/>
      <c r="AP176" s="62"/>
      <c r="AQ176" s="62"/>
      <c r="AR176" s="62"/>
      <c r="AS176" s="62"/>
      <c r="AT176" s="62"/>
      <c r="AU176" s="69"/>
    </row>
    <row r="177" spans="2:47" x14ac:dyDescent="0.35">
      <c r="B177" s="59"/>
      <c r="C177" s="59"/>
      <c r="D177" s="60"/>
      <c r="E177" s="60"/>
      <c r="F177" s="60"/>
      <c r="G177" s="60"/>
      <c r="H177" s="60"/>
      <c r="I177" s="60"/>
      <c r="J177" s="60"/>
      <c r="K177" s="61"/>
      <c r="L177" s="61"/>
      <c r="M177" s="61"/>
      <c r="N177" s="61"/>
      <c r="O177" s="62"/>
      <c r="P177" s="62"/>
      <c r="Q177" s="62"/>
      <c r="S177" s="64"/>
      <c r="T177" s="64"/>
      <c r="U177" s="64"/>
      <c r="W177" s="66"/>
      <c r="Y177" s="66"/>
      <c r="Z177" s="66"/>
      <c r="AA177" s="68"/>
      <c r="AB177" s="66"/>
      <c r="AE177" s="66"/>
      <c r="AH177" s="68"/>
      <c r="AI177" s="66"/>
      <c r="AJ177" s="62"/>
      <c r="AK177" s="62"/>
      <c r="AL177" s="62"/>
      <c r="AM177" s="62"/>
      <c r="AN177" s="62"/>
      <c r="AO177" s="62"/>
      <c r="AP177" s="62"/>
      <c r="AQ177" s="62"/>
      <c r="AR177" s="62"/>
      <c r="AS177" s="62"/>
      <c r="AT177" s="62"/>
      <c r="AU177" s="69"/>
    </row>
    <row r="178" spans="2:47" x14ac:dyDescent="0.35">
      <c r="B178" s="59"/>
      <c r="C178" s="59"/>
      <c r="D178" s="60"/>
      <c r="E178" s="60"/>
      <c r="F178" s="60"/>
      <c r="G178" s="60"/>
      <c r="H178" s="60"/>
      <c r="I178" s="60"/>
      <c r="J178" s="60"/>
      <c r="K178" s="61"/>
      <c r="L178" s="61"/>
      <c r="M178" s="61"/>
      <c r="N178" s="61"/>
      <c r="O178" s="62"/>
      <c r="P178" s="62"/>
      <c r="Q178" s="62"/>
      <c r="S178" s="64"/>
      <c r="T178" s="64"/>
      <c r="U178" s="64"/>
      <c r="W178" s="66"/>
      <c r="Y178" s="66"/>
      <c r="Z178" s="66"/>
      <c r="AA178" s="68"/>
      <c r="AB178" s="66"/>
      <c r="AE178" s="66"/>
      <c r="AH178" s="68"/>
      <c r="AI178" s="66"/>
      <c r="AJ178" s="62"/>
      <c r="AK178" s="62"/>
      <c r="AL178" s="62"/>
      <c r="AM178" s="62"/>
      <c r="AN178" s="62"/>
      <c r="AO178" s="62"/>
      <c r="AP178" s="62"/>
      <c r="AQ178" s="62"/>
      <c r="AR178" s="62"/>
      <c r="AS178" s="62"/>
      <c r="AT178" s="62"/>
      <c r="AU178" s="69"/>
    </row>
    <row r="179" spans="2:47" x14ac:dyDescent="0.35">
      <c r="B179" s="59"/>
      <c r="C179" s="59"/>
      <c r="D179" s="60"/>
      <c r="E179" s="60"/>
      <c r="F179" s="60"/>
      <c r="G179" s="60"/>
      <c r="H179" s="60"/>
      <c r="I179" s="60"/>
      <c r="J179" s="60"/>
      <c r="K179" s="61"/>
      <c r="L179" s="61"/>
      <c r="M179" s="61"/>
      <c r="N179" s="61"/>
      <c r="O179" s="62"/>
      <c r="P179" s="62"/>
      <c r="Q179" s="62"/>
      <c r="S179" s="64"/>
      <c r="T179" s="64"/>
      <c r="U179" s="64"/>
      <c r="W179" s="66"/>
      <c r="Y179" s="66"/>
      <c r="Z179" s="66"/>
      <c r="AA179" s="68"/>
      <c r="AB179" s="66"/>
      <c r="AE179" s="66"/>
      <c r="AH179" s="68"/>
      <c r="AI179" s="66"/>
      <c r="AJ179" s="62"/>
      <c r="AK179" s="62"/>
      <c r="AL179" s="62"/>
      <c r="AM179" s="62"/>
      <c r="AN179" s="62"/>
      <c r="AO179" s="62"/>
      <c r="AP179" s="62"/>
      <c r="AQ179" s="62"/>
      <c r="AR179" s="62"/>
      <c r="AS179" s="62"/>
      <c r="AT179" s="62"/>
      <c r="AU179" s="69"/>
    </row>
    <row r="180" spans="2:47" x14ac:dyDescent="0.35">
      <c r="B180" s="59"/>
      <c r="C180" s="59"/>
      <c r="D180" s="60"/>
      <c r="E180" s="60"/>
      <c r="F180" s="60"/>
      <c r="G180" s="60"/>
      <c r="H180" s="60"/>
      <c r="I180" s="60"/>
      <c r="J180" s="60"/>
      <c r="K180" s="61"/>
      <c r="L180" s="61"/>
      <c r="M180" s="61"/>
      <c r="N180" s="61"/>
      <c r="O180" s="62"/>
      <c r="P180" s="62"/>
      <c r="Q180" s="62"/>
      <c r="S180" s="64"/>
      <c r="T180" s="64"/>
      <c r="U180" s="64"/>
      <c r="W180" s="66"/>
      <c r="Y180" s="66"/>
      <c r="Z180" s="66"/>
      <c r="AA180" s="68"/>
      <c r="AB180" s="66"/>
      <c r="AE180" s="66"/>
      <c r="AH180" s="68"/>
      <c r="AI180" s="66"/>
      <c r="AJ180" s="62"/>
      <c r="AK180" s="62"/>
      <c r="AL180" s="62"/>
      <c r="AM180" s="62"/>
      <c r="AN180" s="62"/>
      <c r="AO180" s="62"/>
      <c r="AP180" s="62"/>
      <c r="AQ180" s="62"/>
      <c r="AR180" s="62"/>
      <c r="AS180" s="62"/>
      <c r="AT180" s="62"/>
      <c r="AU180" s="69"/>
    </row>
    <row r="181" spans="2:47" x14ac:dyDescent="0.35">
      <c r="B181" s="59"/>
      <c r="C181" s="59"/>
      <c r="D181" s="60"/>
      <c r="E181" s="60"/>
      <c r="F181" s="60"/>
      <c r="G181" s="60"/>
      <c r="H181" s="60"/>
      <c r="I181" s="60"/>
      <c r="J181" s="60"/>
      <c r="K181" s="61"/>
      <c r="L181" s="61"/>
      <c r="M181" s="61"/>
      <c r="N181" s="61"/>
      <c r="O181" s="62"/>
      <c r="P181" s="62"/>
      <c r="Q181" s="62"/>
      <c r="S181" s="64"/>
      <c r="T181" s="64"/>
      <c r="U181" s="64"/>
      <c r="W181" s="66"/>
      <c r="Y181" s="66"/>
      <c r="Z181" s="66"/>
      <c r="AA181" s="68"/>
      <c r="AB181" s="66"/>
      <c r="AE181" s="66"/>
      <c r="AH181" s="68"/>
      <c r="AI181" s="66"/>
      <c r="AJ181" s="62"/>
      <c r="AK181" s="62"/>
      <c r="AL181" s="62"/>
      <c r="AM181" s="62"/>
      <c r="AN181" s="62"/>
      <c r="AO181" s="62"/>
      <c r="AP181" s="62"/>
      <c r="AQ181" s="62"/>
      <c r="AR181" s="62"/>
      <c r="AS181" s="62"/>
      <c r="AT181" s="62"/>
      <c r="AU181" s="69"/>
    </row>
    <row r="182" spans="2:47" x14ac:dyDescent="0.35">
      <c r="B182" s="59"/>
      <c r="C182" s="59"/>
      <c r="D182" s="60"/>
      <c r="E182" s="60"/>
      <c r="F182" s="60"/>
      <c r="G182" s="60"/>
      <c r="H182" s="60"/>
      <c r="I182" s="60"/>
      <c r="J182" s="60"/>
      <c r="K182" s="61"/>
      <c r="L182" s="61"/>
      <c r="M182" s="61"/>
      <c r="N182" s="61"/>
      <c r="O182" s="62"/>
      <c r="P182" s="62"/>
      <c r="Q182" s="62"/>
      <c r="S182" s="64"/>
      <c r="T182" s="64"/>
      <c r="U182" s="64"/>
      <c r="W182" s="66"/>
      <c r="Y182" s="66"/>
      <c r="Z182" s="66"/>
      <c r="AA182" s="68"/>
      <c r="AB182" s="66"/>
      <c r="AE182" s="66"/>
      <c r="AH182" s="68"/>
      <c r="AI182" s="66"/>
      <c r="AJ182" s="62"/>
      <c r="AK182" s="62"/>
      <c r="AL182" s="62"/>
      <c r="AM182" s="62"/>
      <c r="AN182" s="62"/>
      <c r="AO182" s="62"/>
      <c r="AP182" s="62"/>
      <c r="AQ182" s="62"/>
      <c r="AR182" s="62"/>
      <c r="AS182" s="62"/>
      <c r="AT182" s="62"/>
      <c r="AU182" s="69"/>
    </row>
    <row r="183" spans="2:47" x14ac:dyDescent="0.35">
      <c r="B183" s="59"/>
      <c r="C183" s="59"/>
      <c r="D183" s="60"/>
      <c r="E183" s="60"/>
      <c r="F183" s="60"/>
      <c r="G183" s="60"/>
      <c r="H183" s="60"/>
      <c r="I183" s="60"/>
      <c r="J183" s="60"/>
      <c r="K183" s="61"/>
      <c r="L183" s="61"/>
      <c r="M183" s="61"/>
      <c r="N183" s="61"/>
      <c r="O183" s="62"/>
      <c r="P183" s="62"/>
      <c r="Q183" s="62"/>
      <c r="S183" s="64"/>
      <c r="T183" s="64"/>
      <c r="U183" s="64"/>
      <c r="W183" s="66"/>
      <c r="Y183" s="66"/>
      <c r="Z183" s="66"/>
      <c r="AA183" s="68"/>
      <c r="AB183" s="66"/>
      <c r="AE183" s="66"/>
      <c r="AH183" s="68"/>
      <c r="AI183" s="66"/>
      <c r="AJ183" s="62"/>
      <c r="AK183" s="62"/>
      <c r="AL183" s="62"/>
      <c r="AM183" s="62"/>
      <c r="AN183" s="62"/>
      <c r="AO183" s="62"/>
      <c r="AP183" s="62"/>
      <c r="AQ183" s="62"/>
      <c r="AR183" s="62"/>
      <c r="AS183" s="62"/>
      <c r="AT183" s="62"/>
      <c r="AU183" s="69"/>
    </row>
    <row r="184" spans="2:47" x14ac:dyDescent="0.35">
      <c r="B184" s="59"/>
      <c r="C184" s="59"/>
      <c r="D184" s="60"/>
      <c r="E184" s="60"/>
      <c r="F184" s="60"/>
      <c r="G184" s="60"/>
      <c r="H184" s="60"/>
      <c r="I184" s="60"/>
      <c r="J184" s="60"/>
      <c r="K184" s="61"/>
      <c r="L184" s="61"/>
      <c r="M184" s="61"/>
      <c r="N184" s="61"/>
      <c r="O184" s="62"/>
      <c r="P184" s="62"/>
      <c r="Q184" s="62"/>
      <c r="S184" s="64"/>
      <c r="T184" s="64"/>
      <c r="U184" s="64"/>
      <c r="W184" s="66"/>
      <c r="Y184" s="66"/>
      <c r="Z184" s="66"/>
      <c r="AA184" s="68"/>
      <c r="AB184" s="66"/>
      <c r="AE184" s="66"/>
      <c r="AH184" s="68"/>
      <c r="AI184" s="66"/>
      <c r="AJ184" s="62"/>
      <c r="AK184" s="62"/>
      <c r="AL184" s="62"/>
      <c r="AM184" s="62"/>
      <c r="AN184" s="62"/>
      <c r="AO184" s="62"/>
      <c r="AP184" s="62"/>
      <c r="AQ184" s="62"/>
      <c r="AR184" s="62"/>
      <c r="AS184" s="62"/>
      <c r="AT184" s="62"/>
      <c r="AU184" s="69"/>
    </row>
    <row r="185" spans="2:47" x14ac:dyDescent="0.35">
      <c r="B185" s="59"/>
      <c r="C185" s="59"/>
      <c r="D185" s="60"/>
      <c r="E185" s="60"/>
      <c r="F185" s="60"/>
      <c r="G185" s="60"/>
      <c r="H185" s="60"/>
      <c r="I185" s="60"/>
      <c r="J185" s="60"/>
      <c r="K185" s="61"/>
      <c r="L185" s="61"/>
      <c r="M185" s="61"/>
      <c r="N185" s="61"/>
      <c r="O185" s="62"/>
      <c r="P185" s="62"/>
      <c r="Q185" s="62"/>
      <c r="S185" s="64"/>
      <c r="T185" s="64"/>
      <c r="U185" s="64"/>
      <c r="W185" s="66"/>
      <c r="Y185" s="66"/>
      <c r="Z185" s="66"/>
      <c r="AA185" s="68"/>
      <c r="AB185" s="66"/>
      <c r="AE185" s="66"/>
      <c r="AH185" s="68"/>
      <c r="AI185" s="66"/>
      <c r="AJ185" s="62"/>
      <c r="AK185" s="62"/>
      <c r="AL185" s="62"/>
      <c r="AM185" s="62"/>
      <c r="AN185" s="62"/>
      <c r="AO185" s="62"/>
      <c r="AP185" s="62"/>
      <c r="AQ185" s="62"/>
      <c r="AR185" s="62"/>
      <c r="AS185" s="62"/>
      <c r="AT185" s="62"/>
      <c r="AU185" s="69"/>
    </row>
    <row r="186" spans="2:47" x14ac:dyDescent="0.35">
      <c r="B186" s="59"/>
      <c r="C186" s="59"/>
      <c r="D186" s="60"/>
      <c r="E186" s="60"/>
      <c r="F186" s="60"/>
      <c r="G186" s="60"/>
      <c r="H186" s="60"/>
      <c r="I186" s="60"/>
      <c r="J186" s="60"/>
      <c r="K186" s="61"/>
      <c r="L186" s="61"/>
      <c r="M186" s="61"/>
      <c r="N186" s="61"/>
      <c r="O186" s="62"/>
      <c r="P186" s="62"/>
      <c r="Q186" s="62"/>
      <c r="S186" s="64"/>
      <c r="T186" s="64"/>
      <c r="U186" s="64"/>
      <c r="W186" s="66"/>
      <c r="Y186" s="66"/>
      <c r="Z186" s="66"/>
      <c r="AA186" s="68"/>
      <c r="AB186" s="66"/>
      <c r="AE186" s="66"/>
      <c r="AH186" s="68"/>
      <c r="AI186" s="66"/>
      <c r="AJ186" s="62"/>
      <c r="AK186" s="62"/>
      <c r="AL186" s="62"/>
      <c r="AM186" s="62"/>
      <c r="AN186" s="62"/>
      <c r="AO186" s="62"/>
      <c r="AP186" s="62"/>
      <c r="AQ186" s="62"/>
      <c r="AR186" s="62"/>
      <c r="AS186" s="62"/>
      <c r="AT186" s="62"/>
      <c r="AU186" s="69"/>
    </row>
    <row r="187" spans="2:47" x14ac:dyDescent="0.35">
      <c r="B187" s="59"/>
      <c r="C187" s="59"/>
      <c r="D187" s="60"/>
      <c r="E187" s="60"/>
      <c r="F187" s="60"/>
      <c r="G187" s="60"/>
      <c r="H187" s="60"/>
      <c r="I187" s="60"/>
      <c r="J187" s="60"/>
      <c r="K187" s="61"/>
      <c r="L187" s="61"/>
      <c r="M187" s="61"/>
      <c r="N187" s="61"/>
      <c r="O187" s="62"/>
      <c r="P187" s="62"/>
      <c r="Q187" s="62"/>
      <c r="S187" s="64"/>
      <c r="T187" s="64"/>
      <c r="U187" s="64"/>
      <c r="W187" s="66"/>
      <c r="Y187" s="66"/>
      <c r="Z187" s="66"/>
      <c r="AA187" s="68"/>
      <c r="AB187" s="66"/>
      <c r="AE187" s="66"/>
      <c r="AH187" s="68"/>
      <c r="AI187" s="66"/>
      <c r="AJ187" s="62"/>
      <c r="AK187" s="62"/>
      <c r="AL187" s="62"/>
      <c r="AM187" s="62"/>
      <c r="AN187" s="62"/>
      <c r="AO187" s="62"/>
      <c r="AP187" s="62"/>
      <c r="AQ187" s="62"/>
      <c r="AR187" s="62"/>
      <c r="AS187" s="62"/>
      <c r="AT187" s="62"/>
      <c r="AU187" s="69"/>
    </row>
    <row r="188" spans="2:47" x14ac:dyDescent="0.35">
      <c r="B188" s="59"/>
      <c r="C188" s="59"/>
      <c r="D188" s="60"/>
      <c r="E188" s="60"/>
      <c r="F188" s="60"/>
      <c r="G188" s="60"/>
      <c r="H188" s="60"/>
      <c r="I188" s="60"/>
      <c r="J188" s="60"/>
      <c r="K188" s="61"/>
      <c r="L188" s="61"/>
      <c r="M188" s="61"/>
      <c r="N188" s="61"/>
      <c r="O188" s="62"/>
      <c r="P188" s="62"/>
      <c r="Q188" s="62"/>
      <c r="S188" s="64"/>
      <c r="T188" s="64"/>
      <c r="U188" s="64"/>
      <c r="W188" s="66"/>
      <c r="Y188" s="66"/>
      <c r="Z188" s="66"/>
      <c r="AA188" s="68"/>
      <c r="AB188" s="66"/>
      <c r="AE188" s="66"/>
      <c r="AH188" s="68"/>
      <c r="AI188" s="66"/>
      <c r="AJ188" s="62"/>
      <c r="AK188" s="62"/>
      <c r="AL188" s="62"/>
      <c r="AM188" s="62"/>
      <c r="AN188" s="62"/>
      <c r="AO188" s="62"/>
      <c r="AP188" s="62"/>
      <c r="AQ188" s="62"/>
      <c r="AR188" s="62"/>
      <c r="AS188" s="62"/>
      <c r="AT188" s="62"/>
      <c r="AU188" s="69"/>
    </row>
    <row r="189" spans="2:47" x14ac:dyDescent="0.35">
      <c r="B189" s="59"/>
      <c r="C189" s="59"/>
      <c r="D189" s="60"/>
      <c r="E189" s="60"/>
      <c r="F189" s="60"/>
      <c r="G189" s="60"/>
      <c r="H189" s="60"/>
      <c r="I189" s="60"/>
      <c r="J189" s="60"/>
      <c r="K189" s="61"/>
      <c r="L189" s="61"/>
      <c r="M189" s="61"/>
      <c r="N189" s="61"/>
      <c r="O189" s="62"/>
      <c r="P189" s="62"/>
      <c r="Q189" s="62"/>
      <c r="S189" s="64"/>
      <c r="T189" s="64"/>
      <c r="U189" s="64"/>
      <c r="W189" s="66"/>
      <c r="Y189" s="66"/>
      <c r="Z189" s="66"/>
      <c r="AA189" s="68"/>
      <c r="AB189" s="66"/>
      <c r="AE189" s="66"/>
      <c r="AH189" s="68"/>
      <c r="AI189" s="66"/>
      <c r="AJ189" s="62"/>
      <c r="AK189" s="62"/>
      <c r="AL189" s="62"/>
      <c r="AM189" s="62"/>
      <c r="AN189" s="62"/>
      <c r="AO189" s="62"/>
      <c r="AP189" s="62"/>
      <c r="AQ189" s="62"/>
      <c r="AR189" s="62"/>
      <c r="AS189" s="62"/>
      <c r="AT189" s="62"/>
      <c r="AU189" s="69"/>
    </row>
    <row r="190" spans="2:47" x14ac:dyDescent="0.35">
      <c r="B190" s="59"/>
      <c r="C190" s="59"/>
      <c r="D190" s="60"/>
      <c r="E190" s="60"/>
      <c r="F190" s="60"/>
      <c r="G190" s="60"/>
      <c r="H190" s="60"/>
      <c r="I190" s="60"/>
      <c r="J190" s="60"/>
      <c r="K190" s="61"/>
      <c r="L190" s="61"/>
      <c r="M190" s="61"/>
      <c r="N190" s="61"/>
      <c r="O190" s="62"/>
      <c r="P190" s="62"/>
      <c r="Q190" s="62"/>
      <c r="S190" s="64"/>
      <c r="T190" s="64"/>
      <c r="U190" s="64"/>
      <c r="W190" s="66"/>
      <c r="Y190" s="66"/>
      <c r="Z190" s="66"/>
      <c r="AA190" s="68"/>
      <c r="AB190" s="66"/>
      <c r="AE190" s="66"/>
      <c r="AH190" s="68"/>
      <c r="AI190" s="66"/>
      <c r="AJ190" s="62"/>
      <c r="AK190" s="62"/>
      <c r="AL190" s="62"/>
      <c r="AM190" s="62"/>
      <c r="AN190" s="62"/>
      <c r="AO190" s="62"/>
      <c r="AP190" s="62"/>
      <c r="AQ190" s="62"/>
      <c r="AR190" s="62"/>
      <c r="AS190" s="62"/>
      <c r="AT190" s="62"/>
      <c r="AU190" s="69"/>
    </row>
    <row r="191" spans="2:47" x14ac:dyDescent="0.35">
      <c r="B191" s="59"/>
      <c r="C191" s="59"/>
      <c r="D191" s="60"/>
      <c r="E191" s="60"/>
      <c r="F191" s="60"/>
      <c r="G191" s="60"/>
      <c r="H191" s="60"/>
      <c r="I191" s="60"/>
      <c r="J191" s="60"/>
      <c r="K191" s="61"/>
      <c r="L191" s="61"/>
      <c r="M191" s="61"/>
      <c r="N191" s="61"/>
      <c r="O191" s="62"/>
      <c r="P191" s="62"/>
      <c r="Q191" s="62"/>
      <c r="S191" s="64"/>
      <c r="T191" s="64"/>
      <c r="U191" s="64"/>
      <c r="W191" s="66"/>
      <c r="Y191" s="66"/>
      <c r="Z191" s="66"/>
      <c r="AA191" s="68"/>
      <c r="AB191" s="66"/>
      <c r="AE191" s="66"/>
      <c r="AH191" s="68"/>
      <c r="AI191" s="66"/>
      <c r="AJ191" s="62"/>
      <c r="AK191" s="62"/>
      <c r="AL191" s="62"/>
      <c r="AM191" s="62"/>
      <c r="AN191" s="62"/>
      <c r="AO191" s="62"/>
      <c r="AP191" s="62"/>
      <c r="AQ191" s="62"/>
      <c r="AR191" s="62"/>
      <c r="AS191" s="62"/>
      <c r="AT191" s="62"/>
      <c r="AU191" s="69"/>
    </row>
    <row r="192" spans="2:47" x14ac:dyDescent="0.35">
      <c r="B192" s="59"/>
      <c r="C192" s="59"/>
      <c r="D192" s="60"/>
      <c r="E192" s="60"/>
      <c r="F192" s="60"/>
      <c r="G192" s="60"/>
      <c r="H192" s="60"/>
      <c r="I192" s="60"/>
      <c r="J192" s="60"/>
      <c r="K192" s="61"/>
      <c r="L192" s="61"/>
      <c r="M192" s="61"/>
      <c r="N192" s="61"/>
      <c r="O192" s="62"/>
      <c r="P192" s="62"/>
      <c r="Q192" s="62"/>
      <c r="S192" s="64"/>
      <c r="T192" s="64"/>
      <c r="U192" s="64"/>
      <c r="W192" s="66"/>
      <c r="Y192" s="66"/>
      <c r="Z192" s="66"/>
      <c r="AA192" s="68"/>
      <c r="AB192" s="66"/>
      <c r="AE192" s="66"/>
      <c r="AH192" s="68"/>
      <c r="AI192" s="66"/>
      <c r="AJ192" s="62"/>
      <c r="AK192" s="62"/>
      <c r="AL192" s="62"/>
      <c r="AM192" s="62"/>
      <c r="AN192" s="62"/>
      <c r="AO192" s="62"/>
      <c r="AP192" s="62"/>
      <c r="AQ192" s="62"/>
      <c r="AR192" s="62"/>
      <c r="AS192" s="62"/>
      <c r="AT192" s="62"/>
      <c r="AU192" s="69"/>
    </row>
    <row r="193" spans="2:47" x14ac:dyDescent="0.35">
      <c r="B193" s="59"/>
      <c r="C193" s="59"/>
      <c r="D193" s="60"/>
      <c r="E193" s="60"/>
      <c r="F193" s="60"/>
      <c r="G193" s="60"/>
      <c r="H193" s="60"/>
      <c r="I193" s="60"/>
      <c r="J193" s="60"/>
      <c r="K193" s="61"/>
      <c r="L193" s="61"/>
      <c r="M193" s="61"/>
      <c r="N193" s="61"/>
      <c r="O193" s="62"/>
      <c r="P193" s="62"/>
      <c r="Q193" s="62"/>
      <c r="S193" s="64"/>
      <c r="T193" s="64"/>
      <c r="U193" s="64"/>
      <c r="W193" s="66"/>
      <c r="Y193" s="66"/>
      <c r="Z193" s="66"/>
      <c r="AA193" s="68"/>
      <c r="AB193" s="66"/>
      <c r="AE193" s="66"/>
      <c r="AH193" s="68"/>
      <c r="AI193" s="66"/>
      <c r="AJ193" s="62"/>
      <c r="AK193" s="62"/>
      <c r="AL193" s="62"/>
      <c r="AM193" s="62"/>
      <c r="AN193" s="62"/>
      <c r="AO193" s="62"/>
      <c r="AP193" s="62"/>
      <c r="AQ193" s="62"/>
      <c r="AR193" s="62"/>
      <c r="AS193" s="62"/>
      <c r="AT193" s="62"/>
      <c r="AU193" s="69"/>
    </row>
    <row r="194" spans="2:47" x14ac:dyDescent="0.35">
      <c r="B194" s="59"/>
      <c r="C194" s="59"/>
      <c r="D194" s="60"/>
      <c r="E194" s="60"/>
      <c r="F194" s="60"/>
      <c r="G194" s="60"/>
      <c r="H194" s="60"/>
      <c r="I194" s="60"/>
      <c r="J194" s="60"/>
      <c r="K194" s="61"/>
      <c r="L194" s="61"/>
      <c r="M194" s="61"/>
      <c r="N194" s="61"/>
      <c r="O194" s="62"/>
      <c r="P194" s="62"/>
      <c r="Q194" s="62"/>
      <c r="S194" s="64"/>
      <c r="T194" s="64"/>
      <c r="U194" s="64"/>
      <c r="W194" s="66"/>
      <c r="Y194" s="66"/>
      <c r="Z194" s="66"/>
      <c r="AA194" s="68"/>
      <c r="AB194" s="66"/>
      <c r="AE194" s="66"/>
      <c r="AH194" s="68"/>
      <c r="AI194" s="66"/>
      <c r="AJ194" s="62"/>
      <c r="AK194" s="62"/>
      <c r="AL194" s="62"/>
      <c r="AM194" s="62"/>
      <c r="AN194" s="62"/>
      <c r="AO194" s="62"/>
      <c r="AP194" s="62"/>
      <c r="AQ194" s="62"/>
      <c r="AR194" s="62"/>
      <c r="AS194" s="62"/>
      <c r="AT194" s="62"/>
      <c r="AU194" s="69"/>
    </row>
    <row r="195" spans="2:47" x14ac:dyDescent="0.35">
      <c r="B195" s="59"/>
      <c r="C195" s="59"/>
      <c r="D195" s="60"/>
      <c r="E195" s="60"/>
      <c r="F195" s="60"/>
      <c r="G195" s="60"/>
      <c r="H195" s="60"/>
      <c r="I195" s="60"/>
      <c r="J195" s="60"/>
      <c r="K195" s="61"/>
      <c r="L195" s="61"/>
      <c r="M195" s="61"/>
      <c r="N195" s="61"/>
      <c r="O195" s="62"/>
      <c r="P195" s="62"/>
      <c r="Q195" s="62"/>
      <c r="S195" s="64"/>
      <c r="T195" s="64"/>
      <c r="U195" s="64"/>
      <c r="W195" s="66"/>
      <c r="Y195" s="66"/>
      <c r="Z195" s="66"/>
      <c r="AA195" s="68"/>
      <c r="AB195" s="66"/>
      <c r="AE195" s="66"/>
      <c r="AH195" s="68"/>
      <c r="AI195" s="66"/>
      <c r="AJ195" s="62"/>
      <c r="AK195" s="62"/>
      <c r="AL195" s="62"/>
      <c r="AM195" s="62"/>
      <c r="AN195" s="62"/>
      <c r="AO195" s="62"/>
      <c r="AP195" s="62"/>
      <c r="AQ195" s="62"/>
      <c r="AR195" s="62"/>
      <c r="AS195" s="62"/>
      <c r="AT195" s="62"/>
      <c r="AU195" s="69"/>
    </row>
    <row r="196" spans="2:47" x14ac:dyDescent="0.35">
      <c r="B196" s="59"/>
      <c r="C196" s="59"/>
      <c r="D196" s="60"/>
      <c r="E196" s="60"/>
      <c r="F196" s="60"/>
      <c r="G196" s="60"/>
      <c r="H196" s="60"/>
      <c r="I196" s="60"/>
      <c r="J196" s="60"/>
      <c r="K196" s="61"/>
      <c r="L196" s="61"/>
      <c r="M196" s="61"/>
      <c r="N196" s="61"/>
      <c r="O196" s="62"/>
      <c r="P196" s="62"/>
      <c r="Q196" s="62"/>
      <c r="S196" s="64"/>
      <c r="T196" s="64"/>
      <c r="U196" s="64"/>
      <c r="W196" s="66"/>
      <c r="Y196" s="66"/>
      <c r="Z196" s="66"/>
      <c r="AA196" s="68"/>
      <c r="AB196" s="66"/>
      <c r="AE196" s="66"/>
      <c r="AH196" s="68"/>
      <c r="AI196" s="66"/>
      <c r="AJ196" s="62"/>
      <c r="AK196" s="62"/>
      <c r="AL196" s="62"/>
      <c r="AM196" s="62"/>
      <c r="AN196" s="62"/>
      <c r="AO196" s="62"/>
      <c r="AP196" s="62"/>
      <c r="AQ196" s="62"/>
      <c r="AR196" s="62"/>
      <c r="AS196" s="62"/>
      <c r="AT196" s="62"/>
      <c r="AU196" s="69"/>
    </row>
    <row r="197" spans="2:47" x14ac:dyDescent="0.35">
      <c r="B197" s="59"/>
      <c r="C197" s="59"/>
      <c r="D197" s="60"/>
      <c r="E197" s="60"/>
      <c r="F197" s="60"/>
      <c r="G197" s="60"/>
      <c r="H197" s="60"/>
      <c r="I197" s="60"/>
      <c r="J197" s="60"/>
      <c r="K197" s="61"/>
      <c r="L197" s="61"/>
      <c r="M197" s="61"/>
      <c r="N197" s="61"/>
      <c r="O197" s="62"/>
      <c r="P197" s="62"/>
      <c r="Q197" s="62"/>
      <c r="S197" s="64"/>
      <c r="T197" s="64"/>
      <c r="U197" s="64"/>
      <c r="W197" s="66"/>
      <c r="Y197" s="66"/>
      <c r="Z197" s="66"/>
      <c r="AA197" s="68"/>
      <c r="AB197" s="66"/>
      <c r="AE197" s="66"/>
      <c r="AH197" s="68"/>
      <c r="AI197" s="66"/>
      <c r="AJ197" s="62"/>
      <c r="AK197" s="62"/>
      <c r="AL197" s="62"/>
      <c r="AM197" s="62"/>
      <c r="AN197" s="62"/>
      <c r="AO197" s="62"/>
      <c r="AP197" s="62"/>
      <c r="AQ197" s="62"/>
      <c r="AR197" s="62"/>
      <c r="AS197" s="62"/>
      <c r="AT197" s="62"/>
      <c r="AU197" s="69"/>
    </row>
    <row r="198" spans="2:47" x14ac:dyDescent="0.35">
      <c r="B198" s="59"/>
      <c r="C198" s="59"/>
      <c r="D198" s="60"/>
      <c r="E198" s="60"/>
      <c r="F198" s="60"/>
      <c r="G198" s="60"/>
      <c r="H198" s="60"/>
      <c r="I198" s="60"/>
      <c r="J198" s="60"/>
      <c r="K198" s="61"/>
      <c r="L198" s="61"/>
      <c r="M198" s="61"/>
      <c r="N198" s="61"/>
      <c r="O198" s="62"/>
      <c r="P198" s="62"/>
      <c r="Q198" s="62"/>
      <c r="S198" s="64"/>
      <c r="T198" s="64"/>
      <c r="U198" s="64"/>
      <c r="W198" s="66"/>
      <c r="Y198" s="66"/>
      <c r="Z198" s="66"/>
      <c r="AA198" s="68"/>
      <c r="AB198" s="66"/>
      <c r="AE198" s="66"/>
      <c r="AH198" s="68"/>
      <c r="AI198" s="66"/>
      <c r="AJ198" s="62"/>
      <c r="AK198" s="62"/>
      <c r="AL198" s="62"/>
      <c r="AM198" s="62"/>
      <c r="AN198" s="62"/>
      <c r="AO198" s="62"/>
      <c r="AP198" s="62"/>
      <c r="AQ198" s="62"/>
      <c r="AR198" s="62"/>
      <c r="AS198" s="62"/>
      <c r="AT198" s="62"/>
      <c r="AU198" s="69"/>
    </row>
    <row r="199" spans="2:47" x14ac:dyDescent="0.35">
      <c r="B199" s="59"/>
      <c r="C199" s="59"/>
      <c r="D199" s="60"/>
      <c r="E199" s="60"/>
      <c r="F199" s="60"/>
      <c r="G199" s="60"/>
      <c r="H199" s="60"/>
      <c r="I199" s="60"/>
      <c r="J199" s="60"/>
      <c r="K199" s="61"/>
      <c r="L199" s="61"/>
      <c r="M199" s="61"/>
      <c r="N199" s="61"/>
      <c r="O199" s="62"/>
      <c r="P199" s="62"/>
      <c r="Q199" s="62"/>
      <c r="S199" s="64"/>
      <c r="T199" s="64"/>
      <c r="U199" s="64"/>
      <c r="W199" s="66"/>
      <c r="Y199" s="66"/>
      <c r="Z199" s="66"/>
      <c r="AA199" s="68"/>
      <c r="AB199" s="66"/>
      <c r="AE199" s="66"/>
      <c r="AH199" s="68"/>
      <c r="AI199" s="66"/>
      <c r="AJ199" s="62"/>
      <c r="AK199" s="62"/>
      <c r="AL199" s="62"/>
      <c r="AM199" s="62"/>
      <c r="AN199" s="62"/>
      <c r="AO199" s="62"/>
      <c r="AP199" s="62"/>
      <c r="AQ199" s="62"/>
      <c r="AR199" s="62"/>
      <c r="AS199" s="62"/>
      <c r="AT199" s="62"/>
      <c r="AU199" s="69"/>
    </row>
    <row r="200" spans="2:47" x14ac:dyDescent="0.35">
      <c r="B200" s="59"/>
      <c r="C200" s="59"/>
      <c r="D200" s="60"/>
      <c r="E200" s="60"/>
      <c r="F200" s="60"/>
      <c r="G200" s="60"/>
      <c r="H200" s="60"/>
      <c r="I200" s="60"/>
      <c r="J200" s="60"/>
      <c r="K200" s="61"/>
      <c r="L200" s="61"/>
      <c r="M200" s="61"/>
      <c r="N200" s="61"/>
      <c r="O200" s="62"/>
      <c r="P200" s="62"/>
      <c r="Q200" s="62"/>
      <c r="S200" s="64"/>
      <c r="T200" s="64"/>
      <c r="U200" s="64"/>
      <c r="W200" s="66"/>
      <c r="Y200" s="66"/>
      <c r="Z200" s="66"/>
      <c r="AA200" s="68"/>
      <c r="AB200" s="66"/>
      <c r="AE200" s="66"/>
      <c r="AH200" s="68"/>
      <c r="AI200" s="66"/>
      <c r="AJ200" s="62"/>
      <c r="AK200" s="62"/>
      <c r="AL200" s="62"/>
      <c r="AM200" s="62"/>
      <c r="AN200" s="62"/>
      <c r="AO200" s="62"/>
      <c r="AP200" s="62"/>
      <c r="AQ200" s="62"/>
      <c r="AR200" s="62"/>
      <c r="AS200" s="62"/>
      <c r="AT200" s="62"/>
      <c r="AU200" s="69"/>
    </row>
    <row r="201" spans="2:47" x14ac:dyDescent="0.35">
      <c r="B201" s="59"/>
      <c r="C201" s="59"/>
      <c r="D201" s="60"/>
      <c r="E201" s="60"/>
      <c r="F201" s="60"/>
      <c r="G201" s="60"/>
      <c r="H201" s="60"/>
      <c r="I201" s="60"/>
      <c r="J201" s="60"/>
      <c r="K201" s="61"/>
      <c r="L201" s="61"/>
      <c r="M201" s="61"/>
      <c r="N201" s="61"/>
      <c r="O201" s="62"/>
      <c r="P201" s="62"/>
      <c r="Q201" s="62"/>
      <c r="S201" s="64"/>
      <c r="T201" s="64"/>
      <c r="U201" s="64"/>
      <c r="W201" s="66"/>
      <c r="Y201" s="66"/>
      <c r="Z201" s="66"/>
      <c r="AA201" s="68"/>
      <c r="AB201" s="66"/>
      <c r="AE201" s="66"/>
      <c r="AH201" s="68"/>
      <c r="AI201" s="66"/>
      <c r="AJ201" s="62"/>
      <c r="AK201" s="62"/>
      <c r="AL201" s="62"/>
      <c r="AM201" s="62"/>
      <c r="AN201" s="62"/>
      <c r="AO201" s="62"/>
      <c r="AP201" s="62"/>
      <c r="AQ201" s="62"/>
      <c r="AR201" s="62"/>
      <c r="AS201" s="62"/>
      <c r="AT201" s="62"/>
      <c r="AU201" s="69"/>
    </row>
    <row r="202" spans="2:47" x14ac:dyDescent="0.35">
      <c r="B202" s="59"/>
      <c r="C202" s="59"/>
      <c r="D202" s="60"/>
      <c r="E202" s="60"/>
      <c r="F202" s="60"/>
      <c r="G202" s="60"/>
      <c r="H202" s="60"/>
      <c r="I202" s="60"/>
      <c r="J202" s="60"/>
      <c r="K202" s="61"/>
      <c r="L202" s="61"/>
      <c r="M202" s="61"/>
      <c r="N202" s="61"/>
      <c r="O202" s="62"/>
      <c r="P202" s="62"/>
      <c r="Q202" s="62"/>
      <c r="S202" s="64"/>
      <c r="T202" s="64"/>
      <c r="U202" s="64"/>
      <c r="W202" s="66"/>
      <c r="Y202" s="66"/>
      <c r="Z202" s="66"/>
      <c r="AA202" s="68"/>
      <c r="AB202" s="66"/>
      <c r="AE202" s="66"/>
      <c r="AH202" s="68"/>
      <c r="AI202" s="66"/>
      <c r="AJ202" s="62"/>
      <c r="AK202" s="62"/>
      <c r="AL202" s="62"/>
      <c r="AM202" s="62"/>
      <c r="AN202" s="62"/>
      <c r="AO202" s="62"/>
      <c r="AP202" s="62"/>
      <c r="AQ202" s="62"/>
      <c r="AR202" s="62"/>
      <c r="AS202" s="62"/>
      <c r="AT202" s="62"/>
      <c r="AU202" s="69"/>
    </row>
    <row r="203" spans="2:47" x14ac:dyDescent="0.35">
      <c r="B203" s="59"/>
      <c r="C203" s="59"/>
      <c r="D203" s="60"/>
      <c r="E203" s="60"/>
      <c r="F203" s="60"/>
      <c r="G203" s="60"/>
      <c r="H203" s="60"/>
      <c r="I203" s="60"/>
      <c r="J203" s="60"/>
      <c r="K203" s="61"/>
      <c r="L203" s="61"/>
      <c r="M203" s="61"/>
      <c r="N203" s="61"/>
      <c r="O203" s="62"/>
      <c r="P203" s="62"/>
      <c r="Q203" s="62"/>
      <c r="S203" s="64"/>
      <c r="T203" s="64"/>
      <c r="U203" s="64"/>
      <c r="W203" s="66"/>
      <c r="Y203" s="66"/>
      <c r="Z203" s="66"/>
      <c r="AA203" s="68"/>
      <c r="AB203" s="66"/>
      <c r="AE203" s="66"/>
      <c r="AH203" s="68"/>
      <c r="AI203" s="66"/>
      <c r="AJ203" s="62"/>
      <c r="AK203" s="62"/>
      <c r="AL203" s="62"/>
      <c r="AM203" s="62"/>
      <c r="AN203" s="62"/>
      <c r="AO203" s="62"/>
      <c r="AP203" s="62"/>
      <c r="AQ203" s="62"/>
      <c r="AR203" s="62"/>
      <c r="AS203" s="62"/>
      <c r="AT203" s="62"/>
      <c r="AU203" s="69"/>
    </row>
    <row r="204" spans="2:47" x14ac:dyDescent="0.35">
      <c r="B204" s="59"/>
      <c r="C204" s="59"/>
      <c r="D204" s="60"/>
      <c r="E204" s="60"/>
      <c r="F204" s="60"/>
      <c r="G204" s="60"/>
      <c r="H204" s="60"/>
      <c r="I204" s="60"/>
      <c r="J204" s="60"/>
      <c r="K204" s="61"/>
      <c r="L204" s="61"/>
      <c r="M204" s="61"/>
      <c r="N204" s="61"/>
      <c r="O204" s="62"/>
      <c r="P204" s="62"/>
      <c r="Q204" s="62"/>
      <c r="S204" s="64"/>
      <c r="T204" s="64"/>
      <c r="U204" s="64"/>
      <c r="W204" s="66"/>
      <c r="Y204" s="66"/>
      <c r="Z204" s="66"/>
      <c r="AA204" s="68"/>
      <c r="AB204" s="66"/>
      <c r="AE204" s="66"/>
      <c r="AH204" s="68"/>
      <c r="AI204" s="66"/>
      <c r="AJ204" s="62"/>
      <c r="AK204" s="62"/>
      <c r="AL204" s="62"/>
      <c r="AM204" s="62"/>
      <c r="AN204" s="62"/>
      <c r="AO204" s="62"/>
      <c r="AP204" s="62"/>
      <c r="AQ204" s="62"/>
      <c r="AR204" s="62"/>
      <c r="AS204" s="62"/>
      <c r="AT204" s="62"/>
      <c r="AU204" s="69"/>
    </row>
    <row r="205" spans="2:47" x14ac:dyDescent="0.35">
      <c r="B205" s="59"/>
      <c r="C205" s="59"/>
      <c r="D205" s="60"/>
      <c r="E205" s="60"/>
      <c r="F205" s="60"/>
      <c r="G205" s="60"/>
      <c r="H205" s="60"/>
      <c r="I205" s="60"/>
      <c r="J205" s="60"/>
      <c r="K205" s="61"/>
      <c r="L205" s="61"/>
      <c r="M205" s="61"/>
      <c r="N205" s="61"/>
      <c r="O205" s="62"/>
      <c r="P205" s="62"/>
      <c r="Q205" s="62"/>
      <c r="S205" s="64"/>
      <c r="T205" s="64"/>
      <c r="U205" s="64"/>
      <c r="W205" s="66"/>
      <c r="Y205" s="66"/>
      <c r="Z205" s="66"/>
      <c r="AA205" s="68"/>
      <c r="AB205" s="66"/>
      <c r="AE205" s="66"/>
      <c r="AH205" s="68"/>
      <c r="AI205" s="66"/>
      <c r="AJ205" s="62"/>
      <c r="AK205" s="62"/>
      <c r="AL205" s="62"/>
      <c r="AM205" s="62"/>
      <c r="AN205" s="62"/>
      <c r="AO205" s="62"/>
      <c r="AP205" s="62"/>
      <c r="AQ205" s="62"/>
      <c r="AR205" s="62"/>
      <c r="AS205" s="62"/>
      <c r="AT205" s="62"/>
      <c r="AU205" s="69"/>
    </row>
    <row r="206" spans="2:47" x14ac:dyDescent="0.35">
      <c r="B206" s="59"/>
      <c r="C206" s="59"/>
      <c r="D206" s="60"/>
      <c r="E206" s="60"/>
      <c r="F206" s="60"/>
      <c r="G206" s="60"/>
      <c r="H206" s="60"/>
      <c r="I206" s="60"/>
      <c r="J206" s="60"/>
      <c r="K206" s="61"/>
      <c r="L206" s="61"/>
      <c r="M206" s="61"/>
      <c r="N206" s="61"/>
      <c r="O206" s="62"/>
      <c r="P206" s="62"/>
      <c r="Q206" s="62"/>
      <c r="S206" s="64"/>
      <c r="T206" s="64"/>
      <c r="U206" s="64"/>
      <c r="W206" s="66"/>
      <c r="Y206" s="66"/>
      <c r="Z206" s="66"/>
      <c r="AA206" s="68"/>
      <c r="AB206" s="66"/>
      <c r="AE206" s="66"/>
      <c r="AH206" s="68"/>
      <c r="AI206" s="66"/>
      <c r="AJ206" s="62"/>
      <c r="AK206" s="62"/>
      <c r="AL206" s="62"/>
      <c r="AM206" s="62"/>
      <c r="AN206" s="62"/>
      <c r="AO206" s="62"/>
      <c r="AP206" s="62"/>
      <c r="AQ206" s="62"/>
      <c r="AR206" s="62"/>
      <c r="AS206" s="62"/>
      <c r="AT206" s="62"/>
      <c r="AU206" s="69"/>
    </row>
    <row r="207" spans="2:47" x14ac:dyDescent="0.35">
      <c r="B207" s="59"/>
      <c r="C207" s="59"/>
      <c r="D207" s="60"/>
      <c r="E207" s="60"/>
      <c r="F207" s="60"/>
      <c r="G207" s="60"/>
      <c r="H207" s="60"/>
      <c r="I207" s="60"/>
      <c r="J207" s="60"/>
      <c r="K207" s="61"/>
      <c r="L207" s="61"/>
      <c r="M207" s="61"/>
      <c r="N207" s="61"/>
      <c r="O207" s="62"/>
      <c r="P207" s="62"/>
      <c r="Q207" s="62"/>
      <c r="S207" s="64"/>
      <c r="T207" s="64"/>
      <c r="U207" s="64"/>
      <c r="W207" s="66"/>
      <c r="Y207" s="66"/>
      <c r="Z207" s="66"/>
      <c r="AA207" s="68"/>
      <c r="AB207" s="66"/>
      <c r="AE207" s="66"/>
      <c r="AH207" s="68"/>
      <c r="AI207" s="66"/>
      <c r="AJ207" s="62"/>
      <c r="AK207" s="62"/>
      <c r="AL207" s="62"/>
      <c r="AM207" s="62"/>
      <c r="AN207" s="62"/>
      <c r="AO207" s="62"/>
      <c r="AP207" s="62"/>
      <c r="AQ207" s="62"/>
      <c r="AR207" s="62"/>
      <c r="AS207" s="62"/>
      <c r="AT207" s="62"/>
      <c r="AU207" s="69"/>
    </row>
    <row r="208" spans="2:47" x14ac:dyDescent="0.35">
      <c r="B208" s="59"/>
      <c r="C208" s="59"/>
      <c r="D208" s="60"/>
      <c r="E208" s="60"/>
      <c r="F208" s="60"/>
      <c r="G208" s="60"/>
      <c r="H208" s="60"/>
      <c r="I208" s="60"/>
      <c r="J208" s="60"/>
      <c r="K208" s="61"/>
      <c r="L208" s="61"/>
      <c r="M208" s="61"/>
      <c r="N208" s="61"/>
      <c r="O208" s="62"/>
      <c r="P208" s="62"/>
      <c r="Q208" s="62"/>
      <c r="S208" s="64"/>
      <c r="T208" s="64"/>
      <c r="U208" s="64"/>
      <c r="W208" s="66"/>
      <c r="Y208" s="66"/>
      <c r="Z208" s="66"/>
      <c r="AA208" s="68"/>
      <c r="AB208" s="66"/>
      <c r="AE208" s="66"/>
      <c r="AH208" s="68"/>
      <c r="AI208" s="66"/>
      <c r="AJ208" s="62"/>
      <c r="AK208" s="62"/>
      <c r="AL208" s="62"/>
      <c r="AM208" s="62"/>
      <c r="AN208" s="62"/>
      <c r="AO208" s="62"/>
      <c r="AP208" s="62"/>
      <c r="AQ208" s="62"/>
      <c r="AR208" s="62"/>
      <c r="AS208" s="62"/>
      <c r="AT208" s="62"/>
      <c r="AU208" s="69"/>
    </row>
    <row r="209" spans="2:47" x14ac:dyDescent="0.35">
      <c r="B209" s="59"/>
      <c r="C209" s="59"/>
      <c r="D209" s="60"/>
      <c r="E209" s="60"/>
      <c r="F209" s="60"/>
      <c r="G209" s="60"/>
      <c r="H209" s="60"/>
      <c r="I209" s="60"/>
      <c r="J209" s="60"/>
      <c r="K209" s="61"/>
      <c r="L209" s="61"/>
      <c r="M209" s="61"/>
      <c r="N209" s="61"/>
      <c r="O209" s="62"/>
      <c r="P209" s="62"/>
      <c r="Q209" s="62"/>
      <c r="S209" s="64"/>
      <c r="T209" s="64"/>
      <c r="U209" s="64"/>
      <c r="W209" s="66"/>
      <c r="Y209" s="66"/>
      <c r="Z209" s="66"/>
      <c r="AA209" s="68"/>
      <c r="AB209" s="66"/>
      <c r="AE209" s="66"/>
      <c r="AH209" s="68"/>
      <c r="AI209" s="66"/>
      <c r="AJ209" s="62"/>
      <c r="AK209" s="62"/>
      <c r="AL209" s="62"/>
      <c r="AM209" s="62"/>
      <c r="AN209" s="62"/>
      <c r="AO209" s="62"/>
      <c r="AP209" s="62"/>
      <c r="AQ209" s="62"/>
      <c r="AR209" s="62"/>
      <c r="AS209" s="62"/>
      <c r="AT209" s="62"/>
      <c r="AU209" s="69"/>
    </row>
    <row r="210" spans="2:47" x14ac:dyDescent="0.35">
      <c r="B210" s="59"/>
      <c r="C210" s="59"/>
      <c r="D210" s="60"/>
      <c r="E210" s="60"/>
      <c r="F210" s="60"/>
      <c r="G210" s="60"/>
      <c r="H210" s="60"/>
      <c r="I210" s="60"/>
      <c r="J210" s="60"/>
      <c r="K210" s="61"/>
      <c r="L210" s="61"/>
      <c r="M210" s="61"/>
      <c r="N210" s="61"/>
      <c r="O210" s="62"/>
      <c r="P210" s="62"/>
      <c r="Q210" s="62"/>
      <c r="S210" s="64"/>
      <c r="T210" s="64"/>
      <c r="U210" s="64"/>
      <c r="W210" s="66"/>
      <c r="Y210" s="66"/>
      <c r="Z210" s="66"/>
      <c r="AA210" s="68"/>
      <c r="AB210" s="66"/>
      <c r="AE210" s="66"/>
      <c r="AH210" s="68"/>
      <c r="AI210" s="66"/>
      <c r="AJ210" s="62"/>
      <c r="AK210" s="62"/>
      <c r="AL210" s="62"/>
      <c r="AM210" s="62"/>
      <c r="AN210" s="62"/>
      <c r="AO210" s="62"/>
      <c r="AP210" s="62"/>
      <c r="AQ210" s="62"/>
      <c r="AR210" s="62"/>
      <c r="AS210" s="62"/>
      <c r="AT210" s="62"/>
      <c r="AU210" s="69"/>
    </row>
    <row r="211" spans="2:47" x14ac:dyDescent="0.35">
      <c r="B211" s="59"/>
      <c r="C211" s="59"/>
      <c r="D211" s="60"/>
      <c r="E211" s="60"/>
      <c r="F211" s="60"/>
      <c r="G211" s="60"/>
      <c r="H211" s="60"/>
      <c r="I211" s="60"/>
      <c r="J211" s="60"/>
      <c r="K211" s="61"/>
      <c r="L211" s="61"/>
      <c r="M211" s="61"/>
      <c r="N211" s="61"/>
      <c r="O211" s="62"/>
      <c r="P211" s="62"/>
      <c r="Q211" s="62"/>
      <c r="S211" s="64"/>
      <c r="T211" s="64"/>
      <c r="U211" s="64"/>
      <c r="W211" s="66"/>
      <c r="Y211" s="66"/>
      <c r="Z211" s="66"/>
      <c r="AA211" s="68"/>
      <c r="AB211" s="66"/>
      <c r="AE211" s="66"/>
      <c r="AH211" s="68"/>
      <c r="AI211" s="66"/>
      <c r="AJ211" s="62"/>
      <c r="AK211" s="62"/>
      <c r="AL211" s="62"/>
      <c r="AM211" s="62"/>
      <c r="AN211" s="62"/>
      <c r="AO211" s="62"/>
      <c r="AP211" s="62"/>
      <c r="AQ211" s="62"/>
      <c r="AR211" s="62"/>
      <c r="AS211" s="62"/>
      <c r="AT211" s="62"/>
      <c r="AU211" s="69"/>
    </row>
    <row r="212" spans="2:47" x14ac:dyDescent="0.35">
      <c r="B212" s="59"/>
      <c r="C212" s="59"/>
      <c r="D212" s="60"/>
      <c r="E212" s="60"/>
      <c r="F212" s="60"/>
      <c r="G212" s="60"/>
      <c r="H212" s="60"/>
      <c r="I212" s="60"/>
      <c r="J212" s="60"/>
      <c r="K212" s="61"/>
      <c r="L212" s="61"/>
      <c r="M212" s="61"/>
      <c r="N212" s="61"/>
      <c r="O212" s="62"/>
      <c r="P212" s="62"/>
      <c r="Q212" s="62"/>
      <c r="S212" s="64"/>
      <c r="T212" s="64"/>
      <c r="U212" s="64"/>
      <c r="W212" s="66"/>
      <c r="Y212" s="66"/>
      <c r="Z212" s="66"/>
      <c r="AA212" s="68"/>
      <c r="AB212" s="66"/>
      <c r="AE212" s="66"/>
      <c r="AH212" s="68"/>
      <c r="AI212" s="66"/>
      <c r="AJ212" s="62"/>
      <c r="AK212" s="62"/>
      <c r="AL212" s="62"/>
      <c r="AM212" s="62"/>
      <c r="AN212" s="62"/>
      <c r="AO212" s="62"/>
      <c r="AP212" s="62"/>
      <c r="AQ212" s="62"/>
      <c r="AR212" s="62"/>
      <c r="AS212" s="62"/>
      <c r="AT212" s="62"/>
      <c r="AU212" s="69"/>
    </row>
    <row r="213" spans="2:47" x14ac:dyDescent="0.35">
      <c r="B213" s="59"/>
      <c r="C213" s="59"/>
      <c r="D213" s="60"/>
      <c r="E213" s="60"/>
      <c r="F213" s="60"/>
      <c r="G213" s="60"/>
      <c r="H213" s="60"/>
      <c r="I213" s="60"/>
      <c r="J213" s="60"/>
      <c r="K213" s="61"/>
      <c r="L213" s="61"/>
      <c r="M213" s="61"/>
      <c r="N213" s="61"/>
      <c r="O213" s="62"/>
      <c r="P213" s="62"/>
      <c r="Q213" s="62"/>
      <c r="S213" s="64"/>
      <c r="T213" s="64"/>
      <c r="U213" s="64"/>
      <c r="W213" s="66"/>
      <c r="Y213" s="66"/>
      <c r="Z213" s="66"/>
      <c r="AA213" s="68"/>
      <c r="AB213" s="66"/>
      <c r="AE213" s="66"/>
      <c r="AH213" s="68"/>
      <c r="AI213" s="66"/>
      <c r="AJ213" s="62"/>
      <c r="AK213" s="62"/>
      <c r="AL213" s="62"/>
      <c r="AM213" s="62"/>
      <c r="AN213" s="62"/>
      <c r="AO213" s="62"/>
      <c r="AP213" s="62"/>
      <c r="AQ213" s="62"/>
      <c r="AR213" s="62"/>
      <c r="AS213" s="62"/>
      <c r="AT213" s="62"/>
      <c r="AU213" s="69"/>
    </row>
    <row r="214" spans="2:47" x14ac:dyDescent="0.35">
      <c r="B214" s="59"/>
      <c r="C214" s="59"/>
      <c r="D214" s="60"/>
      <c r="E214" s="60"/>
      <c r="F214" s="60"/>
      <c r="G214" s="60"/>
      <c r="H214" s="60"/>
      <c r="I214" s="60"/>
      <c r="J214" s="60"/>
      <c r="K214" s="61"/>
      <c r="L214" s="61"/>
      <c r="M214" s="61"/>
      <c r="N214" s="61"/>
      <c r="O214" s="62"/>
      <c r="P214" s="62"/>
      <c r="Q214" s="62"/>
      <c r="S214" s="64"/>
      <c r="T214" s="64"/>
      <c r="U214" s="64"/>
      <c r="W214" s="66"/>
      <c r="Y214" s="66"/>
      <c r="Z214" s="66"/>
      <c r="AA214" s="68"/>
      <c r="AB214" s="66"/>
      <c r="AE214" s="66"/>
      <c r="AH214" s="68"/>
      <c r="AI214" s="66"/>
      <c r="AJ214" s="62"/>
      <c r="AK214" s="62"/>
      <c r="AL214" s="62"/>
      <c r="AM214" s="62"/>
      <c r="AN214" s="62"/>
      <c r="AO214" s="62"/>
      <c r="AP214" s="62"/>
      <c r="AQ214" s="62"/>
      <c r="AR214" s="62"/>
      <c r="AS214" s="62"/>
      <c r="AT214" s="62"/>
      <c r="AU214" s="69"/>
    </row>
    <row r="215" spans="2:47" x14ac:dyDescent="0.35">
      <c r="B215" s="59"/>
      <c r="C215" s="59"/>
      <c r="D215" s="60"/>
      <c r="E215" s="60"/>
      <c r="F215" s="60"/>
      <c r="G215" s="60"/>
      <c r="H215" s="60"/>
      <c r="I215" s="60"/>
      <c r="J215" s="60"/>
      <c r="K215" s="61"/>
      <c r="L215" s="61"/>
      <c r="M215" s="61"/>
      <c r="N215" s="61"/>
      <c r="O215" s="62"/>
      <c r="P215" s="62"/>
      <c r="Q215" s="62"/>
      <c r="S215" s="64"/>
      <c r="T215" s="64"/>
      <c r="U215" s="64"/>
      <c r="W215" s="66"/>
      <c r="Y215" s="66"/>
      <c r="Z215" s="66"/>
      <c r="AA215" s="68"/>
      <c r="AB215" s="66"/>
      <c r="AE215" s="66"/>
      <c r="AH215" s="68"/>
      <c r="AI215" s="66"/>
      <c r="AJ215" s="62"/>
      <c r="AK215" s="62"/>
      <c r="AL215" s="62"/>
      <c r="AM215" s="62"/>
      <c r="AN215" s="62"/>
      <c r="AO215" s="62"/>
      <c r="AP215" s="62"/>
      <c r="AQ215" s="62"/>
      <c r="AR215" s="62"/>
      <c r="AS215" s="62"/>
      <c r="AT215" s="62"/>
      <c r="AU215" s="69"/>
    </row>
    <row r="216" spans="2:47" x14ac:dyDescent="0.35">
      <c r="B216" s="59"/>
      <c r="C216" s="59"/>
      <c r="D216" s="60"/>
      <c r="E216" s="60"/>
      <c r="F216" s="60"/>
      <c r="G216" s="60"/>
      <c r="H216" s="60"/>
      <c r="I216" s="60"/>
      <c r="J216" s="60"/>
      <c r="K216" s="61"/>
      <c r="L216" s="61"/>
      <c r="M216" s="61"/>
      <c r="N216" s="61"/>
      <c r="O216" s="62"/>
      <c r="P216" s="62"/>
      <c r="Q216" s="62"/>
      <c r="S216" s="64"/>
      <c r="T216" s="64"/>
      <c r="U216" s="64"/>
      <c r="W216" s="66"/>
      <c r="Y216" s="66"/>
      <c r="Z216" s="66"/>
      <c r="AA216" s="68"/>
      <c r="AB216" s="66"/>
      <c r="AE216" s="66"/>
      <c r="AH216" s="68"/>
      <c r="AI216" s="66"/>
      <c r="AJ216" s="62"/>
      <c r="AK216" s="62"/>
      <c r="AL216" s="62"/>
      <c r="AM216" s="62"/>
      <c r="AN216" s="62"/>
      <c r="AO216" s="62"/>
      <c r="AP216" s="62"/>
      <c r="AQ216" s="62"/>
      <c r="AR216" s="62"/>
      <c r="AS216" s="62"/>
      <c r="AT216" s="62"/>
      <c r="AU216" s="69"/>
    </row>
    <row r="217" spans="2:47" x14ac:dyDescent="0.35">
      <c r="B217" s="59"/>
      <c r="C217" s="59"/>
      <c r="D217" s="60"/>
      <c r="E217" s="60"/>
      <c r="F217" s="60"/>
      <c r="G217" s="60"/>
      <c r="H217" s="60"/>
      <c r="I217" s="60"/>
      <c r="J217" s="60"/>
      <c r="K217" s="61"/>
      <c r="L217" s="61"/>
      <c r="M217" s="61"/>
      <c r="N217" s="61"/>
      <c r="O217" s="62"/>
      <c r="P217" s="62"/>
      <c r="Q217" s="62"/>
      <c r="S217" s="64"/>
      <c r="T217" s="64"/>
      <c r="U217" s="64"/>
      <c r="W217" s="66"/>
      <c r="Y217" s="66"/>
      <c r="Z217" s="66"/>
      <c r="AA217" s="68"/>
      <c r="AB217" s="66"/>
      <c r="AE217" s="66"/>
      <c r="AH217" s="68"/>
      <c r="AI217" s="66"/>
      <c r="AJ217" s="62"/>
      <c r="AK217" s="62"/>
      <c r="AL217" s="62"/>
      <c r="AM217" s="62"/>
      <c r="AN217" s="62"/>
      <c r="AO217" s="62"/>
      <c r="AP217" s="62"/>
      <c r="AQ217" s="62"/>
      <c r="AR217" s="62"/>
      <c r="AS217" s="62"/>
      <c r="AT217" s="62"/>
      <c r="AU217" s="69"/>
    </row>
    <row r="218" spans="2:47" x14ac:dyDescent="0.35">
      <c r="B218" s="59"/>
      <c r="C218" s="59"/>
      <c r="D218" s="60"/>
      <c r="E218" s="60"/>
      <c r="F218" s="60"/>
      <c r="G218" s="60"/>
      <c r="H218" s="60"/>
      <c r="I218" s="60"/>
      <c r="J218" s="60"/>
      <c r="K218" s="61"/>
      <c r="L218" s="61"/>
      <c r="M218" s="61"/>
      <c r="N218" s="61"/>
      <c r="O218" s="62"/>
      <c r="P218" s="62"/>
      <c r="Q218" s="62"/>
      <c r="S218" s="64"/>
      <c r="T218" s="64"/>
      <c r="U218" s="64"/>
      <c r="W218" s="66"/>
      <c r="Y218" s="66"/>
      <c r="Z218" s="66"/>
      <c r="AA218" s="68"/>
      <c r="AB218" s="66"/>
      <c r="AE218" s="66"/>
      <c r="AH218" s="68"/>
      <c r="AI218" s="66"/>
      <c r="AJ218" s="62"/>
      <c r="AK218" s="62"/>
      <c r="AL218" s="62"/>
      <c r="AM218" s="62"/>
      <c r="AN218" s="62"/>
      <c r="AO218" s="62"/>
      <c r="AP218" s="62"/>
      <c r="AQ218" s="62"/>
      <c r="AR218" s="62"/>
      <c r="AS218" s="62"/>
      <c r="AT218" s="62"/>
      <c r="AU218" s="69"/>
    </row>
    <row r="219" spans="2:47" x14ac:dyDescent="0.35">
      <c r="B219" s="59"/>
      <c r="C219" s="59"/>
      <c r="D219" s="60"/>
      <c r="E219" s="60"/>
      <c r="F219" s="60"/>
      <c r="G219" s="60"/>
      <c r="H219" s="60"/>
      <c r="I219" s="60"/>
      <c r="J219" s="60"/>
      <c r="K219" s="61"/>
      <c r="L219" s="61"/>
      <c r="M219" s="61"/>
      <c r="N219" s="61"/>
      <c r="O219" s="62"/>
      <c r="P219" s="62"/>
      <c r="Q219" s="62"/>
      <c r="S219" s="64"/>
      <c r="T219" s="64"/>
      <c r="U219" s="64"/>
      <c r="W219" s="66"/>
      <c r="Y219" s="66"/>
      <c r="Z219" s="66"/>
      <c r="AA219" s="68"/>
      <c r="AB219" s="66"/>
      <c r="AE219" s="66"/>
      <c r="AH219" s="68"/>
      <c r="AI219" s="66"/>
      <c r="AJ219" s="62"/>
      <c r="AK219" s="62"/>
      <c r="AL219" s="62"/>
      <c r="AM219" s="62"/>
      <c r="AN219" s="62"/>
      <c r="AO219" s="62"/>
      <c r="AP219" s="62"/>
      <c r="AQ219" s="62"/>
      <c r="AR219" s="62"/>
      <c r="AS219" s="62"/>
      <c r="AT219" s="62"/>
      <c r="AU219" s="69"/>
    </row>
    <row r="220" spans="2:47" x14ac:dyDescent="0.35">
      <c r="B220" s="59"/>
      <c r="C220" s="59"/>
      <c r="D220" s="60"/>
      <c r="E220" s="60"/>
      <c r="F220" s="60"/>
      <c r="G220" s="60"/>
      <c r="H220" s="60"/>
      <c r="I220" s="60"/>
      <c r="J220" s="60"/>
      <c r="K220" s="61"/>
      <c r="L220" s="61"/>
      <c r="M220" s="61"/>
      <c r="N220" s="61"/>
      <c r="O220" s="62"/>
      <c r="P220" s="62"/>
      <c r="Q220" s="62"/>
      <c r="S220" s="64"/>
      <c r="T220" s="64"/>
      <c r="U220" s="64"/>
      <c r="W220" s="66"/>
      <c r="Y220" s="66"/>
      <c r="Z220" s="66"/>
      <c r="AA220" s="68"/>
      <c r="AB220" s="66"/>
      <c r="AE220" s="66"/>
      <c r="AH220" s="68"/>
      <c r="AI220" s="66"/>
      <c r="AJ220" s="62"/>
      <c r="AK220" s="62"/>
      <c r="AL220" s="62"/>
      <c r="AM220" s="62"/>
      <c r="AN220" s="62"/>
      <c r="AO220" s="62"/>
      <c r="AP220" s="62"/>
      <c r="AQ220" s="62"/>
      <c r="AR220" s="62"/>
      <c r="AS220" s="62"/>
      <c r="AT220" s="62"/>
      <c r="AU220" s="69"/>
    </row>
    <row r="221" spans="2:47" x14ac:dyDescent="0.35">
      <c r="B221" s="59"/>
      <c r="C221" s="59"/>
      <c r="D221" s="60"/>
      <c r="E221" s="60"/>
      <c r="F221" s="60"/>
      <c r="G221" s="60"/>
      <c r="H221" s="60"/>
      <c r="I221" s="60"/>
      <c r="J221" s="60"/>
      <c r="K221" s="61"/>
      <c r="L221" s="61"/>
      <c r="M221" s="61"/>
      <c r="N221" s="61"/>
      <c r="O221" s="62"/>
      <c r="P221" s="62"/>
      <c r="Q221" s="62"/>
      <c r="S221" s="64"/>
      <c r="T221" s="64"/>
      <c r="U221" s="64"/>
      <c r="W221" s="66"/>
      <c r="Y221" s="66"/>
      <c r="Z221" s="66"/>
      <c r="AA221" s="68"/>
      <c r="AB221" s="66"/>
      <c r="AE221" s="66"/>
      <c r="AH221" s="68"/>
      <c r="AI221" s="66"/>
      <c r="AJ221" s="62"/>
      <c r="AK221" s="62"/>
      <c r="AL221" s="62"/>
      <c r="AM221" s="62"/>
      <c r="AN221" s="62"/>
      <c r="AO221" s="62"/>
      <c r="AP221" s="62"/>
      <c r="AQ221" s="62"/>
      <c r="AR221" s="62"/>
      <c r="AS221" s="62"/>
      <c r="AT221" s="62"/>
      <c r="AU221" s="69"/>
    </row>
    <row r="222" spans="2:47" x14ac:dyDescent="0.35">
      <c r="B222" s="59"/>
      <c r="C222" s="59"/>
      <c r="D222" s="60"/>
      <c r="E222" s="60"/>
      <c r="F222" s="60"/>
      <c r="G222" s="60"/>
      <c r="H222" s="60"/>
      <c r="I222" s="60"/>
      <c r="J222" s="60"/>
      <c r="K222" s="61"/>
      <c r="L222" s="61"/>
      <c r="M222" s="61"/>
      <c r="N222" s="61"/>
      <c r="O222" s="62"/>
      <c r="P222" s="62"/>
      <c r="Q222" s="62"/>
      <c r="S222" s="64"/>
      <c r="T222" s="64"/>
      <c r="U222" s="64"/>
      <c r="W222" s="66"/>
      <c r="Y222" s="66"/>
      <c r="Z222" s="66"/>
      <c r="AA222" s="68"/>
      <c r="AB222" s="66"/>
      <c r="AE222" s="66"/>
      <c r="AH222" s="68"/>
      <c r="AI222" s="66"/>
      <c r="AJ222" s="62"/>
      <c r="AK222" s="62"/>
      <c r="AL222" s="62"/>
      <c r="AM222" s="62"/>
      <c r="AN222" s="62"/>
      <c r="AO222" s="62"/>
      <c r="AP222" s="62"/>
      <c r="AQ222" s="62"/>
      <c r="AR222" s="62"/>
      <c r="AS222" s="62"/>
      <c r="AT222" s="62"/>
      <c r="AU222" s="69"/>
    </row>
    <row r="223" spans="2:47" x14ac:dyDescent="0.35">
      <c r="B223" s="59"/>
      <c r="C223" s="59"/>
      <c r="D223" s="60"/>
      <c r="E223" s="60"/>
      <c r="F223" s="60"/>
      <c r="G223" s="60"/>
      <c r="H223" s="60"/>
      <c r="I223" s="60"/>
      <c r="J223" s="60"/>
      <c r="K223" s="61"/>
      <c r="L223" s="61"/>
      <c r="M223" s="61"/>
      <c r="N223" s="61"/>
      <c r="O223" s="62"/>
      <c r="P223" s="62"/>
      <c r="Q223" s="62"/>
      <c r="S223" s="64"/>
      <c r="T223" s="64"/>
      <c r="U223" s="64"/>
      <c r="W223" s="66"/>
      <c r="Y223" s="66"/>
      <c r="Z223" s="66"/>
      <c r="AA223" s="68"/>
      <c r="AB223" s="66"/>
      <c r="AE223" s="66"/>
      <c r="AH223" s="68"/>
      <c r="AI223" s="66"/>
      <c r="AJ223" s="62"/>
      <c r="AK223" s="62"/>
      <c r="AL223" s="62"/>
      <c r="AM223" s="62"/>
      <c r="AN223" s="62"/>
      <c r="AO223" s="62"/>
      <c r="AP223" s="62"/>
      <c r="AQ223" s="62"/>
      <c r="AR223" s="62"/>
      <c r="AS223" s="62"/>
      <c r="AT223" s="62"/>
      <c r="AU223" s="69"/>
    </row>
    <row r="224" spans="2:47" x14ac:dyDescent="0.35">
      <c r="B224" s="59"/>
      <c r="C224" s="59"/>
      <c r="D224" s="60"/>
      <c r="E224" s="60"/>
      <c r="F224" s="60"/>
      <c r="G224" s="60"/>
      <c r="H224" s="60"/>
      <c r="I224" s="60"/>
      <c r="J224" s="60"/>
      <c r="K224" s="61"/>
      <c r="L224" s="61"/>
      <c r="M224" s="61"/>
      <c r="N224" s="61"/>
      <c r="O224" s="62"/>
      <c r="P224" s="62"/>
      <c r="Q224" s="62"/>
      <c r="S224" s="64"/>
      <c r="T224" s="64"/>
      <c r="U224" s="64"/>
      <c r="W224" s="66"/>
      <c r="Y224" s="66"/>
      <c r="Z224" s="66"/>
      <c r="AA224" s="68"/>
      <c r="AB224" s="66"/>
      <c r="AE224" s="66"/>
      <c r="AH224" s="68"/>
      <c r="AI224" s="66"/>
      <c r="AJ224" s="62"/>
      <c r="AK224" s="62"/>
      <c r="AL224" s="62"/>
      <c r="AM224" s="62"/>
      <c r="AN224" s="62"/>
      <c r="AO224" s="62"/>
      <c r="AP224" s="62"/>
      <c r="AQ224" s="62"/>
      <c r="AR224" s="62"/>
      <c r="AS224" s="62"/>
      <c r="AT224" s="62"/>
      <c r="AU224" s="69"/>
    </row>
    <row r="225" spans="2:47" x14ac:dyDescent="0.35">
      <c r="B225" s="59"/>
      <c r="C225" s="59"/>
      <c r="D225" s="60"/>
      <c r="E225" s="60"/>
      <c r="F225" s="60"/>
      <c r="G225" s="60"/>
      <c r="H225" s="60"/>
      <c r="I225" s="60"/>
      <c r="J225" s="60"/>
      <c r="K225" s="61"/>
      <c r="L225" s="61"/>
      <c r="M225" s="61"/>
      <c r="N225" s="61"/>
      <c r="O225" s="62"/>
      <c r="P225" s="62"/>
      <c r="Q225" s="62"/>
      <c r="S225" s="64"/>
      <c r="T225" s="64"/>
      <c r="U225" s="64"/>
      <c r="W225" s="66"/>
      <c r="Y225" s="66"/>
      <c r="Z225" s="66"/>
      <c r="AA225" s="68"/>
      <c r="AB225" s="66"/>
      <c r="AE225" s="66"/>
      <c r="AH225" s="68"/>
      <c r="AI225" s="66"/>
      <c r="AJ225" s="62"/>
      <c r="AK225" s="62"/>
      <c r="AL225" s="62"/>
      <c r="AM225" s="62"/>
      <c r="AN225" s="62"/>
      <c r="AO225" s="62"/>
      <c r="AP225" s="62"/>
      <c r="AQ225" s="62"/>
      <c r="AR225" s="62"/>
      <c r="AS225" s="62"/>
      <c r="AT225" s="62"/>
      <c r="AU225" s="69"/>
    </row>
    <row r="226" spans="2:47" x14ac:dyDescent="0.35">
      <c r="B226" s="59"/>
      <c r="C226" s="59"/>
      <c r="D226" s="60"/>
      <c r="E226" s="60"/>
      <c r="F226" s="60"/>
      <c r="G226" s="60"/>
      <c r="H226" s="60"/>
      <c r="I226" s="60"/>
      <c r="J226" s="60"/>
      <c r="K226" s="61"/>
      <c r="L226" s="61"/>
      <c r="M226" s="61"/>
      <c r="N226" s="61"/>
      <c r="O226" s="62"/>
      <c r="P226" s="62"/>
      <c r="Q226" s="62"/>
      <c r="S226" s="64"/>
      <c r="T226" s="64"/>
      <c r="U226" s="64"/>
      <c r="W226" s="66"/>
      <c r="Y226" s="66"/>
      <c r="Z226" s="66"/>
      <c r="AA226" s="68"/>
      <c r="AB226" s="66"/>
      <c r="AE226" s="66"/>
      <c r="AH226" s="68"/>
      <c r="AI226" s="66"/>
      <c r="AJ226" s="62"/>
      <c r="AK226" s="62"/>
      <c r="AL226" s="62"/>
      <c r="AM226" s="62"/>
      <c r="AN226" s="62"/>
      <c r="AO226" s="62"/>
      <c r="AP226" s="62"/>
      <c r="AQ226" s="62"/>
      <c r="AR226" s="62"/>
      <c r="AS226" s="62"/>
      <c r="AT226" s="62"/>
      <c r="AU226" s="69"/>
    </row>
    <row r="227" spans="2:47" x14ac:dyDescent="0.35">
      <c r="B227" s="59"/>
      <c r="C227" s="59"/>
      <c r="D227" s="60"/>
      <c r="E227" s="60"/>
      <c r="F227" s="60"/>
      <c r="G227" s="60"/>
      <c r="H227" s="60"/>
      <c r="I227" s="60"/>
      <c r="J227" s="60"/>
      <c r="K227" s="61"/>
      <c r="L227" s="61"/>
      <c r="M227" s="61"/>
      <c r="N227" s="61"/>
      <c r="O227" s="62"/>
      <c r="P227" s="62"/>
      <c r="Q227" s="62"/>
      <c r="S227" s="64"/>
      <c r="T227" s="64"/>
      <c r="U227" s="64"/>
      <c r="W227" s="66"/>
      <c r="Y227" s="66"/>
      <c r="Z227" s="66"/>
      <c r="AA227" s="68"/>
      <c r="AB227" s="66"/>
      <c r="AE227" s="66"/>
      <c r="AH227" s="68"/>
      <c r="AI227" s="66"/>
      <c r="AJ227" s="62"/>
      <c r="AK227" s="62"/>
      <c r="AL227" s="62"/>
      <c r="AM227" s="62"/>
      <c r="AN227" s="62"/>
      <c r="AO227" s="62"/>
      <c r="AP227" s="62"/>
      <c r="AQ227" s="62"/>
      <c r="AR227" s="62"/>
      <c r="AS227" s="62"/>
      <c r="AT227" s="62"/>
      <c r="AU227" s="69"/>
    </row>
    <row r="228" spans="2:47" x14ac:dyDescent="0.35">
      <c r="B228" s="59"/>
      <c r="C228" s="59"/>
      <c r="D228" s="60"/>
      <c r="E228" s="60"/>
      <c r="F228" s="60"/>
      <c r="G228" s="60"/>
      <c r="H228" s="60"/>
      <c r="I228" s="60"/>
      <c r="J228" s="60"/>
      <c r="K228" s="61"/>
      <c r="L228" s="61"/>
      <c r="M228" s="61"/>
      <c r="N228" s="61"/>
      <c r="O228" s="62"/>
      <c r="P228" s="62"/>
      <c r="Q228" s="62"/>
      <c r="S228" s="64"/>
      <c r="T228" s="64"/>
      <c r="U228" s="64"/>
      <c r="W228" s="66"/>
      <c r="Y228" s="66"/>
      <c r="Z228" s="66"/>
      <c r="AA228" s="68"/>
      <c r="AB228" s="66"/>
      <c r="AE228" s="66"/>
      <c r="AH228" s="68"/>
      <c r="AI228" s="66"/>
      <c r="AJ228" s="62"/>
      <c r="AK228" s="62"/>
      <c r="AL228" s="62"/>
      <c r="AM228" s="62"/>
      <c r="AN228" s="62"/>
      <c r="AO228" s="62"/>
      <c r="AP228" s="62"/>
      <c r="AQ228" s="62"/>
      <c r="AR228" s="62"/>
      <c r="AS228" s="62"/>
      <c r="AT228" s="62"/>
      <c r="AU228" s="69"/>
    </row>
    <row r="229" spans="2:47" x14ac:dyDescent="0.35">
      <c r="B229" s="59"/>
      <c r="C229" s="59"/>
      <c r="D229" s="60"/>
      <c r="E229" s="60"/>
      <c r="F229" s="60"/>
      <c r="G229" s="60"/>
      <c r="H229" s="60"/>
      <c r="I229" s="60"/>
      <c r="J229" s="60"/>
      <c r="K229" s="61"/>
      <c r="L229" s="61"/>
      <c r="M229" s="61"/>
      <c r="N229" s="61"/>
      <c r="O229" s="62"/>
      <c r="P229" s="62"/>
      <c r="Q229" s="62"/>
      <c r="S229" s="64"/>
      <c r="T229" s="64"/>
      <c r="U229" s="64"/>
      <c r="W229" s="66"/>
      <c r="Y229" s="66"/>
      <c r="Z229" s="66"/>
      <c r="AA229" s="68"/>
      <c r="AB229" s="66"/>
      <c r="AE229" s="66"/>
      <c r="AH229" s="68"/>
      <c r="AI229" s="66"/>
      <c r="AJ229" s="62"/>
      <c r="AK229" s="62"/>
      <c r="AL229" s="62"/>
      <c r="AM229" s="62"/>
      <c r="AN229" s="62"/>
      <c r="AO229" s="62"/>
      <c r="AP229" s="62"/>
      <c r="AQ229" s="62"/>
      <c r="AR229" s="62"/>
      <c r="AS229" s="62"/>
      <c r="AT229" s="62"/>
      <c r="AU229" s="69"/>
    </row>
    <row r="230" spans="2:47" x14ac:dyDescent="0.35">
      <c r="B230" s="59"/>
      <c r="C230" s="59"/>
      <c r="D230" s="60"/>
      <c r="E230" s="60"/>
      <c r="F230" s="60"/>
      <c r="G230" s="60"/>
      <c r="H230" s="60"/>
      <c r="I230" s="60"/>
      <c r="J230" s="60"/>
      <c r="K230" s="61"/>
      <c r="L230" s="61"/>
      <c r="M230" s="61"/>
      <c r="N230" s="61"/>
      <c r="O230" s="62"/>
      <c r="P230" s="62"/>
      <c r="Q230" s="62"/>
      <c r="S230" s="64"/>
      <c r="T230" s="64"/>
      <c r="U230" s="64"/>
      <c r="W230" s="66"/>
      <c r="Y230" s="66"/>
      <c r="Z230" s="66"/>
      <c r="AA230" s="68"/>
      <c r="AB230" s="66"/>
      <c r="AE230" s="66"/>
      <c r="AH230" s="68"/>
      <c r="AI230" s="66"/>
      <c r="AJ230" s="62"/>
      <c r="AK230" s="62"/>
      <c r="AL230" s="62"/>
      <c r="AM230" s="62"/>
      <c r="AN230" s="62"/>
      <c r="AO230" s="62"/>
      <c r="AP230" s="62"/>
      <c r="AQ230" s="62"/>
      <c r="AR230" s="62"/>
      <c r="AS230" s="62"/>
      <c r="AT230" s="62"/>
      <c r="AU230" s="69"/>
    </row>
    <row r="231" spans="2:47" x14ac:dyDescent="0.35">
      <c r="B231" s="59"/>
      <c r="C231" s="59"/>
      <c r="D231" s="60"/>
      <c r="E231" s="60"/>
      <c r="F231" s="60"/>
      <c r="G231" s="60"/>
      <c r="H231" s="60"/>
      <c r="I231" s="60"/>
      <c r="J231" s="60"/>
      <c r="K231" s="61"/>
      <c r="L231" s="61"/>
      <c r="M231" s="61"/>
      <c r="N231" s="61"/>
      <c r="O231" s="62"/>
      <c r="P231" s="62"/>
      <c r="Q231" s="62"/>
      <c r="S231" s="64"/>
      <c r="T231" s="64"/>
      <c r="U231" s="64"/>
      <c r="W231" s="66"/>
      <c r="Y231" s="66"/>
      <c r="Z231" s="66"/>
      <c r="AA231" s="68"/>
      <c r="AB231" s="66"/>
      <c r="AE231" s="66"/>
      <c r="AH231" s="68"/>
      <c r="AI231" s="66"/>
      <c r="AJ231" s="62"/>
      <c r="AK231" s="62"/>
      <c r="AL231" s="62"/>
      <c r="AM231" s="62"/>
      <c r="AN231" s="62"/>
      <c r="AO231" s="62"/>
      <c r="AP231" s="62"/>
      <c r="AQ231" s="62"/>
      <c r="AR231" s="62"/>
      <c r="AS231" s="62"/>
      <c r="AT231" s="62"/>
      <c r="AU231" s="69"/>
    </row>
    <row r="232" spans="2:47" x14ac:dyDescent="0.35">
      <c r="B232" s="59"/>
      <c r="C232" s="59"/>
      <c r="D232" s="60"/>
      <c r="E232" s="60"/>
      <c r="F232" s="60"/>
      <c r="G232" s="60"/>
      <c r="H232" s="60"/>
      <c r="I232" s="60"/>
      <c r="J232" s="60"/>
      <c r="K232" s="61"/>
      <c r="L232" s="61"/>
      <c r="M232" s="61"/>
      <c r="N232" s="61"/>
      <c r="O232" s="62"/>
      <c r="P232" s="62"/>
      <c r="Q232" s="62"/>
      <c r="S232" s="64"/>
      <c r="T232" s="64"/>
      <c r="U232" s="64"/>
      <c r="W232" s="66"/>
      <c r="Y232" s="66"/>
      <c r="Z232" s="66"/>
      <c r="AA232" s="68"/>
      <c r="AB232" s="66"/>
      <c r="AE232" s="66"/>
      <c r="AH232" s="68"/>
      <c r="AI232" s="66"/>
      <c r="AJ232" s="62"/>
      <c r="AK232" s="62"/>
      <c r="AL232" s="62"/>
      <c r="AM232" s="62"/>
      <c r="AN232" s="62"/>
      <c r="AO232" s="62"/>
      <c r="AP232" s="62"/>
      <c r="AQ232" s="62"/>
      <c r="AR232" s="62"/>
      <c r="AS232" s="62"/>
      <c r="AT232" s="62"/>
      <c r="AU232" s="69"/>
    </row>
    <row r="233" spans="2:47" x14ac:dyDescent="0.35">
      <c r="B233" s="59"/>
      <c r="C233" s="59"/>
      <c r="D233" s="60"/>
      <c r="E233" s="60"/>
      <c r="F233" s="60"/>
      <c r="G233" s="60"/>
      <c r="H233" s="60"/>
      <c r="I233" s="60"/>
      <c r="J233" s="60"/>
      <c r="K233" s="61"/>
      <c r="L233" s="61"/>
      <c r="M233" s="61"/>
      <c r="N233" s="61"/>
      <c r="O233" s="62"/>
      <c r="P233" s="62"/>
      <c r="Q233" s="62"/>
      <c r="S233" s="64"/>
      <c r="T233" s="64"/>
      <c r="U233" s="64"/>
      <c r="W233" s="66"/>
      <c r="Y233" s="66"/>
      <c r="Z233" s="66"/>
      <c r="AA233" s="68"/>
      <c r="AB233" s="66"/>
      <c r="AE233" s="66"/>
      <c r="AH233" s="68"/>
      <c r="AI233" s="66"/>
      <c r="AJ233" s="62"/>
      <c r="AK233" s="62"/>
      <c r="AL233" s="62"/>
      <c r="AM233" s="62"/>
      <c r="AN233" s="62"/>
      <c r="AO233" s="62"/>
      <c r="AP233" s="62"/>
      <c r="AQ233" s="62"/>
      <c r="AR233" s="62"/>
      <c r="AS233" s="62"/>
      <c r="AT233" s="62"/>
      <c r="AU233" s="69"/>
    </row>
    <row r="234" spans="2:47" x14ac:dyDescent="0.35">
      <c r="B234" s="59"/>
      <c r="C234" s="59"/>
      <c r="D234" s="60"/>
      <c r="E234" s="60"/>
      <c r="F234" s="60"/>
      <c r="G234" s="60"/>
      <c r="H234" s="60"/>
      <c r="I234" s="60"/>
      <c r="J234" s="60"/>
      <c r="K234" s="61"/>
      <c r="L234" s="61"/>
      <c r="M234" s="61"/>
      <c r="N234" s="61"/>
      <c r="O234" s="62"/>
      <c r="P234" s="62"/>
      <c r="Q234" s="62"/>
      <c r="S234" s="64"/>
      <c r="T234" s="64"/>
      <c r="U234" s="64"/>
      <c r="W234" s="66"/>
      <c r="Y234" s="66"/>
      <c r="Z234" s="66"/>
      <c r="AA234" s="68"/>
      <c r="AB234" s="66"/>
      <c r="AE234" s="66"/>
      <c r="AH234" s="68"/>
      <c r="AI234" s="66"/>
      <c r="AJ234" s="62"/>
      <c r="AK234" s="62"/>
      <c r="AL234" s="62"/>
      <c r="AM234" s="62"/>
      <c r="AN234" s="62"/>
      <c r="AO234" s="62"/>
      <c r="AP234" s="62"/>
      <c r="AQ234" s="62"/>
      <c r="AR234" s="62"/>
      <c r="AS234" s="62"/>
      <c r="AT234" s="62"/>
      <c r="AU234" s="69"/>
    </row>
    <row r="235" spans="2:47" x14ac:dyDescent="0.35">
      <c r="B235" s="59"/>
      <c r="C235" s="59"/>
      <c r="D235" s="60"/>
      <c r="E235" s="60"/>
      <c r="F235" s="60"/>
      <c r="G235" s="60"/>
      <c r="H235" s="60"/>
      <c r="I235" s="60"/>
      <c r="J235" s="60"/>
      <c r="K235" s="61"/>
      <c r="L235" s="61"/>
      <c r="M235" s="61"/>
      <c r="N235" s="61"/>
      <c r="O235" s="62"/>
      <c r="P235" s="62"/>
      <c r="Q235" s="62"/>
      <c r="S235" s="64"/>
      <c r="T235" s="64"/>
      <c r="U235" s="64"/>
      <c r="W235" s="66"/>
      <c r="Y235" s="66"/>
      <c r="Z235" s="66"/>
      <c r="AA235" s="68"/>
      <c r="AB235" s="66"/>
      <c r="AE235" s="66"/>
      <c r="AH235" s="68"/>
      <c r="AI235" s="66"/>
      <c r="AJ235" s="62"/>
      <c r="AK235" s="62"/>
      <c r="AL235" s="62"/>
      <c r="AM235" s="62"/>
      <c r="AN235" s="62"/>
      <c r="AO235" s="62"/>
      <c r="AP235" s="62"/>
      <c r="AQ235" s="62"/>
      <c r="AR235" s="62"/>
      <c r="AS235" s="62"/>
      <c r="AT235" s="62"/>
      <c r="AU235" s="69"/>
    </row>
    <row r="236" spans="2:47" x14ac:dyDescent="0.35">
      <c r="B236" s="59"/>
      <c r="C236" s="59"/>
      <c r="D236" s="60"/>
      <c r="E236" s="60"/>
      <c r="F236" s="60"/>
      <c r="G236" s="60"/>
      <c r="H236" s="60"/>
      <c r="I236" s="60"/>
      <c r="J236" s="60"/>
      <c r="K236" s="61"/>
      <c r="L236" s="61"/>
      <c r="M236" s="61"/>
      <c r="N236" s="61"/>
      <c r="O236" s="62"/>
      <c r="P236" s="62"/>
      <c r="Q236" s="62"/>
      <c r="S236" s="64"/>
      <c r="T236" s="64"/>
      <c r="U236" s="64"/>
      <c r="W236" s="66"/>
      <c r="Y236" s="66"/>
      <c r="Z236" s="66"/>
      <c r="AA236" s="68"/>
      <c r="AB236" s="66"/>
      <c r="AE236" s="66"/>
      <c r="AH236" s="68"/>
      <c r="AI236" s="66"/>
      <c r="AJ236" s="62"/>
      <c r="AK236" s="62"/>
      <c r="AL236" s="62"/>
      <c r="AM236" s="62"/>
      <c r="AN236" s="62"/>
      <c r="AO236" s="62"/>
      <c r="AP236" s="62"/>
      <c r="AQ236" s="62"/>
      <c r="AR236" s="62"/>
      <c r="AS236" s="62"/>
      <c r="AT236" s="62"/>
      <c r="AU236" s="69"/>
    </row>
    <row r="237" spans="2:47" x14ac:dyDescent="0.35">
      <c r="B237" s="59"/>
      <c r="C237" s="59"/>
      <c r="D237" s="60"/>
      <c r="E237" s="60"/>
      <c r="F237" s="60"/>
      <c r="G237" s="60"/>
      <c r="H237" s="60"/>
      <c r="I237" s="60"/>
      <c r="J237" s="60"/>
      <c r="K237" s="61"/>
      <c r="L237" s="61"/>
      <c r="M237" s="61"/>
      <c r="N237" s="61"/>
      <c r="O237" s="62"/>
      <c r="P237" s="62"/>
      <c r="Q237" s="62"/>
      <c r="S237" s="64"/>
      <c r="T237" s="64"/>
      <c r="U237" s="64"/>
      <c r="W237" s="66"/>
      <c r="Y237" s="66"/>
      <c r="Z237" s="66"/>
      <c r="AA237" s="68"/>
      <c r="AB237" s="66"/>
      <c r="AE237" s="66"/>
      <c r="AH237" s="68"/>
      <c r="AI237" s="66"/>
      <c r="AJ237" s="62"/>
      <c r="AK237" s="62"/>
      <c r="AL237" s="62"/>
      <c r="AM237" s="62"/>
      <c r="AN237" s="62"/>
      <c r="AO237" s="62"/>
      <c r="AP237" s="62"/>
      <c r="AQ237" s="62"/>
      <c r="AR237" s="62"/>
      <c r="AS237" s="62"/>
      <c r="AT237" s="62"/>
      <c r="AU237" s="69"/>
    </row>
    <row r="238" spans="2:47" x14ac:dyDescent="0.35">
      <c r="B238" s="59"/>
      <c r="C238" s="59"/>
      <c r="D238" s="60"/>
      <c r="E238" s="60"/>
      <c r="F238" s="60"/>
      <c r="G238" s="60"/>
      <c r="H238" s="60"/>
      <c r="I238" s="60"/>
      <c r="J238" s="60"/>
      <c r="K238" s="61"/>
      <c r="L238" s="61"/>
      <c r="M238" s="61"/>
      <c r="N238" s="61"/>
      <c r="O238" s="62"/>
      <c r="P238" s="62"/>
      <c r="Q238" s="62"/>
      <c r="S238" s="64"/>
      <c r="T238" s="64"/>
      <c r="U238" s="64"/>
      <c r="W238" s="66"/>
      <c r="Y238" s="66"/>
      <c r="Z238" s="66"/>
      <c r="AA238" s="68"/>
      <c r="AB238" s="66"/>
      <c r="AE238" s="66"/>
      <c r="AH238" s="68"/>
      <c r="AI238" s="66"/>
      <c r="AJ238" s="62"/>
      <c r="AK238" s="62"/>
      <c r="AL238" s="62"/>
      <c r="AM238" s="62"/>
      <c r="AN238" s="62"/>
      <c r="AO238" s="62"/>
      <c r="AP238" s="62"/>
      <c r="AQ238" s="62"/>
      <c r="AR238" s="62"/>
      <c r="AS238" s="62"/>
      <c r="AT238" s="62"/>
      <c r="AU238" s="69"/>
    </row>
    <row r="239" spans="2:47" x14ac:dyDescent="0.35">
      <c r="B239" s="59"/>
      <c r="C239" s="59"/>
      <c r="D239" s="60"/>
      <c r="E239" s="60"/>
      <c r="F239" s="60"/>
      <c r="G239" s="60"/>
      <c r="H239" s="60"/>
      <c r="I239" s="60"/>
      <c r="J239" s="60"/>
      <c r="K239" s="61"/>
      <c r="L239" s="61"/>
      <c r="M239" s="61"/>
      <c r="N239" s="61"/>
      <c r="O239" s="62"/>
      <c r="P239" s="62"/>
      <c r="Q239" s="62"/>
      <c r="S239" s="64"/>
      <c r="T239" s="64"/>
      <c r="U239" s="64"/>
      <c r="W239" s="66"/>
      <c r="Y239" s="66"/>
      <c r="Z239" s="66"/>
      <c r="AA239" s="68"/>
      <c r="AB239" s="66"/>
      <c r="AE239" s="66"/>
      <c r="AH239" s="68"/>
      <c r="AI239" s="66"/>
      <c r="AJ239" s="62"/>
      <c r="AK239" s="62"/>
      <c r="AL239" s="62"/>
      <c r="AM239" s="62"/>
      <c r="AN239" s="62"/>
      <c r="AO239" s="62"/>
      <c r="AP239" s="62"/>
      <c r="AQ239" s="62"/>
      <c r="AR239" s="62"/>
      <c r="AS239" s="62"/>
      <c r="AT239" s="62"/>
      <c r="AU239" s="69"/>
    </row>
    <row r="240" spans="2:47" x14ac:dyDescent="0.35">
      <c r="B240" s="59"/>
      <c r="C240" s="59"/>
      <c r="D240" s="60"/>
      <c r="E240" s="60"/>
      <c r="F240" s="60"/>
      <c r="G240" s="60"/>
      <c r="H240" s="60"/>
      <c r="I240" s="60"/>
      <c r="J240" s="60"/>
      <c r="K240" s="61"/>
      <c r="L240" s="61"/>
      <c r="M240" s="61"/>
      <c r="N240" s="61"/>
      <c r="O240" s="62"/>
      <c r="P240" s="62"/>
      <c r="Q240" s="62"/>
      <c r="S240" s="64"/>
      <c r="T240" s="64"/>
      <c r="U240" s="64"/>
      <c r="W240" s="66"/>
      <c r="Y240" s="66"/>
      <c r="Z240" s="66"/>
      <c r="AA240" s="68"/>
      <c r="AB240" s="66"/>
      <c r="AE240" s="66"/>
      <c r="AH240" s="68"/>
      <c r="AI240" s="66"/>
      <c r="AJ240" s="62"/>
      <c r="AK240" s="62"/>
      <c r="AL240" s="62"/>
      <c r="AM240" s="62"/>
      <c r="AN240" s="62"/>
      <c r="AO240" s="62"/>
      <c r="AP240" s="62"/>
      <c r="AQ240" s="62"/>
      <c r="AR240" s="62"/>
      <c r="AS240" s="62"/>
      <c r="AT240" s="62"/>
      <c r="AU240" s="69"/>
    </row>
    <row r="241" spans="2:47" x14ac:dyDescent="0.35">
      <c r="B241" s="59"/>
      <c r="C241" s="59"/>
      <c r="D241" s="60"/>
      <c r="E241" s="60"/>
      <c r="F241" s="60"/>
      <c r="G241" s="60"/>
      <c r="H241" s="60"/>
      <c r="I241" s="60"/>
      <c r="J241" s="60"/>
      <c r="K241" s="61"/>
      <c r="L241" s="61"/>
      <c r="M241" s="61"/>
      <c r="N241" s="61"/>
      <c r="O241" s="62"/>
      <c r="P241" s="62"/>
      <c r="Q241" s="62"/>
      <c r="S241" s="64"/>
      <c r="T241" s="64"/>
      <c r="U241" s="64"/>
      <c r="W241" s="66"/>
      <c r="Y241" s="66"/>
      <c r="Z241" s="66"/>
      <c r="AA241" s="68"/>
      <c r="AB241" s="66"/>
      <c r="AE241" s="66"/>
      <c r="AH241" s="68"/>
      <c r="AI241" s="66"/>
      <c r="AJ241" s="62"/>
      <c r="AK241" s="62"/>
      <c r="AL241" s="62"/>
      <c r="AM241" s="62"/>
      <c r="AN241" s="62"/>
      <c r="AO241" s="62"/>
      <c r="AP241" s="62"/>
      <c r="AQ241" s="62"/>
      <c r="AR241" s="62"/>
      <c r="AS241" s="62"/>
      <c r="AT241" s="62"/>
      <c r="AU241" s="69"/>
    </row>
    <row r="242" spans="2:47" x14ac:dyDescent="0.35">
      <c r="B242" s="59"/>
      <c r="C242" s="59"/>
      <c r="D242" s="60"/>
      <c r="E242" s="60"/>
      <c r="F242" s="60"/>
      <c r="G242" s="60"/>
      <c r="H242" s="60"/>
      <c r="I242" s="60"/>
      <c r="J242" s="60"/>
      <c r="K242" s="61"/>
      <c r="L242" s="61"/>
      <c r="M242" s="61"/>
      <c r="N242" s="61"/>
      <c r="O242" s="62"/>
      <c r="P242" s="62"/>
      <c r="Q242" s="62"/>
      <c r="S242" s="64"/>
      <c r="T242" s="64"/>
      <c r="U242" s="64"/>
      <c r="W242" s="66"/>
      <c r="Y242" s="66"/>
      <c r="Z242" s="66"/>
      <c r="AA242" s="68"/>
      <c r="AB242" s="66"/>
      <c r="AE242" s="66"/>
      <c r="AH242" s="68"/>
      <c r="AI242" s="66"/>
      <c r="AJ242" s="62"/>
      <c r="AK242" s="62"/>
      <c r="AL242" s="62"/>
      <c r="AM242" s="62"/>
      <c r="AN242" s="62"/>
      <c r="AO242" s="62"/>
      <c r="AP242" s="62"/>
      <c r="AQ242" s="62"/>
      <c r="AR242" s="62"/>
      <c r="AS242" s="62"/>
      <c r="AT242" s="62"/>
      <c r="AU242" s="69"/>
    </row>
    <row r="243" spans="2:47" x14ac:dyDescent="0.35">
      <c r="B243" s="59"/>
      <c r="C243" s="59"/>
      <c r="D243" s="60"/>
      <c r="E243" s="60"/>
      <c r="F243" s="60"/>
      <c r="G243" s="60"/>
      <c r="H243" s="60"/>
      <c r="I243" s="60"/>
      <c r="J243" s="60"/>
      <c r="K243" s="61"/>
      <c r="L243" s="61"/>
      <c r="M243" s="61"/>
      <c r="N243" s="61"/>
      <c r="O243" s="62"/>
      <c r="P243" s="62"/>
      <c r="Q243" s="62"/>
      <c r="S243" s="64"/>
      <c r="T243" s="64"/>
      <c r="U243" s="64"/>
      <c r="W243" s="66"/>
      <c r="Y243" s="66"/>
      <c r="Z243" s="66"/>
      <c r="AA243" s="68"/>
      <c r="AB243" s="66"/>
      <c r="AE243" s="66"/>
      <c r="AH243" s="68"/>
      <c r="AI243" s="66"/>
      <c r="AJ243" s="62"/>
      <c r="AK243" s="62"/>
      <c r="AL243" s="62"/>
      <c r="AM243" s="62"/>
      <c r="AN243" s="62"/>
      <c r="AO243" s="62"/>
      <c r="AP243" s="62"/>
      <c r="AQ243" s="62"/>
      <c r="AR243" s="62"/>
      <c r="AS243" s="62"/>
      <c r="AT243" s="62"/>
      <c r="AU243" s="69"/>
    </row>
    <row r="244" spans="2:47" x14ac:dyDescent="0.35">
      <c r="B244" s="59"/>
      <c r="C244" s="59"/>
      <c r="D244" s="60"/>
      <c r="E244" s="60"/>
      <c r="F244" s="60"/>
      <c r="G244" s="60"/>
      <c r="H244" s="60"/>
      <c r="I244" s="60"/>
      <c r="J244" s="60"/>
      <c r="K244" s="61"/>
      <c r="L244" s="61"/>
      <c r="M244" s="61"/>
      <c r="N244" s="61"/>
      <c r="O244" s="62"/>
      <c r="P244" s="62"/>
      <c r="Q244" s="62"/>
      <c r="S244" s="64"/>
      <c r="T244" s="64"/>
      <c r="U244" s="64"/>
      <c r="W244" s="66"/>
      <c r="Y244" s="66"/>
      <c r="Z244" s="66"/>
      <c r="AA244" s="68"/>
      <c r="AB244" s="66"/>
      <c r="AE244" s="66"/>
      <c r="AH244" s="68"/>
      <c r="AI244" s="66"/>
      <c r="AJ244" s="62"/>
      <c r="AK244" s="62"/>
      <c r="AL244" s="62"/>
      <c r="AM244" s="62"/>
      <c r="AN244" s="62"/>
      <c r="AO244" s="62"/>
      <c r="AP244" s="62"/>
      <c r="AQ244" s="62"/>
      <c r="AR244" s="62"/>
      <c r="AS244" s="62"/>
      <c r="AT244" s="62"/>
      <c r="AU244" s="69"/>
    </row>
    <row r="245" spans="2:47" x14ac:dyDescent="0.35">
      <c r="B245" s="59"/>
      <c r="C245" s="59"/>
      <c r="D245" s="60"/>
      <c r="E245" s="60"/>
      <c r="F245" s="60"/>
      <c r="G245" s="60"/>
      <c r="H245" s="60"/>
      <c r="I245" s="60"/>
      <c r="J245" s="60"/>
      <c r="K245" s="61"/>
      <c r="L245" s="61"/>
      <c r="M245" s="61"/>
      <c r="N245" s="61"/>
      <c r="O245" s="62"/>
      <c r="P245" s="62"/>
      <c r="Q245" s="62"/>
      <c r="S245" s="64"/>
      <c r="T245" s="64"/>
      <c r="U245" s="64"/>
      <c r="W245" s="66"/>
      <c r="Y245" s="66"/>
      <c r="Z245" s="66"/>
      <c r="AA245" s="68"/>
      <c r="AB245" s="66"/>
      <c r="AE245" s="66"/>
      <c r="AH245" s="68"/>
      <c r="AI245" s="66"/>
      <c r="AJ245" s="62"/>
      <c r="AK245" s="62"/>
      <c r="AL245" s="62"/>
      <c r="AM245" s="62"/>
      <c r="AN245" s="62"/>
      <c r="AO245" s="62"/>
      <c r="AP245" s="62"/>
      <c r="AQ245" s="62"/>
      <c r="AR245" s="62"/>
      <c r="AS245" s="62"/>
      <c r="AT245" s="62"/>
      <c r="AU245" s="69"/>
    </row>
    <row r="246" spans="2:47" x14ac:dyDescent="0.35">
      <c r="B246" s="59"/>
      <c r="C246" s="59"/>
      <c r="D246" s="60"/>
      <c r="E246" s="60"/>
      <c r="F246" s="60"/>
      <c r="G246" s="60"/>
      <c r="H246" s="60"/>
      <c r="I246" s="60"/>
      <c r="J246" s="60"/>
      <c r="K246" s="61"/>
      <c r="L246" s="61"/>
      <c r="M246" s="61"/>
      <c r="N246" s="61"/>
      <c r="O246" s="62"/>
      <c r="P246" s="62"/>
      <c r="Q246" s="62"/>
      <c r="S246" s="64"/>
      <c r="T246" s="64"/>
      <c r="U246" s="64"/>
      <c r="W246" s="66"/>
      <c r="Y246" s="66"/>
      <c r="Z246" s="66"/>
      <c r="AA246" s="68"/>
      <c r="AB246" s="66"/>
      <c r="AE246" s="66"/>
      <c r="AH246" s="68"/>
      <c r="AI246" s="66"/>
      <c r="AJ246" s="62"/>
      <c r="AK246" s="62"/>
      <c r="AL246" s="62"/>
      <c r="AM246" s="62"/>
      <c r="AN246" s="62"/>
      <c r="AO246" s="62"/>
      <c r="AP246" s="62"/>
      <c r="AQ246" s="62"/>
      <c r="AR246" s="62"/>
      <c r="AS246" s="62"/>
      <c r="AT246" s="62"/>
      <c r="AU246" s="69"/>
    </row>
    <row r="247" spans="2:47" x14ac:dyDescent="0.35">
      <c r="B247" s="59"/>
      <c r="C247" s="59"/>
      <c r="D247" s="60"/>
      <c r="E247" s="60"/>
      <c r="F247" s="60"/>
      <c r="G247" s="60"/>
      <c r="H247" s="60"/>
      <c r="I247" s="60"/>
      <c r="J247" s="60"/>
      <c r="K247" s="61"/>
      <c r="L247" s="61"/>
      <c r="M247" s="61"/>
      <c r="N247" s="61"/>
      <c r="O247" s="62"/>
      <c r="P247" s="62"/>
      <c r="Q247" s="62"/>
      <c r="S247" s="64"/>
      <c r="T247" s="64"/>
      <c r="U247" s="64"/>
      <c r="W247" s="66"/>
      <c r="Y247" s="66"/>
      <c r="Z247" s="66"/>
      <c r="AA247" s="68"/>
      <c r="AB247" s="66"/>
      <c r="AE247" s="66"/>
      <c r="AH247" s="68"/>
      <c r="AI247" s="66"/>
      <c r="AJ247" s="62"/>
      <c r="AK247" s="62"/>
      <c r="AL247" s="62"/>
      <c r="AM247" s="62"/>
      <c r="AN247" s="62"/>
      <c r="AO247" s="62"/>
      <c r="AP247" s="62"/>
      <c r="AQ247" s="62"/>
      <c r="AR247" s="62"/>
      <c r="AS247" s="62"/>
      <c r="AT247" s="62"/>
      <c r="AU247" s="69"/>
    </row>
    <row r="248" spans="2:47" x14ac:dyDescent="0.35">
      <c r="B248" s="59"/>
      <c r="C248" s="59"/>
      <c r="D248" s="60"/>
      <c r="E248" s="60"/>
      <c r="F248" s="60"/>
      <c r="G248" s="60"/>
      <c r="H248" s="60"/>
      <c r="I248" s="60"/>
      <c r="J248" s="60"/>
      <c r="K248" s="61"/>
      <c r="L248" s="61"/>
      <c r="M248" s="61"/>
      <c r="N248" s="61"/>
      <c r="O248" s="62"/>
      <c r="P248" s="62"/>
      <c r="Q248" s="62"/>
      <c r="S248" s="64"/>
      <c r="T248" s="64"/>
      <c r="U248" s="64"/>
      <c r="W248" s="66"/>
      <c r="Y248" s="66"/>
      <c r="Z248" s="66"/>
      <c r="AA248" s="68"/>
      <c r="AB248" s="66"/>
      <c r="AE248" s="66"/>
      <c r="AH248" s="68"/>
      <c r="AI248" s="66"/>
      <c r="AJ248" s="62"/>
      <c r="AK248" s="62"/>
      <c r="AL248" s="62"/>
      <c r="AM248" s="62"/>
      <c r="AN248" s="62"/>
      <c r="AO248" s="62"/>
      <c r="AP248" s="62"/>
      <c r="AQ248" s="62"/>
      <c r="AR248" s="62"/>
      <c r="AS248" s="62"/>
      <c r="AT248" s="62"/>
      <c r="AU248" s="69"/>
    </row>
    <row r="249" spans="2:47" x14ac:dyDescent="0.35">
      <c r="B249" s="59"/>
      <c r="C249" s="59"/>
      <c r="D249" s="60"/>
      <c r="E249" s="60"/>
      <c r="F249" s="60"/>
      <c r="G249" s="60"/>
      <c r="H249" s="60"/>
      <c r="I249" s="60"/>
      <c r="J249" s="60"/>
      <c r="K249" s="61"/>
      <c r="L249" s="61"/>
      <c r="M249" s="61"/>
      <c r="N249" s="61"/>
      <c r="O249" s="62"/>
      <c r="P249" s="62"/>
      <c r="Q249" s="62"/>
      <c r="S249" s="64"/>
      <c r="T249" s="64"/>
      <c r="U249" s="64"/>
      <c r="W249" s="66"/>
      <c r="Y249" s="66"/>
      <c r="Z249" s="66"/>
      <c r="AA249" s="68"/>
      <c r="AB249" s="66"/>
      <c r="AE249" s="66"/>
      <c r="AH249" s="68"/>
      <c r="AI249" s="66"/>
      <c r="AJ249" s="62"/>
      <c r="AK249" s="62"/>
      <c r="AL249" s="62"/>
      <c r="AM249" s="62"/>
      <c r="AN249" s="62"/>
      <c r="AO249" s="62"/>
      <c r="AP249" s="62"/>
      <c r="AQ249" s="62"/>
      <c r="AR249" s="62"/>
      <c r="AS249" s="62"/>
      <c r="AT249" s="62"/>
      <c r="AU249" s="69"/>
    </row>
    <row r="250" spans="2:47" x14ac:dyDescent="0.35">
      <c r="B250" s="59"/>
      <c r="C250" s="59"/>
      <c r="D250" s="60"/>
      <c r="E250" s="60"/>
      <c r="F250" s="60"/>
      <c r="G250" s="60"/>
      <c r="H250" s="60"/>
      <c r="I250" s="60"/>
      <c r="J250" s="60"/>
      <c r="K250" s="61"/>
      <c r="L250" s="61"/>
      <c r="M250" s="61"/>
      <c r="N250" s="61"/>
      <c r="O250" s="62"/>
      <c r="P250" s="62"/>
      <c r="Q250" s="62"/>
      <c r="S250" s="64"/>
      <c r="T250" s="64"/>
      <c r="U250" s="64"/>
      <c r="W250" s="66"/>
      <c r="Y250" s="66"/>
      <c r="Z250" s="66"/>
      <c r="AA250" s="68"/>
      <c r="AB250" s="66"/>
      <c r="AE250" s="66"/>
      <c r="AH250" s="68"/>
      <c r="AI250" s="66"/>
      <c r="AJ250" s="62"/>
      <c r="AK250" s="62"/>
      <c r="AL250" s="62"/>
      <c r="AM250" s="62"/>
      <c r="AN250" s="62"/>
      <c r="AO250" s="62"/>
      <c r="AP250" s="62"/>
      <c r="AQ250" s="62"/>
      <c r="AR250" s="62"/>
      <c r="AS250" s="62"/>
      <c r="AT250" s="62"/>
      <c r="AU250" s="69"/>
    </row>
    <row r="251" spans="2:47" x14ac:dyDescent="0.35">
      <c r="B251" s="59"/>
      <c r="C251" s="59"/>
      <c r="D251" s="60"/>
      <c r="E251" s="60"/>
      <c r="F251" s="60"/>
      <c r="G251" s="60"/>
      <c r="H251" s="60"/>
      <c r="I251" s="60"/>
      <c r="J251" s="60"/>
      <c r="K251" s="61"/>
      <c r="L251" s="61"/>
      <c r="M251" s="61"/>
      <c r="N251" s="61"/>
      <c r="O251" s="62"/>
      <c r="P251" s="62"/>
      <c r="Q251" s="62"/>
      <c r="S251" s="64"/>
      <c r="T251" s="64"/>
      <c r="U251" s="64"/>
      <c r="W251" s="66"/>
      <c r="Y251" s="66"/>
      <c r="Z251" s="66"/>
      <c r="AA251" s="68"/>
      <c r="AB251" s="66"/>
      <c r="AE251" s="66"/>
      <c r="AH251" s="68"/>
      <c r="AI251" s="66"/>
      <c r="AJ251" s="62"/>
      <c r="AK251" s="62"/>
      <c r="AL251" s="62"/>
      <c r="AM251" s="62"/>
      <c r="AN251" s="62"/>
      <c r="AO251" s="62"/>
      <c r="AP251" s="62"/>
      <c r="AQ251" s="62"/>
      <c r="AR251" s="62"/>
      <c r="AS251" s="62"/>
      <c r="AT251" s="62"/>
      <c r="AU251" s="69"/>
    </row>
    <row r="252" spans="2:47" x14ac:dyDescent="0.35">
      <c r="B252" s="59"/>
      <c r="C252" s="59"/>
      <c r="D252" s="60"/>
      <c r="E252" s="60"/>
      <c r="F252" s="60"/>
      <c r="G252" s="60"/>
      <c r="H252" s="60"/>
      <c r="I252" s="60"/>
      <c r="J252" s="60"/>
      <c r="K252" s="61"/>
      <c r="L252" s="61"/>
      <c r="M252" s="61"/>
      <c r="N252" s="61"/>
      <c r="O252" s="62"/>
      <c r="P252" s="62"/>
      <c r="Q252" s="62"/>
      <c r="S252" s="64"/>
      <c r="T252" s="64"/>
      <c r="U252" s="64"/>
      <c r="W252" s="66"/>
      <c r="Y252" s="66"/>
      <c r="Z252" s="66"/>
      <c r="AA252" s="68"/>
      <c r="AB252" s="66"/>
      <c r="AE252" s="66"/>
      <c r="AH252" s="68"/>
      <c r="AI252" s="66"/>
      <c r="AJ252" s="62"/>
      <c r="AK252" s="62"/>
      <c r="AL252" s="62"/>
      <c r="AM252" s="62"/>
      <c r="AN252" s="62"/>
      <c r="AO252" s="62"/>
      <c r="AP252" s="62"/>
      <c r="AQ252" s="62"/>
      <c r="AR252" s="62"/>
      <c r="AS252" s="62"/>
      <c r="AT252" s="62"/>
      <c r="AU252" s="69"/>
    </row>
    <row r="253" spans="2:47" x14ac:dyDescent="0.35">
      <c r="B253" s="59"/>
      <c r="C253" s="59"/>
      <c r="D253" s="60"/>
      <c r="E253" s="60"/>
      <c r="F253" s="60"/>
      <c r="G253" s="60"/>
      <c r="H253" s="60"/>
      <c r="I253" s="60"/>
      <c r="J253" s="60"/>
      <c r="K253" s="61"/>
      <c r="L253" s="61"/>
      <c r="M253" s="61"/>
      <c r="N253" s="61"/>
      <c r="O253" s="62"/>
      <c r="P253" s="62"/>
      <c r="Q253" s="62"/>
      <c r="S253" s="64"/>
      <c r="T253" s="64"/>
      <c r="U253" s="64"/>
      <c r="W253" s="66"/>
      <c r="Y253" s="66"/>
      <c r="Z253" s="66"/>
      <c r="AA253" s="68"/>
      <c r="AB253" s="66"/>
      <c r="AE253" s="66"/>
      <c r="AH253" s="68"/>
      <c r="AI253" s="66"/>
      <c r="AJ253" s="62"/>
      <c r="AK253" s="62"/>
      <c r="AL253" s="62"/>
      <c r="AM253" s="62"/>
      <c r="AN253" s="62"/>
      <c r="AO253" s="62"/>
      <c r="AP253" s="62"/>
      <c r="AQ253" s="62"/>
      <c r="AR253" s="62"/>
      <c r="AS253" s="62"/>
      <c r="AT253" s="62"/>
      <c r="AU253" s="69"/>
    </row>
    <row r="254" spans="2:47" x14ac:dyDescent="0.35">
      <c r="B254" s="59"/>
      <c r="C254" s="59"/>
      <c r="D254" s="60"/>
      <c r="E254" s="60"/>
      <c r="F254" s="60"/>
      <c r="G254" s="60"/>
      <c r="H254" s="60"/>
      <c r="I254" s="60"/>
      <c r="J254" s="60"/>
      <c r="K254" s="61"/>
      <c r="L254" s="61"/>
      <c r="M254" s="61"/>
      <c r="N254" s="61"/>
      <c r="O254" s="62"/>
      <c r="P254" s="62"/>
      <c r="Q254" s="62"/>
      <c r="S254" s="64"/>
      <c r="T254" s="64"/>
      <c r="U254" s="64"/>
      <c r="W254" s="66"/>
      <c r="Y254" s="66"/>
      <c r="Z254" s="66"/>
      <c r="AA254" s="68"/>
      <c r="AB254" s="66"/>
      <c r="AE254" s="66"/>
      <c r="AH254" s="68"/>
      <c r="AI254" s="66"/>
      <c r="AJ254" s="62"/>
      <c r="AK254" s="62"/>
      <c r="AL254" s="62"/>
      <c r="AM254" s="62"/>
      <c r="AN254" s="62"/>
      <c r="AO254" s="62"/>
      <c r="AP254" s="62"/>
      <c r="AQ254" s="62"/>
      <c r="AR254" s="62"/>
      <c r="AS254" s="62"/>
      <c r="AT254" s="62"/>
      <c r="AU254" s="69"/>
    </row>
    <row r="255" spans="2:47" x14ac:dyDescent="0.35">
      <c r="B255" s="59"/>
      <c r="C255" s="59"/>
      <c r="D255" s="60"/>
      <c r="E255" s="60"/>
      <c r="F255" s="60"/>
      <c r="G255" s="60"/>
      <c r="H255" s="60"/>
      <c r="I255" s="60"/>
      <c r="J255" s="60"/>
      <c r="K255" s="61"/>
      <c r="L255" s="61"/>
      <c r="M255" s="61"/>
      <c r="N255" s="61"/>
      <c r="O255" s="62"/>
      <c r="P255" s="62"/>
      <c r="Q255" s="62"/>
      <c r="S255" s="64"/>
      <c r="T255" s="64"/>
      <c r="U255" s="64"/>
      <c r="W255" s="66"/>
      <c r="Y255" s="66"/>
      <c r="Z255" s="66"/>
      <c r="AA255" s="68"/>
      <c r="AB255" s="66"/>
      <c r="AE255" s="66"/>
      <c r="AH255" s="68"/>
      <c r="AI255" s="66"/>
      <c r="AJ255" s="62"/>
      <c r="AK255" s="62"/>
      <c r="AL255" s="62"/>
      <c r="AM255" s="62"/>
      <c r="AN255" s="62"/>
      <c r="AO255" s="62"/>
      <c r="AP255" s="62"/>
      <c r="AQ255" s="62"/>
      <c r="AR255" s="62"/>
      <c r="AS255" s="62"/>
      <c r="AT255" s="62"/>
      <c r="AU255" s="69"/>
    </row>
    <row r="256" spans="2:47" x14ac:dyDescent="0.35">
      <c r="B256" s="59"/>
      <c r="C256" s="59"/>
      <c r="D256" s="60"/>
      <c r="E256" s="60"/>
      <c r="F256" s="60"/>
      <c r="G256" s="60"/>
      <c r="H256" s="60"/>
      <c r="I256" s="60"/>
      <c r="J256" s="60"/>
      <c r="K256" s="61"/>
      <c r="L256" s="61"/>
      <c r="M256" s="61"/>
      <c r="N256" s="61"/>
      <c r="O256" s="62"/>
      <c r="P256" s="62"/>
      <c r="Q256" s="62"/>
      <c r="S256" s="64"/>
      <c r="T256" s="64"/>
      <c r="U256" s="64"/>
      <c r="W256" s="66"/>
      <c r="Y256" s="66"/>
      <c r="Z256" s="66"/>
      <c r="AA256" s="68"/>
      <c r="AB256" s="66"/>
      <c r="AE256" s="66"/>
      <c r="AH256" s="68"/>
      <c r="AI256" s="66"/>
      <c r="AJ256" s="62"/>
      <c r="AK256" s="62"/>
      <c r="AL256" s="62"/>
      <c r="AM256" s="62"/>
      <c r="AN256" s="62"/>
      <c r="AO256" s="62"/>
      <c r="AP256" s="62"/>
      <c r="AQ256" s="62"/>
      <c r="AR256" s="62"/>
      <c r="AS256" s="62"/>
      <c r="AT256" s="62"/>
      <c r="AU256" s="69"/>
    </row>
    <row r="257" spans="2:47" x14ac:dyDescent="0.35">
      <c r="B257" s="59"/>
      <c r="C257" s="59"/>
      <c r="D257" s="60"/>
      <c r="E257" s="60"/>
      <c r="F257" s="60"/>
      <c r="G257" s="60"/>
      <c r="H257" s="60"/>
      <c r="I257" s="60"/>
      <c r="J257" s="60"/>
      <c r="K257" s="61"/>
      <c r="L257" s="61"/>
      <c r="M257" s="61"/>
      <c r="N257" s="61"/>
      <c r="O257" s="62"/>
      <c r="P257" s="62"/>
      <c r="Q257" s="62"/>
      <c r="S257" s="64"/>
      <c r="T257" s="64"/>
      <c r="U257" s="64"/>
      <c r="W257" s="66"/>
      <c r="Y257" s="66"/>
      <c r="Z257" s="66"/>
      <c r="AA257" s="68"/>
      <c r="AB257" s="66"/>
      <c r="AE257" s="66"/>
      <c r="AH257" s="68"/>
      <c r="AI257" s="66"/>
      <c r="AJ257" s="62"/>
      <c r="AK257" s="62"/>
      <c r="AL257" s="62"/>
      <c r="AM257" s="62"/>
      <c r="AN257" s="62"/>
      <c r="AO257" s="62"/>
      <c r="AP257" s="62"/>
      <c r="AQ257" s="62"/>
      <c r="AR257" s="62"/>
      <c r="AS257" s="62"/>
      <c r="AT257" s="62"/>
      <c r="AU257" s="69"/>
    </row>
    <row r="258" spans="2:47" x14ac:dyDescent="0.35">
      <c r="B258" s="59"/>
      <c r="C258" s="59"/>
      <c r="D258" s="60"/>
      <c r="E258" s="60"/>
      <c r="F258" s="60"/>
      <c r="G258" s="60"/>
      <c r="H258" s="60"/>
      <c r="I258" s="60"/>
      <c r="J258" s="60"/>
      <c r="K258" s="61"/>
      <c r="L258" s="61"/>
      <c r="M258" s="61"/>
      <c r="N258" s="61"/>
      <c r="O258" s="62"/>
      <c r="P258" s="62"/>
      <c r="Q258" s="62"/>
      <c r="S258" s="64"/>
      <c r="T258" s="64"/>
      <c r="U258" s="64"/>
      <c r="W258" s="66"/>
      <c r="Y258" s="66"/>
      <c r="Z258" s="66"/>
      <c r="AA258" s="68"/>
      <c r="AB258" s="66"/>
      <c r="AE258" s="66"/>
      <c r="AH258" s="68"/>
      <c r="AI258" s="66"/>
      <c r="AJ258" s="62"/>
      <c r="AK258" s="62"/>
      <c r="AL258" s="62"/>
      <c r="AM258" s="62"/>
      <c r="AN258" s="62"/>
      <c r="AO258" s="62"/>
      <c r="AP258" s="62"/>
      <c r="AQ258" s="62"/>
      <c r="AR258" s="62"/>
      <c r="AS258" s="62"/>
      <c r="AT258" s="62"/>
      <c r="AU258" s="69"/>
    </row>
    <row r="259" spans="2:47" x14ac:dyDescent="0.35">
      <c r="B259" s="59"/>
      <c r="C259" s="59"/>
      <c r="D259" s="60"/>
      <c r="E259" s="60"/>
      <c r="F259" s="60"/>
      <c r="G259" s="60"/>
      <c r="H259" s="60"/>
      <c r="I259" s="60"/>
      <c r="J259" s="60"/>
      <c r="K259" s="61"/>
      <c r="L259" s="61"/>
      <c r="M259" s="61"/>
      <c r="N259" s="61"/>
      <c r="O259" s="62"/>
      <c r="P259" s="62"/>
      <c r="Q259" s="62"/>
      <c r="S259" s="64"/>
      <c r="T259" s="64"/>
      <c r="U259" s="64"/>
      <c r="W259" s="66"/>
      <c r="Y259" s="66"/>
      <c r="Z259" s="66"/>
      <c r="AA259" s="68"/>
      <c r="AB259" s="66"/>
      <c r="AE259" s="66"/>
      <c r="AH259" s="68"/>
      <c r="AI259" s="66"/>
      <c r="AJ259" s="62"/>
      <c r="AK259" s="62"/>
      <c r="AL259" s="62"/>
      <c r="AM259" s="62"/>
      <c r="AN259" s="62"/>
      <c r="AO259" s="62"/>
      <c r="AP259" s="62"/>
      <c r="AQ259" s="62"/>
      <c r="AR259" s="62"/>
      <c r="AS259" s="62"/>
      <c r="AT259" s="62"/>
      <c r="AU259" s="69"/>
    </row>
    <row r="260" spans="2:47" x14ac:dyDescent="0.35">
      <c r="B260" s="59"/>
      <c r="C260" s="59"/>
      <c r="D260" s="60"/>
      <c r="E260" s="60"/>
      <c r="F260" s="60"/>
      <c r="G260" s="60"/>
      <c r="H260" s="60"/>
      <c r="I260" s="60"/>
      <c r="J260" s="60"/>
      <c r="K260" s="61"/>
      <c r="L260" s="61"/>
      <c r="M260" s="61"/>
      <c r="N260" s="61"/>
      <c r="O260" s="62"/>
      <c r="P260" s="62"/>
      <c r="Q260" s="62"/>
      <c r="S260" s="64"/>
      <c r="T260" s="64"/>
      <c r="U260" s="64"/>
      <c r="W260" s="66"/>
      <c r="Y260" s="66"/>
      <c r="Z260" s="66"/>
      <c r="AA260" s="68"/>
      <c r="AB260" s="66"/>
      <c r="AE260" s="66"/>
      <c r="AH260" s="68"/>
      <c r="AI260" s="66"/>
      <c r="AJ260" s="62"/>
      <c r="AK260" s="62"/>
      <c r="AL260" s="62"/>
      <c r="AM260" s="62"/>
      <c r="AN260" s="62"/>
      <c r="AO260" s="62"/>
      <c r="AP260" s="62"/>
      <c r="AQ260" s="62"/>
      <c r="AR260" s="62"/>
      <c r="AS260" s="62"/>
      <c r="AT260" s="62"/>
      <c r="AU260" s="69"/>
    </row>
    <row r="261" spans="2:47" x14ac:dyDescent="0.35">
      <c r="B261" s="59"/>
      <c r="C261" s="59"/>
      <c r="D261" s="60"/>
      <c r="E261" s="60"/>
      <c r="F261" s="60"/>
      <c r="G261" s="60"/>
      <c r="H261" s="60"/>
      <c r="I261" s="60"/>
      <c r="J261" s="60"/>
      <c r="K261" s="61"/>
      <c r="L261" s="61"/>
      <c r="M261" s="61"/>
      <c r="N261" s="61"/>
      <c r="O261" s="62"/>
      <c r="P261" s="62"/>
      <c r="Q261" s="62"/>
      <c r="S261" s="64"/>
      <c r="T261" s="64"/>
      <c r="U261" s="64"/>
      <c r="W261" s="66"/>
      <c r="Y261" s="66"/>
      <c r="Z261" s="66"/>
      <c r="AA261" s="68"/>
      <c r="AB261" s="66"/>
      <c r="AE261" s="66"/>
      <c r="AH261" s="68"/>
      <c r="AI261" s="66"/>
      <c r="AJ261" s="62"/>
      <c r="AK261" s="62"/>
      <c r="AL261" s="62"/>
      <c r="AM261" s="62"/>
      <c r="AN261" s="62"/>
      <c r="AO261" s="62"/>
      <c r="AP261" s="62"/>
      <c r="AQ261" s="62"/>
      <c r="AR261" s="62"/>
      <c r="AS261" s="62"/>
      <c r="AT261" s="62"/>
      <c r="AU261" s="69"/>
    </row>
    <row r="262" spans="2:47" x14ac:dyDescent="0.35">
      <c r="B262" s="59"/>
      <c r="C262" s="59"/>
      <c r="D262" s="60"/>
      <c r="E262" s="60"/>
      <c r="F262" s="60"/>
      <c r="G262" s="60"/>
      <c r="H262" s="60"/>
      <c r="I262" s="60"/>
      <c r="J262" s="60"/>
      <c r="K262" s="61"/>
      <c r="L262" s="61"/>
      <c r="M262" s="61"/>
      <c r="N262" s="61"/>
      <c r="O262" s="62"/>
      <c r="P262" s="62"/>
      <c r="Q262" s="62"/>
      <c r="S262" s="64"/>
      <c r="T262" s="64"/>
      <c r="U262" s="64"/>
      <c r="W262" s="66"/>
      <c r="Y262" s="66"/>
      <c r="Z262" s="66"/>
      <c r="AA262" s="68"/>
      <c r="AB262" s="66"/>
      <c r="AE262" s="66"/>
      <c r="AH262" s="68"/>
      <c r="AI262" s="66"/>
      <c r="AJ262" s="62"/>
      <c r="AK262" s="62"/>
      <c r="AL262" s="62"/>
      <c r="AM262" s="62"/>
      <c r="AN262" s="62"/>
      <c r="AO262" s="62"/>
      <c r="AP262" s="62"/>
      <c r="AQ262" s="62"/>
      <c r="AR262" s="62"/>
      <c r="AS262" s="62"/>
      <c r="AT262" s="62"/>
      <c r="AU262" s="69"/>
    </row>
    <row r="263" spans="2:47" x14ac:dyDescent="0.35">
      <c r="B263" s="59"/>
      <c r="C263" s="59"/>
      <c r="D263" s="60"/>
      <c r="E263" s="60"/>
      <c r="F263" s="60"/>
      <c r="G263" s="60"/>
      <c r="H263" s="60"/>
      <c r="I263" s="60"/>
      <c r="J263" s="60"/>
      <c r="K263" s="61"/>
      <c r="L263" s="61"/>
      <c r="M263" s="61"/>
      <c r="N263" s="61"/>
      <c r="O263" s="62"/>
      <c r="P263" s="62"/>
      <c r="Q263" s="62"/>
      <c r="S263" s="64"/>
      <c r="T263" s="64"/>
      <c r="U263" s="64"/>
      <c r="W263" s="66"/>
      <c r="Y263" s="66"/>
      <c r="Z263" s="66"/>
      <c r="AA263" s="68"/>
      <c r="AB263" s="66"/>
      <c r="AE263" s="66"/>
      <c r="AH263" s="68"/>
      <c r="AI263" s="66"/>
      <c r="AJ263" s="62"/>
      <c r="AK263" s="62"/>
      <c r="AL263" s="62"/>
      <c r="AM263" s="62"/>
      <c r="AN263" s="62"/>
      <c r="AO263" s="62"/>
      <c r="AP263" s="62"/>
      <c r="AQ263" s="62"/>
      <c r="AR263" s="62"/>
      <c r="AS263" s="62"/>
      <c r="AT263" s="62"/>
      <c r="AU263" s="69"/>
    </row>
    <row r="264" spans="2:47" x14ac:dyDescent="0.35">
      <c r="B264" s="59"/>
      <c r="C264" s="59"/>
      <c r="D264" s="60"/>
      <c r="E264" s="60"/>
      <c r="F264" s="60"/>
      <c r="G264" s="60"/>
      <c r="H264" s="60"/>
      <c r="I264" s="60"/>
      <c r="J264" s="60"/>
      <c r="K264" s="61"/>
      <c r="L264" s="61"/>
      <c r="M264" s="61"/>
      <c r="N264" s="61"/>
      <c r="O264" s="62"/>
      <c r="P264" s="62"/>
      <c r="Q264" s="62"/>
      <c r="S264" s="64"/>
      <c r="T264" s="64"/>
      <c r="U264" s="64"/>
      <c r="W264" s="66"/>
      <c r="Y264" s="66"/>
      <c r="Z264" s="66"/>
      <c r="AA264" s="68"/>
      <c r="AB264" s="66"/>
      <c r="AE264" s="66"/>
      <c r="AH264" s="68"/>
      <c r="AI264" s="66"/>
      <c r="AJ264" s="62"/>
      <c r="AK264" s="62"/>
      <c r="AL264" s="62"/>
      <c r="AM264" s="62"/>
      <c r="AN264" s="62"/>
      <c r="AO264" s="62"/>
      <c r="AP264" s="62"/>
      <c r="AQ264" s="62"/>
      <c r="AR264" s="62"/>
      <c r="AS264" s="62"/>
      <c r="AT264" s="62"/>
      <c r="AU264" s="69"/>
    </row>
    <row r="265" spans="2:47" x14ac:dyDescent="0.35">
      <c r="B265" s="59"/>
      <c r="C265" s="59"/>
      <c r="D265" s="60"/>
      <c r="E265" s="60"/>
      <c r="F265" s="60"/>
      <c r="G265" s="60"/>
      <c r="H265" s="60"/>
      <c r="I265" s="60"/>
      <c r="J265" s="60"/>
      <c r="K265" s="61"/>
      <c r="L265" s="61"/>
      <c r="M265" s="61"/>
      <c r="N265" s="61"/>
      <c r="O265" s="62"/>
      <c r="P265" s="62"/>
      <c r="Q265" s="62"/>
      <c r="S265" s="64"/>
      <c r="T265" s="64"/>
      <c r="U265" s="64"/>
      <c r="W265" s="66"/>
      <c r="Y265" s="66"/>
      <c r="Z265" s="66"/>
      <c r="AA265" s="68"/>
      <c r="AB265" s="66"/>
      <c r="AE265" s="66"/>
      <c r="AH265" s="68"/>
      <c r="AI265" s="66"/>
      <c r="AJ265" s="62"/>
      <c r="AK265" s="62"/>
      <c r="AL265" s="62"/>
      <c r="AM265" s="62"/>
      <c r="AN265" s="62"/>
      <c r="AO265" s="62"/>
      <c r="AP265" s="62"/>
      <c r="AQ265" s="62"/>
      <c r="AR265" s="62"/>
      <c r="AS265" s="62"/>
      <c r="AT265" s="62"/>
      <c r="AU265" s="69"/>
    </row>
    <row r="266" spans="2:47" x14ac:dyDescent="0.35">
      <c r="B266" s="59"/>
      <c r="C266" s="59"/>
      <c r="D266" s="60"/>
      <c r="E266" s="60"/>
      <c r="F266" s="60"/>
      <c r="G266" s="60"/>
      <c r="H266" s="60"/>
      <c r="I266" s="60"/>
      <c r="J266" s="60"/>
      <c r="K266" s="61"/>
      <c r="L266" s="61"/>
      <c r="M266" s="61"/>
      <c r="N266" s="61"/>
      <c r="O266" s="62"/>
      <c r="P266" s="62"/>
      <c r="Q266" s="62"/>
      <c r="S266" s="64"/>
      <c r="T266" s="64"/>
      <c r="U266" s="64"/>
      <c r="W266" s="66"/>
      <c r="Y266" s="66"/>
      <c r="Z266" s="66"/>
      <c r="AA266" s="68"/>
      <c r="AB266" s="66"/>
      <c r="AE266" s="66"/>
      <c r="AH266" s="68"/>
      <c r="AI266" s="66"/>
      <c r="AJ266" s="62"/>
      <c r="AK266" s="62"/>
      <c r="AL266" s="62"/>
      <c r="AM266" s="62"/>
      <c r="AN266" s="62"/>
      <c r="AO266" s="62"/>
      <c r="AP266" s="62"/>
      <c r="AQ266" s="62"/>
      <c r="AR266" s="62"/>
      <c r="AS266" s="62"/>
      <c r="AT266" s="62"/>
      <c r="AU266" s="69"/>
    </row>
    <row r="267" spans="2:47" x14ac:dyDescent="0.35">
      <c r="B267" s="59"/>
      <c r="C267" s="59"/>
      <c r="D267" s="60"/>
      <c r="E267" s="60"/>
      <c r="F267" s="60"/>
      <c r="G267" s="60"/>
      <c r="H267" s="60"/>
      <c r="I267" s="60"/>
      <c r="J267" s="60"/>
      <c r="K267" s="61"/>
      <c r="L267" s="61"/>
      <c r="M267" s="61"/>
      <c r="N267" s="61"/>
      <c r="O267" s="62"/>
      <c r="P267" s="62"/>
      <c r="Q267" s="62"/>
      <c r="S267" s="64"/>
      <c r="T267" s="64"/>
      <c r="U267" s="64"/>
      <c r="W267" s="66"/>
      <c r="Y267" s="66"/>
      <c r="Z267" s="66"/>
      <c r="AA267" s="68"/>
      <c r="AB267" s="66"/>
      <c r="AE267" s="66"/>
      <c r="AH267" s="68"/>
      <c r="AI267" s="66"/>
      <c r="AJ267" s="62"/>
      <c r="AK267" s="62"/>
      <c r="AL267" s="62"/>
      <c r="AM267" s="62"/>
      <c r="AN267" s="62"/>
      <c r="AO267" s="62"/>
      <c r="AP267" s="62"/>
      <c r="AQ267" s="62"/>
      <c r="AR267" s="62"/>
      <c r="AS267" s="62"/>
      <c r="AT267" s="62"/>
      <c r="AU267" s="69"/>
    </row>
    <row r="268" spans="2:47" x14ac:dyDescent="0.35">
      <c r="B268" s="59"/>
      <c r="C268" s="59"/>
      <c r="D268" s="60"/>
      <c r="E268" s="60"/>
      <c r="F268" s="60"/>
      <c r="G268" s="60"/>
      <c r="H268" s="60"/>
      <c r="I268" s="60"/>
      <c r="J268" s="60"/>
      <c r="K268" s="61"/>
      <c r="L268" s="61"/>
      <c r="M268" s="61"/>
      <c r="N268" s="61"/>
      <c r="O268" s="62"/>
      <c r="P268" s="62"/>
      <c r="Q268" s="62"/>
      <c r="S268" s="64"/>
      <c r="T268" s="64"/>
      <c r="U268" s="64"/>
      <c r="W268" s="66"/>
      <c r="Y268" s="66"/>
      <c r="Z268" s="66"/>
      <c r="AA268" s="68"/>
      <c r="AB268" s="66"/>
      <c r="AE268" s="66"/>
      <c r="AH268" s="68"/>
      <c r="AI268" s="66"/>
      <c r="AJ268" s="62"/>
      <c r="AK268" s="62"/>
      <c r="AL268" s="62"/>
      <c r="AM268" s="62"/>
      <c r="AN268" s="62"/>
      <c r="AO268" s="62"/>
      <c r="AP268" s="62"/>
      <c r="AQ268" s="62"/>
      <c r="AR268" s="62"/>
      <c r="AS268" s="62"/>
      <c r="AT268" s="62"/>
      <c r="AU268" s="69"/>
    </row>
    <row r="269" spans="2:47" x14ac:dyDescent="0.35">
      <c r="B269" s="59"/>
      <c r="C269" s="59"/>
      <c r="D269" s="60"/>
      <c r="E269" s="60"/>
      <c r="F269" s="60"/>
      <c r="G269" s="60"/>
      <c r="H269" s="60"/>
      <c r="I269" s="60"/>
      <c r="J269" s="60"/>
      <c r="K269" s="61"/>
      <c r="L269" s="61"/>
      <c r="M269" s="61"/>
      <c r="N269" s="61"/>
      <c r="O269" s="62"/>
      <c r="P269" s="62"/>
      <c r="Q269" s="62"/>
      <c r="S269" s="64"/>
      <c r="T269" s="64"/>
      <c r="U269" s="64"/>
      <c r="W269" s="66"/>
      <c r="Y269" s="66"/>
      <c r="Z269" s="66"/>
      <c r="AA269" s="68"/>
      <c r="AB269" s="66"/>
      <c r="AE269" s="66"/>
      <c r="AH269" s="68"/>
      <c r="AI269" s="66"/>
      <c r="AJ269" s="62"/>
      <c r="AK269" s="62"/>
      <c r="AL269" s="62"/>
      <c r="AM269" s="62"/>
      <c r="AN269" s="62"/>
      <c r="AO269" s="62"/>
      <c r="AP269" s="62"/>
      <c r="AQ269" s="62"/>
      <c r="AR269" s="62"/>
      <c r="AS269" s="62"/>
      <c r="AT269" s="62"/>
      <c r="AU269" s="69"/>
    </row>
    <row r="270" spans="2:47" x14ac:dyDescent="0.35">
      <c r="B270" s="59"/>
      <c r="C270" s="59"/>
      <c r="D270" s="60"/>
      <c r="E270" s="60"/>
      <c r="F270" s="60"/>
      <c r="G270" s="60"/>
      <c r="H270" s="60"/>
      <c r="I270" s="60"/>
      <c r="J270" s="60"/>
      <c r="K270" s="61"/>
      <c r="L270" s="61"/>
      <c r="M270" s="61"/>
      <c r="N270" s="61"/>
      <c r="O270" s="62"/>
      <c r="P270" s="62"/>
      <c r="Q270" s="62"/>
      <c r="S270" s="64"/>
      <c r="T270" s="64"/>
      <c r="U270" s="64"/>
      <c r="W270" s="66"/>
      <c r="Y270" s="66"/>
      <c r="Z270" s="66"/>
      <c r="AA270" s="68"/>
      <c r="AB270" s="66"/>
      <c r="AE270" s="66"/>
      <c r="AH270" s="68"/>
      <c r="AI270" s="66"/>
      <c r="AJ270" s="62"/>
      <c r="AK270" s="62"/>
      <c r="AL270" s="62"/>
      <c r="AM270" s="62"/>
      <c r="AN270" s="62"/>
      <c r="AO270" s="62"/>
      <c r="AP270" s="62"/>
      <c r="AQ270" s="62"/>
      <c r="AR270" s="62"/>
      <c r="AS270" s="62"/>
      <c r="AT270" s="62"/>
      <c r="AU270" s="69"/>
    </row>
    <row r="271" spans="2:47" x14ac:dyDescent="0.35">
      <c r="B271" s="59"/>
      <c r="C271" s="59"/>
      <c r="D271" s="60"/>
      <c r="E271" s="60"/>
      <c r="F271" s="60"/>
      <c r="G271" s="60"/>
      <c r="H271" s="60"/>
      <c r="I271" s="60"/>
      <c r="J271" s="60"/>
      <c r="K271" s="61"/>
      <c r="L271" s="61"/>
      <c r="M271" s="61"/>
      <c r="N271" s="61"/>
      <c r="O271" s="62"/>
      <c r="P271" s="62"/>
      <c r="Q271" s="62"/>
      <c r="S271" s="64"/>
      <c r="T271" s="64"/>
      <c r="U271" s="64"/>
      <c r="W271" s="66"/>
      <c r="Y271" s="66"/>
      <c r="Z271" s="66"/>
      <c r="AA271" s="68"/>
      <c r="AB271" s="66"/>
      <c r="AE271" s="66"/>
      <c r="AH271" s="68"/>
      <c r="AI271" s="66"/>
      <c r="AJ271" s="62"/>
      <c r="AK271" s="62"/>
      <c r="AL271" s="62"/>
      <c r="AM271" s="62"/>
      <c r="AN271" s="62"/>
      <c r="AO271" s="62"/>
      <c r="AP271" s="62"/>
      <c r="AQ271" s="62"/>
      <c r="AR271" s="62"/>
      <c r="AS271" s="62"/>
      <c r="AT271" s="62"/>
      <c r="AU271" s="69"/>
    </row>
    <row r="272" spans="2:47" x14ac:dyDescent="0.35">
      <c r="B272" s="59"/>
      <c r="C272" s="59"/>
      <c r="D272" s="60"/>
      <c r="E272" s="60"/>
      <c r="F272" s="60"/>
      <c r="G272" s="60"/>
      <c r="H272" s="60"/>
      <c r="I272" s="60"/>
      <c r="J272" s="60"/>
      <c r="K272" s="61"/>
      <c r="L272" s="61"/>
      <c r="M272" s="61"/>
      <c r="N272" s="61"/>
      <c r="O272" s="62"/>
      <c r="P272" s="62"/>
      <c r="Q272" s="62"/>
      <c r="S272" s="64"/>
      <c r="T272" s="64"/>
      <c r="U272" s="64"/>
      <c r="W272" s="66"/>
      <c r="Y272" s="66"/>
      <c r="Z272" s="66"/>
      <c r="AA272" s="68"/>
      <c r="AB272" s="66"/>
      <c r="AE272" s="66"/>
      <c r="AH272" s="68"/>
      <c r="AI272" s="66"/>
      <c r="AJ272" s="62"/>
      <c r="AK272" s="62"/>
      <c r="AL272" s="62"/>
      <c r="AM272" s="62"/>
      <c r="AN272" s="62"/>
      <c r="AO272" s="62"/>
      <c r="AP272" s="62"/>
      <c r="AQ272" s="62"/>
      <c r="AR272" s="62"/>
      <c r="AS272" s="62"/>
      <c r="AT272" s="62"/>
      <c r="AU272" s="69"/>
    </row>
    <row r="273" spans="2:47" x14ac:dyDescent="0.35">
      <c r="B273" s="59"/>
      <c r="C273" s="59"/>
      <c r="D273" s="60"/>
      <c r="E273" s="60"/>
      <c r="F273" s="60"/>
      <c r="G273" s="60"/>
      <c r="H273" s="60"/>
      <c r="I273" s="60"/>
      <c r="J273" s="60"/>
      <c r="K273" s="61"/>
      <c r="L273" s="61"/>
      <c r="M273" s="61"/>
      <c r="N273" s="61"/>
      <c r="O273" s="62"/>
      <c r="P273" s="62"/>
      <c r="Q273" s="62"/>
      <c r="S273" s="64"/>
      <c r="T273" s="64"/>
      <c r="U273" s="64"/>
      <c r="W273" s="66"/>
      <c r="Y273" s="66"/>
      <c r="Z273" s="66"/>
      <c r="AA273" s="68"/>
      <c r="AB273" s="66"/>
      <c r="AE273" s="66"/>
      <c r="AH273" s="68"/>
      <c r="AI273" s="66"/>
      <c r="AJ273" s="62"/>
      <c r="AK273" s="62"/>
      <c r="AL273" s="62"/>
      <c r="AM273" s="62"/>
      <c r="AN273" s="62"/>
      <c r="AO273" s="62"/>
      <c r="AP273" s="62"/>
      <c r="AQ273" s="62"/>
      <c r="AR273" s="62"/>
      <c r="AS273" s="62"/>
      <c r="AT273" s="62"/>
      <c r="AU273" s="69"/>
    </row>
    <row r="274" spans="2:47" x14ac:dyDescent="0.35">
      <c r="B274" s="59"/>
      <c r="C274" s="59"/>
      <c r="D274" s="60"/>
      <c r="E274" s="60"/>
      <c r="F274" s="60"/>
      <c r="G274" s="60"/>
      <c r="H274" s="60"/>
      <c r="I274" s="60"/>
      <c r="J274" s="60"/>
      <c r="K274" s="61"/>
      <c r="L274" s="61"/>
      <c r="M274" s="61"/>
      <c r="N274" s="61"/>
      <c r="O274" s="62"/>
      <c r="P274" s="62"/>
      <c r="Q274" s="62"/>
      <c r="S274" s="64"/>
      <c r="T274" s="64"/>
      <c r="U274" s="64"/>
      <c r="W274" s="66"/>
      <c r="Y274" s="66"/>
      <c r="Z274" s="66"/>
      <c r="AA274" s="68"/>
      <c r="AB274" s="66"/>
      <c r="AE274" s="66"/>
      <c r="AH274" s="68"/>
      <c r="AI274" s="66"/>
      <c r="AJ274" s="62"/>
      <c r="AK274" s="62"/>
      <c r="AL274" s="62"/>
      <c r="AM274" s="62"/>
      <c r="AN274" s="62"/>
      <c r="AO274" s="62"/>
      <c r="AP274" s="62"/>
      <c r="AQ274" s="62"/>
      <c r="AR274" s="62"/>
      <c r="AS274" s="62"/>
      <c r="AT274" s="62"/>
      <c r="AU274" s="69"/>
    </row>
    <row r="275" spans="2:47" x14ac:dyDescent="0.35">
      <c r="B275" s="59"/>
      <c r="C275" s="59"/>
      <c r="D275" s="60"/>
      <c r="E275" s="60"/>
      <c r="F275" s="60"/>
      <c r="G275" s="60"/>
      <c r="H275" s="60"/>
      <c r="I275" s="60"/>
      <c r="J275" s="60"/>
      <c r="K275" s="61"/>
      <c r="L275" s="61"/>
      <c r="M275" s="61"/>
      <c r="N275" s="61"/>
      <c r="O275" s="62"/>
      <c r="P275" s="62"/>
      <c r="Q275" s="62"/>
      <c r="S275" s="64"/>
      <c r="T275" s="64"/>
      <c r="U275" s="64"/>
      <c r="W275" s="66"/>
      <c r="Y275" s="66"/>
      <c r="Z275" s="66"/>
      <c r="AA275" s="68"/>
      <c r="AB275" s="66"/>
      <c r="AE275" s="66"/>
      <c r="AH275" s="68"/>
      <c r="AI275" s="66"/>
      <c r="AJ275" s="62"/>
      <c r="AK275" s="62"/>
      <c r="AL275" s="62"/>
      <c r="AM275" s="62"/>
      <c r="AN275" s="62"/>
      <c r="AO275" s="62"/>
      <c r="AP275" s="62"/>
      <c r="AQ275" s="62"/>
      <c r="AR275" s="62"/>
      <c r="AS275" s="62"/>
      <c r="AT275" s="62"/>
      <c r="AU275" s="69"/>
    </row>
    <row r="276" spans="2:47" x14ac:dyDescent="0.35">
      <c r="B276" s="59"/>
      <c r="C276" s="59"/>
      <c r="D276" s="60"/>
      <c r="E276" s="60"/>
      <c r="F276" s="60"/>
      <c r="G276" s="60"/>
      <c r="H276" s="60"/>
      <c r="I276" s="60"/>
      <c r="J276" s="60"/>
      <c r="K276" s="61"/>
      <c r="L276" s="61"/>
      <c r="M276" s="61"/>
      <c r="N276" s="61"/>
      <c r="O276" s="62"/>
      <c r="P276" s="62"/>
      <c r="Q276" s="62"/>
      <c r="S276" s="64"/>
      <c r="T276" s="64"/>
      <c r="U276" s="64"/>
      <c r="W276" s="66"/>
      <c r="Y276" s="66"/>
      <c r="Z276" s="66"/>
      <c r="AA276" s="68"/>
      <c r="AB276" s="66"/>
      <c r="AE276" s="66"/>
      <c r="AH276" s="68"/>
      <c r="AI276" s="66"/>
      <c r="AJ276" s="62"/>
      <c r="AK276" s="62"/>
      <c r="AL276" s="62"/>
      <c r="AM276" s="62"/>
      <c r="AN276" s="62"/>
      <c r="AO276" s="62"/>
      <c r="AP276" s="62"/>
      <c r="AQ276" s="62"/>
      <c r="AR276" s="62"/>
      <c r="AS276" s="62"/>
      <c r="AT276" s="62"/>
      <c r="AU276" s="69"/>
    </row>
    <row r="277" spans="2:47" x14ac:dyDescent="0.35">
      <c r="B277" s="59"/>
      <c r="C277" s="59"/>
      <c r="D277" s="60"/>
      <c r="E277" s="60"/>
      <c r="F277" s="60"/>
      <c r="G277" s="60"/>
      <c r="H277" s="60"/>
      <c r="I277" s="60"/>
      <c r="J277" s="60"/>
      <c r="K277" s="61"/>
      <c r="L277" s="61"/>
      <c r="M277" s="61"/>
      <c r="N277" s="61"/>
      <c r="O277" s="62"/>
      <c r="P277" s="62"/>
      <c r="Q277" s="62"/>
      <c r="S277" s="64"/>
      <c r="T277" s="64"/>
      <c r="U277" s="64"/>
      <c r="W277" s="66"/>
      <c r="Y277" s="66"/>
      <c r="Z277" s="66"/>
      <c r="AA277" s="68"/>
      <c r="AB277" s="66"/>
      <c r="AE277" s="66"/>
      <c r="AH277" s="68"/>
      <c r="AI277" s="66"/>
      <c r="AJ277" s="62"/>
      <c r="AK277" s="62"/>
      <c r="AL277" s="62"/>
      <c r="AM277" s="62"/>
      <c r="AN277" s="62"/>
      <c r="AO277" s="62"/>
      <c r="AP277" s="62"/>
      <c r="AQ277" s="62"/>
      <c r="AR277" s="62"/>
      <c r="AS277" s="62"/>
      <c r="AT277" s="62"/>
      <c r="AU277" s="69"/>
    </row>
    <row r="278" spans="2:47" x14ac:dyDescent="0.35">
      <c r="B278" s="59"/>
      <c r="C278" s="59"/>
      <c r="D278" s="60"/>
      <c r="E278" s="60"/>
      <c r="F278" s="60"/>
      <c r="G278" s="60"/>
      <c r="H278" s="60"/>
      <c r="I278" s="60"/>
      <c r="J278" s="60"/>
      <c r="K278" s="61"/>
      <c r="L278" s="61"/>
      <c r="M278" s="61"/>
      <c r="N278" s="61"/>
      <c r="O278" s="62"/>
      <c r="P278" s="62"/>
      <c r="Q278" s="62"/>
      <c r="S278" s="64"/>
      <c r="T278" s="64"/>
      <c r="U278" s="64"/>
      <c r="W278" s="66"/>
      <c r="Y278" s="66"/>
      <c r="Z278" s="66"/>
      <c r="AA278" s="68"/>
      <c r="AB278" s="66"/>
      <c r="AE278" s="66"/>
      <c r="AH278" s="68"/>
      <c r="AI278" s="66"/>
      <c r="AJ278" s="62"/>
      <c r="AK278" s="62"/>
      <c r="AL278" s="62"/>
      <c r="AM278" s="62"/>
      <c r="AN278" s="62"/>
      <c r="AO278" s="62"/>
      <c r="AP278" s="62"/>
      <c r="AQ278" s="62"/>
      <c r="AR278" s="62"/>
      <c r="AS278" s="62"/>
      <c r="AT278" s="62"/>
      <c r="AU278" s="69"/>
    </row>
    <row r="279" spans="2:47" x14ac:dyDescent="0.35">
      <c r="B279" s="59"/>
      <c r="C279" s="59"/>
      <c r="D279" s="60"/>
      <c r="E279" s="60"/>
      <c r="F279" s="60"/>
      <c r="G279" s="60"/>
      <c r="H279" s="60"/>
      <c r="I279" s="60"/>
      <c r="J279" s="60"/>
      <c r="K279" s="61"/>
      <c r="L279" s="61"/>
      <c r="M279" s="61"/>
      <c r="N279" s="61"/>
      <c r="O279" s="62"/>
      <c r="P279" s="62"/>
      <c r="Q279" s="62"/>
      <c r="S279" s="64"/>
      <c r="T279" s="64"/>
      <c r="U279" s="64"/>
      <c r="W279" s="66"/>
      <c r="Y279" s="66"/>
      <c r="Z279" s="66"/>
      <c r="AA279" s="68"/>
      <c r="AB279" s="66"/>
      <c r="AE279" s="66"/>
      <c r="AH279" s="68"/>
      <c r="AI279" s="66"/>
      <c r="AJ279" s="62"/>
      <c r="AK279" s="62"/>
      <c r="AL279" s="62"/>
      <c r="AM279" s="62"/>
      <c r="AN279" s="62"/>
      <c r="AO279" s="62"/>
      <c r="AP279" s="62"/>
      <c r="AQ279" s="62"/>
      <c r="AR279" s="62"/>
      <c r="AS279" s="62"/>
      <c r="AT279" s="62"/>
      <c r="AU279" s="69"/>
    </row>
    <row r="280" spans="2:47" x14ac:dyDescent="0.35">
      <c r="B280" s="59"/>
      <c r="C280" s="59"/>
      <c r="D280" s="60"/>
      <c r="E280" s="60"/>
      <c r="F280" s="60"/>
      <c r="G280" s="60"/>
      <c r="H280" s="60"/>
      <c r="I280" s="60"/>
      <c r="J280" s="60"/>
      <c r="K280" s="61"/>
      <c r="L280" s="61"/>
      <c r="M280" s="61"/>
      <c r="N280" s="61"/>
      <c r="O280" s="62"/>
      <c r="P280" s="62"/>
      <c r="Q280" s="62"/>
      <c r="S280" s="64"/>
      <c r="T280" s="64"/>
      <c r="U280" s="64"/>
      <c r="W280" s="66"/>
      <c r="Y280" s="66"/>
      <c r="Z280" s="66"/>
      <c r="AA280" s="68"/>
      <c r="AB280" s="66"/>
      <c r="AE280" s="66"/>
      <c r="AH280" s="68"/>
      <c r="AI280" s="66"/>
      <c r="AJ280" s="62"/>
      <c r="AK280" s="62"/>
      <c r="AL280" s="62"/>
      <c r="AM280" s="62"/>
      <c r="AN280" s="62"/>
      <c r="AO280" s="62"/>
      <c r="AP280" s="62"/>
      <c r="AQ280" s="62"/>
      <c r="AR280" s="62"/>
      <c r="AS280" s="62"/>
      <c r="AT280" s="62"/>
      <c r="AU280" s="69"/>
    </row>
    <row r="281" spans="2:47" x14ac:dyDescent="0.35">
      <c r="B281" s="59"/>
      <c r="C281" s="59"/>
      <c r="D281" s="60"/>
      <c r="E281" s="60"/>
      <c r="F281" s="60"/>
      <c r="G281" s="60"/>
      <c r="H281" s="60"/>
      <c r="I281" s="60"/>
      <c r="J281" s="60"/>
      <c r="K281" s="61"/>
      <c r="L281" s="61"/>
      <c r="M281" s="61"/>
      <c r="N281" s="61"/>
      <c r="O281" s="62"/>
      <c r="P281" s="62"/>
      <c r="Q281" s="62"/>
      <c r="S281" s="64"/>
      <c r="T281" s="64"/>
      <c r="U281" s="64"/>
      <c r="W281" s="66"/>
      <c r="Y281" s="66"/>
      <c r="Z281" s="66"/>
      <c r="AA281" s="68"/>
      <c r="AB281" s="66"/>
      <c r="AE281" s="66"/>
      <c r="AH281" s="68"/>
      <c r="AI281" s="66"/>
      <c r="AJ281" s="62"/>
      <c r="AK281" s="62"/>
      <c r="AL281" s="62"/>
      <c r="AM281" s="62"/>
      <c r="AN281" s="62"/>
      <c r="AO281" s="62"/>
      <c r="AP281" s="62"/>
      <c r="AQ281" s="62"/>
      <c r="AR281" s="62"/>
      <c r="AS281" s="62"/>
      <c r="AT281" s="62"/>
      <c r="AU281" s="69"/>
    </row>
    <row r="282" spans="2:47" x14ac:dyDescent="0.35">
      <c r="B282" s="59"/>
      <c r="C282" s="59"/>
      <c r="D282" s="60"/>
      <c r="E282" s="60"/>
      <c r="F282" s="60"/>
      <c r="G282" s="60"/>
      <c r="H282" s="60"/>
      <c r="I282" s="60"/>
      <c r="J282" s="60"/>
      <c r="K282" s="61"/>
      <c r="L282" s="61"/>
      <c r="M282" s="61"/>
      <c r="N282" s="61"/>
      <c r="O282" s="62"/>
      <c r="P282" s="62"/>
      <c r="Q282" s="62"/>
      <c r="S282" s="64"/>
      <c r="T282" s="64"/>
      <c r="U282" s="64"/>
      <c r="W282" s="66"/>
      <c r="Y282" s="66"/>
      <c r="Z282" s="66"/>
      <c r="AA282" s="68"/>
      <c r="AB282" s="66"/>
      <c r="AE282" s="66"/>
      <c r="AH282" s="68"/>
      <c r="AI282" s="66"/>
      <c r="AJ282" s="62"/>
      <c r="AK282" s="62"/>
      <c r="AL282" s="62"/>
      <c r="AM282" s="62"/>
      <c r="AN282" s="62"/>
      <c r="AO282" s="62"/>
      <c r="AP282" s="62"/>
      <c r="AQ282" s="62"/>
      <c r="AR282" s="62"/>
      <c r="AS282" s="62"/>
      <c r="AT282" s="62"/>
      <c r="AU282" s="69"/>
    </row>
    <row r="283" spans="2:47" x14ac:dyDescent="0.35">
      <c r="B283" s="59"/>
      <c r="C283" s="59"/>
      <c r="D283" s="60"/>
      <c r="E283" s="60"/>
      <c r="F283" s="60"/>
      <c r="G283" s="60"/>
      <c r="H283" s="60"/>
      <c r="I283" s="60"/>
      <c r="J283" s="60"/>
      <c r="K283" s="61"/>
      <c r="L283" s="61"/>
      <c r="M283" s="61"/>
      <c r="N283" s="61"/>
      <c r="O283" s="62"/>
      <c r="P283" s="62"/>
      <c r="Q283" s="62"/>
      <c r="S283" s="64"/>
      <c r="T283" s="64"/>
      <c r="U283" s="64"/>
      <c r="W283" s="66"/>
      <c r="Y283" s="66"/>
      <c r="Z283" s="66"/>
      <c r="AA283" s="68"/>
      <c r="AB283" s="66"/>
      <c r="AE283" s="66"/>
      <c r="AH283" s="68"/>
      <c r="AI283" s="66"/>
      <c r="AJ283" s="62"/>
      <c r="AK283" s="62"/>
      <c r="AL283" s="62"/>
      <c r="AM283" s="62"/>
      <c r="AN283" s="62"/>
      <c r="AO283" s="62"/>
      <c r="AP283" s="62"/>
      <c r="AQ283" s="62"/>
      <c r="AR283" s="62"/>
      <c r="AS283" s="62"/>
      <c r="AT283" s="62"/>
      <c r="AU283" s="69"/>
    </row>
    <row r="284" spans="2:47" x14ac:dyDescent="0.35">
      <c r="B284" s="59"/>
      <c r="C284" s="59"/>
      <c r="D284" s="60"/>
      <c r="E284" s="60"/>
      <c r="F284" s="60"/>
      <c r="G284" s="60"/>
      <c r="H284" s="60"/>
      <c r="I284" s="60"/>
      <c r="J284" s="60"/>
      <c r="K284" s="61"/>
      <c r="L284" s="61"/>
      <c r="M284" s="61"/>
      <c r="N284" s="61"/>
      <c r="O284" s="62"/>
      <c r="P284" s="62"/>
      <c r="Q284" s="62"/>
      <c r="S284" s="64"/>
      <c r="T284" s="64"/>
      <c r="U284" s="64"/>
      <c r="W284" s="66"/>
      <c r="Y284" s="66"/>
      <c r="Z284" s="66"/>
      <c r="AA284" s="68"/>
      <c r="AB284" s="66"/>
      <c r="AE284" s="66"/>
      <c r="AH284" s="68"/>
      <c r="AI284" s="66"/>
      <c r="AJ284" s="62"/>
      <c r="AK284" s="62"/>
      <c r="AL284" s="62"/>
      <c r="AM284" s="62"/>
      <c r="AN284" s="62"/>
      <c r="AO284" s="62"/>
      <c r="AP284" s="62"/>
      <c r="AQ284" s="62"/>
      <c r="AR284" s="62"/>
      <c r="AS284" s="62"/>
      <c r="AT284" s="62"/>
      <c r="AU284" s="69"/>
    </row>
    <row r="285" spans="2:47" x14ac:dyDescent="0.35">
      <c r="B285" s="59"/>
      <c r="C285" s="59"/>
      <c r="D285" s="60"/>
      <c r="E285" s="60"/>
      <c r="F285" s="60"/>
      <c r="G285" s="60"/>
      <c r="H285" s="60"/>
      <c r="I285" s="60"/>
      <c r="J285" s="60"/>
      <c r="K285" s="61"/>
      <c r="L285" s="61"/>
      <c r="M285" s="61"/>
      <c r="N285" s="61"/>
      <c r="O285" s="62"/>
      <c r="P285" s="62"/>
      <c r="Q285" s="62"/>
      <c r="S285" s="64"/>
      <c r="T285" s="64"/>
      <c r="U285" s="64"/>
      <c r="W285" s="66"/>
      <c r="Y285" s="66"/>
      <c r="Z285" s="66"/>
      <c r="AA285" s="68"/>
      <c r="AB285" s="66"/>
      <c r="AE285" s="66"/>
      <c r="AH285" s="68"/>
      <c r="AI285" s="66"/>
      <c r="AJ285" s="62"/>
      <c r="AK285" s="62"/>
      <c r="AL285" s="62"/>
      <c r="AM285" s="62"/>
      <c r="AN285" s="62"/>
      <c r="AO285" s="62"/>
      <c r="AP285" s="62"/>
      <c r="AQ285" s="62"/>
      <c r="AR285" s="62"/>
      <c r="AS285" s="62"/>
      <c r="AT285" s="62"/>
      <c r="AU285" s="69"/>
    </row>
    <row r="286" spans="2:47" x14ac:dyDescent="0.35">
      <c r="B286" s="59"/>
      <c r="C286" s="59"/>
      <c r="D286" s="60"/>
      <c r="E286" s="60"/>
      <c r="F286" s="60"/>
      <c r="G286" s="60"/>
      <c r="H286" s="60"/>
      <c r="I286" s="60"/>
      <c r="J286" s="60"/>
      <c r="K286" s="61"/>
      <c r="L286" s="61"/>
      <c r="M286" s="61"/>
      <c r="N286" s="61"/>
      <c r="O286" s="62"/>
      <c r="P286" s="62"/>
      <c r="Q286" s="62"/>
      <c r="S286" s="64"/>
      <c r="T286" s="64"/>
      <c r="U286" s="64"/>
      <c r="W286" s="66"/>
      <c r="Y286" s="66"/>
      <c r="Z286" s="66"/>
      <c r="AA286" s="68"/>
      <c r="AB286" s="66"/>
      <c r="AE286" s="66"/>
      <c r="AH286" s="68"/>
      <c r="AI286" s="66"/>
      <c r="AJ286" s="62"/>
      <c r="AK286" s="62"/>
      <c r="AL286" s="62"/>
      <c r="AM286" s="62"/>
      <c r="AN286" s="62"/>
      <c r="AO286" s="62"/>
      <c r="AP286" s="62"/>
      <c r="AQ286" s="62"/>
      <c r="AR286" s="62"/>
      <c r="AS286" s="62"/>
      <c r="AT286" s="62"/>
      <c r="AU286" s="69"/>
    </row>
    <row r="287" spans="2:47" x14ac:dyDescent="0.35">
      <c r="B287" s="59"/>
      <c r="C287" s="59"/>
      <c r="D287" s="60"/>
      <c r="E287" s="60"/>
      <c r="F287" s="60"/>
      <c r="G287" s="60"/>
      <c r="H287" s="60"/>
      <c r="I287" s="60"/>
      <c r="J287" s="60"/>
      <c r="K287" s="61"/>
      <c r="L287" s="61"/>
      <c r="M287" s="61"/>
      <c r="N287" s="61"/>
      <c r="O287" s="62"/>
      <c r="P287" s="62"/>
      <c r="Q287" s="62"/>
      <c r="S287" s="64"/>
      <c r="T287" s="64"/>
      <c r="U287" s="64"/>
      <c r="W287" s="66"/>
      <c r="Y287" s="66"/>
      <c r="Z287" s="66"/>
      <c r="AA287" s="68"/>
      <c r="AB287" s="66"/>
      <c r="AE287" s="66"/>
      <c r="AH287" s="68"/>
      <c r="AI287" s="66"/>
      <c r="AJ287" s="62"/>
      <c r="AK287" s="62"/>
      <c r="AL287" s="62"/>
      <c r="AM287" s="62"/>
      <c r="AN287" s="62"/>
      <c r="AO287" s="62"/>
      <c r="AP287" s="62"/>
      <c r="AQ287" s="62"/>
      <c r="AR287" s="62"/>
      <c r="AS287" s="62"/>
      <c r="AT287" s="62"/>
      <c r="AU287" s="69"/>
    </row>
    <row r="288" spans="2:47" x14ac:dyDescent="0.35">
      <c r="B288" s="59"/>
      <c r="C288" s="59"/>
      <c r="D288" s="60"/>
      <c r="E288" s="60"/>
      <c r="F288" s="60"/>
      <c r="G288" s="60"/>
      <c r="H288" s="60"/>
      <c r="I288" s="60"/>
      <c r="J288" s="60"/>
      <c r="K288" s="61"/>
      <c r="L288" s="61"/>
      <c r="M288" s="61"/>
      <c r="N288" s="61"/>
      <c r="O288" s="62"/>
      <c r="P288" s="62"/>
      <c r="Q288" s="62"/>
      <c r="S288" s="64"/>
      <c r="T288" s="64"/>
      <c r="U288" s="64"/>
      <c r="W288" s="66"/>
      <c r="Y288" s="66"/>
      <c r="Z288" s="66"/>
      <c r="AA288" s="68"/>
      <c r="AB288" s="66"/>
      <c r="AE288" s="66"/>
      <c r="AH288" s="68"/>
      <c r="AI288" s="66"/>
      <c r="AJ288" s="62"/>
      <c r="AK288" s="62"/>
      <c r="AL288" s="62"/>
      <c r="AM288" s="62"/>
      <c r="AN288" s="62"/>
      <c r="AO288" s="62"/>
      <c r="AP288" s="62"/>
      <c r="AQ288" s="62"/>
      <c r="AR288" s="62"/>
      <c r="AS288" s="62"/>
      <c r="AT288" s="62"/>
      <c r="AU288" s="69"/>
    </row>
    <row r="289" spans="2:47" x14ac:dyDescent="0.35">
      <c r="B289" s="59"/>
      <c r="C289" s="59"/>
      <c r="D289" s="60"/>
      <c r="E289" s="60"/>
      <c r="F289" s="60"/>
      <c r="G289" s="60"/>
      <c r="H289" s="60"/>
      <c r="I289" s="60"/>
      <c r="J289" s="60"/>
      <c r="K289" s="61"/>
      <c r="L289" s="61"/>
      <c r="M289" s="61"/>
      <c r="N289" s="61"/>
      <c r="O289" s="62"/>
      <c r="P289" s="62"/>
      <c r="Q289" s="62"/>
      <c r="S289" s="64"/>
      <c r="T289" s="64"/>
      <c r="U289" s="64"/>
      <c r="W289" s="66"/>
      <c r="Y289" s="66"/>
      <c r="Z289" s="66"/>
      <c r="AA289" s="68"/>
      <c r="AB289" s="66"/>
      <c r="AE289" s="66"/>
      <c r="AH289" s="68"/>
      <c r="AI289" s="66"/>
      <c r="AJ289" s="62"/>
      <c r="AK289" s="62"/>
      <c r="AL289" s="62"/>
      <c r="AM289" s="62"/>
      <c r="AN289" s="62"/>
      <c r="AO289" s="62"/>
      <c r="AP289" s="62"/>
      <c r="AQ289" s="62"/>
      <c r="AR289" s="62"/>
      <c r="AS289" s="62"/>
      <c r="AT289" s="62"/>
      <c r="AU289" s="69"/>
    </row>
    <row r="290" spans="2:47" x14ac:dyDescent="0.35">
      <c r="B290" s="59"/>
      <c r="C290" s="59"/>
      <c r="D290" s="60"/>
      <c r="E290" s="60"/>
      <c r="F290" s="60"/>
      <c r="G290" s="60"/>
      <c r="H290" s="60"/>
      <c r="I290" s="60"/>
      <c r="J290" s="60"/>
      <c r="K290" s="61"/>
      <c r="L290" s="61"/>
      <c r="M290" s="61"/>
      <c r="N290" s="61"/>
      <c r="O290" s="62"/>
      <c r="P290" s="62"/>
      <c r="Q290" s="62"/>
      <c r="S290" s="64"/>
      <c r="T290" s="64"/>
      <c r="U290" s="64"/>
      <c r="W290" s="66"/>
      <c r="Y290" s="66"/>
      <c r="Z290" s="66"/>
      <c r="AA290" s="68"/>
      <c r="AB290" s="66"/>
      <c r="AE290" s="66"/>
      <c r="AH290" s="68"/>
      <c r="AI290" s="66"/>
      <c r="AJ290" s="62"/>
      <c r="AK290" s="62"/>
      <c r="AL290" s="62"/>
      <c r="AM290" s="62"/>
      <c r="AN290" s="62"/>
      <c r="AO290" s="62"/>
      <c r="AP290" s="62"/>
      <c r="AQ290" s="62"/>
      <c r="AR290" s="62"/>
      <c r="AS290" s="62"/>
      <c r="AT290" s="62"/>
      <c r="AU290" s="69"/>
    </row>
    <row r="291" spans="2:47" x14ac:dyDescent="0.35">
      <c r="B291" s="59"/>
      <c r="C291" s="59"/>
      <c r="D291" s="60"/>
      <c r="E291" s="60"/>
      <c r="F291" s="60"/>
      <c r="G291" s="60"/>
      <c r="H291" s="60"/>
      <c r="I291" s="60"/>
      <c r="J291" s="60"/>
      <c r="K291" s="61"/>
      <c r="L291" s="61"/>
      <c r="M291" s="61"/>
      <c r="N291" s="61"/>
      <c r="O291" s="62"/>
      <c r="P291" s="62"/>
      <c r="Q291" s="62"/>
      <c r="S291" s="64"/>
      <c r="T291" s="64"/>
      <c r="U291" s="64"/>
      <c r="W291" s="66"/>
      <c r="Y291" s="66"/>
      <c r="Z291" s="66"/>
      <c r="AA291" s="68"/>
      <c r="AB291" s="66"/>
      <c r="AE291" s="66"/>
      <c r="AH291" s="68"/>
      <c r="AI291" s="66"/>
      <c r="AJ291" s="62"/>
      <c r="AK291" s="62"/>
      <c r="AL291" s="62"/>
      <c r="AM291" s="62"/>
      <c r="AN291" s="62"/>
      <c r="AO291" s="62"/>
      <c r="AP291" s="62"/>
      <c r="AQ291" s="62"/>
      <c r="AR291" s="62"/>
      <c r="AS291" s="62"/>
      <c r="AT291" s="62"/>
      <c r="AU291" s="69"/>
    </row>
    <row r="292" spans="2:47" x14ac:dyDescent="0.35">
      <c r="B292" s="59"/>
      <c r="C292" s="59"/>
      <c r="D292" s="60"/>
      <c r="E292" s="60"/>
      <c r="F292" s="60"/>
      <c r="G292" s="60"/>
      <c r="H292" s="60"/>
      <c r="I292" s="60"/>
      <c r="J292" s="60"/>
      <c r="K292" s="61"/>
      <c r="L292" s="61"/>
      <c r="M292" s="61"/>
      <c r="N292" s="61"/>
      <c r="O292" s="62"/>
      <c r="P292" s="62"/>
      <c r="Q292" s="62"/>
      <c r="S292" s="64"/>
      <c r="T292" s="64"/>
      <c r="U292" s="64"/>
      <c r="W292" s="66"/>
      <c r="Y292" s="66"/>
      <c r="Z292" s="66"/>
      <c r="AA292" s="68"/>
      <c r="AB292" s="66"/>
      <c r="AE292" s="66"/>
      <c r="AH292" s="68"/>
      <c r="AI292" s="66"/>
      <c r="AJ292" s="62"/>
      <c r="AK292" s="62"/>
      <c r="AL292" s="62"/>
      <c r="AM292" s="62"/>
      <c r="AN292" s="62"/>
      <c r="AO292" s="62"/>
      <c r="AP292" s="62"/>
      <c r="AQ292" s="62"/>
      <c r="AR292" s="62"/>
      <c r="AS292" s="62"/>
      <c r="AT292" s="62"/>
      <c r="AU292" s="69"/>
    </row>
    <row r="293" spans="2:47" x14ac:dyDescent="0.35">
      <c r="B293" s="59"/>
      <c r="C293" s="59"/>
      <c r="D293" s="60"/>
      <c r="E293" s="60"/>
      <c r="F293" s="60"/>
      <c r="G293" s="60"/>
      <c r="H293" s="60"/>
      <c r="I293" s="60"/>
      <c r="J293" s="60"/>
      <c r="K293" s="61"/>
      <c r="L293" s="61"/>
      <c r="M293" s="61"/>
      <c r="N293" s="61"/>
      <c r="O293" s="62"/>
      <c r="P293" s="62"/>
      <c r="Q293" s="62"/>
      <c r="S293" s="64"/>
      <c r="T293" s="64"/>
      <c r="U293" s="64"/>
      <c r="W293" s="66"/>
      <c r="Y293" s="66"/>
      <c r="Z293" s="66"/>
      <c r="AA293" s="68"/>
      <c r="AB293" s="66"/>
      <c r="AE293" s="66"/>
      <c r="AH293" s="68"/>
      <c r="AI293" s="66"/>
      <c r="AJ293" s="62"/>
      <c r="AK293" s="62"/>
      <c r="AL293" s="62"/>
      <c r="AM293" s="62"/>
      <c r="AN293" s="62"/>
      <c r="AO293" s="62"/>
      <c r="AP293" s="62"/>
      <c r="AQ293" s="62"/>
      <c r="AR293" s="62"/>
      <c r="AS293" s="62"/>
      <c r="AT293" s="62"/>
      <c r="AU293" s="69"/>
    </row>
    <row r="294" spans="2:47" x14ac:dyDescent="0.35">
      <c r="B294" s="59"/>
      <c r="C294" s="59"/>
      <c r="D294" s="60"/>
      <c r="E294" s="60"/>
      <c r="F294" s="60"/>
      <c r="G294" s="60"/>
      <c r="H294" s="60"/>
      <c r="I294" s="60"/>
      <c r="J294" s="60"/>
      <c r="K294" s="61"/>
      <c r="L294" s="61"/>
      <c r="M294" s="61"/>
      <c r="N294" s="61"/>
      <c r="O294" s="62"/>
      <c r="P294" s="62"/>
      <c r="Q294" s="62"/>
      <c r="S294" s="64"/>
      <c r="T294" s="64"/>
      <c r="U294" s="64"/>
      <c r="W294" s="66"/>
      <c r="Y294" s="66"/>
      <c r="Z294" s="66"/>
      <c r="AA294" s="68"/>
      <c r="AB294" s="66"/>
      <c r="AE294" s="66"/>
      <c r="AH294" s="68"/>
      <c r="AI294" s="66"/>
      <c r="AJ294" s="62"/>
      <c r="AK294" s="62"/>
      <c r="AL294" s="62"/>
      <c r="AM294" s="62"/>
      <c r="AN294" s="62"/>
      <c r="AO294" s="62"/>
      <c r="AP294" s="62"/>
      <c r="AQ294" s="62"/>
      <c r="AR294" s="62"/>
      <c r="AS294" s="62"/>
      <c r="AT294" s="62"/>
      <c r="AU294" s="69"/>
    </row>
    <row r="295" spans="2:47" x14ac:dyDescent="0.35">
      <c r="B295" s="59"/>
      <c r="C295" s="59"/>
      <c r="D295" s="60"/>
      <c r="E295" s="60"/>
      <c r="F295" s="60"/>
      <c r="G295" s="60"/>
      <c r="H295" s="60"/>
      <c r="I295" s="60"/>
      <c r="J295" s="60"/>
      <c r="K295" s="61"/>
      <c r="L295" s="61"/>
      <c r="M295" s="61"/>
      <c r="N295" s="61"/>
      <c r="O295" s="62"/>
      <c r="P295" s="62"/>
      <c r="Q295" s="62"/>
      <c r="S295" s="64"/>
      <c r="T295" s="64"/>
      <c r="U295" s="64"/>
      <c r="W295" s="66"/>
      <c r="Y295" s="66"/>
      <c r="Z295" s="66"/>
      <c r="AA295" s="68"/>
      <c r="AB295" s="66"/>
      <c r="AE295" s="66"/>
      <c r="AH295" s="68"/>
      <c r="AI295" s="66"/>
      <c r="AJ295" s="62"/>
      <c r="AK295" s="62"/>
      <c r="AL295" s="62"/>
      <c r="AM295" s="62"/>
      <c r="AN295" s="62"/>
      <c r="AO295" s="62"/>
      <c r="AP295" s="62"/>
      <c r="AQ295" s="62"/>
      <c r="AR295" s="62"/>
      <c r="AS295" s="62"/>
      <c r="AT295" s="62"/>
      <c r="AU295" s="69"/>
    </row>
    <row r="296" spans="2:47" x14ac:dyDescent="0.35">
      <c r="B296" s="59"/>
      <c r="C296" s="59"/>
      <c r="D296" s="60"/>
      <c r="E296" s="60"/>
      <c r="F296" s="60"/>
      <c r="G296" s="60"/>
      <c r="H296" s="60"/>
      <c r="I296" s="60"/>
      <c r="J296" s="60"/>
      <c r="K296" s="61"/>
      <c r="L296" s="61"/>
      <c r="M296" s="61"/>
      <c r="N296" s="61"/>
      <c r="O296" s="62"/>
      <c r="P296" s="62"/>
      <c r="Q296" s="62"/>
      <c r="S296" s="64"/>
      <c r="T296" s="64"/>
      <c r="U296" s="64"/>
      <c r="W296" s="66"/>
      <c r="Y296" s="66"/>
      <c r="Z296" s="66"/>
      <c r="AA296" s="68"/>
      <c r="AB296" s="66"/>
      <c r="AE296" s="66"/>
      <c r="AH296" s="68"/>
      <c r="AI296" s="66"/>
      <c r="AJ296" s="62"/>
      <c r="AK296" s="62"/>
      <c r="AL296" s="62"/>
      <c r="AM296" s="62"/>
      <c r="AN296" s="62"/>
      <c r="AO296" s="62"/>
      <c r="AP296" s="62"/>
      <c r="AQ296" s="62"/>
      <c r="AR296" s="62"/>
      <c r="AS296" s="62"/>
      <c r="AT296" s="62"/>
      <c r="AU296" s="69"/>
    </row>
    <row r="297" spans="2:47" x14ac:dyDescent="0.35">
      <c r="B297" s="59"/>
      <c r="C297" s="59"/>
      <c r="D297" s="60"/>
      <c r="E297" s="60"/>
      <c r="F297" s="60"/>
      <c r="G297" s="60"/>
      <c r="H297" s="60"/>
      <c r="I297" s="60"/>
      <c r="J297" s="60"/>
      <c r="K297" s="61"/>
      <c r="L297" s="61"/>
      <c r="M297" s="61"/>
      <c r="N297" s="61"/>
      <c r="O297" s="62"/>
      <c r="P297" s="62"/>
      <c r="Q297" s="62"/>
      <c r="S297" s="64"/>
      <c r="T297" s="64"/>
      <c r="U297" s="64"/>
      <c r="W297" s="66"/>
      <c r="Y297" s="66"/>
      <c r="Z297" s="66"/>
      <c r="AA297" s="68"/>
      <c r="AB297" s="66"/>
      <c r="AE297" s="66"/>
      <c r="AH297" s="68"/>
      <c r="AI297" s="66"/>
      <c r="AJ297" s="62"/>
      <c r="AK297" s="62"/>
      <c r="AL297" s="62"/>
      <c r="AM297" s="62"/>
      <c r="AN297" s="62"/>
      <c r="AO297" s="62"/>
      <c r="AP297" s="62"/>
      <c r="AQ297" s="62"/>
      <c r="AR297" s="62"/>
      <c r="AS297" s="62"/>
      <c r="AT297" s="62"/>
      <c r="AU297" s="69"/>
    </row>
    <row r="298" spans="2:47" x14ac:dyDescent="0.35">
      <c r="B298" s="59"/>
      <c r="C298" s="59"/>
      <c r="D298" s="60"/>
      <c r="E298" s="60"/>
      <c r="F298" s="60"/>
      <c r="G298" s="60"/>
      <c r="H298" s="60"/>
      <c r="I298" s="60"/>
      <c r="J298" s="60"/>
      <c r="K298" s="61"/>
      <c r="L298" s="61"/>
      <c r="M298" s="61"/>
      <c r="N298" s="61"/>
      <c r="O298" s="62"/>
      <c r="P298" s="62"/>
      <c r="Q298" s="62"/>
      <c r="S298" s="64"/>
      <c r="T298" s="64"/>
      <c r="U298" s="64"/>
      <c r="W298" s="66"/>
      <c r="Y298" s="66"/>
      <c r="Z298" s="66"/>
      <c r="AA298" s="68"/>
      <c r="AB298" s="66"/>
      <c r="AE298" s="66"/>
      <c r="AH298" s="68"/>
      <c r="AI298" s="66"/>
      <c r="AJ298" s="62"/>
      <c r="AK298" s="62"/>
      <c r="AL298" s="62"/>
      <c r="AM298" s="62"/>
      <c r="AN298" s="62"/>
      <c r="AO298" s="62"/>
      <c r="AP298" s="62"/>
      <c r="AQ298" s="62"/>
      <c r="AR298" s="62"/>
      <c r="AS298" s="62"/>
      <c r="AT298" s="62"/>
      <c r="AU298" s="69"/>
    </row>
    <row r="299" spans="2:47" x14ac:dyDescent="0.35">
      <c r="B299" s="59"/>
      <c r="C299" s="59"/>
      <c r="D299" s="60"/>
      <c r="E299" s="60"/>
      <c r="F299" s="60"/>
      <c r="G299" s="60"/>
      <c r="H299" s="60"/>
      <c r="I299" s="60"/>
      <c r="J299" s="60"/>
      <c r="K299" s="61"/>
      <c r="L299" s="61"/>
      <c r="M299" s="61"/>
      <c r="N299" s="61"/>
      <c r="O299" s="62"/>
      <c r="P299" s="62"/>
      <c r="Q299" s="62"/>
      <c r="S299" s="64"/>
      <c r="T299" s="64"/>
      <c r="U299" s="64"/>
      <c r="W299" s="66"/>
      <c r="Y299" s="66"/>
      <c r="Z299" s="66"/>
      <c r="AA299" s="68"/>
      <c r="AB299" s="66"/>
      <c r="AE299" s="66"/>
      <c r="AH299" s="68"/>
      <c r="AI299" s="66"/>
      <c r="AJ299" s="62"/>
      <c r="AK299" s="62"/>
      <c r="AL299" s="62"/>
      <c r="AM299" s="62"/>
      <c r="AN299" s="62"/>
      <c r="AO299" s="62"/>
      <c r="AP299" s="62"/>
      <c r="AQ299" s="62"/>
      <c r="AR299" s="62"/>
      <c r="AS299" s="62"/>
      <c r="AT299" s="62"/>
      <c r="AU299" s="69"/>
    </row>
    <row r="300" spans="2:47" x14ac:dyDescent="0.35">
      <c r="B300" s="59"/>
      <c r="C300" s="59"/>
      <c r="D300" s="60"/>
      <c r="E300" s="60"/>
      <c r="F300" s="60"/>
      <c r="G300" s="60"/>
      <c r="H300" s="60"/>
      <c r="I300" s="60"/>
      <c r="J300" s="60"/>
      <c r="K300" s="61"/>
      <c r="L300" s="61"/>
      <c r="M300" s="61"/>
      <c r="N300" s="61"/>
      <c r="O300" s="62"/>
      <c r="P300" s="62"/>
      <c r="Q300" s="62"/>
      <c r="S300" s="64"/>
      <c r="T300" s="64"/>
      <c r="U300" s="64"/>
      <c r="W300" s="66"/>
      <c r="Y300" s="66"/>
      <c r="Z300" s="66"/>
      <c r="AA300" s="68"/>
      <c r="AB300" s="66"/>
      <c r="AE300" s="66"/>
      <c r="AH300" s="68"/>
      <c r="AI300" s="66"/>
      <c r="AJ300" s="62"/>
      <c r="AK300" s="62"/>
      <c r="AL300" s="62"/>
      <c r="AM300" s="62"/>
      <c r="AN300" s="62"/>
      <c r="AO300" s="62"/>
      <c r="AP300" s="62"/>
      <c r="AQ300" s="62"/>
      <c r="AR300" s="62"/>
      <c r="AS300" s="62"/>
      <c r="AT300" s="62"/>
      <c r="AU300" s="69"/>
    </row>
    <row r="301" spans="2:47" x14ac:dyDescent="0.35">
      <c r="B301" s="59"/>
      <c r="C301" s="59"/>
      <c r="D301" s="60"/>
      <c r="E301" s="60"/>
      <c r="F301" s="60"/>
      <c r="G301" s="60"/>
      <c r="H301" s="60"/>
      <c r="I301" s="60"/>
      <c r="J301" s="60"/>
      <c r="K301" s="61"/>
      <c r="L301" s="61"/>
      <c r="M301" s="61"/>
      <c r="N301" s="61"/>
      <c r="O301" s="62"/>
      <c r="P301" s="62"/>
      <c r="Q301" s="62"/>
      <c r="S301" s="64"/>
      <c r="T301" s="64"/>
      <c r="U301" s="64"/>
      <c r="W301" s="66"/>
      <c r="Y301" s="66"/>
      <c r="Z301" s="66"/>
      <c r="AA301" s="68"/>
      <c r="AB301" s="66"/>
      <c r="AE301" s="66"/>
      <c r="AH301" s="68"/>
      <c r="AI301" s="66"/>
      <c r="AJ301" s="62"/>
      <c r="AK301" s="62"/>
      <c r="AL301" s="62"/>
      <c r="AM301" s="62"/>
      <c r="AN301" s="62"/>
      <c r="AO301" s="62"/>
      <c r="AP301" s="62"/>
      <c r="AQ301" s="62"/>
      <c r="AR301" s="62"/>
      <c r="AS301" s="62"/>
      <c r="AT301" s="62"/>
      <c r="AU301" s="69"/>
    </row>
    <row r="302" spans="2:47" x14ac:dyDescent="0.35">
      <c r="B302" s="59"/>
      <c r="C302" s="59"/>
      <c r="D302" s="60"/>
      <c r="E302" s="60"/>
      <c r="F302" s="60"/>
      <c r="G302" s="60"/>
      <c r="H302" s="60"/>
      <c r="I302" s="60"/>
      <c r="J302" s="60"/>
      <c r="K302" s="61"/>
      <c r="L302" s="61"/>
      <c r="M302" s="61"/>
      <c r="N302" s="61"/>
      <c r="O302" s="62"/>
      <c r="P302" s="62"/>
      <c r="Q302" s="62"/>
      <c r="S302" s="64"/>
      <c r="T302" s="64"/>
      <c r="U302" s="64"/>
      <c r="W302" s="66"/>
      <c r="Y302" s="66"/>
      <c r="Z302" s="66"/>
      <c r="AA302" s="68"/>
      <c r="AB302" s="66"/>
      <c r="AE302" s="66"/>
      <c r="AH302" s="68"/>
      <c r="AI302" s="66"/>
      <c r="AJ302" s="62"/>
      <c r="AK302" s="62"/>
      <c r="AL302" s="62"/>
      <c r="AM302" s="62"/>
      <c r="AN302" s="62"/>
      <c r="AO302" s="62"/>
      <c r="AP302" s="62"/>
      <c r="AQ302" s="62"/>
      <c r="AR302" s="62"/>
      <c r="AS302" s="62"/>
      <c r="AT302" s="62"/>
      <c r="AU302" s="69"/>
    </row>
    <row r="303" spans="2:47" x14ac:dyDescent="0.35">
      <c r="B303" s="59"/>
      <c r="C303" s="59"/>
      <c r="D303" s="60"/>
      <c r="E303" s="60"/>
      <c r="F303" s="60"/>
      <c r="G303" s="60"/>
      <c r="H303" s="60"/>
      <c r="I303" s="60"/>
      <c r="J303" s="60"/>
      <c r="K303" s="61"/>
      <c r="L303" s="61"/>
      <c r="M303" s="61"/>
      <c r="N303" s="61"/>
      <c r="O303" s="62"/>
      <c r="P303" s="62"/>
      <c r="Q303" s="62"/>
      <c r="S303" s="64"/>
      <c r="T303" s="64"/>
      <c r="U303" s="64"/>
      <c r="W303" s="66"/>
      <c r="Y303" s="66"/>
      <c r="Z303" s="66"/>
      <c r="AA303" s="68"/>
      <c r="AB303" s="66"/>
      <c r="AE303" s="66"/>
      <c r="AH303" s="68"/>
      <c r="AI303" s="66"/>
      <c r="AJ303" s="62"/>
      <c r="AK303" s="62"/>
      <c r="AL303" s="62"/>
      <c r="AM303" s="62"/>
      <c r="AN303" s="62"/>
      <c r="AO303" s="62"/>
      <c r="AP303" s="62"/>
      <c r="AQ303" s="62"/>
      <c r="AR303" s="62"/>
      <c r="AS303" s="62"/>
      <c r="AT303" s="62"/>
      <c r="AU303" s="69"/>
    </row>
    <row r="304" spans="2:47" x14ac:dyDescent="0.35">
      <c r="B304" s="59"/>
      <c r="C304" s="59"/>
      <c r="D304" s="60"/>
      <c r="E304" s="60"/>
      <c r="F304" s="60"/>
      <c r="G304" s="60"/>
      <c r="H304" s="60"/>
      <c r="I304" s="60"/>
      <c r="J304" s="60"/>
      <c r="K304" s="61"/>
      <c r="L304" s="61"/>
      <c r="M304" s="61"/>
      <c r="N304" s="61"/>
      <c r="O304" s="62"/>
      <c r="P304" s="62"/>
      <c r="Q304" s="62"/>
      <c r="S304" s="64"/>
      <c r="T304" s="64"/>
      <c r="U304" s="64"/>
      <c r="W304" s="66"/>
      <c r="Y304" s="66"/>
      <c r="Z304" s="66"/>
      <c r="AA304" s="68"/>
      <c r="AB304" s="66"/>
      <c r="AE304" s="66"/>
      <c r="AH304" s="68"/>
      <c r="AI304" s="66"/>
      <c r="AJ304" s="62"/>
      <c r="AK304" s="62"/>
      <c r="AL304" s="62"/>
      <c r="AM304" s="62"/>
      <c r="AN304" s="62"/>
      <c r="AO304" s="62"/>
      <c r="AP304" s="62"/>
      <c r="AQ304" s="62"/>
      <c r="AR304" s="62"/>
      <c r="AS304" s="62"/>
      <c r="AT304" s="62"/>
      <c r="AU304" s="69"/>
    </row>
    <row r="305" spans="2:47" x14ac:dyDescent="0.35">
      <c r="B305" s="59"/>
      <c r="C305" s="59"/>
      <c r="D305" s="60"/>
      <c r="E305" s="60"/>
      <c r="F305" s="60"/>
      <c r="G305" s="60"/>
      <c r="H305" s="60"/>
      <c r="I305" s="60"/>
      <c r="J305" s="60"/>
      <c r="K305" s="61"/>
      <c r="L305" s="61"/>
      <c r="M305" s="61"/>
      <c r="N305" s="61"/>
      <c r="O305" s="62"/>
      <c r="P305" s="62"/>
      <c r="Q305" s="62"/>
      <c r="S305" s="64"/>
      <c r="T305" s="64"/>
      <c r="U305" s="64"/>
      <c r="W305" s="66"/>
      <c r="Y305" s="66"/>
      <c r="Z305" s="66"/>
      <c r="AA305" s="68"/>
      <c r="AB305" s="66"/>
      <c r="AE305" s="66"/>
      <c r="AH305" s="68"/>
      <c r="AI305" s="66"/>
      <c r="AJ305" s="62"/>
      <c r="AK305" s="62"/>
      <c r="AL305" s="62"/>
      <c r="AM305" s="62"/>
      <c r="AN305" s="62"/>
      <c r="AO305" s="62"/>
      <c r="AP305" s="62"/>
      <c r="AQ305" s="62"/>
      <c r="AR305" s="62"/>
      <c r="AS305" s="62"/>
      <c r="AT305" s="62"/>
      <c r="AU305" s="69"/>
    </row>
    <row r="306" spans="2:47" x14ac:dyDescent="0.35">
      <c r="B306" s="59"/>
      <c r="C306" s="59"/>
      <c r="D306" s="60"/>
      <c r="E306" s="60"/>
      <c r="F306" s="60"/>
      <c r="G306" s="60"/>
      <c r="H306" s="60"/>
      <c r="I306" s="60"/>
      <c r="J306" s="60"/>
      <c r="K306" s="61"/>
      <c r="L306" s="61"/>
      <c r="M306" s="61"/>
      <c r="N306" s="61"/>
      <c r="O306" s="62"/>
      <c r="P306" s="62"/>
      <c r="Q306" s="62"/>
      <c r="S306" s="64"/>
      <c r="T306" s="64"/>
      <c r="U306" s="64"/>
      <c r="W306" s="66"/>
      <c r="Y306" s="66"/>
      <c r="Z306" s="66"/>
      <c r="AA306" s="68"/>
      <c r="AB306" s="66"/>
      <c r="AE306" s="66"/>
      <c r="AH306" s="68"/>
      <c r="AI306" s="66"/>
      <c r="AJ306" s="62"/>
      <c r="AK306" s="62"/>
      <c r="AL306" s="62"/>
      <c r="AM306" s="62"/>
      <c r="AN306" s="62"/>
      <c r="AO306" s="62"/>
      <c r="AP306" s="62"/>
      <c r="AQ306" s="62"/>
      <c r="AR306" s="62"/>
      <c r="AS306" s="62"/>
      <c r="AT306" s="62"/>
      <c r="AU306" s="69"/>
    </row>
    <row r="307" spans="2:47" x14ac:dyDescent="0.35">
      <c r="B307" s="59"/>
      <c r="C307" s="59"/>
      <c r="D307" s="60"/>
      <c r="E307" s="60"/>
      <c r="F307" s="60"/>
      <c r="G307" s="60"/>
      <c r="H307" s="60"/>
      <c r="I307" s="60"/>
      <c r="J307" s="60"/>
      <c r="K307" s="61"/>
      <c r="L307" s="61"/>
      <c r="M307" s="61"/>
      <c r="N307" s="61"/>
      <c r="O307" s="62"/>
      <c r="P307" s="62"/>
      <c r="Q307" s="62"/>
      <c r="S307" s="64"/>
      <c r="T307" s="64"/>
      <c r="U307" s="64"/>
      <c r="W307" s="66"/>
      <c r="Y307" s="66"/>
      <c r="Z307" s="66"/>
      <c r="AA307" s="68"/>
      <c r="AB307" s="66"/>
      <c r="AE307" s="66"/>
      <c r="AH307" s="68"/>
      <c r="AI307" s="66"/>
      <c r="AJ307" s="62"/>
      <c r="AK307" s="62"/>
      <c r="AL307" s="62"/>
      <c r="AM307" s="62"/>
      <c r="AN307" s="62"/>
      <c r="AO307" s="62"/>
      <c r="AP307" s="62"/>
      <c r="AQ307" s="62"/>
      <c r="AR307" s="62"/>
      <c r="AS307" s="62"/>
      <c r="AT307" s="62"/>
      <c r="AU307" s="69"/>
    </row>
    <row r="308" spans="2:47" x14ac:dyDescent="0.35">
      <c r="B308" s="59"/>
      <c r="C308" s="59"/>
      <c r="D308" s="60"/>
      <c r="E308" s="60"/>
      <c r="F308" s="60"/>
      <c r="G308" s="60"/>
      <c r="H308" s="60"/>
      <c r="I308" s="60"/>
      <c r="J308" s="60"/>
      <c r="K308" s="61"/>
      <c r="L308" s="61"/>
      <c r="M308" s="61"/>
      <c r="N308" s="61"/>
      <c r="O308" s="62"/>
      <c r="P308" s="62"/>
      <c r="Q308" s="62"/>
      <c r="S308" s="64"/>
      <c r="T308" s="64"/>
      <c r="U308" s="64"/>
      <c r="W308" s="66"/>
      <c r="Y308" s="66"/>
      <c r="Z308" s="66"/>
      <c r="AA308" s="68"/>
      <c r="AB308" s="66"/>
      <c r="AE308" s="66"/>
      <c r="AH308" s="68"/>
      <c r="AI308" s="66"/>
      <c r="AJ308" s="62"/>
      <c r="AK308" s="62"/>
      <c r="AL308" s="62"/>
      <c r="AM308" s="62"/>
      <c r="AN308" s="62"/>
      <c r="AO308" s="62"/>
      <c r="AP308" s="62"/>
      <c r="AQ308" s="62"/>
      <c r="AR308" s="62"/>
      <c r="AS308" s="62"/>
      <c r="AT308" s="62"/>
      <c r="AU308" s="69"/>
    </row>
    <row r="309" spans="2:47" x14ac:dyDescent="0.35">
      <c r="B309" s="59"/>
      <c r="C309" s="59"/>
      <c r="D309" s="60"/>
      <c r="E309" s="60"/>
      <c r="F309" s="60"/>
      <c r="G309" s="60"/>
      <c r="H309" s="60"/>
      <c r="I309" s="60"/>
      <c r="J309" s="60"/>
      <c r="K309" s="61"/>
      <c r="L309" s="61"/>
      <c r="M309" s="61"/>
      <c r="N309" s="61"/>
      <c r="O309" s="62"/>
      <c r="P309" s="62"/>
      <c r="Q309" s="62"/>
      <c r="S309" s="64"/>
      <c r="T309" s="64"/>
      <c r="U309" s="64"/>
      <c r="W309" s="66"/>
      <c r="Y309" s="66"/>
      <c r="Z309" s="66"/>
      <c r="AA309" s="68"/>
      <c r="AB309" s="66"/>
      <c r="AE309" s="66"/>
      <c r="AH309" s="68"/>
      <c r="AI309" s="66"/>
      <c r="AJ309" s="62"/>
      <c r="AK309" s="62"/>
      <c r="AL309" s="62"/>
      <c r="AM309" s="62"/>
      <c r="AN309" s="62"/>
      <c r="AO309" s="62"/>
      <c r="AP309" s="62"/>
      <c r="AQ309" s="62"/>
      <c r="AR309" s="62"/>
      <c r="AS309" s="62"/>
      <c r="AT309" s="62"/>
      <c r="AU309" s="69"/>
    </row>
    <row r="310" spans="2:47" x14ac:dyDescent="0.35">
      <c r="B310" s="59"/>
      <c r="C310" s="59"/>
      <c r="D310" s="60"/>
      <c r="E310" s="60"/>
      <c r="F310" s="60"/>
      <c r="G310" s="60"/>
      <c r="H310" s="60"/>
      <c r="I310" s="60"/>
      <c r="J310" s="60"/>
      <c r="K310" s="61"/>
      <c r="L310" s="61"/>
      <c r="M310" s="61"/>
      <c r="N310" s="61"/>
      <c r="O310" s="62"/>
      <c r="P310" s="62"/>
      <c r="Q310" s="62"/>
      <c r="S310" s="64"/>
      <c r="T310" s="64"/>
      <c r="U310" s="64"/>
      <c r="W310" s="66"/>
      <c r="Y310" s="66"/>
      <c r="Z310" s="66"/>
      <c r="AA310" s="68"/>
      <c r="AB310" s="66"/>
      <c r="AE310" s="66"/>
      <c r="AH310" s="68"/>
      <c r="AI310" s="66"/>
      <c r="AJ310" s="62"/>
      <c r="AK310" s="62"/>
      <c r="AL310" s="62"/>
      <c r="AM310" s="62"/>
      <c r="AN310" s="62"/>
      <c r="AO310" s="62"/>
      <c r="AP310" s="62"/>
      <c r="AQ310" s="62"/>
      <c r="AR310" s="62"/>
      <c r="AS310" s="62"/>
      <c r="AT310" s="62"/>
      <c r="AU310" s="69"/>
    </row>
    <row r="311" spans="2:47" x14ac:dyDescent="0.35">
      <c r="B311" s="59"/>
      <c r="C311" s="59"/>
      <c r="D311" s="60"/>
      <c r="E311" s="60"/>
      <c r="F311" s="60"/>
      <c r="G311" s="60"/>
      <c r="H311" s="60"/>
      <c r="I311" s="60"/>
      <c r="J311" s="60"/>
      <c r="K311" s="61"/>
      <c r="L311" s="61"/>
      <c r="M311" s="61"/>
      <c r="N311" s="61"/>
      <c r="O311" s="62"/>
      <c r="P311" s="62"/>
      <c r="Q311" s="62"/>
      <c r="S311" s="64"/>
      <c r="T311" s="64"/>
      <c r="U311" s="64"/>
      <c r="W311" s="66"/>
      <c r="Y311" s="66"/>
      <c r="Z311" s="66"/>
      <c r="AA311" s="68"/>
      <c r="AB311" s="66"/>
      <c r="AE311" s="66"/>
      <c r="AH311" s="68"/>
      <c r="AI311" s="66"/>
      <c r="AJ311" s="62"/>
      <c r="AK311" s="62"/>
      <c r="AL311" s="62"/>
      <c r="AM311" s="62"/>
      <c r="AN311" s="62"/>
      <c r="AO311" s="62"/>
      <c r="AP311" s="62"/>
      <c r="AQ311" s="62"/>
      <c r="AR311" s="62"/>
      <c r="AS311" s="62"/>
      <c r="AT311" s="62"/>
      <c r="AU311" s="69"/>
    </row>
    <row r="312" spans="2:47" x14ac:dyDescent="0.35">
      <c r="B312" s="59"/>
      <c r="C312" s="59"/>
      <c r="D312" s="60"/>
      <c r="E312" s="60"/>
      <c r="F312" s="60"/>
      <c r="G312" s="60"/>
      <c r="H312" s="60"/>
      <c r="I312" s="60"/>
      <c r="J312" s="60"/>
      <c r="K312" s="61"/>
      <c r="L312" s="61"/>
      <c r="M312" s="61"/>
      <c r="N312" s="61"/>
      <c r="O312" s="62"/>
      <c r="P312" s="62"/>
      <c r="Q312" s="62"/>
      <c r="S312" s="64"/>
      <c r="T312" s="64"/>
      <c r="U312" s="64"/>
      <c r="W312" s="66"/>
      <c r="Y312" s="66"/>
      <c r="Z312" s="66"/>
      <c r="AA312" s="68"/>
      <c r="AB312" s="66"/>
      <c r="AE312" s="66"/>
      <c r="AH312" s="68"/>
      <c r="AI312" s="66"/>
      <c r="AJ312" s="62"/>
      <c r="AK312" s="62"/>
      <c r="AL312" s="62"/>
      <c r="AM312" s="62"/>
      <c r="AN312" s="62"/>
      <c r="AO312" s="62"/>
      <c r="AP312" s="62"/>
      <c r="AQ312" s="62"/>
      <c r="AR312" s="62"/>
      <c r="AS312" s="62"/>
      <c r="AT312" s="62"/>
      <c r="AU312" s="69"/>
    </row>
    <row r="313" spans="2:47" x14ac:dyDescent="0.35">
      <c r="B313" s="59"/>
      <c r="C313" s="59"/>
      <c r="D313" s="60"/>
      <c r="E313" s="60"/>
      <c r="F313" s="60"/>
      <c r="G313" s="60"/>
      <c r="H313" s="60"/>
      <c r="I313" s="60"/>
      <c r="J313" s="60"/>
      <c r="K313" s="61"/>
      <c r="L313" s="61"/>
      <c r="M313" s="61"/>
      <c r="N313" s="61"/>
      <c r="O313" s="62"/>
      <c r="P313" s="62"/>
      <c r="Q313" s="62"/>
      <c r="S313" s="64"/>
      <c r="T313" s="64"/>
      <c r="U313" s="64"/>
      <c r="W313" s="66"/>
      <c r="Y313" s="66"/>
      <c r="Z313" s="66"/>
      <c r="AA313" s="68"/>
      <c r="AB313" s="66"/>
      <c r="AE313" s="66"/>
      <c r="AH313" s="68"/>
      <c r="AI313" s="66"/>
      <c r="AJ313" s="62"/>
      <c r="AK313" s="62"/>
      <c r="AL313" s="62"/>
      <c r="AM313" s="62"/>
      <c r="AN313" s="62"/>
      <c r="AO313" s="62"/>
      <c r="AP313" s="62"/>
      <c r="AQ313" s="62"/>
      <c r="AR313" s="62"/>
      <c r="AS313" s="62"/>
      <c r="AT313" s="62"/>
      <c r="AU313" s="69"/>
    </row>
    <row r="314" spans="2:47" x14ac:dyDescent="0.35">
      <c r="B314" s="59"/>
      <c r="C314" s="59"/>
      <c r="D314" s="60"/>
      <c r="E314" s="60"/>
      <c r="F314" s="60"/>
      <c r="G314" s="60"/>
      <c r="H314" s="60"/>
      <c r="I314" s="60"/>
      <c r="J314" s="60"/>
      <c r="K314" s="61"/>
      <c r="L314" s="61"/>
      <c r="M314" s="61"/>
      <c r="N314" s="61"/>
      <c r="O314" s="62"/>
      <c r="P314" s="62"/>
      <c r="Q314" s="62"/>
      <c r="S314" s="64"/>
      <c r="T314" s="64"/>
      <c r="U314" s="64"/>
      <c r="W314" s="66"/>
      <c r="Y314" s="66"/>
      <c r="Z314" s="66"/>
      <c r="AA314" s="68"/>
      <c r="AB314" s="66"/>
      <c r="AE314" s="66"/>
      <c r="AH314" s="68"/>
      <c r="AI314" s="66"/>
      <c r="AJ314" s="62"/>
      <c r="AK314" s="62"/>
      <c r="AL314" s="62"/>
      <c r="AM314" s="62"/>
      <c r="AN314" s="62"/>
      <c r="AO314" s="62"/>
      <c r="AP314" s="62"/>
      <c r="AQ314" s="62"/>
      <c r="AR314" s="62"/>
      <c r="AS314" s="62"/>
      <c r="AT314" s="62"/>
      <c r="AU314" s="69"/>
    </row>
    <row r="315" spans="2:47" x14ac:dyDescent="0.35">
      <c r="B315" s="59"/>
      <c r="C315" s="59"/>
      <c r="D315" s="60"/>
      <c r="E315" s="60"/>
      <c r="F315" s="60"/>
      <c r="G315" s="60"/>
      <c r="H315" s="60"/>
      <c r="I315" s="60"/>
      <c r="J315" s="60"/>
      <c r="K315" s="61"/>
      <c r="L315" s="61"/>
      <c r="M315" s="61"/>
      <c r="N315" s="61"/>
      <c r="O315" s="62"/>
      <c r="P315" s="62"/>
      <c r="Q315" s="62"/>
      <c r="S315" s="64"/>
      <c r="T315" s="64"/>
      <c r="U315" s="64"/>
      <c r="W315" s="66"/>
      <c r="Y315" s="66"/>
      <c r="Z315" s="66"/>
      <c r="AA315" s="68"/>
      <c r="AB315" s="66"/>
      <c r="AE315" s="66"/>
      <c r="AH315" s="68"/>
      <c r="AI315" s="66"/>
      <c r="AJ315" s="62"/>
      <c r="AK315" s="62"/>
      <c r="AL315" s="62"/>
      <c r="AM315" s="62"/>
      <c r="AN315" s="62"/>
      <c r="AO315" s="62"/>
      <c r="AP315" s="62"/>
      <c r="AQ315" s="62"/>
      <c r="AR315" s="62"/>
      <c r="AS315" s="62"/>
      <c r="AT315" s="62"/>
      <c r="AU315" s="69"/>
    </row>
    <row r="316" spans="2:47" x14ac:dyDescent="0.35">
      <c r="B316" s="59"/>
      <c r="C316" s="59"/>
      <c r="D316" s="60"/>
      <c r="E316" s="60"/>
      <c r="F316" s="60"/>
      <c r="G316" s="60"/>
      <c r="H316" s="60"/>
      <c r="I316" s="60"/>
      <c r="J316" s="60"/>
      <c r="K316" s="61"/>
      <c r="L316" s="61"/>
      <c r="M316" s="61"/>
      <c r="N316" s="61"/>
      <c r="O316" s="62"/>
      <c r="P316" s="62"/>
      <c r="Q316" s="62"/>
      <c r="S316" s="64"/>
      <c r="T316" s="64"/>
      <c r="U316" s="64"/>
      <c r="W316" s="66"/>
      <c r="Y316" s="66"/>
      <c r="Z316" s="66"/>
      <c r="AA316" s="68"/>
      <c r="AB316" s="66"/>
      <c r="AE316" s="66"/>
      <c r="AH316" s="68"/>
      <c r="AI316" s="66"/>
      <c r="AJ316" s="62"/>
      <c r="AK316" s="62"/>
      <c r="AL316" s="62"/>
      <c r="AM316" s="62"/>
      <c r="AN316" s="62"/>
      <c r="AO316" s="62"/>
      <c r="AP316" s="62"/>
      <c r="AQ316" s="62"/>
      <c r="AR316" s="62"/>
      <c r="AS316" s="62"/>
      <c r="AT316" s="62"/>
      <c r="AU316" s="69"/>
    </row>
    <row r="317" spans="2:47" x14ac:dyDescent="0.35">
      <c r="B317" s="59"/>
      <c r="C317" s="59"/>
      <c r="D317" s="60"/>
      <c r="E317" s="60"/>
      <c r="F317" s="60"/>
      <c r="G317" s="60"/>
      <c r="H317" s="60"/>
      <c r="I317" s="60"/>
      <c r="J317" s="60"/>
      <c r="K317" s="61"/>
      <c r="L317" s="61"/>
      <c r="M317" s="61"/>
      <c r="N317" s="61"/>
      <c r="O317" s="62"/>
      <c r="P317" s="62"/>
      <c r="Q317" s="62"/>
      <c r="S317" s="64"/>
      <c r="T317" s="64"/>
      <c r="U317" s="64"/>
      <c r="W317" s="66"/>
      <c r="Y317" s="66"/>
      <c r="Z317" s="66"/>
      <c r="AA317" s="68"/>
      <c r="AB317" s="66"/>
      <c r="AE317" s="66"/>
      <c r="AH317" s="68"/>
      <c r="AI317" s="66"/>
      <c r="AJ317" s="62"/>
      <c r="AK317" s="62"/>
      <c r="AL317" s="62"/>
      <c r="AM317" s="62"/>
      <c r="AN317" s="62"/>
      <c r="AO317" s="62"/>
      <c r="AP317" s="62"/>
      <c r="AQ317" s="62"/>
      <c r="AR317" s="62"/>
      <c r="AS317" s="62"/>
      <c r="AT317" s="62"/>
      <c r="AU317" s="69"/>
    </row>
    <row r="318" spans="2:47" x14ac:dyDescent="0.35">
      <c r="B318" s="59"/>
      <c r="C318" s="59"/>
      <c r="D318" s="60"/>
      <c r="E318" s="60"/>
      <c r="F318" s="60"/>
      <c r="G318" s="60"/>
      <c r="H318" s="60"/>
      <c r="I318" s="60"/>
      <c r="J318" s="60"/>
      <c r="K318" s="61"/>
      <c r="L318" s="61"/>
      <c r="M318" s="61"/>
      <c r="N318" s="61"/>
      <c r="O318" s="62"/>
      <c r="P318" s="62"/>
      <c r="Q318" s="62"/>
      <c r="S318" s="64"/>
      <c r="T318" s="64"/>
      <c r="U318" s="64"/>
      <c r="W318" s="66"/>
      <c r="Y318" s="66"/>
      <c r="Z318" s="66"/>
      <c r="AA318" s="68"/>
      <c r="AB318" s="66"/>
      <c r="AE318" s="66"/>
      <c r="AH318" s="68"/>
      <c r="AI318" s="66"/>
      <c r="AJ318" s="62"/>
      <c r="AK318" s="62"/>
      <c r="AL318" s="62"/>
      <c r="AM318" s="62"/>
      <c r="AN318" s="62"/>
      <c r="AO318" s="62"/>
      <c r="AP318" s="62"/>
      <c r="AQ318" s="62"/>
      <c r="AR318" s="62"/>
      <c r="AS318" s="62"/>
      <c r="AT318" s="62"/>
      <c r="AU318" s="69"/>
    </row>
    <row r="319" spans="2:47" x14ac:dyDescent="0.35">
      <c r="B319" s="59"/>
      <c r="C319" s="59"/>
      <c r="D319" s="60"/>
      <c r="E319" s="60"/>
      <c r="F319" s="60"/>
      <c r="G319" s="60"/>
      <c r="H319" s="60"/>
      <c r="I319" s="60"/>
      <c r="J319" s="60"/>
      <c r="K319" s="61"/>
      <c r="L319" s="61"/>
      <c r="M319" s="61"/>
      <c r="N319" s="61"/>
      <c r="O319" s="62"/>
      <c r="P319" s="62"/>
      <c r="Q319" s="62"/>
      <c r="S319" s="64"/>
      <c r="T319" s="64"/>
      <c r="U319" s="64"/>
      <c r="W319" s="66"/>
      <c r="Y319" s="66"/>
      <c r="Z319" s="66"/>
      <c r="AA319" s="68"/>
      <c r="AB319" s="66"/>
      <c r="AE319" s="66"/>
      <c r="AH319" s="68"/>
      <c r="AI319" s="66"/>
      <c r="AJ319" s="62"/>
      <c r="AK319" s="62"/>
      <c r="AL319" s="62"/>
      <c r="AM319" s="62"/>
      <c r="AN319" s="62"/>
      <c r="AO319" s="62"/>
      <c r="AP319" s="62"/>
      <c r="AQ319" s="62"/>
      <c r="AR319" s="62"/>
      <c r="AS319" s="62"/>
      <c r="AT319" s="62"/>
      <c r="AU319" s="69"/>
    </row>
    <row r="320" spans="2:47" x14ac:dyDescent="0.35">
      <c r="B320" s="59"/>
      <c r="C320" s="59"/>
      <c r="D320" s="60"/>
      <c r="E320" s="60"/>
      <c r="F320" s="60"/>
      <c r="G320" s="60"/>
      <c r="H320" s="60"/>
      <c r="I320" s="60"/>
      <c r="J320" s="60"/>
      <c r="K320" s="61"/>
      <c r="L320" s="61"/>
      <c r="M320" s="61"/>
      <c r="N320" s="61"/>
      <c r="O320" s="62"/>
      <c r="P320" s="62"/>
      <c r="Q320" s="62"/>
      <c r="S320" s="64"/>
      <c r="T320" s="64"/>
      <c r="U320" s="64"/>
      <c r="W320" s="66"/>
      <c r="Y320" s="66"/>
      <c r="Z320" s="66"/>
      <c r="AA320" s="68"/>
      <c r="AB320" s="66"/>
      <c r="AE320" s="66"/>
      <c r="AH320" s="68"/>
      <c r="AI320" s="66"/>
      <c r="AJ320" s="62"/>
      <c r="AK320" s="62"/>
      <c r="AL320" s="62"/>
      <c r="AM320" s="62"/>
      <c r="AN320" s="62"/>
      <c r="AO320" s="62"/>
      <c r="AP320" s="62"/>
      <c r="AQ320" s="62"/>
      <c r="AR320" s="62"/>
      <c r="AS320" s="62"/>
      <c r="AT320" s="62"/>
      <c r="AU320" s="69"/>
    </row>
    <row r="321" spans="2:47" x14ac:dyDescent="0.35">
      <c r="B321" s="59"/>
      <c r="C321" s="59"/>
      <c r="D321" s="60"/>
      <c r="E321" s="60"/>
      <c r="F321" s="60"/>
      <c r="G321" s="60"/>
      <c r="H321" s="60"/>
      <c r="I321" s="60"/>
      <c r="J321" s="60"/>
      <c r="K321" s="61"/>
      <c r="L321" s="61"/>
      <c r="M321" s="61"/>
      <c r="N321" s="61"/>
      <c r="O321" s="62"/>
      <c r="P321" s="62"/>
      <c r="Q321" s="62"/>
      <c r="S321" s="64"/>
      <c r="T321" s="64"/>
      <c r="U321" s="64"/>
      <c r="W321" s="66"/>
      <c r="Y321" s="66"/>
      <c r="Z321" s="66"/>
      <c r="AA321" s="68"/>
      <c r="AB321" s="66"/>
      <c r="AE321" s="66"/>
      <c r="AH321" s="68"/>
      <c r="AI321" s="66"/>
      <c r="AJ321" s="62"/>
      <c r="AK321" s="62"/>
      <c r="AL321" s="62"/>
      <c r="AM321" s="62"/>
      <c r="AN321" s="62"/>
      <c r="AO321" s="62"/>
      <c r="AP321" s="62"/>
      <c r="AQ321" s="62"/>
      <c r="AR321" s="62"/>
      <c r="AS321" s="62"/>
      <c r="AT321" s="62"/>
      <c r="AU321" s="69"/>
    </row>
    <row r="322" spans="2:47" x14ac:dyDescent="0.35">
      <c r="B322" s="59"/>
      <c r="C322" s="59"/>
      <c r="D322" s="60"/>
      <c r="E322" s="60"/>
      <c r="F322" s="60"/>
      <c r="G322" s="60"/>
      <c r="H322" s="60"/>
      <c r="I322" s="60"/>
      <c r="J322" s="60"/>
      <c r="K322" s="61"/>
      <c r="L322" s="61"/>
      <c r="M322" s="61"/>
      <c r="N322" s="61"/>
      <c r="O322" s="62"/>
      <c r="P322" s="62"/>
      <c r="Q322" s="62"/>
      <c r="S322" s="64"/>
      <c r="T322" s="64"/>
      <c r="U322" s="64"/>
      <c r="W322" s="66"/>
      <c r="Y322" s="66"/>
      <c r="Z322" s="66"/>
      <c r="AA322" s="68"/>
      <c r="AB322" s="66"/>
      <c r="AE322" s="66"/>
      <c r="AH322" s="68"/>
      <c r="AI322" s="66"/>
      <c r="AJ322" s="62"/>
      <c r="AK322" s="62"/>
      <c r="AL322" s="62"/>
      <c r="AM322" s="62"/>
      <c r="AN322" s="62"/>
      <c r="AO322" s="62"/>
      <c r="AP322" s="62"/>
      <c r="AQ322" s="62"/>
      <c r="AR322" s="62"/>
      <c r="AS322" s="62"/>
      <c r="AT322" s="62"/>
      <c r="AU322" s="69"/>
    </row>
    <row r="323" spans="2:47" x14ac:dyDescent="0.35">
      <c r="B323" s="59"/>
      <c r="C323" s="59"/>
      <c r="D323" s="60"/>
      <c r="E323" s="60"/>
      <c r="F323" s="60"/>
      <c r="G323" s="60"/>
      <c r="H323" s="60"/>
      <c r="I323" s="60"/>
      <c r="J323" s="60"/>
      <c r="K323" s="61"/>
      <c r="L323" s="61"/>
      <c r="M323" s="61"/>
      <c r="N323" s="61"/>
      <c r="O323" s="62"/>
      <c r="P323" s="62"/>
      <c r="Q323" s="62"/>
      <c r="S323" s="64"/>
      <c r="T323" s="64"/>
      <c r="U323" s="64"/>
      <c r="W323" s="66"/>
      <c r="Y323" s="66"/>
      <c r="Z323" s="66"/>
      <c r="AA323" s="68"/>
      <c r="AB323" s="66"/>
      <c r="AE323" s="66"/>
      <c r="AH323" s="68"/>
      <c r="AI323" s="66"/>
      <c r="AJ323" s="62"/>
      <c r="AK323" s="62"/>
      <c r="AL323" s="62"/>
      <c r="AM323" s="62"/>
      <c r="AN323" s="62"/>
      <c r="AO323" s="62"/>
      <c r="AP323" s="62"/>
      <c r="AQ323" s="62"/>
      <c r="AR323" s="62"/>
      <c r="AS323" s="62"/>
      <c r="AT323" s="62"/>
      <c r="AU323" s="69"/>
    </row>
    <row r="324" spans="2:47" x14ac:dyDescent="0.35">
      <c r="B324" s="59"/>
      <c r="C324" s="59"/>
      <c r="D324" s="60"/>
      <c r="E324" s="60"/>
      <c r="F324" s="60"/>
      <c r="G324" s="60"/>
      <c r="H324" s="60"/>
      <c r="I324" s="60"/>
      <c r="J324" s="60"/>
      <c r="K324" s="61"/>
      <c r="L324" s="61"/>
      <c r="M324" s="61"/>
      <c r="N324" s="61"/>
      <c r="O324" s="62"/>
      <c r="P324" s="62"/>
      <c r="Q324" s="62"/>
      <c r="S324" s="64"/>
      <c r="T324" s="64"/>
      <c r="U324" s="64"/>
      <c r="W324" s="66"/>
      <c r="Y324" s="66"/>
      <c r="Z324" s="66"/>
      <c r="AA324" s="68"/>
      <c r="AB324" s="66"/>
      <c r="AE324" s="66"/>
      <c r="AH324" s="68"/>
      <c r="AI324" s="66"/>
      <c r="AJ324" s="62"/>
      <c r="AK324" s="62"/>
      <c r="AL324" s="62"/>
      <c r="AM324" s="62"/>
      <c r="AN324" s="62"/>
      <c r="AO324" s="62"/>
      <c r="AP324" s="62"/>
      <c r="AQ324" s="62"/>
      <c r="AR324" s="62"/>
      <c r="AS324" s="62"/>
      <c r="AT324" s="62"/>
      <c r="AU324" s="69"/>
    </row>
    <row r="325" spans="2:47" x14ac:dyDescent="0.35">
      <c r="B325" s="59"/>
      <c r="C325" s="59"/>
      <c r="D325" s="60"/>
      <c r="E325" s="60"/>
      <c r="F325" s="60"/>
      <c r="G325" s="60"/>
      <c r="H325" s="60"/>
      <c r="I325" s="60"/>
      <c r="J325" s="60"/>
      <c r="K325" s="61"/>
      <c r="L325" s="61"/>
      <c r="M325" s="61"/>
      <c r="N325" s="61"/>
      <c r="O325" s="62"/>
      <c r="P325" s="62"/>
      <c r="Q325" s="62"/>
      <c r="S325" s="64"/>
      <c r="T325" s="64"/>
      <c r="U325" s="64"/>
      <c r="W325" s="66"/>
      <c r="Y325" s="66"/>
      <c r="Z325" s="66"/>
      <c r="AA325" s="68"/>
      <c r="AB325" s="66"/>
      <c r="AE325" s="66"/>
      <c r="AH325" s="68"/>
      <c r="AI325" s="66"/>
      <c r="AJ325" s="62"/>
      <c r="AK325" s="62"/>
      <c r="AL325" s="62"/>
      <c r="AM325" s="62"/>
      <c r="AN325" s="62"/>
      <c r="AO325" s="62"/>
      <c r="AP325" s="62"/>
      <c r="AQ325" s="62"/>
      <c r="AR325" s="62"/>
      <c r="AS325" s="62"/>
      <c r="AT325" s="62"/>
      <c r="AU325" s="69"/>
    </row>
    <row r="326" spans="2:47" x14ac:dyDescent="0.35">
      <c r="B326" s="59"/>
      <c r="C326" s="59"/>
      <c r="D326" s="60"/>
      <c r="E326" s="60"/>
      <c r="F326" s="60"/>
      <c r="G326" s="60"/>
      <c r="H326" s="60"/>
      <c r="I326" s="60"/>
      <c r="J326" s="60"/>
      <c r="K326" s="61"/>
      <c r="L326" s="61"/>
      <c r="M326" s="61"/>
      <c r="N326" s="61"/>
      <c r="O326" s="62"/>
      <c r="P326" s="62"/>
      <c r="Q326" s="62"/>
      <c r="S326" s="64"/>
      <c r="T326" s="64"/>
      <c r="U326" s="64"/>
      <c r="W326" s="66"/>
      <c r="Y326" s="66"/>
      <c r="Z326" s="66"/>
      <c r="AA326" s="68"/>
      <c r="AB326" s="66"/>
      <c r="AE326" s="66"/>
      <c r="AH326" s="68"/>
      <c r="AI326" s="66"/>
      <c r="AJ326" s="62"/>
      <c r="AK326" s="62"/>
      <c r="AL326" s="62"/>
      <c r="AM326" s="62"/>
      <c r="AN326" s="62"/>
      <c r="AO326" s="62"/>
      <c r="AP326" s="62"/>
      <c r="AQ326" s="62"/>
      <c r="AR326" s="62"/>
      <c r="AS326" s="62"/>
      <c r="AT326" s="62"/>
      <c r="AU326" s="69"/>
    </row>
    <row r="327" spans="2:47" x14ac:dyDescent="0.35">
      <c r="B327" s="59"/>
      <c r="C327" s="59"/>
      <c r="D327" s="60"/>
      <c r="E327" s="60"/>
      <c r="F327" s="60"/>
      <c r="G327" s="60"/>
      <c r="H327" s="60"/>
      <c r="I327" s="60"/>
      <c r="J327" s="60"/>
      <c r="K327" s="61"/>
      <c r="L327" s="61"/>
      <c r="M327" s="61"/>
      <c r="N327" s="61"/>
      <c r="O327" s="62"/>
      <c r="P327" s="62"/>
      <c r="Q327" s="62"/>
      <c r="S327" s="64"/>
      <c r="T327" s="64"/>
      <c r="U327" s="64"/>
      <c r="W327" s="66"/>
      <c r="Y327" s="66"/>
      <c r="Z327" s="66"/>
      <c r="AA327" s="68"/>
      <c r="AB327" s="66"/>
      <c r="AE327" s="66"/>
      <c r="AH327" s="68"/>
      <c r="AI327" s="66"/>
      <c r="AJ327" s="62"/>
      <c r="AK327" s="62"/>
      <c r="AL327" s="62"/>
      <c r="AM327" s="62"/>
      <c r="AN327" s="62"/>
      <c r="AO327" s="62"/>
      <c r="AP327" s="62"/>
      <c r="AQ327" s="62"/>
      <c r="AR327" s="62"/>
      <c r="AS327" s="62"/>
      <c r="AT327" s="62"/>
      <c r="AU327" s="69"/>
    </row>
    <row r="328" spans="2:47" x14ac:dyDescent="0.35">
      <c r="B328" s="59"/>
      <c r="C328" s="59"/>
      <c r="D328" s="60"/>
      <c r="E328" s="60"/>
      <c r="F328" s="60"/>
      <c r="G328" s="60"/>
      <c r="H328" s="60"/>
      <c r="I328" s="60"/>
      <c r="J328" s="60"/>
      <c r="K328" s="61"/>
      <c r="L328" s="61"/>
      <c r="M328" s="61"/>
      <c r="N328" s="61"/>
      <c r="O328" s="62"/>
      <c r="P328" s="62"/>
      <c r="Q328" s="62"/>
      <c r="S328" s="64"/>
      <c r="T328" s="64"/>
      <c r="U328" s="64"/>
      <c r="W328" s="66"/>
      <c r="Y328" s="66"/>
      <c r="Z328" s="66"/>
      <c r="AA328" s="68"/>
      <c r="AB328" s="66"/>
      <c r="AE328" s="66"/>
      <c r="AH328" s="68"/>
      <c r="AI328" s="66"/>
      <c r="AJ328" s="62"/>
      <c r="AK328" s="62"/>
      <c r="AL328" s="62"/>
      <c r="AM328" s="62"/>
      <c r="AN328" s="62"/>
      <c r="AO328" s="62"/>
      <c r="AP328" s="62"/>
      <c r="AQ328" s="62"/>
      <c r="AR328" s="62"/>
      <c r="AS328" s="62"/>
      <c r="AT328" s="62"/>
      <c r="AU328" s="69"/>
    </row>
    <row r="329" spans="2:47" x14ac:dyDescent="0.35">
      <c r="B329" s="59"/>
      <c r="C329" s="59"/>
      <c r="D329" s="60"/>
      <c r="E329" s="60"/>
      <c r="F329" s="60"/>
      <c r="G329" s="60"/>
      <c r="H329" s="60"/>
      <c r="I329" s="60"/>
      <c r="J329" s="60"/>
      <c r="K329" s="61"/>
      <c r="L329" s="61"/>
      <c r="M329" s="61"/>
      <c r="N329" s="61"/>
      <c r="O329" s="62"/>
      <c r="P329" s="62"/>
      <c r="Q329" s="62"/>
      <c r="S329" s="64"/>
      <c r="T329" s="64"/>
      <c r="U329" s="64"/>
      <c r="W329" s="66"/>
      <c r="Y329" s="66"/>
      <c r="Z329" s="66"/>
      <c r="AA329" s="68"/>
      <c r="AB329" s="66"/>
      <c r="AE329" s="66"/>
      <c r="AH329" s="68"/>
      <c r="AI329" s="66"/>
      <c r="AJ329" s="62"/>
      <c r="AK329" s="62"/>
      <c r="AL329" s="62"/>
      <c r="AM329" s="62"/>
      <c r="AN329" s="62"/>
      <c r="AO329" s="62"/>
      <c r="AP329" s="62"/>
      <c r="AQ329" s="62"/>
      <c r="AR329" s="62"/>
      <c r="AS329" s="62"/>
      <c r="AT329" s="62"/>
      <c r="AU329" s="69"/>
    </row>
    <row r="330" spans="2:47" x14ac:dyDescent="0.35">
      <c r="B330" s="59"/>
      <c r="C330" s="59"/>
      <c r="D330" s="60"/>
      <c r="E330" s="60"/>
      <c r="F330" s="60"/>
      <c r="G330" s="60"/>
      <c r="H330" s="60"/>
      <c r="I330" s="60"/>
      <c r="J330" s="60"/>
      <c r="K330" s="61"/>
      <c r="L330" s="61"/>
      <c r="M330" s="61"/>
      <c r="N330" s="61"/>
      <c r="O330" s="62"/>
      <c r="P330" s="62"/>
      <c r="Q330" s="62"/>
      <c r="S330" s="64"/>
      <c r="T330" s="64"/>
      <c r="U330" s="64"/>
      <c r="W330" s="66"/>
      <c r="Y330" s="66"/>
      <c r="Z330" s="66"/>
      <c r="AA330" s="68"/>
      <c r="AB330" s="66"/>
      <c r="AE330" s="66"/>
      <c r="AH330" s="68"/>
      <c r="AI330" s="66"/>
      <c r="AJ330" s="62"/>
      <c r="AK330" s="62"/>
      <c r="AL330" s="62"/>
      <c r="AM330" s="62"/>
      <c r="AN330" s="62"/>
      <c r="AO330" s="62"/>
      <c r="AP330" s="62"/>
      <c r="AQ330" s="62"/>
      <c r="AR330" s="62"/>
      <c r="AS330" s="62"/>
      <c r="AT330" s="62"/>
      <c r="AU330" s="69"/>
    </row>
    <row r="331" spans="2:47" x14ac:dyDescent="0.35">
      <c r="B331" s="59"/>
      <c r="C331" s="59"/>
      <c r="D331" s="60"/>
      <c r="E331" s="60"/>
      <c r="F331" s="60"/>
      <c r="G331" s="60"/>
      <c r="H331" s="60"/>
      <c r="I331" s="60"/>
      <c r="J331" s="60"/>
      <c r="K331" s="61"/>
      <c r="L331" s="61"/>
      <c r="M331" s="61"/>
      <c r="N331" s="61"/>
      <c r="O331" s="62"/>
      <c r="P331" s="62"/>
      <c r="Q331" s="62"/>
      <c r="S331" s="64"/>
      <c r="T331" s="64"/>
      <c r="U331" s="64"/>
      <c r="W331" s="66"/>
      <c r="Y331" s="66"/>
      <c r="Z331" s="66"/>
      <c r="AA331" s="68"/>
      <c r="AB331" s="66"/>
      <c r="AE331" s="66"/>
      <c r="AH331" s="68"/>
      <c r="AI331" s="66"/>
      <c r="AJ331" s="62"/>
      <c r="AK331" s="62"/>
      <c r="AL331" s="62"/>
      <c r="AM331" s="62"/>
      <c r="AN331" s="62"/>
      <c r="AO331" s="62"/>
      <c r="AP331" s="62"/>
      <c r="AQ331" s="62"/>
      <c r="AR331" s="62"/>
      <c r="AS331" s="62"/>
      <c r="AT331" s="62"/>
      <c r="AU331" s="69"/>
    </row>
    <row r="332" spans="2:47" x14ac:dyDescent="0.35">
      <c r="B332" s="59"/>
      <c r="C332" s="59"/>
      <c r="D332" s="60"/>
      <c r="E332" s="60"/>
      <c r="F332" s="60"/>
      <c r="G332" s="60"/>
      <c r="H332" s="60"/>
      <c r="I332" s="60"/>
      <c r="J332" s="60"/>
      <c r="K332" s="61"/>
      <c r="L332" s="61"/>
      <c r="M332" s="61"/>
      <c r="N332" s="61"/>
      <c r="O332" s="62"/>
      <c r="P332" s="62"/>
      <c r="Q332" s="62"/>
      <c r="S332" s="64"/>
      <c r="T332" s="64"/>
      <c r="U332" s="64"/>
      <c r="W332" s="66"/>
      <c r="Y332" s="66"/>
      <c r="Z332" s="66"/>
      <c r="AA332" s="68"/>
      <c r="AB332" s="66"/>
      <c r="AE332" s="66"/>
      <c r="AH332" s="68"/>
      <c r="AI332" s="66"/>
      <c r="AJ332" s="62"/>
      <c r="AK332" s="62"/>
      <c r="AL332" s="62"/>
      <c r="AM332" s="62"/>
      <c r="AN332" s="62"/>
      <c r="AO332" s="62"/>
      <c r="AP332" s="62"/>
      <c r="AQ332" s="62"/>
      <c r="AR332" s="62"/>
      <c r="AS332" s="62"/>
      <c r="AT332" s="62"/>
      <c r="AU332" s="69"/>
    </row>
    <row r="333" spans="2:47" x14ac:dyDescent="0.35">
      <c r="B333" s="59"/>
      <c r="C333" s="59"/>
      <c r="D333" s="60"/>
      <c r="E333" s="60"/>
      <c r="F333" s="60"/>
      <c r="G333" s="60"/>
      <c r="H333" s="60"/>
      <c r="I333" s="60"/>
      <c r="J333" s="60"/>
      <c r="K333" s="61"/>
      <c r="L333" s="61"/>
      <c r="M333" s="61"/>
      <c r="N333" s="61"/>
      <c r="O333" s="62"/>
      <c r="P333" s="62"/>
      <c r="Q333" s="62"/>
      <c r="S333" s="64"/>
      <c r="T333" s="64"/>
      <c r="U333" s="64"/>
      <c r="W333" s="66"/>
      <c r="Y333" s="66"/>
      <c r="Z333" s="66"/>
      <c r="AA333" s="68"/>
      <c r="AB333" s="66"/>
      <c r="AE333" s="66"/>
      <c r="AH333" s="68"/>
      <c r="AI333" s="66"/>
      <c r="AJ333" s="62"/>
      <c r="AK333" s="62"/>
      <c r="AL333" s="62"/>
      <c r="AM333" s="62"/>
      <c r="AN333" s="62"/>
      <c r="AO333" s="62"/>
      <c r="AP333" s="62"/>
      <c r="AQ333" s="62"/>
      <c r="AR333" s="62"/>
      <c r="AS333" s="62"/>
      <c r="AT333" s="62"/>
      <c r="AU333" s="69"/>
    </row>
    <row r="334" spans="2:47" x14ac:dyDescent="0.35">
      <c r="B334" s="59"/>
      <c r="C334" s="59"/>
      <c r="D334" s="60"/>
      <c r="E334" s="60"/>
      <c r="F334" s="60"/>
      <c r="G334" s="60"/>
      <c r="H334" s="60"/>
      <c r="I334" s="60"/>
      <c r="J334" s="60"/>
      <c r="K334" s="61"/>
      <c r="L334" s="61"/>
      <c r="M334" s="61"/>
      <c r="N334" s="61"/>
      <c r="O334" s="62"/>
      <c r="P334" s="62"/>
      <c r="Q334" s="62"/>
      <c r="S334" s="64"/>
      <c r="T334" s="64"/>
      <c r="U334" s="64"/>
      <c r="W334" s="66"/>
      <c r="Y334" s="66"/>
      <c r="Z334" s="66"/>
      <c r="AA334" s="68"/>
      <c r="AB334" s="66"/>
      <c r="AE334" s="66"/>
      <c r="AH334" s="68"/>
      <c r="AI334" s="66"/>
      <c r="AJ334" s="62"/>
      <c r="AK334" s="62"/>
      <c r="AL334" s="62"/>
      <c r="AM334" s="62"/>
      <c r="AN334" s="62"/>
      <c r="AO334" s="62"/>
      <c r="AP334" s="62"/>
      <c r="AQ334" s="62"/>
      <c r="AR334" s="62"/>
      <c r="AS334" s="62"/>
      <c r="AT334" s="62"/>
      <c r="AU334" s="69"/>
    </row>
    <row r="335" spans="2:47" x14ac:dyDescent="0.35">
      <c r="B335" s="59"/>
      <c r="C335" s="59"/>
      <c r="D335" s="60"/>
      <c r="E335" s="60"/>
      <c r="F335" s="60"/>
      <c r="G335" s="60"/>
      <c r="H335" s="60"/>
      <c r="I335" s="60"/>
      <c r="J335" s="60"/>
      <c r="K335" s="61"/>
      <c r="L335" s="61"/>
      <c r="M335" s="61"/>
      <c r="N335" s="61"/>
      <c r="O335" s="62"/>
      <c r="P335" s="62"/>
      <c r="Q335" s="62"/>
      <c r="S335" s="64"/>
      <c r="T335" s="64"/>
      <c r="U335" s="64"/>
      <c r="W335" s="66"/>
      <c r="Y335" s="66"/>
      <c r="Z335" s="66"/>
      <c r="AA335" s="68"/>
      <c r="AB335" s="66"/>
      <c r="AE335" s="66"/>
      <c r="AH335" s="68"/>
      <c r="AI335" s="66"/>
      <c r="AJ335" s="62"/>
      <c r="AK335" s="62"/>
      <c r="AL335" s="62"/>
      <c r="AM335" s="62"/>
      <c r="AN335" s="62"/>
      <c r="AO335" s="62"/>
      <c r="AP335" s="62"/>
      <c r="AQ335" s="62"/>
      <c r="AR335" s="62"/>
      <c r="AS335" s="62"/>
      <c r="AT335" s="62"/>
      <c r="AU335" s="69"/>
    </row>
    <row r="336" spans="2:47" x14ac:dyDescent="0.35">
      <c r="B336" s="59"/>
      <c r="C336" s="59"/>
      <c r="D336" s="60"/>
      <c r="E336" s="60"/>
      <c r="F336" s="60"/>
      <c r="G336" s="60"/>
      <c r="H336" s="60"/>
      <c r="I336" s="60"/>
      <c r="J336" s="60"/>
      <c r="K336" s="61"/>
      <c r="L336" s="61"/>
      <c r="M336" s="61"/>
      <c r="N336" s="61"/>
      <c r="O336" s="62"/>
      <c r="P336" s="62"/>
      <c r="Q336" s="62"/>
      <c r="S336" s="64"/>
      <c r="T336" s="64"/>
      <c r="U336" s="64"/>
      <c r="W336" s="66"/>
      <c r="Y336" s="66"/>
      <c r="Z336" s="66"/>
      <c r="AA336" s="68"/>
      <c r="AB336" s="66"/>
      <c r="AE336" s="66"/>
      <c r="AH336" s="68"/>
      <c r="AI336" s="66"/>
      <c r="AJ336" s="62"/>
      <c r="AK336" s="62"/>
      <c r="AL336" s="62"/>
      <c r="AM336" s="62"/>
      <c r="AN336" s="62"/>
      <c r="AO336" s="62"/>
      <c r="AP336" s="62"/>
      <c r="AQ336" s="62"/>
      <c r="AR336" s="62"/>
      <c r="AS336" s="62"/>
      <c r="AT336" s="62"/>
      <c r="AU336" s="69"/>
    </row>
    <row r="337" spans="2:47" x14ac:dyDescent="0.35">
      <c r="B337" s="59"/>
      <c r="C337" s="59"/>
      <c r="D337" s="60"/>
      <c r="E337" s="60"/>
      <c r="F337" s="60"/>
      <c r="G337" s="60"/>
      <c r="H337" s="60"/>
      <c r="I337" s="60"/>
      <c r="J337" s="60"/>
      <c r="K337" s="61"/>
      <c r="L337" s="61"/>
      <c r="M337" s="61"/>
      <c r="N337" s="61"/>
      <c r="O337" s="62"/>
      <c r="P337" s="62"/>
      <c r="Q337" s="62"/>
      <c r="S337" s="64"/>
      <c r="T337" s="64"/>
      <c r="U337" s="64"/>
      <c r="W337" s="66"/>
      <c r="Y337" s="66"/>
      <c r="Z337" s="66"/>
      <c r="AA337" s="68"/>
      <c r="AB337" s="66"/>
      <c r="AE337" s="66"/>
      <c r="AH337" s="68"/>
      <c r="AI337" s="66"/>
      <c r="AJ337" s="62"/>
      <c r="AK337" s="62"/>
      <c r="AL337" s="62"/>
      <c r="AM337" s="62"/>
      <c r="AN337" s="62"/>
      <c r="AO337" s="62"/>
      <c r="AP337" s="62"/>
      <c r="AQ337" s="62"/>
      <c r="AR337" s="62"/>
      <c r="AS337" s="62"/>
      <c r="AT337" s="62"/>
      <c r="AU337" s="69"/>
    </row>
    <row r="338" spans="2:47" x14ac:dyDescent="0.35">
      <c r="B338" s="59"/>
      <c r="C338" s="59"/>
      <c r="D338" s="60"/>
      <c r="E338" s="60"/>
      <c r="F338" s="60"/>
      <c r="G338" s="60"/>
      <c r="H338" s="60"/>
      <c r="I338" s="60"/>
      <c r="J338" s="60"/>
      <c r="K338" s="61"/>
      <c r="L338" s="61"/>
      <c r="M338" s="61"/>
      <c r="N338" s="61"/>
      <c r="O338" s="62"/>
      <c r="P338" s="62"/>
      <c r="Q338" s="62"/>
      <c r="S338" s="64"/>
      <c r="T338" s="64"/>
      <c r="U338" s="64"/>
      <c r="W338" s="66"/>
      <c r="Y338" s="66"/>
      <c r="Z338" s="66"/>
      <c r="AA338" s="68"/>
      <c r="AB338" s="66"/>
      <c r="AE338" s="66"/>
      <c r="AH338" s="68"/>
      <c r="AI338" s="66"/>
      <c r="AJ338" s="62"/>
      <c r="AK338" s="62"/>
      <c r="AL338" s="62"/>
      <c r="AM338" s="62"/>
      <c r="AN338" s="62"/>
      <c r="AO338" s="62"/>
      <c r="AP338" s="62"/>
      <c r="AQ338" s="62"/>
      <c r="AR338" s="62"/>
      <c r="AS338" s="62"/>
      <c r="AT338" s="62"/>
      <c r="AU338" s="69"/>
    </row>
    <row r="339" spans="2:47" x14ac:dyDescent="0.35">
      <c r="B339" s="59"/>
      <c r="C339" s="59"/>
      <c r="D339" s="60"/>
      <c r="E339" s="60"/>
      <c r="F339" s="60"/>
      <c r="G339" s="60"/>
      <c r="H339" s="60"/>
      <c r="I339" s="60"/>
      <c r="J339" s="60"/>
      <c r="K339" s="61"/>
      <c r="L339" s="61"/>
      <c r="M339" s="61"/>
      <c r="N339" s="61"/>
      <c r="O339" s="62"/>
      <c r="P339" s="62"/>
      <c r="Q339" s="62"/>
      <c r="S339" s="64"/>
      <c r="T339" s="64"/>
      <c r="U339" s="64"/>
      <c r="W339" s="66"/>
      <c r="Y339" s="66"/>
      <c r="Z339" s="66"/>
      <c r="AA339" s="68"/>
      <c r="AB339" s="66"/>
      <c r="AE339" s="66"/>
      <c r="AH339" s="68"/>
      <c r="AI339" s="66"/>
      <c r="AJ339" s="62"/>
      <c r="AK339" s="62"/>
      <c r="AL339" s="62"/>
      <c r="AM339" s="62"/>
      <c r="AN339" s="62"/>
      <c r="AO339" s="62"/>
      <c r="AP339" s="62"/>
      <c r="AQ339" s="62"/>
      <c r="AR339" s="62"/>
      <c r="AS339" s="62"/>
      <c r="AT339" s="62"/>
      <c r="AU339" s="69"/>
    </row>
    <row r="340" spans="2:47" x14ac:dyDescent="0.35">
      <c r="B340" s="59"/>
      <c r="C340" s="59"/>
      <c r="D340" s="60"/>
      <c r="E340" s="60"/>
      <c r="F340" s="60"/>
      <c r="G340" s="60"/>
      <c r="H340" s="60"/>
      <c r="I340" s="60"/>
      <c r="J340" s="60"/>
      <c r="K340" s="61"/>
      <c r="L340" s="61"/>
      <c r="M340" s="61"/>
      <c r="N340" s="61"/>
      <c r="O340" s="62"/>
      <c r="P340" s="62"/>
      <c r="Q340" s="62"/>
      <c r="S340" s="64"/>
      <c r="T340" s="64"/>
      <c r="U340" s="64"/>
      <c r="W340" s="66"/>
      <c r="Y340" s="66"/>
      <c r="Z340" s="66"/>
      <c r="AA340" s="68"/>
      <c r="AB340" s="66"/>
      <c r="AE340" s="66"/>
      <c r="AH340" s="68"/>
      <c r="AI340" s="66"/>
      <c r="AJ340" s="62"/>
      <c r="AK340" s="62"/>
      <c r="AL340" s="62"/>
      <c r="AM340" s="62"/>
      <c r="AN340" s="62"/>
      <c r="AO340" s="62"/>
      <c r="AP340" s="62"/>
      <c r="AQ340" s="62"/>
      <c r="AR340" s="62"/>
      <c r="AS340" s="62"/>
      <c r="AT340" s="62"/>
      <c r="AU340" s="69"/>
    </row>
    <row r="341" spans="2:47" x14ac:dyDescent="0.35">
      <c r="B341" s="59"/>
      <c r="C341" s="59"/>
      <c r="D341" s="60"/>
      <c r="E341" s="60"/>
      <c r="F341" s="60"/>
      <c r="G341" s="60"/>
      <c r="H341" s="60"/>
      <c r="I341" s="60"/>
      <c r="J341" s="60"/>
      <c r="K341" s="61"/>
      <c r="L341" s="61"/>
      <c r="M341" s="61"/>
      <c r="N341" s="61"/>
      <c r="O341" s="62"/>
      <c r="P341" s="62"/>
      <c r="Q341" s="62"/>
      <c r="S341" s="64"/>
      <c r="T341" s="64"/>
      <c r="U341" s="64"/>
      <c r="W341" s="66"/>
      <c r="Y341" s="66"/>
      <c r="Z341" s="66"/>
      <c r="AA341" s="68"/>
      <c r="AB341" s="66"/>
      <c r="AE341" s="66"/>
      <c r="AH341" s="68"/>
      <c r="AI341" s="66"/>
      <c r="AJ341" s="62"/>
      <c r="AK341" s="62"/>
      <c r="AL341" s="62"/>
      <c r="AM341" s="62"/>
      <c r="AN341" s="62"/>
      <c r="AO341" s="62"/>
      <c r="AP341" s="62"/>
      <c r="AQ341" s="62"/>
      <c r="AR341" s="62"/>
      <c r="AS341" s="62"/>
      <c r="AT341" s="62"/>
      <c r="AU341" s="69"/>
    </row>
    <row r="342" spans="2:47" x14ac:dyDescent="0.35">
      <c r="B342" s="59"/>
      <c r="C342" s="59"/>
      <c r="D342" s="60"/>
      <c r="E342" s="60"/>
      <c r="F342" s="60"/>
      <c r="G342" s="60"/>
      <c r="H342" s="60"/>
      <c r="I342" s="60"/>
      <c r="J342" s="60"/>
      <c r="K342" s="61"/>
      <c r="L342" s="61"/>
      <c r="M342" s="61"/>
      <c r="N342" s="61"/>
      <c r="O342" s="62"/>
      <c r="P342" s="62"/>
      <c r="Q342" s="62"/>
      <c r="S342" s="64"/>
      <c r="T342" s="64"/>
      <c r="U342" s="64"/>
      <c r="W342" s="66"/>
      <c r="Y342" s="66"/>
      <c r="Z342" s="66"/>
      <c r="AA342" s="68"/>
      <c r="AB342" s="66"/>
      <c r="AE342" s="66"/>
      <c r="AH342" s="68"/>
      <c r="AI342" s="66"/>
      <c r="AJ342" s="62"/>
      <c r="AK342" s="62"/>
      <c r="AL342" s="62"/>
      <c r="AM342" s="62"/>
      <c r="AN342" s="62"/>
      <c r="AO342" s="62"/>
      <c r="AP342" s="62"/>
      <c r="AQ342" s="62"/>
      <c r="AR342" s="62"/>
      <c r="AS342" s="62"/>
      <c r="AT342" s="62"/>
      <c r="AU342" s="69"/>
    </row>
    <row r="343" spans="2:47" x14ac:dyDescent="0.35">
      <c r="B343" s="59"/>
      <c r="C343" s="59"/>
      <c r="D343" s="60"/>
      <c r="E343" s="60"/>
      <c r="F343" s="60"/>
      <c r="G343" s="60"/>
      <c r="H343" s="60"/>
      <c r="I343" s="60"/>
      <c r="J343" s="60"/>
      <c r="K343" s="61"/>
      <c r="L343" s="61"/>
      <c r="M343" s="61"/>
      <c r="N343" s="61"/>
      <c r="O343" s="62"/>
      <c r="P343" s="62"/>
      <c r="Q343" s="62"/>
      <c r="S343" s="64"/>
      <c r="T343" s="64"/>
      <c r="U343" s="64"/>
      <c r="W343" s="66"/>
      <c r="Y343" s="66"/>
      <c r="Z343" s="66"/>
      <c r="AA343" s="68"/>
      <c r="AB343" s="66"/>
      <c r="AE343" s="66"/>
      <c r="AH343" s="68"/>
      <c r="AI343" s="66"/>
      <c r="AJ343" s="62"/>
      <c r="AK343" s="62"/>
      <c r="AL343" s="62"/>
      <c r="AM343" s="62"/>
      <c r="AN343" s="62"/>
      <c r="AO343" s="62"/>
      <c r="AP343" s="62"/>
      <c r="AQ343" s="62"/>
      <c r="AR343" s="62"/>
      <c r="AS343" s="62"/>
      <c r="AT343" s="62"/>
      <c r="AU343" s="69"/>
    </row>
    <row r="344" spans="2:47" x14ac:dyDescent="0.35">
      <c r="B344" s="59"/>
      <c r="C344" s="59"/>
      <c r="D344" s="60"/>
      <c r="E344" s="60"/>
      <c r="F344" s="60"/>
      <c r="G344" s="60"/>
      <c r="H344" s="60"/>
      <c r="I344" s="60"/>
      <c r="J344" s="60"/>
      <c r="K344" s="61"/>
      <c r="L344" s="61"/>
      <c r="M344" s="61"/>
      <c r="N344" s="61"/>
      <c r="O344" s="62"/>
      <c r="P344" s="62"/>
      <c r="Q344" s="62"/>
      <c r="S344" s="64"/>
      <c r="T344" s="64"/>
      <c r="U344" s="64"/>
      <c r="W344" s="66"/>
      <c r="Y344" s="66"/>
      <c r="Z344" s="66"/>
      <c r="AA344" s="68"/>
      <c r="AB344" s="66"/>
      <c r="AE344" s="66"/>
      <c r="AH344" s="68"/>
      <c r="AI344" s="66"/>
      <c r="AJ344" s="62"/>
      <c r="AK344" s="62"/>
      <c r="AL344" s="62"/>
      <c r="AM344" s="62"/>
      <c r="AN344" s="62"/>
      <c r="AO344" s="62"/>
      <c r="AP344" s="62"/>
      <c r="AQ344" s="62"/>
      <c r="AR344" s="62"/>
      <c r="AS344" s="62"/>
      <c r="AT344" s="62"/>
      <c r="AU344" s="69"/>
    </row>
    <row r="345" spans="2:47" x14ac:dyDescent="0.35">
      <c r="B345" s="59"/>
      <c r="C345" s="59"/>
      <c r="D345" s="60"/>
      <c r="E345" s="60"/>
      <c r="F345" s="60"/>
      <c r="G345" s="60"/>
      <c r="H345" s="60"/>
      <c r="I345" s="60"/>
      <c r="J345" s="60"/>
      <c r="K345" s="61"/>
      <c r="L345" s="61"/>
      <c r="M345" s="61"/>
      <c r="N345" s="61"/>
      <c r="O345" s="62"/>
      <c r="P345" s="62"/>
      <c r="Q345" s="62"/>
      <c r="S345" s="64"/>
      <c r="T345" s="64"/>
      <c r="U345" s="64"/>
      <c r="W345" s="66"/>
      <c r="Y345" s="66"/>
      <c r="Z345" s="66"/>
      <c r="AA345" s="68"/>
      <c r="AB345" s="66"/>
      <c r="AE345" s="66"/>
      <c r="AH345" s="68"/>
      <c r="AI345" s="66"/>
      <c r="AJ345" s="62"/>
      <c r="AK345" s="62"/>
      <c r="AL345" s="62"/>
      <c r="AM345" s="62"/>
      <c r="AN345" s="62"/>
      <c r="AO345" s="62"/>
      <c r="AP345" s="62"/>
      <c r="AQ345" s="62"/>
      <c r="AR345" s="62"/>
      <c r="AS345" s="62"/>
      <c r="AT345" s="62"/>
      <c r="AU345" s="69"/>
    </row>
    <row r="346" spans="2:47" x14ac:dyDescent="0.35">
      <c r="B346" s="59"/>
      <c r="C346" s="59"/>
      <c r="D346" s="60"/>
      <c r="E346" s="60"/>
      <c r="F346" s="60"/>
      <c r="G346" s="60"/>
      <c r="H346" s="60"/>
      <c r="I346" s="60"/>
      <c r="J346" s="60"/>
      <c r="K346" s="61"/>
      <c r="L346" s="61"/>
      <c r="M346" s="61"/>
      <c r="N346" s="61"/>
      <c r="O346" s="62"/>
      <c r="P346" s="62"/>
      <c r="Q346" s="62"/>
      <c r="S346" s="64"/>
      <c r="T346" s="64"/>
      <c r="U346" s="64"/>
      <c r="W346" s="66"/>
      <c r="Y346" s="66"/>
      <c r="Z346" s="66"/>
      <c r="AA346" s="68"/>
      <c r="AB346" s="66"/>
      <c r="AE346" s="66"/>
      <c r="AH346" s="68"/>
      <c r="AI346" s="66"/>
      <c r="AJ346" s="62"/>
      <c r="AK346" s="62"/>
      <c r="AL346" s="62"/>
      <c r="AM346" s="62"/>
      <c r="AN346" s="62"/>
      <c r="AO346" s="62"/>
      <c r="AP346" s="62"/>
      <c r="AQ346" s="62"/>
      <c r="AR346" s="62"/>
      <c r="AS346" s="62"/>
      <c r="AT346" s="62"/>
      <c r="AU346" s="69"/>
    </row>
    <row r="347" spans="2:47" x14ac:dyDescent="0.35">
      <c r="B347" s="59"/>
      <c r="C347" s="59"/>
      <c r="D347" s="60"/>
      <c r="E347" s="60"/>
      <c r="F347" s="60"/>
      <c r="G347" s="60"/>
      <c r="H347" s="60"/>
      <c r="I347" s="60"/>
      <c r="J347" s="60"/>
      <c r="K347" s="61"/>
      <c r="L347" s="61"/>
      <c r="M347" s="61"/>
      <c r="N347" s="61"/>
      <c r="O347" s="62"/>
      <c r="P347" s="62"/>
      <c r="Q347" s="62"/>
      <c r="S347" s="64"/>
      <c r="T347" s="64"/>
      <c r="U347" s="64"/>
      <c r="W347" s="66"/>
      <c r="Y347" s="66"/>
      <c r="Z347" s="66"/>
      <c r="AA347" s="68"/>
      <c r="AB347" s="66"/>
      <c r="AE347" s="66"/>
      <c r="AH347" s="68"/>
      <c r="AI347" s="66"/>
      <c r="AJ347" s="62"/>
      <c r="AK347" s="62"/>
      <c r="AL347" s="62"/>
      <c r="AM347" s="62"/>
      <c r="AN347" s="62"/>
      <c r="AO347" s="62"/>
      <c r="AP347" s="62"/>
      <c r="AQ347" s="62"/>
      <c r="AR347" s="62"/>
      <c r="AS347" s="62"/>
      <c r="AT347" s="62"/>
      <c r="AU347" s="69"/>
    </row>
    <row r="348" spans="2:47" x14ac:dyDescent="0.35">
      <c r="B348" s="59"/>
      <c r="C348" s="59"/>
      <c r="D348" s="60"/>
      <c r="E348" s="60"/>
      <c r="F348" s="60"/>
      <c r="G348" s="60"/>
      <c r="H348" s="60"/>
      <c r="I348" s="60"/>
      <c r="J348" s="60"/>
      <c r="K348" s="61"/>
      <c r="L348" s="61"/>
      <c r="M348" s="61"/>
      <c r="N348" s="61"/>
      <c r="O348" s="62"/>
      <c r="P348" s="62"/>
      <c r="Q348" s="62"/>
      <c r="S348" s="64"/>
      <c r="T348" s="64"/>
      <c r="U348" s="64"/>
      <c r="W348" s="66"/>
      <c r="Y348" s="66"/>
      <c r="Z348" s="66"/>
      <c r="AA348" s="68"/>
      <c r="AB348" s="66"/>
      <c r="AE348" s="66"/>
      <c r="AH348" s="68"/>
      <c r="AI348" s="66"/>
      <c r="AJ348" s="62"/>
      <c r="AK348" s="62"/>
      <c r="AL348" s="62"/>
      <c r="AM348" s="62"/>
      <c r="AN348" s="62"/>
      <c r="AO348" s="62"/>
      <c r="AP348" s="62"/>
      <c r="AQ348" s="62"/>
      <c r="AR348" s="62"/>
      <c r="AS348" s="62"/>
      <c r="AT348" s="62"/>
      <c r="AU348" s="69"/>
    </row>
    <row r="349" spans="2:47" x14ac:dyDescent="0.35">
      <c r="B349" s="59"/>
      <c r="C349" s="59"/>
      <c r="D349" s="60"/>
      <c r="E349" s="60"/>
      <c r="F349" s="60"/>
      <c r="G349" s="60"/>
      <c r="H349" s="60"/>
      <c r="I349" s="60"/>
      <c r="J349" s="60"/>
      <c r="K349" s="61"/>
      <c r="L349" s="61"/>
      <c r="M349" s="61"/>
      <c r="N349" s="61"/>
      <c r="O349" s="62"/>
      <c r="P349" s="62"/>
      <c r="Q349" s="62"/>
      <c r="S349" s="64"/>
      <c r="T349" s="64"/>
      <c r="U349" s="64"/>
      <c r="W349" s="66"/>
      <c r="Y349" s="66"/>
      <c r="Z349" s="66"/>
      <c r="AA349" s="68"/>
      <c r="AB349" s="66"/>
      <c r="AE349" s="66"/>
      <c r="AH349" s="68"/>
      <c r="AI349" s="66"/>
      <c r="AJ349" s="62"/>
      <c r="AK349" s="62"/>
      <c r="AL349" s="62"/>
      <c r="AM349" s="62"/>
      <c r="AN349" s="62"/>
      <c r="AO349" s="62"/>
      <c r="AP349" s="62"/>
      <c r="AQ349" s="62"/>
      <c r="AR349" s="62"/>
      <c r="AS349" s="62"/>
      <c r="AT349" s="62"/>
      <c r="AU349" s="69"/>
    </row>
    <row r="350" spans="2:47" x14ac:dyDescent="0.35">
      <c r="B350" s="59"/>
      <c r="C350" s="59"/>
      <c r="D350" s="60"/>
      <c r="E350" s="60"/>
      <c r="F350" s="60"/>
      <c r="G350" s="60"/>
      <c r="H350" s="60"/>
      <c r="I350" s="60"/>
      <c r="J350" s="60"/>
      <c r="K350" s="61"/>
      <c r="L350" s="61"/>
      <c r="M350" s="61"/>
      <c r="N350" s="61"/>
      <c r="O350" s="62"/>
      <c r="P350" s="62"/>
      <c r="Q350" s="62"/>
      <c r="S350" s="64"/>
      <c r="T350" s="64"/>
      <c r="U350" s="64"/>
      <c r="W350" s="66"/>
      <c r="Y350" s="66"/>
      <c r="Z350" s="66"/>
      <c r="AA350" s="68"/>
      <c r="AB350" s="66"/>
      <c r="AE350" s="66"/>
      <c r="AH350" s="68"/>
      <c r="AI350" s="66"/>
      <c r="AJ350" s="62"/>
      <c r="AK350" s="62"/>
      <c r="AL350" s="62"/>
      <c r="AM350" s="62"/>
      <c r="AN350" s="62"/>
      <c r="AO350" s="62"/>
      <c r="AP350" s="62"/>
      <c r="AQ350" s="62"/>
      <c r="AR350" s="62"/>
      <c r="AS350" s="62"/>
      <c r="AT350" s="62"/>
      <c r="AU350" s="69"/>
    </row>
    <row r="351" spans="2:47" x14ac:dyDescent="0.35">
      <c r="B351" s="59"/>
      <c r="C351" s="59"/>
      <c r="D351" s="60"/>
      <c r="E351" s="60"/>
      <c r="F351" s="60"/>
      <c r="G351" s="60"/>
      <c r="H351" s="60"/>
      <c r="I351" s="60"/>
      <c r="J351" s="60"/>
      <c r="K351" s="61"/>
      <c r="L351" s="61"/>
      <c r="M351" s="61"/>
      <c r="N351" s="61"/>
      <c r="O351" s="62"/>
      <c r="P351" s="62"/>
      <c r="Q351" s="62"/>
      <c r="S351" s="64"/>
      <c r="T351" s="64"/>
      <c r="U351" s="64"/>
      <c r="W351" s="66"/>
      <c r="Y351" s="66"/>
      <c r="Z351" s="66"/>
      <c r="AA351" s="68"/>
      <c r="AB351" s="66"/>
      <c r="AE351" s="66"/>
      <c r="AH351" s="68"/>
      <c r="AI351" s="66"/>
      <c r="AJ351" s="62"/>
      <c r="AK351" s="62"/>
      <c r="AL351" s="62"/>
      <c r="AM351" s="62"/>
      <c r="AN351" s="62"/>
      <c r="AO351" s="62"/>
      <c r="AP351" s="62"/>
      <c r="AQ351" s="62"/>
      <c r="AR351" s="62"/>
      <c r="AS351" s="62"/>
      <c r="AT351" s="62"/>
      <c r="AU351" s="69"/>
    </row>
    <row r="352" spans="2:47" x14ac:dyDescent="0.35">
      <c r="B352" s="59"/>
      <c r="C352" s="59"/>
      <c r="D352" s="60"/>
      <c r="E352" s="60"/>
      <c r="F352" s="60"/>
      <c r="G352" s="60"/>
      <c r="H352" s="60"/>
      <c r="I352" s="60"/>
      <c r="J352" s="60"/>
      <c r="K352" s="61"/>
      <c r="L352" s="61"/>
      <c r="M352" s="61"/>
      <c r="N352" s="61"/>
      <c r="O352" s="62"/>
      <c r="P352" s="62"/>
      <c r="Q352" s="62"/>
      <c r="S352" s="64"/>
      <c r="T352" s="64"/>
      <c r="U352" s="64"/>
      <c r="W352" s="66"/>
      <c r="Y352" s="66"/>
      <c r="Z352" s="66"/>
      <c r="AA352" s="68"/>
      <c r="AB352" s="66"/>
      <c r="AE352" s="66"/>
      <c r="AH352" s="68"/>
      <c r="AI352" s="66"/>
      <c r="AJ352" s="62"/>
      <c r="AK352" s="62"/>
      <c r="AL352" s="62"/>
      <c r="AM352" s="62"/>
      <c r="AN352" s="62"/>
      <c r="AO352" s="62"/>
      <c r="AP352" s="62"/>
      <c r="AQ352" s="62"/>
      <c r="AR352" s="62"/>
      <c r="AS352" s="62"/>
      <c r="AT352" s="62"/>
      <c r="AU352" s="69"/>
    </row>
    <row r="353" spans="2:47" x14ac:dyDescent="0.35">
      <c r="B353" s="59"/>
      <c r="C353" s="59"/>
      <c r="D353" s="60"/>
      <c r="E353" s="60"/>
      <c r="F353" s="60"/>
      <c r="G353" s="60"/>
      <c r="H353" s="60"/>
      <c r="I353" s="60"/>
      <c r="J353" s="60"/>
      <c r="K353" s="61"/>
      <c r="L353" s="61"/>
      <c r="M353" s="61"/>
      <c r="N353" s="61"/>
      <c r="O353" s="62"/>
      <c r="P353" s="62"/>
      <c r="Q353" s="62"/>
      <c r="S353" s="64"/>
      <c r="T353" s="64"/>
      <c r="U353" s="64"/>
      <c r="W353" s="66"/>
      <c r="Y353" s="66"/>
      <c r="Z353" s="66"/>
      <c r="AA353" s="68"/>
      <c r="AB353" s="66"/>
      <c r="AE353" s="66"/>
      <c r="AH353" s="68"/>
      <c r="AI353" s="66"/>
      <c r="AJ353" s="62"/>
      <c r="AK353" s="62"/>
      <c r="AL353" s="62"/>
      <c r="AM353" s="62"/>
      <c r="AN353" s="62"/>
      <c r="AO353" s="62"/>
      <c r="AP353" s="62"/>
      <c r="AQ353" s="62"/>
      <c r="AR353" s="62"/>
      <c r="AS353" s="62"/>
      <c r="AT353" s="62"/>
      <c r="AU353" s="69"/>
    </row>
    <row r="354" spans="2:47" x14ac:dyDescent="0.35">
      <c r="B354" s="59"/>
      <c r="C354" s="59"/>
      <c r="D354" s="60"/>
      <c r="E354" s="60"/>
      <c r="F354" s="60"/>
      <c r="G354" s="60"/>
      <c r="H354" s="60"/>
      <c r="I354" s="60"/>
      <c r="J354" s="60"/>
      <c r="K354" s="61"/>
      <c r="L354" s="61"/>
      <c r="M354" s="61"/>
      <c r="N354" s="61"/>
      <c r="O354" s="62"/>
      <c r="P354" s="62"/>
      <c r="Q354" s="62"/>
      <c r="S354" s="64"/>
      <c r="T354" s="64"/>
      <c r="U354" s="64"/>
      <c r="W354" s="66"/>
      <c r="Y354" s="66"/>
      <c r="Z354" s="66"/>
      <c r="AA354" s="68"/>
      <c r="AB354" s="66"/>
      <c r="AE354" s="66"/>
      <c r="AH354" s="68"/>
      <c r="AI354" s="66"/>
      <c r="AJ354" s="62"/>
      <c r="AK354" s="62"/>
      <c r="AL354" s="62"/>
      <c r="AM354" s="62"/>
      <c r="AN354" s="62"/>
      <c r="AO354" s="62"/>
      <c r="AP354" s="62"/>
      <c r="AQ354" s="62"/>
      <c r="AR354" s="62"/>
      <c r="AS354" s="62"/>
      <c r="AT354" s="62"/>
      <c r="AU354" s="69"/>
    </row>
    <row r="355" spans="2:47" x14ac:dyDescent="0.35">
      <c r="B355" s="59"/>
      <c r="C355" s="59"/>
      <c r="D355" s="60"/>
      <c r="E355" s="60"/>
      <c r="F355" s="60"/>
      <c r="G355" s="60"/>
      <c r="H355" s="60"/>
      <c r="I355" s="60"/>
      <c r="J355" s="60"/>
      <c r="K355" s="61"/>
      <c r="L355" s="61"/>
      <c r="M355" s="61"/>
      <c r="N355" s="61"/>
      <c r="O355" s="62"/>
      <c r="P355" s="62"/>
      <c r="Q355" s="62"/>
      <c r="S355" s="64"/>
      <c r="T355" s="64"/>
      <c r="U355" s="64"/>
      <c r="W355" s="66"/>
      <c r="Y355" s="66"/>
      <c r="Z355" s="66"/>
      <c r="AA355" s="68"/>
      <c r="AB355" s="66"/>
      <c r="AE355" s="66"/>
      <c r="AH355" s="68"/>
      <c r="AI355" s="66"/>
      <c r="AJ355" s="62"/>
      <c r="AK355" s="62"/>
      <c r="AL355" s="62"/>
      <c r="AM355" s="62"/>
      <c r="AN355" s="62"/>
      <c r="AO355" s="62"/>
      <c r="AP355" s="62"/>
      <c r="AQ355" s="62"/>
      <c r="AR355" s="62"/>
      <c r="AS355" s="62"/>
      <c r="AT355" s="62"/>
      <c r="AU355" s="69"/>
    </row>
    <row r="356" spans="2:47" x14ac:dyDescent="0.35">
      <c r="B356" s="59"/>
      <c r="C356" s="59"/>
      <c r="D356" s="60"/>
      <c r="E356" s="60"/>
      <c r="F356" s="60"/>
      <c r="G356" s="60"/>
      <c r="H356" s="60"/>
      <c r="I356" s="60"/>
      <c r="J356" s="60"/>
      <c r="K356" s="61"/>
      <c r="L356" s="61"/>
      <c r="M356" s="61"/>
      <c r="N356" s="61"/>
      <c r="O356" s="62"/>
      <c r="P356" s="62"/>
      <c r="Q356" s="62"/>
      <c r="S356" s="64"/>
      <c r="T356" s="64"/>
      <c r="U356" s="64"/>
      <c r="W356" s="66"/>
      <c r="Y356" s="66"/>
      <c r="Z356" s="66"/>
      <c r="AA356" s="68"/>
      <c r="AB356" s="66"/>
      <c r="AE356" s="66"/>
      <c r="AH356" s="68"/>
      <c r="AI356" s="66"/>
      <c r="AJ356" s="62"/>
      <c r="AK356" s="62"/>
      <c r="AL356" s="62"/>
      <c r="AM356" s="62"/>
      <c r="AN356" s="62"/>
      <c r="AO356" s="62"/>
      <c r="AP356" s="62"/>
      <c r="AQ356" s="62"/>
      <c r="AR356" s="62"/>
      <c r="AS356" s="62"/>
      <c r="AT356" s="62"/>
      <c r="AU356" s="69"/>
    </row>
    <row r="357" spans="2:47" x14ac:dyDescent="0.35">
      <c r="B357" s="59"/>
      <c r="C357" s="59"/>
      <c r="D357" s="60"/>
      <c r="E357" s="60"/>
      <c r="F357" s="60"/>
      <c r="G357" s="60"/>
      <c r="H357" s="60"/>
      <c r="I357" s="60"/>
      <c r="J357" s="60"/>
      <c r="K357" s="61"/>
      <c r="L357" s="61"/>
      <c r="M357" s="61"/>
      <c r="N357" s="61"/>
      <c r="O357" s="62"/>
      <c r="P357" s="62"/>
      <c r="Q357" s="62"/>
      <c r="S357" s="64"/>
      <c r="T357" s="64"/>
      <c r="U357" s="64"/>
      <c r="W357" s="66"/>
      <c r="Y357" s="66"/>
      <c r="Z357" s="66"/>
      <c r="AA357" s="68"/>
      <c r="AB357" s="66"/>
      <c r="AE357" s="66"/>
      <c r="AH357" s="68"/>
      <c r="AI357" s="66"/>
      <c r="AJ357" s="62"/>
      <c r="AK357" s="62"/>
      <c r="AL357" s="62"/>
      <c r="AM357" s="62"/>
      <c r="AN357" s="62"/>
      <c r="AO357" s="62"/>
      <c r="AP357" s="62"/>
      <c r="AQ357" s="62"/>
      <c r="AR357" s="62"/>
      <c r="AS357" s="62"/>
      <c r="AT357" s="62"/>
      <c r="AU357" s="69"/>
    </row>
    <row r="358" spans="2:47" x14ac:dyDescent="0.35">
      <c r="B358" s="59"/>
      <c r="C358" s="59"/>
      <c r="D358" s="60"/>
      <c r="E358" s="60"/>
      <c r="F358" s="60"/>
      <c r="G358" s="60"/>
      <c r="H358" s="60"/>
      <c r="I358" s="60"/>
      <c r="J358" s="60"/>
      <c r="K358" s="61"/>
      <c r="L358" s="61"/>
      <c r="M358" s="61"/>
      <c r="N358" s="61"/>
      <c r="O358" s="62"/>
      <c r="P358" s="62"/>
      <c r="Q358" s="62"/>
      <c r="S358" s="64"/>
      <c r="T358" s="64"/>
      <c r="U358" s="64"/>
      <c r="W358" s="66"/>
      <c r="Y358" s="66"/>
      <c r="Z358" s="66"/>
      <c r="AA358" s="68"/>
      <c r="AB358" s="66"/>
      <c r="AE358" s="66"/>
      <c r="AH358" s="68"/>
      <c r="AI358" s="66"/>
      <c r="AJ358" s="62"/>
      <c r="AK358" s="62"/>
      <c r="AL358" s="62"/>
      <c r="AM358" s="62"/>
      <c r="AN358" s="62"/>
      <c r="AO358" s="62"/>
      <c r="AP358" s="62"/>
      <c r="AQ358" s="62"/>
      <c r="AR358" s="62"/>
      <c r="AS358" s="62"/>
      <c r="AT358" s="62"/>
      <c r="AU358" s="69"/>
    </row>
    <row r="359" spans="2:47" x14ac:dyDescent="0.35">
      <c r="B359" s="59"/>
      <c r="C359" s="59"/>
      <c r="D359" s="60"/>
      <c r="E359" s="60"/>
      <c r="F359" s="60"/>
      <c r="G359" s="60"/>
      <c r="H359" s="60"/>
      <c r="I359" s="60"/>
      <c r="J359" s="60"/>
      <c r="K359" s="61"/>
      <c r="L359" s="61"/>
      <c r="M359" s="61"/>
      <c r="N359" s="61"/>
      <c r="O359" s="62"/>
      <c r="P359" s="62"/>
      <c r="Q359" s="62"/>
      <c r="S359" s="64"/>
      <c r="T359" s="64"/>
      <c r="U359" s="64"/>
      <c r="W359" s="66"/>
      <c r="Y359" s="66"/>
      <c r="Z359" s="66"/>
      <c r="AA359" s="68"/>
      <c r="AB359" s="66"/>
      <c r="AE359" s="66"/>
      <c r="AH359" s="68"/>
      <c r="AI359" s="66"/>
      <c r="AJ359" s="62"/>
      <c r="AK359" s="62"/>
      <c r="AL359" s="62"/>
      <c r="AM359" s="62"/>
      <c r="AN359" s="62"/>
      <c r="AO359" s="62"/>
      <c r="AP359" s="62"/>
      <c r="AQ359" s="62"/>
      <c r="AR359" s="62"/>
      <c r="AS359" s="62"/>
      <c r="AT359" s="62"/>
      <c r="AU359" s="69"/>
    </row>
    <row r="360" spans="2:47" x14ac:dyDescent="0.35">
      <c r="B360" s="59"/>
      <c r="C360" s="59"/>
      <c r="D360" s="60"/>
      <c r="E360" s="60"/>
      <c r="F360" s="60"/>
      <c r="G360" s="60"/>
      <c r="H360" s="60"/>
      <c r="I360" s="60"/>
      <c r="J360" s="60"/>
      <c r="K360" s="61"/>
      <c r="L360" s="61"/>
      <c r="M360" s="61"/>
      <c r="N360" s="61"/>
      <c r="O360" s="62"/>
      <c r="P360" s="62"/>
      <c r="Q360" s="62"/>
      <c r="S360" s="64"/>
      <c r="T360" s="64"/>
      <c r="U360" s="64"/>
      <c r="W360" s="66"/>
      <c r="Y360" s="66"/>
      <c r="Z360" s="66"/>
      <c r="AA360" s="68"/>
      <c r="AB360" s="66"/>
      <c r="AE360" s="66"/>
      <c r="AH360" s="68"/>
      <c r="AI360" s="66"/>
      <c r="AJ360" s="62"/>
      <c r="AK360" s="62"/>
      <c r="AL360" s="62"/>
      <c r="AM360" s="62"/>
      <c r="AN360" s="62"/>
      <c r="AO360" s="62"/>
      <c r="AP360" s="62"/>
      <c r="AQ360" s="62"/>
      <c r="AR360" s="62"/>
      <c r="AS360" s="62"/>
      <c r="AT360" s="62"/>
      <c r="AU360" s="69"/>
    </row>
    <row r="361" spans="2:47" x14ac:dyDescent="0.35">
      <c r="B361" s="59"/>
      <c r="C361" s="59"/>
      <c r="D361" s="60"/>
      <c r="E361" s="60"/>
      <c r="F361" s="60"/>
      <c r="G361" s="60"/>
      <c r="H361" s="60"/>
      <c r="I361" s="60"/>
      <c r="J361" s="60"/>
      <c r="K361" s="61"/>
      <c r="L361" s="61"/>
      <c r="M361" s="61"/>
      <c r="N361" s="61"/>
      <c r="O361" s="62"/>
      <c r="P361" s="62"/>
      <c r="Q361" s="62"/>
      <c r="S361" s="64"/>
      <c r="T361" s="64"/>
      <c r="U361" s="64"/>
      <c r="W361" s="66"/>
      <c r="Y361" s="66"/>
      <c r="Z361" s="66"/>
      <c r="AA361" s="68"/>
      <c r="AB361" s="66"/>
      <c r="AE361" s="66"/>
      <c r="AH361" s="68"/>
      <c r="AI361" s="66"/>
      <c r="AJ361" s="62"/>
      <c r="AK361" s="62"/>
      <c r="AL361" s="62"/>
      <c r="AM361" s="62"/>
      <c r="AN361" s="62"/>
      <c r="AO361" s="62"/>
      <c r="AP361" s="62"/>
      <c r="AQ361" s="62"/>
      <c r="AR361" s="62"/>
      <c r="AS361" s="62"/>
      <c r="AT361" s="62"/>
      <c r="AU361" s="69"/>
    </row>
    <row r="362" spans="2:47" x14ac:dyDescent="0.35">
      <c r="B362" s="59"/>
      <c r="C362" s="59"/>
      <c r="D362" s="60"/>
      <c r="E362" s="60"/>
      <c r="F362" s="60"/>
      <c r="G362" s="60"/>
      <c r="H362" s="60"/>
      <c r="I362" s="60"/>
      <c r="J362" s="60"/>
      <c r="K362" s="61"/>
      <c r="L362" s="61"/>
      <c r="M362" s="61"/>
      <c r="N362" s="61"/>
      <c r="O362" s="62"/>
      <c r="P362" s="62"/>
      <c r="Q362" s="62"/>
      <c r="S362" s="64"/>
      <c r="T362" s="64"/>
      <c r="U362" s="64"/>
      <c r="W362" s="66"/>
      <c r="Y362" s="66"/>
      <c r="Z362" s="66"/>
      <c r="AA362" s="68"/>
      <c r="AB362" s="66"/>
      <c r="AE362" s="66"/>
      <c r="AH362" s="68"/>
      <c r="AI362" s="66"/>
      <c r="AJ362" s="62"/>
      <c r="AK362" s="62"/>
      <c r="AL362" s="62"/>
      <c r="AM362" s="62"/>
      <c r="AN362" s="62"/>
      <c r="AO362" s="62"/>
      <c r="AP362" s="62"/>
      <c r="AQ362" s="62"/>
      <c r="AR362" s="62"/>
      <c r="AS362" s="62"/>
      <c r="AT362" s="62"/>
      <c r="AU362" s="69"/>
    </row>
    <row r="363" spans="2:47" x14ac:dyDescent="0.35">
      <c r="B363" s="59"/>
      <c r="C363" s="59"/>
      <c r="D363" s="60"/>
      <c r="E363" s="60"/>
      <c r="F363" s="60"/>
      <c r="G363" s="60"/>
      <c r="H363" s="60"/>
      <c r="I363" s="60"/>
      <c r="J363" s="60"/>
      <c r="K363" s="61"/>
      <c r="L363" s="61"/>
      <c r="M363" s="61"/>
      <c r="N363" s="61"/>
      <c r="O363" s="62"/>
      <c r="P363" s="62"/>
      <c r="Q363" s="62"/>
      <c r="S363" s="64"/>
      <c r="T363" s="64"/>
      <c r="U363" s="64"/>
      <c r="W363" s="66"/>
      <c r="Y363" s="66"/>
      <c r="Z363" s="66"/>
      <c r="AA363" s="68"/>
      <c r="AB363" s="66"/>
      <c r="AE363" s="66"/>
      <c r="AH363" s="68"/>
      <c r="AI363" s="66"/>
      <c r="AJ363" s="62"/>
      <c r="AK363" s="62"/>
      <c r="AL363" s="62"/>
      <c r="AM363" s="62"/>
      <c r="AN363" s="62"/>
      <c r="AO363" s="62"/>
      <c r="AP363" s="62"/>
      <c r="AQ363" s="62"/>
      <c r="AR363" s="62"/>
      <c r="AS363" s="62"/>
      <c r="AT363" s="62"/>
      <c r="AU363" s="69"/>
    </row>
    <row r="364" spans="2:47" x14ac:dyDescent="0.35">
      <c r="B364" s="59"/>
      <c r="C364" s="59"/>
      <c r="D364" s="60"/>
      <c r="E364" s="60"/>
      <c r="F364" s="60"/>
      <c r="G364" s="60"/>
      <c r="H364" s="60"/>
      <c r="I364" s="60"/>
      <c r="J364" s="60"/>
      <c r="K364" s="61"/>
      <c r="L364" s="61"/>
      <c r="M364" s="61"/>
      <c r="N364" s="61"/>
      <c r="O364" s="62"/>
      <c r="P364" s="62"/>
      <c r="Q364" s="62"/>
      <c r="S364" s="64"/>
      <c r="T364" s="64"/>
      <c r="U364" s="64"/>
      <c r="W364" s="66"/>
      <c r="Y364" s="66"/>
      <c r="Z364" s="66"/>
      <c r="AA364" s="68"/>
      <c r="AB364" s="66"/>
      <c r="AE364" s="66"/>
      <c r="AH364" s="68"/>
      <c r="AI364" s="66"/>
      <c r="AJ364" s="62"/>
      <c r="AK364" s="62"/>
      <c r="AL364" s="62"/>
      <c r="AM364" s="62"/>
      <c r="AN364" s="62"/>
      <c r="AO364" s="62"/>
      <c r="AP364" s="62"/>
      <c r="AQ364" s="62"/>
      <c r="AR364" s="62"/>
      <c r="AS364" s="62"/>
      <c r="AT364" s="62"/>
      <c r="AU364" s="69"/>
    </row>
    <row r="365" spans="2:47" x14ac:dyDescent="0.35">
      <c r="B365" s="59"/>
      <c r="C365" s="59"/>
      <c r="D365" s="60"/>
      <c r="E365" s="60"/>
      <c r="F365" s="60"/>
      <c r="G365" s="60"/>
      <c r="H365" s="60"/>
      <c r="I365" s="60"/>
      <c r="J365" s="60"/>
      <c r="K365" s="61"/>
      <c r="L365" s="61"/>
      <c r="M365" s="61"/>
      <c r="N365" s="61"/>
      <c r="O365" s="62"/>
      <c r="P365" s="62"/>
      <c r="Q365" s="62"/>
      <c r="S365" s="64"/>
      <c r="T365" s="64"/>
      <c r="U365" s="64"/>
      <c r="W365" s="66"/>
      <c r="Y365" s="66"/>
      <c r="Z365" s="66"/>
      <c r="AA365" s="68"/>
      <c r="AB365" s="66"/>
      <c r="AE365" s="66"/>
      <c r="AH365" s="68"/>
      <c r="AI365" s="66"/>
      <c r="AJ365" s="62"/>
      <c r="AK365" s="62"/>
      <c r="AL365" s="62"/>
      <c r="AM365" s="62"/>
      <c r="AN365" s="62"/>
      <c r="AO365" s="62"/>
      <c r="AP365" s="62"/>
      <c r="AQ365" s="62"/>
      <c r="AR365" s="62"/>
      <c r="AS365" s="62"/>
      <c r="AT365" s="62"/>
      <c r="AU365" s="69"/>
    </row>
    <row r="366" spans="2:47" x14ac:dyDescent="0.35">
      <c r="B366" s="59"/>
      <c r="C366" s="59"/>
      <c r="D366" s="60"/>
      <c r="E366" s="60"/>
      <c r="F366" s="60"/>
      <c r="G366" s="60"/>
      <c r="H366" s="60"/>
      <c r="I366" s="60"/>
      <c r="J366" s="60"/>
      <c r="K366" s="61"/>
      <c r="L366" s="61"/>
      <c r="M366" s="61"/>
      <c r="N366" s="61"/>
      <c r="O366" s="62"/>
      <c r="P366" s="62"/>
      <c r="Q366" s="62"/>
      <c r="S366" s="64"/>
      <c r="T366" s="64"/>
      <c r="U366" s="64"/>
      <c r="W366" s="66"/>
      <c r="Y366" s="66"/>
      <c r="Z366" s="66"/>
      <c r="AA366" s="68"/>
      <c r="AB366" s="66"/>
      <c r="AE366" s="66"/>
      <c r="AH366" s="68"/>
      <c r="AI366" s="66"/>
      <c r="AJ366" s="62"/>
      <c r="AK366" s="62"/>
      <c r="AL366" s="62"/>
      <c r="AM366" s="62"/>
      <c r="AN366" s="62"/>
      <c r="AO366" s="62"/>
      <c r="AP366" s="62"/>
      <c r="AQ366" s="62"/>
      <c r="AR366" s="62"/>
      <c r="AS366" s="62"/>
      <c r="AT366" s="62"/>
      <c r="AU366" s="69"/>
    </row>
    <row r="367" spans="2:47" x14ac:dyDescent="0.35">
      <c r="B367" s="59"/>
      <c r="C367" s="59"/>
      <c r="D367" s="60"/>
      <c r="E367" s="60"/>
      <c r="F367" s="60"/>
      <c r="G367" s="60"/>
      <c r="H367" s="60"/>
      <c r="I367" s="60"/>
      <c r="J367" s="60"/>
      <c r="K367" s="61"/>
      <c r="L367" s="61"/>
      <c r="M367" s="61"/>
      <c r="N367" s="61"/>
      <c r="O367" s="62"/>
      <c r="P367" s="62"/>
      <c r="Q367" s="62"/>
      <c r="S367" s="64"/>
      <c r="T367" s="64"/>
      <c r="U367" s="64"/>
      <c r="W367" s="66"/>
      <c r="Y367" s="66"/>
      <c r="Z367" s="66"/>
      <c r="AA367" s="68"/>
      <c r="AB367" s="66"/>
      <c r="AE367" s="66"/>
      <c r="AH367" s="68"/>
      <c r="AI367" s="66"/>
      <c r="AJ367" s="62"/>
      <c r="AK367" s="62"/>
      <c r="AL367" s="62"/>
      <c r="AM367" s="62"/>
      <c r="AN367" s="62"/>
      <c r="AO367" s="62"/>
      <c r="AP367" s="62"/>
      <c r="AQ367" s="62"/>
      <c r="AR367" s="62"/>
      <c r="AS367" s="62"/>
      <c r="AT367" s="62"/>
      <c r="AU367" s="69"/>
    </row>
    <row r="368" spans="2:47" x14ac:dyDescent="0.35">
      <c r="B368" s="59"/>
      <c r="C368" s="59"/>
      <c r="D368" s="60"/>
      <c r="E368" s="60"/>
      <c r="F368" s="60"/>
      <c r="G368" s="60"/>
      <c r="H368" s="60"/>
      <c r="I368" s="60"/>
      <c r="J368" s="60"/>
      <c r="K368" s="61"/>
      <c r="L368" s="61"/>
      <c r="M368" s="61"/>
      <c r="N368" s="61"/>
      <c r="O368" s="62"/>
      <c r="P368" s="62"/>
      <c r="Q368" s="62"/>
      <c r="S368" s="64"/>
      <c r="T368" s="64"/>
      <c r="U368" s="64"/>
      <c r="W368" s="66"/>
      <c r="Y368" s="66"/>
      <c r="Z368" s="66"/>
      <c r="AA368" s="68"/>
      <c r="AB368" s="66"/>
      <c r="AE368" s="66"/>
      <c r="AH368" s="68"/>
      <c r="AI368" s="66"/>
      <c r="AJ368" s="62"/>
      <c r="AK368" s="62"/>
      <c r="AL368" s="62"/>
      <c r="AM368" s="62"/>
      <c r="AN368" s="62"/>
      <c r="AO368" s="62"/>
      <c r="AP368" s="62"/>
      <c r="AQ368" s="62"/>
      <c r="AR368" s="62"/>
      <c r="AS368" s="62"/>
      <c r="AT368" s="62"/>
      <c r="AU368" s="69"/>
    </row>
    <row r="369" spans="2:47" x14ac:dyDescent="0.35">
      <c r="B369" s="59"/>
      <c r="C369" s="59"/>
      <c r="D369" s="60"/>
      <c r="E369" s="60"/>
      <c r="F369" s="60"/>
      <c r="G369" s="60"/>
      <c r="H369" s="60"/>
      <c r="I369" s="60"/>
      <c r="J369" s="60"/>
      <c r="K369" s="61"/>
      <c r="L369" s="61"/>
      <c r="M369" s="61"/>
      <c r="N369" s="61"/>
      <c r="O369" s="62"/>
      <c r="P369" s="62"/>
      <c r="Q369" s="62"/>
      <c r="S369" s="64"/>
      <c r="T369" s="64"/>
      <c r="U369" s="64"/>
      <c r="W369" s="66"/>
      <c r="Y369" s="66"/>
      <c r="Z369" s="66"/>
      <c r="AA369" s="68"/>
      <c r="AB369" s="66"/>
      <c r="AE369" s="66"/>
      <c r="AH369" s="68"/>
      <c r="AI369" s="66"/>
      <c r="AJ369" s="62"/>
      <c r="AK369" s="62"/>
      <c r="AL369" s="62"/>
      <c r="AM369" s="62"/>
      <c r="AN369" s="62"/>
      <c r="AO369" s="62"/>
      <c r="AP369" s="62"/>
      <c r="AQ369" s="62"/>
      <c r="AR369" s="62"/>
      <c r="AS369" s="62"/>
      <c r="AT369" s="62"/>
      <c r="AU369" s="69"/>
    </row>
    <row r="370" spans="2:47" x14ac:dyDescent="0.35">
      <c r="B370" s="59"/>
      <c r="C370" s="59"/>
      <c r="D370" s="60"/>
      <c r="E370" s="60"/>
      <c r="F370" s="60"/>
      <c r="G370" s="60"/>
      <c r="H370" s="60"/>
      <c r="I370" s="60"/>
      <c r="J370" s="60"/>
      <c r="K370" s="61"/>
      <c r="L370" s="61"/>
      <c r="M370" s="61"/>
      <c r="N370" s="61"/>
      <c r="O370" s="62"/>
      <c r="P370" s="62"/>
      <c r="Q370" s="62"/>
      <c r="S370" s="64"/>
      <c r="T370" s="64"/>
      <c r="U370" s="64"/>
      <c r="W370" s="66"/>
      <c r="Y370" s="66"/>
      <c r="Z370" s="66"/>
      <c r="AA370" s="68"/>
      <c r="AB370" s="66"/>
      <c r="AE370" s="66"/>
      <c r="AH370" s="68"/>
      <c r="AI370" s="66"/>
      <c r="AJ370" s="62"/>
      <c r="AK370" s="62"/>
      <c r="AL370" s="62"/>
      <c r="AM370" s="62"/>
      <c r="AN370" s="62"/>
      <c r="AO370" s="62"/>
      <c r="AP370" s="62"/>
      <c r="AQ370" s="62"/>
      <c r="AR370" s="62"/>
      <c r="AS370" s="62"/>
      <c r="AT370" s="62"/>
      <c r="AU370" s="69"/>
    </row>
    <row r="371" spans="2:47" x14ac:dyDescent="0.35">
      <c r="B371" s="59"/>
      <c r="C371" s="59"/>
      <c r="D371" s="60"/>
      <c r="E371" s="60"/>
      <c r="F371" s="60"/>
      <c r="G371" s="60"/>
      <c r="H371" s="60"/>
      <c r="I371" s="60"/>
      <c r="J371" s="60"/>
      <c r="K371" s="61"/>
      <c r="L371" s="61"/>
      <c r="M371" s="61"/>
      <c r="N371" s="61"/>
      <c r="O371" s="62"/>
      <c r="P371" s="62"/>
      <c r="Q371" s="62"/>
      <c r="S371" s="64"/>
      <c r="T371" s="64"/>
      <c r="U371" s="64"/>
      <c r="W371" s="66"/>
      <c r="Y371" s="66"/>
      <c r="Z371" s="66"/>
      <c r="AA371" s="68"/>
      <c r="AB371" s="66"/>
      <c r="AE371" s="66"/>
      <c r="AH371" s="68"/>
      <c r="AI371" s="66"/>
      <c r="AJ371" s="62"/>
      <c r="AK371" s="62"/>
      <c r="AL371" s="62"/>
      <c r="AM371" s="62"/>
      <c r="AN371" s="62"/>
      <c r="AO371" s="62"/>
      <c r="AP371" s="62"/>
      <c r="AQ371" s="62"/>
      <c r="AR371" s="62"/>
      <c r="AS371" s="62"/>
      <c r="AT371" s="62"/>
      <c r="AU371" s="69"/>
    </row>
    <row r="372" spans="2:47" x14ac:dyDescent="0.35">
      <c r="B372" s="59"/>
      <c r="C372" s="59"/>
      <c r="D372" s="60"/>
      <c r="E372" s="60"/>
      <c r="F372" s="60"/>
      <c r="G372" s="60"/>
      <c r="H372" s="60"/>
      <c r="I372" s="60"/>
      <c r="J372" s="60"/>
      <c r="K372" s="61"/>
      <c r="L372" s="61"/>
      <c r="M372" s="61"/>
      <c r="N372" s="61"/>
      <c r="O372" s="62"/>
      <c r="P372" s="62"/>
      <c r="Q372" s="62"/>
      <c r="S372" s="64"/>
      <c r="T372" s="64"/>
      <c r="U372" s="64"/>
      <c r="W372" s="66"/>
      <c r="Y372" s="66"/>
      <c r="Z372" s="66"/>
      <c r="AA372" s="68"/>
      <c r="AB372" s="66"/>
      <c r="AE372" s="66"/>
      <c r="AH372" s="68"/>
      <c r="AI372" s="66"/>
      <c r="AJ372" s="62"/>
      <c r="AK372" s="62"/>
      <c r="AL372" s="62"/>
      <c r="AM372" s="62"/>
      <c r="AN372" s="62"/>
      <c r="AO372" s="62"/>
      <c r="AP372" s="62"/>
      <c r="AQ372" s="62"/>
      <c r="AR372" s="62"/>
      <c r="AS372" s="62"/>
      <c r="AT372" s="62"/>
      <c r="AU372" s="69"/>
    </row>
    <row r="373" spans="2:47" x14ac:dyDescent="0.35">
      <c r="B373" s="59"/>
      <c r="C373" s="59"/>
      <c r="D373" s="60"/>
      <c r="E373" s="60"/>
      <c r="F373" s="60"/>
      <c r="G373" s="60"/>
      <c r="H373" s="60"/>
      <c r="I373" s="60"/>
      <c r="J373" s="60"/>
      <c r="K373" s="61"/>
      <c r="L373" s="61"/>
      <c r="M373" s="61"/>
      <c r="N373" s="61"/>
      <c r="O373" s="62"/>
      <c r="P373" s="62"/>
      <c r="Q373" s="62"/>
      <c r="S373" s="64"/>
      <c r="T373" s="64"/>
      <c r="U373" s="64"/>
      <c r="W373" s="66"/>
      <c r="Y373" s="66"/>
      <c r="Z373" s="66"/>
      <c r="AA373" s="68"/>
      <c r="AB373" s="66"/>
      <c r="AE373" s="66"/>
      <c r="AH373" s="68"/>
      <c r="AI373" s="66"/>
      <c r="AJ373" s="62"/>
      <c r="AK373" s="62"/>
      <c r="AL373" s="62"/>
      <c r="AM373" s="62"/>
      <c r="AN373" s="62"/>
      <c r="AO373" s="62"/>
      <c r="AP373" s="62"/>
      <c r="AQ373" s="62"/>
      <c r="AR373" s="62"/>
      <c r="AS373" s="62"/>
      <c r="AT373" s="62"/>
      <c r="AU373" s="69"/>
    </row>
    <row r="374" spans="2:47" x14ac:dyDescent="0.35">
      <c r="B374" s="59"/>
      <c r="C374" s="59"/>
      <c r="D374" s="60"/>
      <c r="E374" s="60"/>
      <c r="F374" s="60"/>
      <c r="G374" s="60"/>
      <c r="H374" s="60"/>
      <c r="I374" s="60"/>
      <c r="J374" s="60"/>
      <c r="K374" s="61"/>
      <c r="L374" s="61"/>
      <c r="M374" s="61"/>
      <c r="N374" s="61"/>
      <c r="O374" s="62"/>
      <c r="P374" s="62"/>
      <c r="Q374" s="62"/>
      <c r="S374" s="64"/>
      <c r="T374" s="64"/>
      <c r="U374" s="64"/>
      <c r="W374" s="66"/>
      <c r="Y374" s="66"/>
      <c r="Z374" s="66"/>
      <c r="AA374" s="68"/>
      <c r="AB374" s="66"/>
      <c r="AE374" s="66"/>
      <c r="AH374" s="68"/>
      <c r="AI374" s="66"/>
      <c r="AJ374" s="62"/>
      <c r="AK374" s="62"/>
      <c r="AL374" s="62"/>
      <c r="AM374" s="62"/>
      <c r="AN374" s="62"/>
      <c r="AO374" s="62"/>
      <c r="AP374" s="62"/>
      <c r="AQ374" s="62"/>
      <c r="AR374" s="62"/>
      <c r="AS374" s="62"/>
      <c r="AT374" s="62"/>
      <c r="AU374" s="69"/>
    </row>
    <row r="375" spans="2:47" x14ac:dyDescent="0.35">
      <c r="B375" s="59"/>
      <c r="C375" s="59"/>
      <c r="D375" s="60"/>
      <c r="E375" s="60"/>
      <c r="F375" s="60"/>
      <c r="G375" s="60"/>
      <c r="H375" s="60"/>
      <c r="I375" s="60"/>
      <c r="J375" s="60"/>
      <c r="K375" s="61"/>
      <c r="L375" s="61"/>
      <c r="M375" s="61"/>
      <c r="N375" s="61"/>
      <c r="O375" s="62"/>
      <c r="P375" s="62"/>
      <c r="Q375" s="62"/>
      <c r="S375" s="64"/>
      <c r="T375" s="64"/>
      <c r="U375" s="64"/>
      <c r="W375" s="66"/>
      <c r="Y375" s="66"/>
      <c r="Z375" s="66"/>
      <c r="AA375" s="68"/>
      <c r="AB375" s="66"/>
      <c r="AE375" s="66"/>
      <c r="AH375" s="68"/>
      <c r="AI375" s="66"/>
      <c r="AJ375" s="62"/>
      <c r="AK375" s="62"/>
      <c r="AL375" s="62"/>
      <c r="AM375" s="62"/>
      <c r="AN375" s="62"/>
      <c r="AO375" s="62"/>
      <c r="AP375" s="62"/>
      <c r="AQ375" s="62"/>
      <c r="AR375" s="62"/>
      <c r="AS375" s="62"/>
      <c r="AT375" s="62"/>
      <c r="AU375" s="69"/>
    </row>
    <row r="376" spans="2:47" x14ac:dyDescent="0.35">
      <c r="B376" s="59"/>
      <c r="C376" s="59"/>
      <c r="D376" s="60"/>
      <c r="E376" s="60"/>
      <c r="F376" s="60"/>
      <c r="G376" s="60"/>
      <c r="H376" s="60"/>
      <c r="I376" s="60"/>
      <c r="J376" s="60"/>
      <c r="K376" s="61"/>
      <c r="L376" s="61"/>
      <c r="M376" s="61"/>
      <c r="N376" s="61"/>
      <c r="O376" s="62"/>
      <c r="P376" s="62"/>
      <c r="Q376" s="62"/>
      <c r="S376" s="64"/>
      <c r="T376" s="64"/>
      <c r="U376" s="64"/>
      <c r="W376" s="66"/>
      <c r="Y376" s="66"/>
      <c r="Z376" s="66"/>
      <c r="AA376" s="68"/>
      <c r="AB376" s="66"/>
      <c r="AE376" s="66"/>
      <c r="AH376" s="68"/>
      <c r="AI376" s="66"/>
      <c r="AJ376" s="62"/>
      <c r="AK376" s="62"/>
      <c r="AL376" s="62"/>
      <c r="AM376" s="62"/>
      <c r="AN376" s="62"/>
      <c r="AO376" s="62"/>
      <c r="AP376" s="62"/>
      <c r="AQ376" s="62"/>
      <c r="AR376" s="62"/>
      <c r="AS376" s="62"/>
      <c r="AT376" s="62"/>
      <c r="AU376" s="69"/>
    </row>
    <row r="377" spans="2:47" x14ac:dyDescent="0.35">
      <c r="B377" s="59"/>
      <c r="C377" s="59"/>
      <c r="D377" s="60"/>
      <c r="E377" s="60"/>
      <c r="F377" s="60"/>
      <c r="G377" s="60"/>
      <c r="H377" s="60"/>
      <c r="I377" s="60"/>
      <c r="J377" s="60"/>
      <c r="K377" s="61"/>
      <c r="L377" s="61"/>
      <c r="M377" s="61"/>
      <c r="N377" s="61"/>
      <c r="O377" s="62"/>
      <c r="P377" s="62"/>
      <c r="Q377" s="62"/>
      <c r="S377" s="64"/>
      <c r="T377" s="64"/>
      <c r="U377" s="64"/>
      <c r="W377" s="66"/>
      <c r="Y377" s="66"/>
      <c r="Z377" s="66"/>
      <c r="AA377" s="68"/>
      <c r="AB377" s="66"/>
      <c r="AE377" s="66"/>
      <c r="AH377" s="68"/>
      <c r="AI377" s="66"/>
      <c r="AJ377" s="62"/>
      <c r="AK377" s="62"/>
      <c r="AL377" s="62"/>
      <c r="AM377" s="62"/>
      <c r="AN377" s="62"/>
      <c r="AO377" s="62"/>
      <c r="AP377" s="62"/>
      <c r="AQ377" s="62"/>
      <c r="AR377" s="62"/>
      <c r="AS377" s="62"/>
      <c r="AT377" s="62"/>
      <c r="AU377" s="69"/>
    </row>
    <row r="378" spans="2:47" x14ac:dyDescent="0.35">
      <c r="B378" s="59"/>
      <c r="C378" s="59"/>
      <c r="D378" s="60"/>
      <c r="E378" s="60"/>
      <c r="F378" s="60"/>
      <c r="G378" s="60"/>
      <c r="H378" s="60"/>
      <c r="I378" s="60"/>
      <c r="J378" s="60"/>
      <c r="K378" s="61"/>
      <c r="L378" s="61"/>
      <c r="M378" s="61"/>
      <c r="N378" s="61"/>
      <c r="O378" s="62"/>
      <c r="P378" s="62"/>
      <c r="Q378" s="62"/>
      <c r="S378" s="64"/>
      <c r="T378" s="64"/>
      <c r="U378" s="64"/>
      <c r="W378" s="66"/>
      <c r="Y378" s="66"/>
      <c r="Z378" s="66"/>
      <c r="AA378" s="68"/>
      <c r="AB378" s="66"/>
      <c r="AE378" s="66"/>
      <c r="AH378" s="68"/>
      <c r="AI378" s="66"/>
      <c r="AJ378" s="62"/>
      <c r="AK378" s="62"/>
      <c r="AL378" s="62"/>
      <c r="AM378" s="62"/>
      <c r="AN378" s="62"/>
      <c r="AO378" s="62"/>
      <c r="AP378" s="62"/>
      <c r="AQ378" s="62"/>
      <c r="AR378" s="62"/>
      <c r="AS378" s="62"/>
      <c r="AT378" s="62"/>
      <c r="AU378" s="69"/>
    </row>
    <row r="379" spans="2:47" x14ac:dyDescent="0.35">
      <c r="B379" s="59"/>
      <c r="C379" s="59"/>
      <c r="D379" s="60"/>
      <c r="E379" s="60"/>
      <c r="F379" s="60"/>
      <c r="G379" s="60"/>
      <c r="H379" s="60"/>
      <c r="I379" s="60"/>
      <c r="J379" s="60"/>
      <c r="K379" s="61"/>
      <c r="L379" s="61"/>
      <c r="M379" s="61"/>
      <c r="N379" s="61"/>
      <c r="O379" s="62"/>
      <c r="P379" s="62"/>
      <c r="Q379" s="62"/>
      <c r="S379" s="64"/>
      <c r="T379" s="64"/>
      <c r="U379" s="64"/>
      <c r="W379" s="66"/>
      <c r="Y379" s="66"/>
      <c r="Z379" s="66"/>
      <c r="AA379" s="68"/>
      <c r="AB379" s="66"/>
      <c r="AE379" s="66"/>
      <c r="AH379" s="68"/>
      <c r="AI379" s="66"/>
      <c r="AJ379" s="62"/>
      <c r="AK379" s="62"/>
      <c r="AL379" s="62"/>
      <c r="AM379" s="62"/>
      <c r="AN379" s="62"/>
      <c r="AO379" s="62"/>
      <c r="AP379" s="62"/>
      <c r="AQ379" s="62"/>
      <c r="AR379" s="62"/>
      <c r="AS379" s="62"/>
      <c r="AT379" s="62"/>
      <c r="AU379" s="69"/>
    </row>
    <row r="380" spans="2:47" x14ac:dyDescent="0.35">
      <c r="B380" s="59"/>
      <c r="C380" s="59"/>
      <c r="D380" s="60"/>
      <c r="E380" s="60"/>
      <c r="F380" s="60"/>
      <c r="G380" s="60"/>
      <c r="H380" s="60"/>
      <c r="I380" s="60"/>
      <c r="J380" s="60"/>
      <c r="K380" s="61"/>
      <c r="L380" s="61"/>
      <c r="M380" s="61"/>
      <c r="N380" s="61"/>
      <c r="O380" s="62"/>
      <c r="P380" s="62"/>
      <c r="Q380" s="62"/>
      <c r="S380" s="64"/>
      <c r="T380" s="64"/>
      <c r="U380" s="64"/>
      <c r="W380" s="66"/>
      <c r="Y380" s="66"/>
      <c r="Z380" s="66"/>
      <c r="AA380" s="68"/>
      <c r="AB380" s="66"/>
      <c r="AE380" s="66"/>
      <c r="AH380" s="68"/>
      <c r="AI380" s="66"/>
      <c r="AJ380" s="62"/>
      <c r="AK380" s="62"/>
      <c r="AL380" s="62"/>
      <c r="AM380" s="62"/>
      <c r="AN380" s="62"/>
      <c r="AO380" s="62"/>
      <c r="AP380" s="62"/>
      <c r="AQ380" s="62"/>
      <c r="AR380" s="62"/>
      <c r="AS380" s="62"/>
      <c r="AT380" s="62"/>
      <c r="AU380" s="69"/>
    </row>
    <row r="381" spans="2:47" x14ac:dyDescent="0.35">
      <c r="B381" s="59"/>
      <c r="C381" s="59"/>
      <c r="D381" s="60"/>
      <c r="E381" s="60"/>
      <c r="F381" s="60"/>
      <c r="G381" s="60"/>
      <c r="H381" s="60"/>
      <c r="I381" s="60"/>
      <c r="J381" s="60"/>
      <c r="K381" s="61"/>
      <c r="L381" s="61"/>
      <c r="M381" s="61"/>
      <c r="N381" s="61"/>
      <c r="O381" s="62"/>
      <c r="P381" s="62"/>
      <c r="Q381" s="62"/>
      <c r="S381" s="64"/>
      <c r="T381" s="64"/>
      <c r="U381" s="64"/>
      <c r="W381" s="66"/>
      <c r="Y381" s="66"/>
      <c r="Z381" s="66"/>
      <c r="AA381" s="68"/>
      <c r="AB381" s="66"/>
      <c r="AE381" s="66"/>
      <c r="AH381" s="68"/>
      <c r="AI381" s="66"/>
      <c r="AJ381" s="62"/>
      <c r="AK381" s="62"/>
      <c r="AL381" s="62"/>
      <c r="AM381" s="62"/>
      <c r="AN381" s="62"/>
      <c r="AO381" s="62"/>
      <c r="AP381" s="62"/>
      <c r="AQ381" s="62"/>
      <c r="AR381" s="62"/>
      <c r="AS381" s="62"/>
      <c r="AT381" s="62"/>
      <c r="AU381" s="69"/>
    </row>
    <row r="382" spans="2:47" x14ac:dyDescent="0.35">
      <c r="B382" s="59"/>
      <c r="C382" s="59"/>
      <c r="D382" s="60"/>
      <c r="E382" s="60"/>
      <c r="F382" s="60"/>
      <c r="G382" s="60"/>
      <c r="H382" s="60"/>
      <c r="I382" s="60"/>
      <c r="J382" s="60"/>
      <c r="K382" s="61"/>
      <c r="L382" s="61"/>
      <c r="M382" s="61"/>
      <c r="N382" s="61"/>
      <c r="O382" s="62"/>
      <c r="P382" s="62"/>
      <c r="Q382" s="62"/>
      <c r="S382" s="64"/>
      <c r="T382" s="64"/>
      <c r="U382" s="64"/>
      <c r="W382" s="66"/>
      <c r="Y382" s="66"/>
      <c r="Z382" s="66"/>
      <c r="AA382" s="68"/>
      <c r="AB382" s="66"/>
      <c r="AE382" s="66"/>
      <c r="AH382" s="68"/>
      <c r="AI382" s="66"/>
      <c r="AJ382" s="62"/>
      <c r="AK382" s="62"/>
      <c r="AL382" s="62"/>
      <c r="AM382" s="62"/>
      <c r="AN382" s="62"/>
      <c r="AO382" s="62"/>
      <c r="AP382" s="62"/>
      <c r="AQ382" s="62"/>
      <c r="AR382" s="62"/>
      <c r="AS382" s="62"/>
      <c r="AT382" s="62"/>
      <c r="AU382" s="69"/>
    </row>
    <row r="383" spans="2:47" x14ac:dyDescent="0.35">
      <c r="B383" s="59"/>
      <c r="C383" s="59"/>
      <c r="D383" s="60"/>
      <c r="E383" s="60"/>
      <c r="F383" s="60"/>
      <c r="G383" s="60"/>
      <c r="H383" s="60"/>
      <c r="I383" s="60"/>
      <c r="J383" s="60"/>
      <c r="K383" s="61"/>
      <c r="L383" s="61"/>
      <c r="M383" s="61"/>
      <c r="N383" s="61"/>
      <c r="O383" s="62"/>
      <c r="P383" s="62"/>
      <c r="Q383" s="62"/>
      <c r="S383" s="64"/>
      <c r="T383" s="64"/>
      <c r="U383" s="64"/>
      <c r="W383" s="66"/>
      <c r="Y383" s="66"/>
      <c r="Z383" s="66"/>
      <c r="AA383" s="68"/>
      <c r="AB383" s="66"/>
      <c r="AE383" s="66"/>
      <c r="AH383" s="68"/>
      <c r="AI383" s="66"/>
      <c r="AJ383" s="62"/>
      <c r="AK383" s="62"/>
      <c r="AL383" s="62"/>
      <c r="AM383" s="62"/>
      <c r="AN383" s="62"/>
      <c r="AO383" s="62"/>
      <c r="AP383" s="62"/>
      <c r="AQ383" s="62"/>
      <c r="AR383" s="62"/>
      <c r="AS383" s="62"/>
      <c r="AT383" s="62"/>
      <c r="AU383" s="69"/>
    </row>
    <row r="384" spans="2:47" x14ac:dyDescent="0.35">
      <c r="B384" s="59"/>
      <c r="C384" s="59"/>
      <c r="D384" s="60"/>
      <c r="E384" s="60"/>
      <c r="F384" s="60"/>
      <c r="G384" s="60"/>
      <c r="H384" s="60"/>
      <c r="I384" s="60"/>
      <c r="J384" s="60"/>
      <c r="K384" s="61"/>
      <c r="L384" s="61"/>
      <c r="M384" s="61"/>
      <c r="N384" s="61"/>
      <c r="O384" s="62"/>
      <c r="P384" s="62"/>
      <c r="Q384" s="62"/>
      <c r="S384" s="64"/>
      <c r="T384" s="64"/>
      <c r="U384" s="64"/>
      <c r="W384" s="66"/>
      <c r="Y384" s="66"/>
      <c r="Z384" s="66"/>
      <c r="AA384" s="68"/>
      <c r="AB384" s="66"/>
      <c r="AE384" s="66"/>
      <c r="AH384" s="68"/>
      <c r="AI384" s="66"/>
      <c r="AJ384" s="62"/>
      <c r="AK384" s="62"/>
      <c r="AL384" s="62"/>
      <c r="AM384" s="62"/>
      <c r="AN384" s="62"/>
      <c r="AO384" s="62"/>
      <c r="AP384" s="62"/>
      <c r="AQ384" s="62"/>
      <c r="AR384" s="62"/>
      <c r="AS384" s="62"/>
      <c r="AT384" s="62"/>
      <c r="AU384" s="69"/>
    </row>
    <row r="385" spans="2:47" x14ac:dyDescent="0.35">
      <c r="B385" s="59"/>
      <c r="C385" s="59"/>
      <c r="D385" s="60"/>
      <c r="E385" s="60"/>
      <c r="F385" s="60"/>
      <c r="G385" s="60"/>
      <c r="H385" s="60"/>
      <c r="I385" s="60"/>
      <c r="J385" s="60"/>
      <c r="K385" s="61"/>
      <c r="L385" s="61"/>
      <c r="M385" s="61"/>
      <c r="N385" s="61"/>
      <c r="O385" s="62"/>
      <c r="P385" s="62"/>
      <c r="Q385" s="62"/>
      <c r="S385" s="64"/>
      <c r="T385" s="64"/>
      <c r="U385" s="64"/>
      <c r="W385" s="66"/>
      <c r="Y385" s="66"/>
      <c r="Z385" s="66"/>
      <c r="AA385" s="68"/>
      <c r="AB385" s="66"/>
      <c r="AE385" s="66"/>
      <c r="AH385" s="68"/>
      <c r="AI385" s="66"/>
      <c r="AJ385" s="62"/>
      <c r="AK385" s="62"/>
      <c r="AL385" s="62"/>
      <c r="AM385" s="62"/>
      <c r="AN385" s="62"/>
      <c r="AO385" s="62"/>
      <c r="AP385" s="62"/>
      <c r="AQ385" s="62"/>
      <c r="AR385" s="62"/>
      <c r="AS385" s="62"/>
      <c r="AT385" s="62"/>
      <c r="AU385" s="69"/>
    </row>
    <row r="386" spans="2:47" x14ac:dyDescent="0.35">
      <c r="B386" s="59"/>
      <c r="C386" s="59"/>
      <c r="D386" s="60"/>
      <c r="E386" s="60"/>
      <c r="F386" s="60"/>
      <c r="G386" s="60"/>
      <c r="H386" s="60"/>
      <c r="I386" s="60"/>
      <c r="J386" s="60"/>
      <c r="K386" s="61"/>
      <c r="L386" s="61"/>
      <c r="M386" s="61"/>
      <c r="N386" s="61"/>
      <c r="O386" s="62"/>
      <c r="P386" s="62"/>
      <c r="Q386" s="62"/>
      <c r="S386" s="64"/>
      <c r="T386" s="64"/>
      <c r="U386" s="64"/>
      <c r="W386" s="66"/>
      <c r="Y386" s="66"/>
      <c r="Z386" s="66"/>
      <c r="AA386" s="68"/>
      <c r="AB386" s="66"/>
      <c r="AE386" s="66"/>
      <c r="AH386" s="68"/>
      <c r="AI386" s="66"/>
      <c r="AJ386" s="62"/>
      <c r="AK386" s="62"/>
      <c r="AL386" s="62"/>
      <c r="AM386" s="62"/>
      <c r="AN386" s="62"/>
      <c r="AO386" s="62"/>
      <c r="AP386" s="62"/>
      <c r="AQ386" s="62"/>
      <c r="AR386" s="62"/>
      <c r="AS386" s="62"/>
      <c r="AT386" s="62"/>
      <c r="AU386" s="69"/>
    </row>
    <row r="387" spans="2:47" x14ac:dyDescent="0.35">
      <c r="B387" s="59"/>
      <c r="C387" s="59"/>
      <c r="D387" s="60"/>
      <c r="E387" s="60"/>
      <c r="F387" s="60"/>
      <c r="G387" s="60"/>
      <c r="H387" s="60"/>
      <c r="I387" s="60"/>
      <c r="J387" s="60"/>
      <c r="K387" s="61"/>
      <c r="L387" s="61"/>
      <c r="M387" s="61"/>
      <c r="N387" s="61"/>
      <c r="O387" s="62"/>
      <c r="P387" s="62"/>
      <c r="Q387" s="62"/>
      <c r="S387" s="64"/>
      <c r="T387" s="64"/>
      <c r="U387" s="64"/>
      <c r="W387" s="66"/>
      <c r="Y387" s="66"/>
      <c r="Z387" s="66"/>
      <c r="AA387" s="68"/>
      <c r="AB387" s="66"/>
      <c r="AE387" s="66"/>
      <c r="AH387" s="68"/>
      <c r="AI387" s="66"/>
      <c r="AJ387" s="62"/>
      <c r="AK387" s="62"/>
      <c r="AL387" s="62"/>
      <c r="AM387" s="62"/>
      <c r="AN387" s="62"/>
      <c r="AO387" s="62"/>
      <c r="AP387" s="62"/>
      <c r="AQ387" s="62"/>
      <c r="AR387" s="62"/>
      <c r="AS387" s="62"/>
      <c r="AT387" s="62"/>
      <c r="AU387" s="69"/>
    </row>
    <row r="388" spans="2:47" x14ac:dyDescent="0.35">
      <c r="B388" s="59"/>
      <c r="C388" s="59"/>
      <c r="D388" s="60"/>
      <c r="E388" s="60"/>
      <c r="F388" s="60"/>
      <c r="G388" s="60"/>
      <c r="H388" s="60"/>
      <c r="I388" s="60"/>
      <c r="J388" s="60"/>
      <c r="K388" s="61"/>
      <c r="L388" s="61"/>
      <c r="M388" s="61"/>
      <c r="N388" s="61"/>
      <c r="O388" s="62"/>
      <c r="P388" s="62"/>
      <c r="Q388" s="62"/>
      <c r="S388" s="64"/>
      <c r="T388" s="64"/>
      <c r="U388" s="64"/>
      <c r="W388" s="66"/>
      <c r="Y388" s="66"/>
      <c r="Z388" s="66"/>
      <c r="AA388" s="68"/>
      <c r="AB388" s="66"/>
      <c r="AE388" s="66"/>
      <c r="AH388" s="68"/>
      <c r="AI388" s="66"/>
      <c r="AJ388" s="62"/>
      <c r="AK388" s="62"/>
      <c r="AL388" s="62"/>
      <c r="AM388" s="62"/>
      <c r="AN388" s="62"/>
      <c r="AO388" s="62"/>
      <c r="AP388" s="62"/>
      <c r="AQ388" s="62"/>
      <c r="AR388" s="62"/>
      <c r="AS388" s="62"/>
      <c r="AT388" s="62"/>
      <c r="AU388" s="69"/>
    </row>
    <row r="389" spans="2:47" x14ac:dyDescent="0.35">
      <c r="B389" s="59"/>
      <c r="C389" s="59"/>
      <c r="D389" s="60"/>
      <c r="E389" s="60"/>
      <c r="F389" s="60"/>
      <c r="G389" s="60"/>
      <c r="H389" s="60"/>
      <c r="I389" s="60"/>
      <c r="J389" s="60"/>
      <c r="K389" s="61"/>
      <c r="L389" s="61"/>
      <c r="M389" s="61"/>
      <c r="N389" s="61"/>
      <c r="O389" s="62"/>
      <c r="P389" s="62"/>
      <c r="Q389" s="62"/>
      <c r="S389" s="64"/>
      <c r="T389" s="64"/>
      <c r="U389" s="64"/>
      <c r="W389" s="66"/>
      <c r="Y389" s="66"/>
      <c r="Z389" s="66"/>
      <c r="AA389" s="68"/>
      <c r="AB389" s="66"/>
      <c r="AE389" s="66"/>
      <c r="AH389" s="68"/>
      <c r="AI389" s="66"/>
      <c r="AJ389" s="62"/>
      <c r="AK389" s="62"/>
      <c r="AL389" s="62"/>
      <c r="AM389" s="62"/>
      <c r="AN389" s="62"/>
      <c r="AO389" s="62"/>
      <c r="AP389" s="62"/>
      <c r="AQ389" s="62"/>
      <c r="AR389" s="62"/>
      <c r="AS389" s="62"/>
      <c r="AT389" s="62"/>
      <c r="AU389" s="69"/>
    </row>
    <row r="390" spans="2:47" x14ac:dyDescent="0.35">
      <c r="B390" s="59"/>
      <c r="C390" s="59"/>
      <c r="D390" s="60"/>
      <c r="E390" s="60"/>
      <c r="F390" s="60"/>
      <c r="G390" s="60"/>
      <c r="H390" s="60"/>
      <c r="I390" s="60"/>
      <c r="J390" s="60"/>
      <c r="K390" s="61"/>
      <c r="L390" s="61"/>
      <c r="M390" s="61"/>
      <c r="N390" s="61"/>
      <c r="O390" s="62"/>
      <c r="P390" s="62"/>
      <c r="Q390" s="62"/>
      <c r="S390" s="64"/>
      <c r="T390" s="64"/>
      <c r="U390" s="64"/>
      <c r="W390" s="66"/>
      <c r="Y390" s="66"/>
      <c r="Z390" s="66"/>
      <c r="AA390" s="68"/>
      <c r="AB390" s="66"/>
      <c r="AE390" s="66"/>
      <c r="AH390" s="68"/>
      <c r="AI390" s="66"/>
      <c r="AJ390" s="62"/>
      <c r="AK390" s="62"/>
      <c r="AL390" s="62"/>
      <c r="AM390" s="62"/>
      <c r="AN390" s="62"/>
      <c r="AO390" s="62"/>
      <c r="AP390" s="62"/>
      <c r="AQ390" s="62"/>
      <c r="AR390" s="62"/>
      <c r="AS390" s="62"/>
      <c r="AT390" s="62"/>
      <c r="AU390" s="69"/>
    </row>
    <row r="391" spans="2:47" x14ac:dyDescent="0.35">
      <c r="B391" s="59"/>
      <c r="C391" s="59"/>
      <c r="D391" s="60"/>
      <c r="E391" s="60"/>
      <c r="F391" s="60"/>
      <c r="G391" s="60"/>
      <c r="H391" s="60"/>
      <c r="I391" s="60"/>
      <c r="J391" s="60"/>
      <c r="K391" s="61"/>
      <c r="L391" s="61"/>
      <c r="M391" s="61"/>
      <c r="N391" s="61"/>
      <c r="O391" s="62"/>
      <c r="P391" s="62"/>
      <c r="Q391" s="62"/>
      <c r="S391" s="64"/>
      <c r="T391" s="64"/>
      <c r="U391" s="64"/>
      <c r="W391" s="66"/>
      <c r="Y391" s="66"/>
      <c r="Z391" s="66"/>
      <c r="AA391" s="68"/>
      <c r="AB391" s="66"/>
      <c r="AE391" s="66"/>
      <c r="AH391" s="68"/>
      <c r="AI391" s="66"/>
      <c r="AJ391" s="62"/>
      <c r="AK391" s="62"/>
      <c r="AL391" s="62"/>
      <c r="AM391" s="62"/>
      <c r="AN391" s="62"/>
      <c r="AO391" s="62"/>
      <c r="AP391" s="62"/>
      <c r="AQ391" s="62"/>
      <c r="AR391" s="62"/>
      <c r="AS391" s="62"/>
      <c r="AT391" s="62"/>
      <c r="AU391" s="69"/>
    </row>
    <row r="392" spans="2:47" x14ac:dyDescent="0.35">
      <c r="B392" s="59"/>
      <c r="C392" s="59"/>
      <c r="D392" s="60"/>
      <c r="E392" s="60"/>
      <c r="F392" s="60"/>
      <c r="G392" s="60"/>
      <c r="H392" s="60"/>
      <c r="I392" s="60"/>
      <c r="J392" s="60"/>
      <c r="K392" s="61"/>
      <c r="L392" s="61"/>
      <c r="M392" s="61"/>
      <c r="N392" s="61"/>
      <c r="O392" s="62"/>
      <c r="P392" s="62"/>
      <c r="Q392" s="62"/>
      <c r="S392" s="64"/>
      <c r="T392" s="64"/>
      <c r="U392" s="64"/>
      <c r="W392" s="66"/>
      <c r="Y392" s="66"/>
      <c r="Z392" s="66"/>
      <c r="AA392" s="68"/>
      <c r="AB392" s="66"/>
      <c r="AE392" s="66"/>
      <c r="AH392" s="68"/>
      <c r="AI392" s="66"/>
      <c r="AJ392" s="62"/>
      <c r="AK392" s="62"/>
      <c r="AL392" s="62"/>
      <c r="AM392" s="62"/>
      <c r="AN392" s="62"/>
      <c r="AO392" s="62"/>
      <c r="AP392" s="62"/>
      <c r="AQ392" s="62"/>
      <c r="AR392" s="62"/>
      <c r="AS392" s="62"/>
      <c r="AT392" s="62"/>
      <c r="AU392" s="69"/>
    </row>
    <row r="393" spans="2:47" x14ac:dyDescent="0.35">
      <c r="B393" s="59"/>
      <c r="C393" s="59"/>
      <c r="D393" s="60"/>
      <c r="E393" s="60"/>
      <c r="F393" s="60"/>
      <c r="G393" s="60"/>
      <c r="H393" s="60"/>
      <c r="I393" s="60"/>
      <c r="J393" s="60"/>
      <c r="K393" s="61"/>
      <c r="L393" s="61"/>
      <c r="M393" s="61"/>
      <c r="N393" s="61"/>
      <c r="O393" s="62"/>
      <c r="P393" s="62"/>
      <c r="Q393" s="62"/>
      <c r="S393" s="64"/>
      <c r="T393" s="64"/>
      <c r="U393" s="64"/>
      <c r="W393" s="66"/>
      <c r="Y393" s="66"/>
      <c r="Z393" s="66"/>
      <c r="AA393" s="68"/>
      <c r="AB393" s="66"/>
      <c r="AE393" s="66"/>
      <c r="AH393" s="68"/>
      <c r="AI393" s="66"/>
      <c r="AJ393" s="62"/>
      <c r="AK393" s="62"/>
      <c r="AL393" s="62"/>
      <c r="AM393" s="62"/>
      <c r="AN393" s="62"/>
      <c r="AO393" s="62"/>
      <c r="AP393" s="62"/>
      <c r="AQ393" s="62"/>
      <c r="AR393" s="62"/>
      <c r="AS393" s="62"/>
      <c r="AT393" s="62"/>
      <c r="AU393" s="69"/>
    </row>
    <row r="394" spans="2:47" x14ac:dyDescent="0.35">
      <c r="B394" s="59"/>
      <c r="C394" s="59"/>
      <c r="D394" s="60"/>
      <c r="E394" s="60"/>
      <c r="F394" s="60"/>
      <c r="G394" s="60"/>
      <c r="H394" s="60"/>
      <c r="I394" s="60"/>
      <c r="J394" s="60"/>
      <c r="K394" s="61"/>
      <c r="L394" s="61"/>
      <c r="M394" s="61"/>
      <c r="N394" s="61"/>
      <c r="O394" s="62"/>
      <c r="P394" s="62"/>
      <c r="Q394" s="62"/>
      <c r="S394" s="64"/>
      <c r="T394" s="64"/>
      <c r="U394" s="64"/>
      <c r="W394" s="66"/>
      <c r="Y394" s="66"/>
      <c r="Z394" s="66"/>
      <c r="AA394" s="68"/>
      <c r="AB394" s="66"/>
      <c r="AE394" s="66"/>
      <c r="AH394" s="68"/>
      <c r="AI394" s="66"/>
      <c r="AJ394" s="62"/>
      <c r="AK394" s="62"/>
      <c r="AL394" s="62"/>
      <c r="AM394" s="62"/>
      <c r="AN394" s="62"/>
      <c r="AO394" s="62"/>
      <c r="AP394" s="62"/>
      <c r="AQ394" s="62"/>
      <c r="AR394" s="62"/>
      <c r="AS394" s="62"/>
      <c r="AT394" s="62"/>
      <c r="AU394" s="69"/>
    </row>
    <row r="395" spans="2:47" x14ac:dyDescent="0.35">
      <c r="B395" s="59"/>
      <c r="C395" s="59"/>
      <c r="D395" s="60"/>
      <c r="E395" s="60"/>
      <c r="F395" s="60"/>
      <c r="G395" s="60"/>
      <c r="H395" s="60"/>
      <c r="I395" s="60"/>
      <c r="J395" s="60"/>
      <c r="K395" s="61"/>
      <c r="L395" s="61"/>
      <c r="M395" s="61"/>
      <c r="N395" s="61"/>
      <c r="O395" s="62"/>
      <c r="P395" s="62"/>
      <c r="Q395" s="62"/>
      <c r="S395" s="64"/>
      <c r="T395" s="64"/>
      <c r="U395" s="64"/>
      <c r="W395" s="66"/>
      <c r="Y395" s="66"/>
      <c r="Z395" s="66"/>
      <c r="AA395" s="68"/>
      <c r="AB395" s="66"/>
      <c r="AE395" s="66"/>
      <c r="AH395" s="68"/>
      <c r="AI395" s="66"/>
      <c r="AJ395" s="62"/>
      <c r="AK395" s="62"/>
      <c r="AL395" s="62"/>
      <c r="AM395" s="62"/>
      <c r="AN395" s="62"/>
      <c r="AO395" s="62"/>
      <c r="AP395" s="62"/>
      <c r="AQ395" s="62"/>
      <c r="AR395" s="62"/>
      <c r="AS395" s="62"/>
      <c r="AT395" s="62"/>
      <c r="AU395" s="69"/>
    </row>
    <row r="396" spans="2:47" x14ac:dyDescent="0.35">
      <c r="B396" s="59"/>
      <c r="C396" s="59"/>
      <c r="D396" s="60"/>
      <c r="E396" s="60"/>
      <c r="F396" s="60"/>
      <c r="G396" s="60"/>
      <c r="H396" s="60"/>
      <c r="I396" s="60"/>
      <c r="J396" s="60"/>
      <c r="K396" s="61"/>
      <c r="L396" s="61"/>
      <c r="M396" s="61"/>
      <c r="N396" s="61"/>
      <c r="O396" s="62"/>
      <c r="P396" s="62"/>
      <c r="Q396" s="62"/>
      <c r="S396" s="64"/>
      <c r="T396" s="64"/>
      <c r="U396" s="64"/>
      <c r="W396" s="66"/>
      <c r="Y396" s="66"/>
      <c r="Z396" s="66"/>
      <c r="AA396" s="68"/>
      <c r="AB396" s="66"/>
      <c r="AE396" s="66"/>
      <c r="AH396" s="68"/>
      <c r="AI396" s="66"/>
      <c r="AJ396" s="62"/>
      <c r="AK396" s="62"/>
      <c r="AL396" s="62"/>
      <c r="AM396" s="62"/>
      <c r="AN396" s="62"/>
      <c r="AO396" s="62"/>
      <c r="AP396" s="62"/>
      <c r="AQ396" s="62"/>
      <c r="AR396" s="62"/>
      <c r="AS396" s="62"/>
      <c r="AT396" s="62"/>
      <c r="AU396" s="69"/>
    </row>
    <row r="397" spans="2:47" x14ac:dyDescent="0.35">
      <c r="B397" s="59"/>
      <c r="C397" s="59"/>
      <c r="D397" s="60"/>
      <c r="E397" s="60"/>
      <c r="F397" s="60"/>
      <c r="G397" s="60"/>
      <c r="H397" s="60"/>
      <c r="I397" s="60"/>
      <c r="J397" s="60"/>
      <c r="K397" s="61"/>
      <c r="L397" s="61"/>
      <c r="M397" s="61"/>
      <c r="N397" s="61"/>
      <c r="O397" s="62"/>
      <c r="P397" s="62"/>
      <c r="Q397" s="62"/>
      <c r="S397" s="64"/>
      <c r="T397" s="64"/>
      <c r="U397" s="64"/>
      <c r="W397" s="66"/>
      <c r="Y397" s="66"/>
      <c r="Z397" s="66"/>
      <c r="AA397" s="68"/>
      <c r="AB397" s="66"/>
      <c r="AE397" s="66"/>
      <c r="AH397" s="68"/>
      <c r="AI397" s="66"/>
      <c r="AJ397" s="62"/>
      <c r="AK397" s="62"/>
      <c r="AL397" s="62"/>
      <c r="AM397" s="62"/>
      <c r="AN397" s="62"/>
      <c r="AO397" s="62"/>
      <c r="AP397" s="62"/>
      <c r="AQ397" s="62"/>
      <c r="AR397" s="62"/>
      <c r="AS397" s="62"/>
      <c r="AT397" s="62"/>
      <c r="AU397" s="69"/>
    </row>
    <row r="398" spans="2:47" x14ac:dyDescent="0.35">
      <c r="B398" s="59"/>
      <c r="C398" s="59"/>
      <c r="D398" s="60"/>
      <c r="E398" s="60"/>
      <c r="F398" s="60"/>
      <c r="G398" s="60"/>
      <c r="H398" s="60"/>
      <c r="I398" s="60"/>
      <c r="J398" s="60"/>
      <c r="K398" s="61"/>
      <c r="L398" s="61"/>
      <c r="M398" s="61"/>
      <c r="N398" s="61"/>
      <c r="O398" s="62"/>
      <c r="P398" s="62"/>
      <c r="Q398" s="62"/>
      <c r="S398" s="64"/>
      <c r="T398" s="64"/>
      <c r="U398" s="64"/>
      <c r="W398" s="66"/>
      <c r="Y398" s="66"/>
      <c r="Z398" s="66"/>
      <c r="AA398" s="68"/>
      <c r="AB398" s="66"/>
      <c r="AE398" s="66"/>
      <c r="AH398" s="68"/>
      <c r="AI398" s="66"/>
      <c r="AJ398" s="62"/>
      <c r="AK398" s="62"/>
      <c r="AL398" s="62"/>
      <c r="AM398" s="62"/>
      <c r="AN398" s="62"/>
      <c r="AO398" s="62"/>
      <c r="AP398" s="62"/>
      <c r="AQ398" s="62"/>
      <c r="AR398" s="62"/>
      <c r="AS398" s="62"/>
      <c r="AT398" s="62"/>
      <c r="AU398" s="69"/>
    </row>
    <row r="399" spans="2:47" x14ac:dyDescent="0.35">
      <c r="B399" s="59"/>
      <c r="C399" s="59"/>
      <c r="D399" s="60"/>
      <c r="E399" s="60"/>
      <c r="F399" s="60"/>
      <c r="G399" s="60"/>
      <c r="H399" s="60"/>
      <c r="I399" s="60"/>
      <c r="J399" s="60"/>
      <c r="K399" s="61"/>
      <c r="L399" s="61"/>
      <c r="M399" s="61"/>
      <c r="N399" s="61"/>
      <c r="O399" s="62"/>
      <c r="P399" s="62"/>
      <c r="Q399" s="62"/>
      <c r="S399" s="64"/>
      <c r="T399" s="64"/>
      <c r="U399" s="64"/>
      <c r="W399" s="66"/>
      <c r="Y399" s="66"/>
      <c r="Z399" s="66"/>
      <c r="AA399" s="68"/>
      <c r="AB399" s="66"/>
      <c r="AE399" s="66"/>
      <c r="AH399" s="68"/>
      <c r="AI399" s="66"/>
      <c r="AJ399" s="62"/>
      <c r="AK399" s="62"/>
      <c r="AL399" s="62"/>
      <c r="AM399" s="62"/>
      <c r="AN399" s="62"/>
      <c r="AO399" s="62"/>
      <c r="AP399" s="62"/>
      <c r="AQ399" s="62"/>
      <c r="AR399" s="62"/>
      <c r="AS399" s="62"/>
      <c r="AT399" s="62"/>
      <c r="AU399" s="69"/>
    </row>
    <row r="400" spans="2:47" x14ac:dyDescent="0.35">
      <c r="B400" s="59"/>
      <c r="C400" s="59"/>
      <c r="D400" s="60"/>
      <c r="E400" s="60"/>
      <c r="F400" s="60"/>
      <c r="G400" s="60"/>
      <c r="H400" s="60"/>
      <c r="I400" s="60"/>
      <c r="J400" s="60"/>
      <c r="K400" s="61"/>
      <c r="L400" s="61"/>
      <c r="M400" s="61"/>
      <c r="N400" s="61"/>
      <c r="O400" s="62"/>
      <c r="P400" s="62"/>
      <c r="Q400" s="62"/>
      <c r="S400" s="64"/>
      <c r="T400" s="64"/>
      <c r="U400" s="64"/>
      <c r="W400" s="66"/>
      <c r="Y400" s="66"/>
      <c r="Z400" s="66"/>
      <c r="AA400" s="68"/>
      <c r="AB400" s="66"/>
      <c r="AE400" s="66"/>
      <c r="AH400" s="68"/>
      <c r="AI400" s="66"/>
      <c r="AJ400" s="62"/>
      <c r="AK400" s="62"/>
      <c r="AL400" s="62"/>
      <c r="AM400" s="62"/>
      <c r="AN400" s="62"/>
      <c r="AO400" s="62"/>
      <c r="AP400" s="62"/>
      <c r="AQ400" s="62"/>
      <c r="AR400" s="62"/>
      <c r="AS400" s="62"/>
      <c r="AT400" s="62"/>
      <c r="AU400" s="69"/>
    </row>
    <row r="401" spans="2:47" x14ac:dyDescent="0.35">
      <c r="B401" s="59"/>
      <c r="C401" s="59"/>
      <c r="D401" s="60"/>
      <c r="E401" s="60"/>
      <c r="F401" s="60"/>
      <c r="G401" s="60"/>
      <c r="H401" s="60"/>
      <c r="I401" s="60"/>
      <c r="J401" s="60"/>
      <c r="K401" s="61"/>
      <c r="L401" s="61"/>
      <c r="M401" s="61"/>
      <c r="N401" s="61"/>
      <c r="O401" s="62"/>
      <c r="P401" s="62"/>
      <c r="Q401" s="62"/>
      <c r="S401" s="64"/>
      <c r="T401" s="64"/>
      <c r="U401" s="64"/>
      <c r="W401" s="66"/>
      <c r="Y401" s="66"/>
      <c r="Z401" s="66"/>
      <c r="AA401" s="68"/>
      <c r="AB401" s="66"/>
      <c r="AE401" s="66"/>
      <c r="AH401" s="68"/>
      <c r="AI401" s="66"/>
      <c r="AJ401" s="62"/>
      <c r="AK401" s="62"/>
      <c r="AL401" s="62"/>
      <c r="AM401" s="62"/>
      <c r="AN401" s="62"/>
      <c r="AO401" s="62"/>
      <c r="AP401" s="62"/>
      <c r="AQ401" s="62"/>
      <c r="AR401" s="62"/>
      <c r="AS401" s="62"/>
      <c r="AT401" s="62"/>
      <c r="AU401" s="69"/>
    </row>
    <row r="402" spans="2:47" x14ac:dyDescent="0.35">
      <c r="B402" s="59"/>
      <c r="C402" s="59"/>
      <c r="D402" s="60"/>
      <c r="E402" s="60"/>
      <c r="F402" s="60"/>
      <c r="G402" s="60"/>
      <c r="H402" s="60"/>
      <c r="I402" s="60"/>
      <c r="J402" s="60"/>
      <c r="K402" s="61"/>
      <c r="L402" s="61"/>
      <c r="M402" s="61"/>
      <c r="N402" s="61"/>
      <c r="O402" s="62"/>
      <c r="P402" s="62"/>
      <c r="Q402" s="62"/>
      <c r="S402" s="64"/>
      <c r="T402" s="64"/>
      <c r="U402" s="64"/>
      <c r="W402" s="66"/>
      <c r="Y402" s="66"/>
      <c r="Z402" s="66"/>
      <c r="AA402" s="68"/>
      <c r="AB402" s="66"/>
      <c r="AE402" s="66"/>
      <c r="AH402" s="68"/>
      <c r="AI402" s="66"/>
      <c r="AJ402" s="62"/>
      <c r="AK402" s="62"/>
      <c r="AL402" s="62"/>
      <c r="AM402" s="62"/>
      <c r="AN402" s="62"/>
      <c r="AO402" s="62"/>
      <c r="AP402" s="62"/>
      <c r="AQ402" s="62"/>
      <c r="AR402" s="62"/>
      <c r="AS402" s="62"/>
      <c r="AT402" s="62"/>
      <c r="AU402" s="69"/>
    </row>
    <row r="403" spans="2:47" x14ac:dyDescent="0.35">
      <c r="B403" s="59"/>
      <c r="C403" s="59"/>
      <c r="D403" s="60"/>
      <c r="E403" s="60"/>
      <c r="F403" s="60"/>
      <c r="G403" s="60"/>
      <c r="H403" s="60"/>
      <c r="I403" s="60"/>
      <c r="J403" s="60"/>
      <c r="K403" s="61"/>
      <c r="L403" s="61"/>
      <c r="M403" s="61"/>
      <c r="N403" s="61"/>
      <c r="O403" s="62"/>
      <c r="P403" s="62"/>
      <c r="Q403" s="62"/>
      <c r="S403" s="64"/>
      <c r="T403" s="64"/>
      <c r="U403" s="64"/>
      <c r="W403" s="66"/>
      <c r="Y403" s="66"/>
      <c r="Z403" s="66"/>
      <c r="AA403" s="68"/>
      <c r="AB403" s="66"/>
      <c r="AE403" s="66"/>
      <c r="AH403" s="68"/>
      <c r="AI403" s="66"/>
      <c r="AJ403" s="62"/>
      <c r="AK403" s="62"/>
      <c r="AL403" s="62"/>
      <c r="AM403" s="62"/>
      <c r="AN403" s="62"/>
      <c r="AO403" s="62"/>
      <c r="AP403" s="62"/>
      <c r="AQ403" s="62"/>
      <c r="AR403" s="62"/>
      <c r="AS403" s="62"/>
      <c r="AT403" s="62"/>
      <c r="AU403" s="69"/>
    </row>
    <row r="404" spans="2:47" x14ac:dyDescent="0.35">
      <c r="B404" s="59"/>
      <c r="C404" s="59"/>
      <c r="D404" s="60"/>
      <c r="E404" s="60"/>
      <c r="F404" s="60"/>
      <c r="G404" s="60"/>
      <c r="H404" s="60"/>
      <c r="I404" s="60"/>
      <c r="J404" s="60"/>
      <c r="K404" s="61"/>
      <c r="L404" s="61"/>
      <c r="M404" s="61"/>
      <c r="N404" s="61"/>
      <c r="O404" s="62"/>
      <c r="P404" s="62"/>
      <c r="Q404" s="62"/>
      <c r="S404" s="64"/>
      <c r="T404" s="64"/>
      <c r="U404" s="64"/>
      <c r="W404" s="66"/>
      <c r="Y404" s="66"/>
      <c r="Z404" s="66"/>
      <c r="AA404" s="68"/>
      <c r="AB404" s="66"/>
      <c r="AE404" s="66"/>
      <c r="AH404" s="68"/>
      <c r="AI404" s="66"/>
      <c r="AJ404" s="62"/>
      <c r="AK404" s="62"/>
      <c r="AL404" s="62"/>
      <c r="AM404" s="62"/>
      <c r="AN404" s="62"/>
      <c r="AO404" s="62"/>
      <c r="AP404" s="62"/>
      <c r="AQ404" s="62"/>
      <c r="AR404" s="62"/>
      <c r="AS404" s="62"/>
      <c r="AT404" s="62"/>
      <c r="AU404" s="69"/>
    </row>
    <row r="405" spans="2:47" x14ac:dyDescent="0.35">
      <c r="B405" s="59"/>
      <c r="C405" s="59"/>
      <c r="D405" s="60"/>
      <c r="E405" s="60"/>
      <c r="F405" s="60"/>
      <c r="G405" s="60"/>
      <c r="H405" s="60"/>
      <c r="I405" s="60"/>
      <c r="J405" s="60"/>
      <c r="K405" s="61"/>
      <c r="L405" s="61"/>
      <c r="M405" s="61"/>
      <c r="N405" s="61"/>
      <c r="O405" s="62"/>
      <c r="P405" s="62"/>
      <c r="Q405" s="62"/>
      <c r="S405" s="64"/>
      <c r="T405" s="64"/>
      <c r="U405" s="64"/>
      <c r="W405" s="66"/>
      <c r="Y405" s="66"/>
      <c r="Z405" s="66"/>
      <c r="AA405" s="68"/>
      <c r="AB405" s="66"/>
      <c r="AE405" s="66"/>
      <c r="AH405" s="68"/>
      <c r="AI405" s="66"/>
      <c r="AJ405" s="62"/>
      <c r="AK405" s="62"/>
      <c r="AL405" s="62"/>
      <c r="AM405" s="62"/>
      <c r="AN405" s="62"/>
      <c r="AO405" s="62"/>
      <c r="AP405" s="62"/>
      <c r="AQ405" s="62"/>
      <c r="AR405" s="62"/>
      <c r="AS405" s="62"/>
      <c r="AT405" s="62"/>
      <c r="AU405" s="69"/>
    </row>
    <row r="406" spans="2:47" x14ac:dyDescent="0.35">
      <c r="B406" s="59"/>
      <c r="C406" s="59"/>
      <c r="D406" s="60"/>
      <c r="E406" s="60"/>
      <c r="F406" s="60"/>
      <c r="G406" s="60"/>
      <c r="H406" s="60"/>
      <c r="I406" s="60"/>
      <c r="J406" s="60"/>
      <c r="K406" s="61"/>
      <c r="L406" s="61"/>
      <c r="M406" s="61"/>
      <c r="N406" s="61"/>
      <c r="O406" s="62"/>
      <c r="P406" s="62"/>
      <c r="Q406" s="62"/>
      <c r="S406" s="64"/>
      <c r="T406" s="64"/>
      <c r="U406" s="64"/>
      <c r="W406" s="66"/>
      <c r="Y406" s="66"/>
      <c r="Z406" s="66"/>
      <c r="AA406" s="68"/>
      <c r="AB406" s="66"/>
      <c r="AE406" s="66"/>
      <c r="AH406" s="68"/>
      <c r="AI406" s="66"/>
      <c r="AJ406" s="62"/>
      <c r="AK406" s="62"/>
      <c r="AL406" s="62"/>
      <c r="AM406" s="62"/>
      <c r="AN406" s="62"/>
      <c r="AO406" s="62"/>
      <c r="AP406" s="62"/>
      <c r="AQ406" s="62"/>
      <c r="AR406" s="62"/>
      <c r="AS406" s="62"/>
      <c r="AT406" s="62"/>
      <c r="AU406" s="69"/>
    </row>
    <row r="407" spans="2:47" x14ac:dyDescent="0.35">
      <c r="B407" s="59"/>
      <c r="C407" s="59"/>
      <c r="D407" s="60"/>
      <c r="E407" s="60"/>
      <c r="F407" s="60"/>
      <c r="G407" s="60"/>
      <c r="H407" s="60"/>
      <c r="I407" s="60"/>
      <c r="J407" s="60"/>
      <c r="K407" s="61"/>
      <c r="L407" s="61"/>
      <c r="M407" s="61"/>
      <c r="N407" s="61"/>
      <c r="O407" s="62"/>
      <c r="P407" s="62"/>
      <c r="Q407" s="62"/>
      <c r="S407" s="64"/>
      <c r="T407" s="64"/>
      <c r="U407" s="64"/>
      <c r="W407" s="66"/>
      <c r="Y407" s="66"/>
      <c r="Z407" s="66"/>
      <c r="AA407" s="68"/>
      <c r="AB407" s="66"/>
      <c r="AE407" s="66"/>
      <c r="AH407" s="68"/>
      <c r="AI407" s="66"/>
      <c r="AJ407" s="62"/>
      <c r="AK407" s="62"/>
      <c r="AL407" s="62"/>
      <c r="AM407" s="62"/>
      <c r="AN407" s="62"/>
      <c r="AO407" s="62"/>
      <c r="AP407" s="62"/>
      <c r="AQ407" s="62"/>
      <c r="AR407" s="62"/>
      <c r="AS407" s="62"/>
      <c r="AT407" s="62"/>
      <c r="AU407" s="69"/>
    </row>
    <row r="408" spans="2:47" x14ac:dyDescent="0.35">
      <c r="B408" s="59"/>
      <c r="C408" s="59"/>
      <c r="D408" s="60"/>
      <c r="E408" s="60"/>
      <c r="F408" s="60"/>
      <c r="G408" s="60"/>
      <c r="H408" s="60"/>
      <c r="I408" s="60"/>
      <c r="J408" s="60"/>
      <c r="K408" s="61"/>
      <c r="L408" s="61"/>
      <c r="M408" s="61"/>
      <c r="N408" s="61"/>
      <c r="O408" s="62"/>
      <c r="P408" s="62"/>
      <c r="Q408" s="62"/>
      <c r="S408" s="64"/>
      <c r="T408" s="64"/>
      <c r="U408" s="64"/>
      <c r="W408" s="66"/>
      <c r="Y408" s="66"/>
      <c r="Z408" s="66"/>
      <c r="AA408" s="68"/>
      <c r="AB408" s="66"/>
      <c r="AE408" s="66"/>
      <c r="AH408" s="68"/>
      <c r="AI408" s="66"/>
      <c r="AJ408" s="62"/>
      <c r="AK408" s="62"/>
      <c r="AL408" s="62"/>
      <c r="AM408" s="62"/>
      <c r="AN408" s="62"/>
      <c r="AO408" s="62"/>
      <c r="AP408" s="62"/>
      <c r="AQ408" s="62"/>
      <c r="AR408" s="62"/>
      <c r="AS408" s="62"/>
      <c r="AT408" s="62"/>
      <c r="AU408" s="69"/>
    </row>
    <row r="409" spans="2:47" x14ac:dyDescent="0.35">
      <c r="B409" s="59"/>
      <c r="C409" s="59"/>
      <c r="D409" s="60"/>
      <c r="E409" s="60"/>
      <c r="F409" s="60"/>
      <c r="G409" s="60"/>
      <c r="H409" s="60"/>
      <c r="I409" s="60"/>
      <c r="J409" s="60"/>
      <c r="K409" s="61"/>
      <c r="L409" s="61"/>
      <c r="M409" s="61"/>
      <c r="N409" s="61"/>
      <c r="O409" s="62"/>
      <c r="P409" s="62"/>
      <c r="Q409" s="62"/>
      <c r="S409" s="64"/>
      <c r="T409" s="64"/>
      <c r="U409" s="64"/>
      <c r="W409" s="66"/>
      <c r="Y409" s="66"/>
      <c r="Z409" s="66"/>
      <c r="AA409" s="68"/>
      <c r="AB409" s="66"/>
      <c r="AE409" s="66"/>
      <c r="AH409" s="68"/>
      <c r="AI409" s="66"/>
      <c r="AJ409" s="62"/>
      <c r="AK409" s="62"/>
      <c r="AL409" s="62"/>
      <c r="AM409" s="62"/>
      <c r="AN409" s="62"/>
      <c r="AO409" s="62"/>
      <c r="AP409" s="62"/>
      <c r="AQ409" s="62"/>
      <c r="AR409" s="62"/>
      <c r="AS409" s="62"/>
      <c r="AT409" s="62"/>
      <c r="AU409" s="69"/>
    </row>
    <row r="410" spans="2:47" x14ac:dyDescent="0.35">
      <c r="B410" s="59"/>
      <c r="C410" s="59"/>
      <c r="D410" s="60"/>
      <c r="E410" s="60"/>
      <c r="F410" s="60"/>
      <c r="G410" s="60"/>
      <c r="H410" s="60"/>
      <c r="I410" s="60"/>
      <c r="J410" s="60"/>
      <c r="K410" s="61"/>
      <c r="L410" s="61"/>
      <c r="M410" s="61"/>
      <c r="N410" s="61"/>
      <c r="O410" s="62"/>
      <c r="P410" s="62"/>
      <c r="Q410" s="62"/>
      <c r="S410" s="64"/>
      <c r="T410" s="64"/>
      <c r="U410" s="64"/>
      <c r="W410" s="66"/>
      <c r="Y410" s="66"/>
      <c r="Z410" s="66"/>
      <c r="AA410" s="68"/>
      <c r="AB410" s="66"/>
      <c r="AE410" s="66"/>
      <c r="AH410" s="68"/>
      <c r="AI410" s="66"/>
      <c r="AJ410" s="62"/>
      <c r="AK410" s="62"/>
      <c r="AL410" s="62"/>
      <c r="AM410" s="62"/>
      <c r="AN410" s="62"/>
      <c r="AO410" s="62"/>
      <c r="AP410" s="62"/>
      <c r="AQ410" s="62"/>
      <c r="AR410" s="62"/>
      <c r="AS410" s="62"/>
      <c r="AT410" s="62"/>
      <c r="AU410" s="69"/>
    </row>
    <row r="411" spans="2:47" x14ac:dyDescent="0.35">
      <c r="B411" s="59"/>
      <c r="C411" s="59"/>
      <c r="D411" s="60"/>
      <c r="E411" s="60"/>
      <c r="F411" s="60"/>
      <c r="G411" s="60"/>
      <c r="H411" s="60"/>
      <c r="I411" s="60"/>
      <c r="J411" s="60"/>
      <c r="K411" s="61"/>
      <c r="L411" s="61"/>
      <c r="M411" s="61"/>
      <c r="N411" s="61"/>
      <c r="O411" s="62"/>
      <c r="P411" s="62"/>
      <c r="Q411" s="62"/>
      <c r="S411" s="64"/>
      <c r="T411" s="64"/>
      <c r="U411" s="64"/>
      <c r="W411" s="66"/>
      <c r="Y411" s="66"/>
      <c r="Z411" s="66"/>
      <c r="AA411" s="68"/>
      <c r="AB411" s="66"/>
      <c r="AE411" s="66"/>
      <c r="AH411" s="68"/>
      <c r="AI411" s="66"/>
      <c r="AJ411" s="62"/>
      <c r="AK411" s="62"/>
      <c r="AL411" s="62"/>
      <c r="AM411" s="62"/>
      <c r="AN411" s="62"/>
      <c r="AO411" s="62"/>
      <c r="AP411" s="62"/>
      <c r="AQ411" s="62"/>
      <c r="AR411" s="62"/>
      <c r="AS411" s="62"/>
      <c r="AT411" s="62"/>
      <c r="AU411" s="69"/>
    </row>
    <row r="412" spans="2:47" x14ac:dyDescent="0.35">
      <c r="B412" s="59"/>
      <c r="C412" s="59"/>
      <c r="D412" s="60"/>
      <c r="E412" s="60"/>
      <c r="F412" s="60"/>
      <c r="G412" s="60"/>
      <c r="H412" s="60"/>
      <c r="I412" s="60"/>
      <c r="J412" s="60"/>
      <c r="K412" s="61"/>
      <c r="L412" s="61"/>
      <c r="M412" s="61"/>
      <c r="N412" s="61"/>
      <c r="O412" s="62"/>
      <c r="P412" s="62"/>
      <c r="Q412" s="62"/>
      <c r="S412" s="64"/>
      <c r="T412" s="64"/>
      <c r="U412" s="64"/>
      <c r="W412" s="66"/>
      <c r="Y412" s="66"/>
      <c r="Z412" s="66"/>
      <c r="AA412" s="68"/>
      <c r="AB412" s="66"/>
      <c r="AE412" s="66"/>
      <c r="AH412" s="68"/>
      <c r="AI412" s="66"/>
      <c r="AJ412" s="62"/>
      <c r="AK412" s="62"/>
      <c r="AL412" s="62"/>
      <c r="AM412" s="62"/>
      <c r="AN412" s="62"/>
      <c r="AO412" s="62"/>
      <c r="AP412" s="62"/>
      <c r="AQ412" s="62"/>
      <c r="AR412" s="62"/>
      <c r="AS412" s="62"/>
      <c r="AT412" s="62"/>
      <c r="AU412" s="69"/>
    </row>
    <row r="413" spans="2:47" x14ac:dyDescent="0.35">
      <c r="B413" s="59"/>
      <c r="C413" s="59"/>
      <c r="D413" s="60"/>
      <c r="E413" s="60"/>
      <c r="F413" s="60"/>
      <c r="G413" s="60"/>
      <c r="H413" s="60"/>
      <c r="I413" s="60"/>
      <c r="J413" s="60"/>
      <c r="K413" s="61"/>
      <c r="L413" s="61"/>
      <c r="M413" s="61"/>
      <c r="N413" s="61"/>
      <c r="O413" s="62"/>
      <c r="P413" s="62"/>
      <c r="Q413" s="62"/>
      <c r="S413" s="64"/>
      <c r="T413" s="64"/>
      <c r="U413" s="64"/>
      <c r="W413" s="66"/>
      <c r="Y413" s="66"/>
      <c r="Z413" s="66"/>
      <c r="AA413" s="68"/>
      <c r="AB413" s="66"/>
      <c r="AE413" s="66"/>
      <c r="AH413" s="68"/>
      <c r="AI413" s="66"/>
      <c r="AJ413" s="62"/>
      <c r="AK413" s="62"/>
      <c r="AL413" s="62"/>
      <c r="AM413" s="62"/>
      <c r="AN413" s="62"/>
      <c r="AO413" s="62"/>
      <c r="AP413" s="62"/>
      <c r="AQ413" s="62"/>
      <c r="AR413" s="62"/>
      <c r="AS413" s="62"/>
      <c r="AT413" s="62"/>
      <c r="AU413" s="69"/>
    </row>
    <row r="414" spans="2:47" x14ac:dyDescent="0.35">
      <c r="B414" s="59"/>
      <c r="C414" s="59"/>
      <c r="D414" s="60"/>
      <c r="E414" s="60"/>
      <c r="F414" s="60"/>
      <c r="G414" s="60"/>
      <c r="H414" s="60"/>
      <c r="I414" s="60"/>
      <c r="J414" s="60"/>
      <c r="K414" s="61"/>
      <c r="L414" s="61"/>
      <c r="M414" s="61"/>
      <c r="N414" s="61"/>
      <c r="O414" s="62"/>
      <c r="P414" s="62"/>
      <c r="Q414" s="62"/>
      <c r="S414" s="64"/>
      <c r="T414" s="64"/>
      <c r="U414" s="64"/>
      <c r="W414" s="66"/>
      <c r="Y414" s="66"/>
      <c r="Z414" s="66"/>
      <c r="AA414" s="68"/>
      <c r="AB414" s="66"/>
      <c r="AE414" s="66"/>
      <c r="AH414" s="68"/>
      <c r="AI414" s="66"/>
      <c r="AJ414" s="62"/>
      <c r="AK414" s="62"/>
      <c r="AL414" s="62"/>
      <c r="AM414" s="62"/>
      <c r="AN414" s="62"/>
      <c r="AO414" s="62"/>
      <c r="AP414" s="62"/>
      <c r="AQ414" s="62"/>
      <c r="AR414" s="62"/>
      <c r="AS414" s="62"/>
      <c r="AT414" s="62"/>
      <c r="AU414" s="69"/>
    </row>
    <row r="415" spans="2:47" x14ac:dyDescent="0.35">
      <c r="B415" s="59"/>
      <c r="C415" s="59"/>
      <c r="D415" s="60"/>
      <c r="E415" s="60"/>
      <c r="F415" s="60"/>
      <c r="G415" s="60"/>
      <c r="H415" s="60"/>
      <c r="I415" s="60"/>
      <c r="J415" s="60"/>
      <c r="K415" s="61"/>
      <c r="L415" s="61"/>
      <c r="M415" s="61"/>
      <c r="N415" s="61"/>
      <c r="O415" s="62"/>
      <c r="P415" s="62"/>
      <c r="Q415" s="62"/>
      <c r="S415" s="64"/>
      <c r="T415" s="64"/>
      <c r="U415" s="64"/>
      <c r="W415" s="66"/>
      <c r="Y415" s="66"/>
      <c r="Z415" s="66"/>
      <c r="AA415" s="68"/>
      <c r="AB415" s="66"/>
      <c r="AE415" s="66"/>
      <c r="AH415" s="68"/>
      <c r="AI415" s="66"/>
      <c r="AJ415" s="62"/>
      <c r="AK415" s="62"/>
      <c r="AL415" s="62"/>
      <c r="AM415" s="62"/>
      <c r="AN415" s="62"/>
      <c r="AO415" s="62"/>
      <c r="AP415" s="62"/>
      <c r="AQ415" s="62"/>
      <c r="AR415" s="62"/>
      <c r="AS415" s="62"/>
      <c r="AT415" s="62"/>
      <c r="AU415" s="69"/>
    </row>
    <row r="416" spans="2:47" x14ac:dyDescent="0.35">
      <c r="B416" s="59"/>
      <c r="C416" s="59"/>
      <c r="D416" s="60"/>
      <c r="E416" s="60"/>
      <c r="F416" s="60"/>
      <c r="G416" s="60"/>
      <c r="H416" s="60"/>
      <c r="I416" s="60"/>
      <c r="J416" s="60"/>
      <c r="K416" s="61"/>
      <c r="L416" s="61"/>
      <c r="M416" s="61"/>
      <c r="N416" s="61"/>
      <c r="O416" s="62"/>
      <c r="P416" s="62"/>
      <c r="Q416" s="62"/>
      <c r="S416" s="64"/>
      <c r="T416" s="64"/>
      <c r="U416" s="64"/>
      <c r="W416" s="66"/>
      <c r="Y416" s="66"/>
      <c r="Z416" s="66"/>
      <c r="AA416" s="68"/>
      <c r="AB416" s="66"/>
      <c r="AE416" s="66"/>
      <c r="AH416" s="68"/>
      <c r="AI416" s="66"/>
      <c r="AJ416" s="62"/>
      <c r="AK416" s="62"/>
      <c r="AL416" s="62"/>
      <c r="AM416" s="62"/>
      <c r="AN416" s="62"/>
      <c r="AO416" s="62"/>
      <c r="AP416" s="62"/>
      <c r="AQ416" s="62"/>
      <c r="AR416" s="62"/>
      <c r="AS416" s="62"/>
      <c r="AT416" s="62"/>
      <c r="AU416" s="69"/>
    </row>
    <row r="417" spans="2:47" x14ac:dyDescent="0.35">
      <c r="B417" s="59"/>
      <c r="C417" s="59"/>
      <c r="D417" s="60"/>
      <c r="E417" s="60"/>
      <c r="F417" s="60"/>
      <c r="G417" s="60"/>
      <c r="H417" s="60"/>
      <c r="I417" s="60"/>
      <c r="J417" s="60"/>
      <c r="K417" s="61"/>
      <c r="L417" s="61"/>
      <c r="M417" s="61"/>
      <c r="N417" s="61"/>
      <c r="O417" s="62"/>
      <c r="P417" s="62"/>
      <c r="Q417" s="62"/>
      <c r="S417" s="64"/>
      <c r="T417" s="64"/>
      <c r="U417" s="64"/>
      <c r="W417" s="66"/>
      <c r="Y417" s="66"/>
      <c r="Z417" s="66"/>
      <c r="AA417" s="68"/>
      <c r="AB417" s="66"/>
      <c r="AE417" s="66"/>
      <c r="AH417" s="68"/>
      <c r="AI417" s="66"/>
      <c r="AJ417" s="62"/>
      <c r="AK417" s="62"/>
      <c r="AL417" s="62"/>
      <c r="AM417" s="62"/>
      <c r="AN417" s="62"/>
      <c r="AO417" s="62"/>
      <c r="AP417" s="62"/>
      <c r="AQ417" s="62"/>
      <c r="AR417" s="62"/>
      <c r="AS417" s="62"/>
      <c r="AT417" s="62"/>
      <c r="AU417" s="69"/>
    </row>
    <row r="418" spans="2:47" x14ac:dyDescent="0.35">
      <c r="B418" s="59"/>
      <c r="C418" s="59"/>
      <c r="D418" s="60"/>
      <c r="E418" s="60"/>
      <c r="F418" s="60"/>
      <c r="G418" s="60"/>
      <c r="H418" s="60"/>
      <c r="I418" s="60"/>
      <c r="J418" s="60"/>
      <c r="K418" s="61"/>
      <c r="L418" s="61"/>
      <c r="M418" s="61"/>
      <c r="N418" s="61"/>
      <c r="O418" s="62"/>
      <c r="P418" s="62"/>
      <c r="Q418" s="62"/>
      <c r="S418" s="64"/>
      <c r="T418" s="64"/>
      <c r="U418" s="64"/>
      <c r="W418" s="66"/>
      <c r="Y418" s="66"/>
      <c r="Z418" s="66"/>
      <c r="AA418" s="68"/>
      <c r="AB418" s="66"/>
      <c r="AE418" s="66"/>
      <c r="AH418" s="68"/>
      <c r="AI418" s="66"/>
      <c r="AJ418" s="62"/>
      <c r="AK418" s="62"/>
      <c r="AL418" s="62"/>
      <c r="AM418" s="62"/>
      <c r="AN418" s="62"/>
      <c r="AO418" s="62"/>
      <c r="AP418" s="62"/>
      <c r="AQ418" s="62"/>
      <c r="AR418" s="62"/>
      <c r="AS418" s="62"/>
      <c r="AT418" s="62"/>
      <c r="AU418" s="69"/>
    </row>
    <row r="419" spans="2:47" x14ac:dyDescent="0.35">
      <c r="B419" s="59"/>
      <c r="C419" s="59"/>
      <c r="D419" s="60"/>
      <c r="E419" s="60"/>
      <c r="F419" s="60"/>
      <c r="G419" s="60"/>
      <c r="H419" s="60"/>
      <c r="I419" s="60"/>
      <c r="J419" s="60"/>
      <c r="K419" s="61"/>
      <c r="L419" s="61"/>
      <c r="M419" s="61"/>
      <c r="N419" s="61"/>
      <c r="O419" s="62"/>
      <c r="P419" s="62"/>
      <c r="Q419" s="62"/>
      <c r="S419" s="64"/>
      <c r="T419" s="64"/>
      <c r="U419" s="64"/>
      <c r="W419" s="66"/>
      <c r="Y419" s="66"/>
      <c r="Z419" s="66"/>
      <c r="AA419" s="68"/>
      <c r="AB419" s="66"/>
      <c r="AE419" s="66"/>
      <c r="AH419" s="68"/>
      <c r="AI419" s="66"/>
      <c r="AJ419" s="62"/>
      <c r="AK419" s="62"/>
      <c r="AL419" s="62"/>
      <c r="AM419" s="62"/>
      <c r="AN419" s="62"/>
      <c r="AO419" s="62"/>
      <c r="AP419" s="62"/>
      <c r="AQ419" s="62"/>
      <c r="AR419" s="62"/>
      <c r="AS419" s="62"/>
      <c r="AT419" s="62"/>
      <c r="AU419" s="69"/>
    </row>
    <row r="420" spans="2:47" x14ac:dyDescent="0.35">
      <c r="B420" s="59"/>
      <c r="C420" s="59"/>
      <c r="D420" s="60"/>
      <c r="E420" s="60"/>
      <c r="F420" s="60"/>
      <c r="G420" s="60"/>
      <c r="H420" s="60"/>
      <c r="I420" s="60"/>
      <c r="J420" s="60"/>
      <c r="K420" s="61"/>
      <c r="L420" s="61"/>
      <c r="M420" s="61"/>
      <c r="N420" s="61"/>
      <c r="O420" s="62"/>
      <c r="P420" s="62"/>
      <c r="Q420" s="62"/>
      <c r="S420" s="64"/>
      <c r="T420" s="64"/>
      <c r="U420" s="64"/>
      <c r="W420" s="66"/>
      <c r="Y420" s="66"/>
      <c r="Z420" s="66"/>
      <c r="AA420" s="68"/>
      <c r="AB420" s="66"/>
      <c r="AE420" s="66"/>
      <c r="AH420" s="68"/>
      <c r="AI420" s="66"/>
      <c r="AJ420" s="62"/>
      <c r="AK420" s="62"/>
      <c r="AL420" s="62"/>
      <c r="AM420" s="62"/>
      <c r="AN420" s="62"/>
      <c r="AO420" s="62"/>
      <c r="AP420" s="62"/>
      <c r="AQ420" s="62"/>
      <c r="AR420" s="62"/>
      <c r="AS420" s="62"/>
      <c r="AT420" s="62"/>
      <c r="AU420" s="69"/>
    </row>
    <row r="421" spans="2:47" x14ac:dyDescent="0.35">
      <c r="B421" s="59"/>
      <c r="C421" s="59"/>
      <c r="D421" s="60"/>
      <c r="E421" s="60"/>
      <c r="F421" s="60"/>
      <c r="G421" s="60"/>
      <c r="H421" s="60"/>
      <c r="I421" s="60"/>
      <c r="J421" s="60"/>
      <c r="K421" s="61"/>
      <c r="L421" s="61"/>
      <c r="M421" s="61"/>
      <c r="N421" s="61"/>
      <c r="O421" s="62"/>
      <c r="P421" s="62"/>
      <c r="Q421" s="62"/>
      <c r="S421" s="64"/>
      <c r="T421" s="64"/>
      <c r="U421" s="64"/>
      <c r="W421" s="66"/>
      <c r="Y421" s="66"/>
      <c r="Z421" s="66"/>
      <c r="AA421" s="68"/>
      <c r="AB421" s="66"/>
      <c r="AE421" s="66"/>
      <c r="AH421" s="68"/>
      <c r="AI421" s="66"/>
      <c r="AJ421" s="62"/>
      <c r="AK421" s="62"/>
      <c r="AL421" s="62"/>
      <c r="AM421" s="62"/>
      <c r="AN421" s="62"/>
      <c r="AO421" s="62"/>
      <c r="AP421" s="62"/>
      <c r="AQ421" s="62"/>
      <c r="AR421" s="62"/>
      <c r="AS421" s="62"/>
      <c r="AT421" s="62"/>
      <c r="AU421" s="69"/>
    </row>
    <row r="422" spans="2:47" x14ac:dyDescent="0.35">
      <c r="B422" s="59"/>
      <c r="C422" s="59"/>
      <c r="D422" s="60"/>
      <c r="E422" s="60"/>
      <c r="F422" s="60"/>
      <c r="G422" s="60"/>
      <c r="H422" s="60"/>
      <c r="I422" s="60"/>
      <c r="J422" s="60"/>
      <c r="K422" s="61"/>
      <c r="L422" s="61"/>
      <c r="M422" s="61"/>
      <c r="N422" s="61"/>
      <c r="O422" s="62"/>
      <c r="P422" s="62"/>
      <c r="Q422" s="62"/>
      <c r="S422" s="64"/>
      <c r="T422" s="64"/>
      <c r="U422" s="64"/>
      <c r="W422" s="66"/>
      <c r="Y422" s="66"/>
      <c r="Z422" s="66"/>
      <c r="AA422" s="68"/>
      <c r="AB422" s="66"/>
      <c r="AE422" s="66"/>
      <c r="AH422" s="68"/>
      <c r="AI422" s="66"/>
      <c r="AJ422" s="62"/>
      <c r="AK422" s="62"/>
      <c r="AL422" s="62"/>
      <c r="AM422" s="62"/>
      <c r="AN422" s="62"/>
      <c r="AO422" s="62"/>
      <c r="AP422" s="62"/>
      <c r="AQ422" s="62"/>
      <c r="AR422" s="62"/>
      <c r="AS422" s="62"/>
      <c r="AT422" s="62"/>
      <c r="AU422" s="69"/>
    </row>
    <row r="423" spans="2:47" x14ac:dyDescent="0.35">
      <c r="B423" s="59"/>
      <c r="C423" s="59"/>
      <c r="D423" s="60"/>
      <c r="E423" s="60"/>
      <c r="F423" s="60"/>
      <c r="G423" s="60"/>
      <c r="H423" s="60"/>
      <c r="I423" s="60"/>
      <c r="J423" s="60"/>
      <c r="K423" s="61"/>
      <c r="L423" s="61"/>
      <c r="M423" s="61"/>
      <c r="N423" s="61"/>
      <c r="O423" s="62"/>
      <c r="P423" s="62"/>
      <c r="Q423" s="62"/>
      <c r="S423" s="64"/>
      <c r="T423" s="64"/>
      <c r="U423" s="64"/>
      <c r="W423" s="66"/>
      <c r="Y423" s="66"/>
      <c r="Z423" s="66"/>
      <c r="AA423" s="68"/>
      <c r="AB423" s="66"/>
      <c r="AE423" s="66"/>
      <c r="AH423" s="68"/>
      <c r="AI423" s="66"/>
      <c r="AJ423" s="62"/>
      <c r="AK423" s="62"/>
      <c r="AL423" s="62"/>
      <c r="AM423" s="62"/>
      <c r="AN423" s="62"/>
      <c r="AO423" s="62"/>
      <c r="AP423" s="62"/>
      <c r="AQ423" s="62"/>
      <c r="AR423" s="62"/>
      <c r="AS423" s="62"/>
      <c r="AT423" s="62"/>
      <c r="AU423" s="69"/>
    </row>
    <row r="424" spans="2:47" x14ac:dyDescent="0.35">
      <c r="B424" s="59"/>
      <c r="C424" s="59"/>
      <c r="D424" s="60"/>
      <c r="E424" s="60"/>
      <c r="F424" s="60"/>
      <c r="G424" s="60"/>
      <c r="H424" s="60"/>
      <c r="I424" s="60"/>
      <c r="J424" s="60"/>
      <c r="K424" s="61"/>
      <c r="L424" s="61"/>
      <c r="M424" s="61"/>
      <c r="N424" s="61"/>
      <c r="O424" s="62"/>
      <c r="P424" s="62"/>
      <c r="Q424" s="62"/>
      <c r="S424" s="64"/>
      <c r="T424" s="64"/>
      <c r="U424" s="64"/>
      <c r="W424" s="66"/>
      <c r="Y424" s="66"/>
      <c r="Z424" s="66"/>
      <c r="AA424" s="68"/>
      <c r="AB424" s="66"/>
      <c r="AE424" s="66"/>
      <c r="AH424" s="68"/>
      <c r="AI424" s="66"/>
      <c r="AJ424" s="62"/>
      <c r="AK424" s="62"/>
      <c r="AL424" s="62"/>
      <c r="AM424" s="62"/>
      <c r="AN424" s="62"/>
      <c r="AO424" s="62"/>
      <c r="AP424" s="62"/>
      <c r="AQ424" s="62"/>
      <c r="AR424" s="62"/>
      <c r="AS424" s="62"/>
      <c r="AT424" s="62"/>
      <c r="AU424" s="69"/>
    </row>
    <row r="425" spans="2:47" x14ac:dyDescent="0.35">
      <c r="B425" s="59"/>
      <c r="C425" s="59"/>
      <c r="D425" s="60"/>
      <c r="E425" s="60"/>
      <c r="F425" s="60"/>
      <c r="G425" s="60"/>
      <c r="H425" s="60"/>
      <c r="I425" s="60"/>
      <c r="J425" s="60"/>
      <c r="K425" s="61"/>
      <c r="L425" s="61"/>
      <c r="M425" s="61"/>
      <c r="N425" s="61"/>
      <c r="O425" s="62"/>
      <c r="P425" s="62"/>
      <c r="Q425" s="62"/>
      <c r="S425" s="64"/>
      <c r="T425" s="64"/>
      <c r="U425" s="64"/>
      <c r="W425" s="66"/>
      <c r="Y425" s="66"/>
      <c r="Z425" s="66"/>
      <c r="AA425" s="68"/>
      <c r="AB425" s="66"/>
      <c r="AE425" s="66"/>
      <c r="AH425" s="68"/>
      <c r="AI425" s="66"/>
      <c r="AJ425" s="62"/>
      <c r="AK425" s="62"/>
      <c r="AL425" s="62"/>
      <c r="AM425" s="62"/>
      <c r="AN425" s="62"/>
      <c r="AO425" s="62"/>
      <c r="AP425" s="62"/>
      <c r="AQ425" s="62"/>
      <c r="AR425" s="62"/>
      <c r="AS425" s="62"/>
      <c r="AT425" s="62"/>
      <c r="AU425" s="69"/>
    </row>
    <row r="426" spans="2:47" x14ac:dyDescent="0.35">
      <c r="B426" s="59"/>
      <c r="C426" s="59"/>
      <c r="D426" s="60"/>
      <c r="E426" s="60"/>
      <c r="F426" s="60"/>
      <c r="G426" s="60"/>
      <c r="H426" s="60"/>
      <c r="I426" s="60"/>
      <c r="J426" s="60"/>
      <c r="K426" s="61"/>
      <c r="L426" s="61"/>
      <c r="M426" s="61"/>
      <c r="N426" s="61"/>
      <c r="O426" s="62"/>
      <c r="P426" s="62"/>
      <c r="Q426" s="62"/>
      <c r="S426" s="64"/>
      <c r="T426" s="64"/>
      <c r="U426" s="64"/>
      <c r="W426" s="66"/>
      <c r="Y426" s="66"/>
      <c r="Z426" s="66"/>
      <c r="AA426" s="68"/>
      <c r="AB426" s="66"/>
      <c r="AE426" s="66"/>
      <c r="AH426" s="68"/>
      <c r="AI426" s="66"/>
      <c r="AJ426" s="62"/>
      <c r="AK426" s="62"/>
      <c r="AL426" s="62"/>
      <c r="AM426" s="62"/>
      <c r="AN426" s="62"/>
      <c r="AO426" s="62"/>
      <c r="AP426" s="62"/>
      <c r="AQ426" s="62"/>
      <c r="AR426" s="62"/>
      <c r="AS426" s="62"/>
      <c r="AT426" s="62"/>
      <c r="AU426" s="69"/>
    </row>
    <row r="427" spans="2:47" x14ac:dyDescent="0.35">
      <c r="B427" s="59"/>
      <c r="C427" s="59"/>
      <c r="D427" s="60"/>
      <c r="E427" s="60"/>
      <c r="F427" s="60"/>
      <c r="G427" s="60"/>
      <c r="H427" s="60"/>
      <c r="I427" s="60"/>
      <c r="J427" s="60"/>
      <c r="K427" s="61"/>
      <c r="L427" s="61"/>
      <c r="M427" s="61"/>
      <c r="N427" s="61"/>
      <c r="O427" s="62"/>
      <c r="P427" s="62"/>
      <c r="Q427" s="62"/>
      <c r="S427" s="64"/>
      <c r="T427" s="64"/>
      <c r="U427" s="64"/>
      <c r="W427" s="66"/>
      <c r="Y427" s="66"/>
      <c r="Z427" s="66"/>
      <c r="AA427" s="68"/>
      <c r="AB427" s="66"/>
      <c r="AE427" s="66"/>
      <c r="AH427" s="68"/>
      <c r="AI427" s="66"/>
      <c r="AJ427" s="62"/>
      <c r="AK427" s="62"/>
      <c r="AL427" s="62"/>
      <c r="AM427" s="62"/>
      <c r="AN427" s="62"/>
      <c r="AO427" s="62"/>
      <c r="AP427" s="62"/>
      <c r="AQ427" s="62"/>
      <c r="AR427" s="62"/>
      <c r="AS427" s="62"/>
      <c r="AT427" s="62"/>
      <c r="AU427" s="69"/>
    </row>
    <row r="428" spans="2:47" x14ac:dyDescent="0.35">
      <c r="B428" s="59"/>
      <c r="C428" s="59"/>
      <c r="D428" s="60"/>
      <c r="E428" s="60"/>
      <c r="F428" s="60"/>
      <c r="G428" s="60"/>
      <c r="H428" s="60"/>
      <c r="I428" s="60"/>
      <c r="J428" s="60"/>
      <c r="K428" s="61"/>
      <c r="L428" s="61"/>
      <c r="M428" s="61"/>
      <c r="N428" s="61"/>
      <c r="O428" s="62"/>
      <c r="P428" s="62"/>
      <c r="Q428" s="62"/>
      <c r="S428" s="64"/>
      <c r="T428" s="64"/>
      <c r="U428" s="64"/>
      <c r="W428" s="66"/>
      <c r="Y428" s="66"/>
      <c r="Z428" s="66"/>
      <c r="AA428" s="68"/>
      <c r="AB428" s="66"/>
      <c r="AE428" s="66"/>
      <c r="AH428" s="68"/>
      <c r="AI428" s="66"/>
      <c r="AJ428" s="62"/>
      <c r="AK428" s="62"/>
      <c r="AL428" s="62"/>
      <c r="AM428" s="62"/>
      <c r="AN428" s="62"/>
      <c r="AO428" s="62"/>
      <c r="AP428" s="62"/>
      <c r="AQ428" s="62"/>
      <c r="AR428" s="62"/>
      <c r="AS428" s="62"/>
      <c r="AT428" s="62"/>
      <c r="AU428" s="69"/>
    </row>
    <row r="429" spans="2:47" x14ac:dyDescent="0.35">
      <c r="B429" s="59"/>
      <c r="C429" s="59"/>
      <c r="D429" s="60"/>
      <c r="E429" s="60"/>
      <c r="F429" s="60"/>
      <c r="G429" s="60"/>
      <c r="H429" s="60"/>
      <c r="I429" s="60"/>
      <c r="J429" s="60"/>
      <c r="K429" s="61"/>
      <c r="L429" s="61"/>
      <c r="M429" s="61"/>
      <c r="N429" s="61"/>
      <c r="O429" s="62"/>
      <c r="P429" s="62"/>
      <c r="Q429" s="62"/>
      <c r="S429" s="64"/>
      <c r="T429" s="64"/>
      <c r="U429" s="64"/>
      <c r="W429" s="66"/>
      <c r="Y429" s="66"/>
      <c r="Z429" s="66"/>
      <c r="AA429" s="68"/>
      <c r="AB429" s="66"/>
      <c r="AE429" s="66"/>
      <c r="AH429" s="68"/>
      <c r="AI429" s="66"/>
      <c r="AJ429" s="62"/>
      <c r="AK429" s="62"/>
      <c r="AL429" s="62"/>
      <c r="AM429" s="62"/>
      <c r="AN429" s="62"/>
      <c r="AO429" s="62"/>
      <c r="AP429" s="62"/>
      <c r="AQ429" s="62"/>
      <c r="AR429" s="62"/>
      <c r="AS429" s="62"/>
      <c r="AT429" s="62"/>
      <c r="AU429" s="69"/>
    </row>
    <row r="430" spans="2:47" x14ac:dyDescent="0.35">
      <c r="B430" s="59"/>
      <c r="C430" s="59"/>
      <c r="D430" s="60"/>
      <c r="E430" s="60"/>
      <c r="F430" s="60"/>
      <c r="G430" s="60"/>
      <c r="H430" s="60"/>
      <c r="I430" s="60"/>
      <c r="J430" s="60"/>
      <c r="K430" s="61"/>
      <c r="L430" s="61"/>
      <c r="M430" s="61"/>
      <c r="N430" s="61"/>
      <c r="O430" s="62"/>
      <c r="P430" s="62"/>
      <c r="Q430" s="62"/>
      <c r="S430" s="64"/>
      <c r="T430" s="64"/>
      <c r="U430" s="64"/>
      <c r="W430" s="66"/>
      <c r="Y430" s="66"/>
      <c r="Z430" s="66"/>
      <c r="AA430" s="68"/>
      <c r="AB430" s="66"/>
      <c r="AE430" s="66"/>
      <c r="AH430" s="68"/>
      <c r="AI430" s="66"/>
      <c r="AJ430" s="62"/>
      <c r="AK430" s="62"/>
      <c r="AL430" s="62"/>
      <c r="AM430" s="62"/>
      <c r="AN430" s="62"/>
      <c r="AO430" s="62"/>
      <c r="AP430" s="62"/>
      <c r="AQ430" s="62"/>
      <c r="AR430" s="62"/>
      <c r="AS430" s="62"/>
      <c r="AT430" s="62"/>
      <c r="AU430" s="69"/>
    </row>
    <row r="431" spans="2:47" x14ac:dyDescent="0.35">
      <c r="B431" s="59"/>
      <c r="C431" s="59"/>
      <c r="D431" s="60"/>
      <c r="E431" s="60"/>
      <c r="F431" s="60"/>
      <c r="G431" s="60"/>
      <c r="H431" s="60"/>
      <c r="I431" s="60"/>
      <c r="J431" s="60"/>
      <c r="K431" s="61"/>
      <c r="L431" s="61"/>
      <c r="M431" s="61"/>
      <c r="N431" s="61"/>
      <c r="O431" s="62"/>
      <c r="P431" s="62"/>
      <c r="Q431" s="62"/>
      <c r="S431" s="64"/>
      <c r="T431" s="64"/>
      <c r="U431" s="64"/>
      <c r="W431" s="66"/>
      <c r="Y431" s="66"/>
      <c r="Z431" s="66"/>
      <c r="AA431" s="68"/>
      <c r="AB431" s="66"/>
      <c r="AE431" s="66"/>
      <c r="AH431" s="68"/>
      <c r="AI431" s="66"/>
      <c r="AJ431" s="62"/>
      <c r="AK431" s="62"/>
      <c r="AL431" s="62"/>
      <c r="AM431" s="62"/>
      <c r="AN431" s="62"/>
      <c r="AO431" s="62"/>
      <c r="AP431" s="62"/>
      <c r="AQ431" s="62"/>
      <c r="AR431" s="62"/>
      <c r="AS431" s="62"/>
      <c r="AT431" s="62"/>
      <c r="AU431" s="69"/>
    </row>
    <row r="432" spans="2:47" x14ac:dyDescent="0.35">
      <c r="B432" s="59"/>
      <c r="C432" s="59"/>
      <c r="D432" s="60"/>
      <c r="E432" s="60"/>
      <c r="F432" s="60"/>
      <c r="G432" s="60"/>
      <c r="H432" s="60"/>
      <c r="I432" s="60"/>
      <c r="J432" s="60"/>
      <c r="K432" s="61"/>
      <c r="L432" s="61"/>
      <c r="M432" s="61"/>
      <c r="N432" s="61"/>
      <c r="O432" s="62"/>
      <c r="P432" s="62"/>
      <c r="Q432" s="62"/>
      <c r="S432" s="64"/>
      <c r="T432" s="64"/>
      <c r="U432" s="64"/>
      <c r="W432" s="66"/>
      <c r="Y432" s="66"/>
      <c r="Z432" s="66"/>
      <c r="AA432" s="68"/>
      <c r="AB432" s="66"/>
      <c r="AE432" s="66"/>
      <c r="AH432" s="68"/>
      <c r="AI432" s="66"/>
      <c r="AJ432" s="62"/>
      <c r="AK432" s="62"/>
      <c r="AL432" s="62"/>
      <c r="AM432" s="62"/>
      <c r="AN432" s="62"/>
      <c r="AO432" s="62"/>
      <c r="AP432" s="62"/>
      <c r="AQ432" s="62"/>
      <c r="AR432" s="62"/>
      <c r="AS432" s="62"/>
      <c r="AT432" s="62"/>
      <c r="AU432" s="69"/>
    </row>
    <row r="433" spans="2:47" x14ac:dyDescent="0.35">
      <c r="B433" s="59"/>
      <c r="C433" s="59"/>
      <c r="D433" s="60"/>
      <c r="E433" s="60"/>
      <c r="F433" s="60"/>
      <c r="G433" s="60"/>
      <c r="H433" s="60"/>
      <c r="I433" s="60"/>
      <c r="J433" s="60"/>
      <c r="K433" s="61"/>
      <c r="L433" s="61"/>
      <c r="M433" s="61"/>
      <c r="N433" s="61"/>
      <c r="O433" s="62"/>
      <c r="P433" s="62"/>
      <c r="Q433" s="62"/>
      <c r="S433" s="64"/>
      <c r="T433" s="64"/>
      <c r="U433" s="64"/>
      <c r="W433" s="66"/>
      <c r="Y433" s="66"/>
      <c r="Z433" s="66"/>
      <c r="AA433" s="68"/>
      <c r="AB433" s="66"/>
      <c r="AE433" s="66"/>
      <c r="AH433" s="68"/>
      <c r="AI433" s="66"/>
      <c r="AJ433" s="62"/>
      <c r="AK433" s="62"/>
      <c r="AL433" s="62"/>
      <c r="AM433" s="62"/>
      <c r="AN433" s="62"/>
      <c r="AO433" s="62"/>
      <c r="AP433" s="62"/>
      <c r="AQ433" s="62"/>
      <c r="AR433" s="62"/>
      <c r="AS433" s="62"/>
      <c r="AT433" s="62"/>
      <c r="AU433" s="69"/>
    </row>
    <row r="434" spans="2:47" x14ac:dyDescent="0.35">
      <c r="B434" s="59"/>
      <c r="C434" s="59"/>
      <c r="D434" s="60"/>
      <c r="E434" s="60"/>
      <c r="F434" s="60"/>
      <c r="G434" s="60"/>
      <c r="H434" s="60"/>
      <c r="I434" s="60"/>
      <c r="J434" s="60"/>
      <c r="K434" s="61"/>
      <c r="L434" s="61"/>
      <c r="M434" s="61"/>
      <c r="N434" s="61"/>
      <c r="O434" s="62"/>
      <c r="P434" s="62"/>
      <c r="Q434" s="62"/>
      <c r="S434" s="64"/>
      <c r="T434" s="64"/>
      <c r="U434" s="64"/>
      <c r="W434" s="66"/>
      <c r="Y434" s="66"/>
      <c r="Z434" s="66"/>
      <c r="AA434" s="68"/>
      <c r="AB434" s="66"/>
      <c r="AE434" s="66"/>
      <c r="AH434" s="68"/>
      <c r="AI434" s="66"/>
      <c r="AJ434" s="62"/>
      <c r="AK434" s="62"/>
      <c r="AL434" s="62"/>
      <c r="AM434" s="62"/>
      <c r="AN434" s="62"/>
      <c r="AO434" s="62"/>
      <c r="AP434" s="62"/>
      <c r="AQ434" s="62"/>
      <c r="AR434" s="62"/>
      <c r="AS434" s="62"/>
      <c r="AT434" s="62"/>
      <c r="AU434" s="69"/>
    </row>
    <row r="435" spans="2:47" x14ac:dyDescent="0.35">
      <c r="B435" s="59"/>
      <c r="C435" s="59"/>
      <c r="D435" s="60"/>
      <c r="E435" s="60"/>
      <c r="F435" s="60"/>
      <c r="G435" s="60"/>
      <c r="H435" s="60"/>
      <c r="I435" s="60"/>
      <c r="J435" s="60"/>
      <c r="K435" s="61"/>
      <c r="L435" s="61"/>
      <c r="M435" s="61"/>
      <c r="N435" s="61"/>
      <c r="O435" s="62"/>
      <c r="P435" s="62"/>
      <c r="Q435" s="62"/>
      <c r="S435" s="64"/>
      <c r="T435" s="64"/>
      <c r="U435" s="64"/>
      <c r="W435" s="66"/>
      <c r="Y435" s="66"/>
      <c r="Z435" s="66"/>
      <c r="AA435" s="68"/>
      <c r="AB435" s="66"/>
      <c r="AE435" s="66"/>
      <c r="AH435" s="68"/>
      <c r="AI435" s="66"/>
      <c r="AJ435" s="62"/>
      <c r="AK435" s="62"/>
      <c r="AL435" s="62"/>
      <c r="AM435" s="62"/>
      <c r="AN435" s="62"/>
      <c r="AO435" s="62"/>
      <c r="AP435" s="62"/>
      <c r="AQ435" s="62"/>
      <c r="AR435" s="62"/>
      <c r="AS435" s="62"/>
      <c r="AT435" s="62"/>
      <c r="AU435" s="69"/>
    </row>
    <row r="436" spans="2:47" x14ac:dyDescent="0.35">
      <c r="B436" s="59"/>
      <c r="C436" s="59"/>
      <c r="D436" s="60"/>
      <c r="E436" s="60"/>
      <c r="F436" s="60"/>
      <c r="G436" s="60"/>
      <c r="H436" s="60"/>
      <c r="I436" s="60"/>
      <c r="J436" s="60"/>
      <c r="K436" s="61"/>
      <c r="L436" s="61"/>
      <c r="M436" s="61"/>
      <c r="N436" s="61"/>
      <c r="O436" s="62"/>
      <c r="P436" s="62"/>
      <c r="Q436" s="62"/>
      <c r="S436" s="64"/>
      <c r="T436" s="64"/>
      <c r="U436" s="64"/>
      <c r="W436" s="66"/>
      <c r="Y436" s="66"/>
      <c r="Z436" s="66"/>
      <c r="AA436" s="68"/>
      <c r="AB436" s="66"/>
      <c r="AE436" s="66"/>
      <c r="AH436" s="68"/>
      <c r="AI436" s="66"/>
      <c r="AJ436" s="62"/>
      <c r="AK436" s="62"/>
      <c r="AL436" s="62"/>
      <c r="AM436" s="62"/>
      <c r="AN436" s="62"/>
      <c r="AO436" s="62"/>
      <c r="AP436" s="62"/>
      <c r="AQ436" s="62"/>
      <c r="AR436" s="62"/>
      <c r="AS436" s="62"/>
      <c r="AT436" s="62"/>
      <c r="AU436" s="69"/>
    </row>
    <row r="437" spans="2:47" x14ac:dyDescent="0.35">
      <c r="B437" s="59"/>
      <c r="C437" s="59"/>
      <c r="D437" s="60"/>
      <c r="E437" s="60"/>
      <c r="F437" s="60"/>
      <c r="G437" s="60"/>
      <c r="H437" s="60"/>
      <c r="I437" s="60"/>
      <c r="J437" s="60"/>
      <c r="K437" s="61"/>
      <c r="L437" s="61"/>
      <c r="M437" s="61"/>
      <c r="N437" s="61"/>
      <c r="O437" s="62"/>
      <c r="P437" s="62"/>
      <c r="Q437" s="62"/>
      <c r="S437" s="64"/>
      <c r="T437" s="64"/>
      <c r="U437" s="64"/>
      <c r="W437" s="66"/>
      <c r="Y437" s="66"/>
      <c r="Z437" s="66"/>
      <c r="AA437" s="68"/>
      <c r="AB437" s="66"/>
      <c r="AE437" s="66"/>
      <c r="AH437" s="68"/>
      <c r="AI437" s="66"/>
      <c r="AJ437" s="62"/>
      <c r="AK437" s="62"/>
      <c r="AL437" s="62"/>
      <c r="AM437" s="62"/>
      <c r="AN437" s="62"/>
      <c r="AO437" s="62"/>
      <c r="AP437" s="62"/>
      <c r="AQ437" s="62"/>
      <c r="AR437" s="62"/>
      <c r="AS437" s="62"/>
      <c r="AT437" s="62"/>
      <c r="AU437" s="69"/>
    </row>
    <row r="438" spans="2:47" x14ac:dyDescent="0.35">
      <c r="B438" s="59"/>
      <c r="C438" s="59"/>
      <c r="D438" s="60"/>
      <c r="E438" s="60"/>
      <c r="F438" s="60"/>
      <c r="G438" s="60"/>
      <c r="H438" s="60"/>
      <c r="I438" s="60"/>
      <c r="J438" s="60"/>
      <c r="K438" s="61"/>
      <c r="L438" s="61"/>
      <c r="M438" s="61"/>
      <c r="N438" s="61"/>
      <c r="O438" s="62"/>
      <c r="P438" s="62"/>
      <c r="Q438" s="62"/>
      <c r="S438" s="64"/>
      <c r="T438" s="64"/>
      <c r="U438" s="64"/>
      <c r="W438" s="66"/>
      <c r="Y438" s="66"/>
      <c r="Z438" s="66"/>
      <c r="AA438" s="68"/>
      <c r="AB438" s="66"/>
      <c r="AE438" s="66"/>
      <c r="AH438" s="68"/>
      <c r="AI438" s="66"/>
      <c r="AJ438" s="62"/>
      <c r="AK438" s="62"/>
      <c r="AL438" s="62"/>
      <c r="AM438" s="62"/>
      <c r="AN438" s="62"/>
      <c r="AO438" s="62"/>
      <c r="AP438" s="62"/>
      <c r="AQ438" s="62"/>
      <c r="AR438" s="62"/>
      <c r="AS438" s="62"/>
      <c r="AT438" s="62"/>
      <c r="AU438" s="69"/>
    </row>
    <row r="439" spans="2:47" x14ac:dyDescent="0.35">
      <c r="B439" s="59"/>
      <c r="C439" s="59"/>
      <c r="D439" s="60"/>
      <c r="E439" s="60"/>
      <c r="F439" s="60"/>
      <c r="G439" s="60"/>
      <c r="H439" s="60"/>
      <c r="I439" s="60"/>
      <c r="J439" s="60"/>
      <c r="K439" s="61"/>
      <c r="L439" s="61"/>
      <c r="M439" s="61"/>
      <c r="N439" s="61"/>
      <c r="O439" s="62"/>
      <c r="P439" s="62"/>
      <c r="Q439" s="62"/>
      <c r="S439" s="64"/>
      <c r="T439" s="64"/>
      <c r="U439" s="64"/>
      <c r="W439" s="66"/>
      <c r="Y439" s="66"/>
      <c r="Z439" s="66"/>
      <c r="AA439" s="68"/>
      <c r="AB439" s="66"/>
      <c r="AE439" s="66"/>
      <c r="AH439" s="68"/>
      <c r="AI439" s="66"/>
      <c r="AJ439" s="62"/>
      <c r="AK439" s="62"/>
      <c r="AL439" s="62"/>
      <c r="AM439" s="62"/>
      <c r="AN439" s="62"/>
      <c r="AO439" s="62"/>
      <c r="AP439" s="62"/>
      <c r="AQ439" s="62"/>
      <c r="AR439" s="62"/>
      <c r="AS439" s="62"/>
      <c r="AT439" s="62"/>
      <c r="AU439" s="69"/>
    </row>
    <row r="440" spans="2:47" x14ac:dyDescent="0.35">
      <c r="B440" s="59"/>
      <c r="C440" s="59"/>
      <c r="D440" s="60"/>
      <c r="E440" s="60"/>
      <c r="F440" s="60"/>
      <c r="G440" s="60"/>
      <c r="H440" s="60"/>
      <c r="I440" s="60"/>
      <c r="J440" s="60"/>
      <c r="K440" s="61"/>
      <c r="L440" s="61"/>
      <c r="M440" s="61"/>
      <c r="N440" s="61"/>
      <c r="O440" s="62"/>
      <c r="P440" s="62"/>
      <c r="Q440" s="62"/>
      <c r="S440" s="64"/>
      <c r="T440" s="64"/>
      <c r="U440" s="64"/>
      <c r="W440" s="66"/>
      <c r="Y440" s="66"/>
      <c r="Z440" s="66"/>
      <c r="AA440" s="68"/>
      <c r="AB440" s="66"/>
      <c r="AE440" s="66"/>
      <c r="AH440" s="68"/>
      <c r="AI440" s="66"/>
      <c r="AJ440" s="62"/>
      <c r="AK440" s="62"/>
      <c r="AL440" s="62"/>
      <c r="AM440" s="62"/>
      <c r="AN440" s="62"/>
      <c r="AO440" s="62"/>
      <c r="AP440" s="62"/>
      <c r="AQ440" s="62"/>
      <c r="AR440" s="62"/>
      <c r="AS440" s="62"/>
      <c r="AT440" s="62"/>
      <c r="AU440" s="69"/>
    </row>
    <row r="441" spans="2:47" x14ac:dyDescent="0.35">
      <c r="B441" s="59"/>
      <c r="C441" s="59"/>
      <c r="D441" s="60"/>
      <c r="E441" s="60"/>
      <c r="F441" s="60"/>
      <c r="G441" s="60"/>
      <c r="H441" s="60"/>
      <c r="I441" s="60"/>
      <c r="J441" s="60"/>
      <c r="K441" s="61"/>
      <c r="L441" s="61"/>
      <c r="M441" s="61"/>
      <c r="N441" s="61"/>
      <c r="O441" s="62"/>
      <c r="P441" s="62"/>
      <c r="Q441" s="62"/>
      <c r="S441" s="64"/>
      <c r="T441" s="64"/>
      <c r="U441" s="64"/>
      <c r="W441" s="66"/>
      <c r="Y441" s="66"/>
      <c r="Z441" s="66"/>
      <c r="AA441" s="68"/>
      <c r="AB441" s="66"/>
      <c r="AE441" s="66"/>
      <c r="AH441" s="68"/>
      <c r="AI441" s="66"/>
      <c r="AJ441" s="62"/>
      <c r="AK441" s="62"/>
      <c r="AL441" s="62"/>
      <c r="AM441" s="62"/>
      <c r="AN441" s="62"/>
      <c r="AO441" s="62"/>
      <c r="AP441" s="62"/>
      <c r="AQ441" s="62"/>
      <c r="AR441" s="62"/>
      <c r="AS441" s="62"/>
      <c r="AT441" s="62"/>
      <c r="AU441" s="69"/>
    </row>
    <row r="442" spans="2:47" x14ac:dyDescent="0.35">
      <c r="B442" s="59"/>
      <c r="C442" s="59"/>
      <c r="D442" s="60"/>
      <c r="E442" s="60"/>
      <c r="F442" s="60"/>
      <c r="G442" s="60"/>
      <c r="H442" s="60"/>
      <c r="I442" s="60"/>
      <c r="J442" s="60"/>
      <c r="K442" s="61"/>
      <c r="L442" s="61"/>
      <c r="M442" s="61"/>
      <c r="N442" s="61"/>
      <c r="O442" s="62"/>
      <c r="P442" s="62"/>
      <c r="Q442" s="62"/>
      <c r="S442" s="64"/>
      <c r="T442" s="64"/>
      <c r="U442" s="64"/>
      <c r="W442" s="66"/>
      <c r="Y442" s="66"/>
      <c r="Z442" s="66"/>
      <c r="AA442" s="68"/>
      <c r="AB442" s="66"/>
      <c r="AE442" s="66"/>
      <c r="AH442" s="68"/>
      <c r="AI442" s="66"/>
      <c r="AJ442" s="62"/>
      <c r="AK442" s="62"/>
      <c r="AL442" s="62"/>
      <c r="AM442" s="62"/>
      <c r="AN442" s="62"/>
      <c r="AO442" s="62"/>
      <c r="AP442" s="62"/>
      <c r="AQ442" s="62"/>
      <c r="AR442" s="62"/>
      <c r="AS442" s="62"/>
      <c r="AT442" s="62"/>
      <c r="AU442" s="69"/>
    </row>
    <row r="443" spans="2:47" x14ac:dyDescent="0.35">
      <c r="B443" s="59"/>
      <c r="C443" s="59"/>
      <c r="D443" s="60"/>
      <c r="E443" s="60"/>
      <c r="F443" s="60"/>
      <c r="G443" s="60"/>
      <c r="H443" s="60"/>
      <c r="I443" s="60"/>
      <c r="J443" s="60"/>
      <c r="K443" s="61"/>
      <c r="L443" s="61"/>
      <c r="M443" s="61"/>
      <c r="N443" s="61"/>
      <c r="O443" s="62"/>
      <c r="P443" s="62"/>
      <c r="Q443" s="62"/>
      <c r="S443" s="64"/>
      <c r="T443" s="64"/>
      <c r="U443" s="64"/>
      <c r="W443" s="66"/>
      <c r="Y443" s="66"/>
      <c r="Z443" s="66"/>
      <c r="AA443" s="68"/>
      <c r="AB443" s="66"/>
      <c r="AE443" s="66"/>
      <c r="AH443" s="68"/>
      <c r="AI443" s="66"/>
      <c r="AJ443" s="62"/>
      <c r="AK443" s="62"/>
      <c r="AL443" s="62"/>
      <c r="AM443" s="62"/>
      <c r="AN443" s="62"/>
      <c r="AO443" s="62"/>
      <c r="AP443" s="62"/>
      <c r="AQ443" s="62"/>
      <c r="AR443" s="62"/>
      <c r="AS443" s="62"/>
      <c r="AT443" s="62"/>
      <c r="AU443" s="69"/>
    </row>
    <row r="444" spans="2:47" x14ac:dyDescent="0.35">
      <c r="B444" s="59"/>
      <c r="C444" s="59"/>
      <c r="D444" s="60"/>
      <c r="E444" s="60"/>
      <c r="F444" s="60"/>
      <c r="G444" s="60"/>
      <c r="H444" s="60"/>
      <c r="I444" s="60"/>
      <c r="J444" s="60"/>
      <c r="K444" s="61"/>
      <c r="L444" s="61"/>
      <c r="M444" s="61"/>
      <c r="N444" s="61"/>
      <c r="O444" s="62"/>
      <c r="P444" s="62"/>
      <c r="Q444" s="62"/>
      <c r="S444" s="64"/>
      <c r="T444" s="64"/>
      <c r="U444" s="64"/>
      <c r="W444" s="66"/>
      <c r="Y444" s="66"/>
      <c r="Z444" s="66"/>
      <c r="AA444" s="68"/>
      <c r="AB444" s="66"/>
      <c r="AE444" s="66"/>
      <c r="AH444" s="68"/>
      <c r="AI444" s="66"/>
      <c r="AJ444" s="62"/>
      <c r="AK444" s="62"/>
      <c r="AL444" s="62"/>
      <c r="AM444" s="62"/>
      <c r="AN444" s="62"/>
      <c r="AO444" s="62"/>
      <c r="AP444" s="62"/>
      <c r="AQ444" s="62"/>
      <c r="AR444" s="62"/>
      <c r="AS444" s="62"/>
      <c r="AT444" s="62"/>
      <c r="AU444" s="69"/>
    </row>
    <row r="445" spans="2:47" x14ac:dyDescent="0.35">
      <c r="B445" s="59"/>
      <c r="C445" s="59"/>
      <c r="D445" s="60"/>
      <c r="E445" s="60"/>
      <c r="F445" s="60"/>
      <c r="G445" s="60"/>
      <c r="H445" s="60"/>
      <c r="I445" s="60"/>
      <c r="J445" s="60"/>
      <c r="K445" s="61"/>
      <c r="L445" s="61"/>
      <c r="M445" s="61"/>
      <c r="N445" s="61"/>
      <c r="O445" s="62"/>
      <c r="P445" s="62"/>
      <c r="Q445" s="62"/>
      <c r="S445" s="64"/>
      <c r="T445" s="64"/>
      <c r="U445" s="64"/>
      <c r="W445" s="66"/>
      <c r="Y445" s="66"/>
      <c r="Z445" s="66"/>
      <c r="AA445" s="68"/>
      <c r="AB445" s="66"/>
      <c r="AE445" s="66"/>
      <c r="AH445" s="68"/>
      <c r="AI445" s="66"/>
      <c r="AJ445" s="62"/>
      <c r="AK445" s="62"/>
      <c r="AL445" s="62"/>
      <c r="AM445" s="62"/>
      <c r="AN445" s="62"/>
      <c r="AO445" s="62"/>
      <c r="AP445" s="62"/>
      <c r="AQ445" s="62"/>
      <c r="AR445" s="62"/>
      <c r="AS445" s="62"/>
      <c r="AT445" s="62"/>
      <c r="AU445" s="69"/>
    </row>
    <row r="446" spans="2:47" x14ac:dyDescent="0.35">
      <c r="B446" s="59"/>
      <c r="C446" s="59"/>
      <c r="D446" s="60"/>
      <c r="E446" s="60"/>
      <c r="F446" s="60"/>
      <c r="G446" s="60"/>
      <c r="H446" s="60"/>
      <c r="I446" s="60"/>
      <c r="J446" s="60"/>
      <c r="K446" s="61"/>
      <c r="L446" s="61"/>
      <c r="M446" s="61"/>
      <c r="N446" s="61"/>
      <c r="O446" s="62"/>
      <c r="P446" s="62"/>
      <c r="Q446" s="62"/>
      <c r="S446" s="64"/>
      <c r="T446" s="64"/>
      <c r="U446" s="64"/>
      <c r="W446" s="66"/>
      <c r="Y446" s="66"/>
      <c r="Z446" s="66"/>
      <c r="AA446" s="68"/>
      <c r="AB446" s="66"/>
      <c r="AE446" s="66"/>
      <c r="AH446" s="68"/>
      <c r="AI446" s="66"/>
      <c r="AJ446" s="62"/>
      <c r="AK446" s="62"/>
      <c r="AL446" s="62"/>
      <c r="AM446" s="62"/>
      <c r="AN446" s="62"/>
      <c r="AO446" s="62"/>
      <c r="AP446" s="62"/>
      <c r="AQ446" s="62"/>
      <c r="AR446" s="62"/>
      <c r="AS446" s="62"/>
      <c r="AT446" s="62"/>
      <c r="AU446" s="69"/>
    </row>
    <row r="447" spans="2:47" x14ac:dyDescent="0.35">
      <c r="B447" s="59"/>
      <c r="C447" s="59"/>
      <c r="D447" s="60"/>
      <c r="E447" s="60"/>
      <c r="F447" s="60"/>
      <c r="G447" s="60"/>
      <c r="H447" s="60"/>
      <c r="I447" s="60"/>
      <c r="J447" s="60"/>
      <c r="K447" s="61"/>
      <c r="L447" s="61"/>
      <c r="M447" s="61"/>
      <c r="N447" s="61"/>
      <c r="O447" s="62"/>
      <c r="P447" s="62"/>
      <c r="Q447" s="62"/>
      <c r="S447" s="64"/>
      <c r="T447" s="64"/>
      <c r="U447" s="64"/>
      <c r="W447" s="66"/>
      <c r="Y447" s="66"/>
      <c r="Z447" s="66"/>
      <c r="AA447" s="68"/>
      <c r="AB447" s="66"/>
      <c r="AE447" s="66"/>
      <c r="AH447" s="68"/>
      <c r="AI447" s="66"/>
      <c r="AJ447" s="62"/>
      <c r="AK447" s="62"/>
      <c r="AL447" s="62"/>
      <c r="AM447" s="62"/>
      <c r="AN447" s="62"/>
      <c r="AO447" s="62"/>
      <c r="AP447" s="62"/>
      <c r="AQ447" s="62"/>
      <c r="AR447" s="62"/>
      <c r="AS447" s="62"/>
      <c r="AT447" s="62"/>
      <c r="AU447" s="69"/>
    </row>
    <row r="448" spans="2:47" x14ac:dyDescent="0.35">
      <c r="B448" s="59"/>
      <c r="C448" s="59"/>
      <c r="D448" s="60"/>
      <c r="E448" s="60"/>
      <c r="F448" s="60"/>
      <c r="G448" s="60"/>
      <c r="H448" s="60"/>
      <c r="I448" s="60"/>
      <c r="J448" s="60"/>
      <c r="K448" s="61"/>
      <c r="L448" s="61"/>
      <c r="M448" s="61"/>
      <c r="N448" s="61"/>
      <c r="O448" s="62"/>
      <c r="P448" s="62"/>
      <c r="Q448" s="62"/>
      <c r="S448" s="64"/>
      <c r="T448" s="64"/>
      <c r="U448" s="64"/>
      <c r="W448" s="66"/>
      <c r="Y448" s="66"/>
      <c r="Z448" s="66"/>
      <c r="AA448" s="68"/>
      <c r="AB448" s="66"/>
      <c r="AE448" s="66"/>
      <c r="AH448" s="68"/>
      <c r="AI448" s="66"/>
      <c r="AJ448" s="62"/>
      <c r="AK448" s="62"/>
      <c r="AL448" s="62"/>
      <c r="AM448" s="62"/>
      <c r="AN448" s="62"/>
      <c r="AO448" s="62"/>
      <c r="AP448" s="62"/>
      <c r="AQ448" s="62"/>
      <c r="AR448" s="62"/>
      <c r="AS448" s="62"/>
      <c r="AT448" s="62"/>
      <c r="AU448" s="69"/>
    </row>
    <row r="449" spans="2:47" x14ac:dyDescent="0.35">
      <c r="B449" s="59"/>
      <c r="C449" s="59"/>
      <c r="D449" s="60"/>
      <c r="E449" s="60"/>
      <c r="F449" s="60"/>
      <c r="G449" s="60"/>
      <c r="H449" s="60"/>
      <c r="I449" s="60"/>
      <c r="J449" s="60"/>
      <c r="K449" s="61"/>
      <c r="L449" s="61"/>
      <c r="M449" s="61"/>
      <c r="N449" s="61"/>
      <c r="O449" s="62"/>
      <c r="P449" s="62"/>
      <c r="Q449" s="62"/>
      <c r="S449" s="64"/>
      <c r="T449" s="64"/>
      <c r="U449" s="64"/>
      <c r="W449" s="66"/>
      <c r="Y449" s="66"/>
      <c r="Z449" s="66"/>
      <c r="AA449" s="68"/>
      <c r="AB449" s="66"/>
      <c r="AE449" s="66"/>
      <c r="AH449" s="68"/>
      <c r="AI449" s="66"/>
      <c r="AJ449" s="62"/>
      <c r="AK449" s="62"/>
      <c r="AL449" s="62"/>
      <c r="AM449" s="62"/>
      <c r="AN449" s="62"/>
      <c r="AO449" s="62"/>
      <c r="AP449" s="62"/>
      <c r="AQ449" s="62"/>
      <c r="AR449" s="62"/>
      <c r="AS449" s="62"/>
      <c r="AT449" s="62"/>
      <c r="AU449" s="69"/>
    </row>
    <row r="450" spans="2:47" x14ac:dyDescent="0.35">
      <c r="B450" s="59"/>
      <c r="C450" s="59"/>
      <c r="D450" s="60"/>
      <c r="E450" s="60"/>
      <c r="F450" s="60"/>
      <c r="G450" s="60"/>
      <c r="H450" s="60"/>
      <c r="I450" s="60"/>
      <c r="J450" s="60"/>
      <c r="K450" s="61"/>
      <c r="L450" s="61"/>
      <c r="M450" s="61"/>
      <c r="N450" s="61"/>
      <c r="O450" s="62"/>
      <c r="P450" s="62"/>
      <c r="Q450" s="62"/>
      <c r="S450" s="64"/>
      <c r="T450" s="64"/>
      <c r="U450" s="64"/>
      <c r="W450" s="66"/>
      <c r="Y450" s="66"/>
      <c r="Z450" s="66"/>
      <c r="AA450" s="68"/>
      <c r="AB450" s="66"/>
      <c r="AE450" s="66"/>
      <c r="AH450" s="68"/>
      <c r="AI450" s="66"/>
      <c r="AJ450" s="62"/>
      <c r="AK450" s="62"/>
      <c r="AL450" s="62"/>
      <c r="AM450" s="62"/>
      <c r="AN450" s="62"/>
      <c r="AO450" s="62"/>
      <c r="AP450" s="62"/>
      <c r="AQ450" s="62"/>
      <c r="AR450" s="62"/>
      <c r="AS450" s="62"/>
      <c r="AT450" s="62"/>
      <c r="AU450" s="69"/>
    </row>
    <row r="451" spans="2:47" x14ac:dyDescent="0.35">
      <c r="B451" s="59"/>
      <c r="C451" s="59"/>
      <c r="D451" s="60"/>
      <c r="E451" s="60"/>
      <c r="F451" s="60"/>
      <c r="G451" s="60"/>
      <c r="H451" s="60"/>
      <c r="I451" s="60"/>
      <c r="J451" s="60"/>
      <c r="K451" s="61"/>
      <c r="L451" s="61"/>
      <c r="M451" s="61"/>
      <c r="N451" s="61"/>
      <c r="O451" s="62"/>
      <c r="P451" s="62"/>
      <c r="Q451" s="62"/>
      <c r="S451" s="64"/>
      <c r="T451" s="64"/>
      <c r="U451" s="64"/>
      <c r="W451" s="66"/>
      <c r="Y451" s="66"/>
      <c r="Z451" s="66"/>
      <c r="AA451" s="68"/>
      <c r="AB451" s="66"/>
      <c r="AE451" s="66"/>
      <c r="AH451" s="68"/>
      <c r="AI451" s="66"/>
      <c r="AJ451" s="62"/>
      <c r="AK451" s="62"/>
      <c r="AL451" s="62"/>
      <c r="AM451" s="62"/>
      <c r="AN451" s="62"/>
      <c r="AO451" s="62"/>
      <c r="AP451" s="62"/>
      <c r="AQ451" s="62"/>
      <c r="AR451" s="62"/>
      <c r="AS451" s="62"/>
      <c r="AT451" s="62"/>
      <c r="AU451" s="69"/>
    </row>
    <row r="452" spans="2:47" x14ac:dyDescent="0.35">
      <c r="B452" s="59"/>
      <c r="C452" s="59"/>
      <c r="D452" s="60"/>
      <c r="E452" s="60"/>
      <c r="F452" s="60"/>
      <c r="G452" s="60"/>
      <c r="H452" s="60"/>
      <c r="I452" s="60"/>
      <c r="J452" s="60"/>
      <c r="K452" s="61"/>
      <c r="L452" s="61"/>
      <c r="M452" s="61"/>
      <c r="N452" s="61"/>
      <c r="O452" s="62"/>
      <c r="P452" s="62"/>
      <c r="Q452" s="62"/>
      <c r="S452" s="64"/>
      <c r="T452" s="64"/>
      <c r="U452" s="64"/>
      <c r="W452" s="66"/>
      <c r="Y452" s="66"/>
      <c r="Z452" s="66"/>
      <c r="AA452" s="68"/>
      <c r="AB452" s="66"/>
      <c r="AE452" s="66"/>
      <c r="AH452" s="68"/>
      <c r="AI452" s="66"/>
      <c r="AJ452" s="62"/>
      <c r="AK452" s="62"/>
      <c r="AL452" s="62"/>
      <c r="AM452" s="62"/>
      <c r="AN452" s="62"/>
      <c r="AO452" s="62"/>
      <c r="AP452" s="62"/>
      <c r="AQ452" s="62"/>
      <c r="AR452" s="62"/>
      <c r="AS452" s="62"/>
      <c r="AT452" s="62"/>
      <c r="AU452" s="69"/>
    </row>
    <row r="453" spans="2:47" x14ac:dyDescent="0.35">
      <c r="B453" s="59"/>
      <c r="C453" s="59"/>
      <c r="D453" s="60"/>
      <c r="E453" s="60"/>
      <c r="F453" s="60"/>
      <c r="G453" s="60"/>
      <c r="H453" s="60"/>
      <c r="I453" s="60"/>
      <c r="J453" s="60"/>
      <c r="K453" s="61"/>
      <c r="L453" s="61"/>
      <c r="M453" s="61"/>
      <c r="N453" s="61"/>
      <c r="O453" s="62"/>
      <c r="P453" s="62"/>
      <c r="Q453" s="62"/>
      <c r="S453" s="64"/>
      <c r="T453" s="64"/>
      <c r="U453" s="64"/>
      <c r="W453" s="66"/>
      <c r="Y453" s="66"/>
      <c r="Z453" s="66"/>
      <c r="AA453" s="68"/>
      <c r="AB453" s="66"/>
      <c r="AE453" s="66"/>
      <c r="AH453" s="68"/>
      <c r="AI453" s="66"/>
      <c r="AJ453" s="62"/>
      <c r="AK453" s="62"/>
      <c r="AL453" s="62"/>
      <c r="AM453" s="62"/>
      <c r="AN453" s="62"/>
      <c r="AO453" s="62"/>
      <c r="AP453" s="62"/>
      <c r="AQ453" s="62"/>
      <c r="AR453" s="62"/>
      <c r="AS453" s="62"/>
      <c r="AT453" s="62"/>
      <c r="AU453" s="69"/>
    </row>
    <row r="454" spans="2:47" x14ac:dyDescent="0.35">
      <c r="B454" s="59"/>
      <c r="C454" s="59"/>
      <c r="D454" s="60"/>
      <c r="E454" s="60"/>
      <c r="F454" s="60"/>
      <c r="G454" s="60"/>
      <c r="H454" s="60"/>
      <c r="I454" s="60"/>
      <c r="J454" s="60"/>
      <c r="K454" s="61"/>
      <c r="L454" s="61"/>
      <c r="M454" s="61"/>
      <c r="N454" s="61"/>
      <c r="O454" s="62"/>
      <c r="P454" s="62"/>
      <c r="Q454" s="62"/>
      <c r="S454" s="64"/>
      <c r="T454" s="64"/>
      <c r="U454" s="64"/>
      <c r="W454" s="66"/>
      <c r="Y454" s="66"/>
      <c r="Z454" s="66"/>
      <c r="AA454" s="68"/>
      <c r="AB454" s="66"/>
      <c r="AE454" s="66"/>
      <c r="AH454" s="68"/>
      <c r="AI454" s="66"/>
      <c r="AJ454" s="62"/>
      <c r="AK454" s="62"/>
      <c r="AL454" s="62"/>
      <c r="AM454" s="62"/>
      <c r="AN454" s="62"/>
      <c r="AO454" s="62"/>
      <c r="AP454" s="62"/>
      <c r="AQ454" s="62"/>
      <c r="AR454" s="62"/>
      <c r="AS454" s="62"/>
      <c r="AT454" s="62"/>
      <c r="AU454" s="69"/>
    </row>
    <row r="455" spans="2:47" x14ac:dyDescent="0.35">
      <c r="B455" s="59"/>
      <c r="C455" s="59"/>
      <c r="D455" s="60"/>
      <c r="E455" s="60"/>
      <c r="F455" s="60"/>
      <c r="G455" s="60"/>
      <c r="H455" s="60"/>
      <c r="I455" s="60"/>
      <c r="J455" s="60"/>
      <c r="K455" s="61"/>
      <c r="L455" s="61"/>
      <c r="M455" s="61"/>
      <c r="N455" s="61"/>
      <c r="O455" s="62"/>
      <c r="P455" s="62"/>
      <c r="Q455" s="62"/>
      <c r="S455" s="64"/>
      <c r="T455" s="64"/>
      <c r="U455" s="64"/>
      <c r="W455" s="66"/>
      <c r="Y455" s="66"/>
      <c r="Z455" s="66"/>
      <c r="AA455" s="68"/>
      <c r="AB455" s="66"/>
      <c r="AE455" s="66"/>
      <c r="AH455" s="68"/>
      <c r="AI455" s="66"/>
      <c r="AJ455" s="62"/>
      <c r="AK455" s="62"/>
      <c r="AL455" s="62"/>
      <c r="AM455" s="62"/>
      <c r="AN455" s="62"/>
      <c r="AO455" s="62"/>
      <c r="AP455" s="62"/>
      <c r="AQ455" s="62"/>
      <c r="AR455" s="62"/>
      <c r="AS455" s="62"/>
      <c r="AT455" s="62"/>
      <c r="AU455" s="69"/>
    </row>
    <row r="456" spans="2:47" x14ac:dyDescent="0.35">
      <c r="B456" s="59"/>
      <c r="C456" s="59"/>
      <c r="D456" s="60"/>
      <c r="E456" s="60"/>
      <c r="F456" s="60"/>
      <c r="G456" s="60"/>
      <c r="H456" s="60"/>
      <c r="I456" s="60"/>
      <c r="J456" s="60"/>
      <c r="K456" s="61"/>
      <c r="L456" s="61"/>
      <c r="M456" s="61"/>
      <c r="N456" s="61"/>
      <c r="O456" s="62"/>
      <c r="P456" s="62"/>
      <c r="Q456" s="62"/>
      <c r="S456" s="64"/>
      <c r="T456" s="64"/>
      <c r="U456" s="64"/>
      <c r="W456" s="66"/>
      <c r="Y456" s="66"/>
      <c r="Z456" s="66"/>
      <c r="AA456" s="68"/>
      <c r="AB456" s="66"/>
      <c r="AE456" s="66"/>
      <c r="AH456" s="68"/>
      <c r="AI456" s="66"/>
      <c r="AJ456" s="62"/>
      <c r="AK456" s="62"/>
      <c r="AL456" s="62"/>
      <c r="AM456" s="62"/>
      <c r="AN456" s="62"/>
      <c r="AO456" s="62"/>
      <c r="AP456" s="62"/>
      <c r="AQ456" s="62"/>
      <c r="AR456" s="62"/>
      <c r="AS456" s="62"/>
      <c r="AT456" s="62"/>
      <c r="AU456" s="69"/>
    </row>
    <row r="457" spans="2:47" x14ac:dyDescent="0.35">
      <c r="B457" s="59"/>
      <c r="C457" s="59"/>
      <c r="D457" s="60"/>
      <c r="E457" s="60"/>
      <c r="F457" s="60"/>
      <c r="G457" s="60"/>
      <c r="H457" s="60"/>
      <c r="I457" s="60"/>
      <c r="J457" s="60"/>
      <c r="K457" s="61"/>
      <c r="L457" s="61"/>
      <c r="M457" s="61"/>
      <c r="N457" s="61"/>
      <c r="O457" s="62"/>
      <c r="P457" s="62"/>
      <c r="Q457" s="62"/>
      <c r="S457" s="64"/>
      <c r="T457" s="64"/>
      <c r="U457" s="64"/>
      <c r="W457" s="66"/>
      <c r="Y457" s="66"/>
      <c r="Z457" s="66"/>
      <c r="AA457" s="68"/>
      <c r="AB457" s="66"/>
      <c r="AE457" s="66"/>
      <c r="AH457" s="68"/>
      <c r="AI457" s="66"/>
      <c r="AJ457" s="62"/>
      <c r="AK457" s="62"/>
      <c r="AL457" s="62"/>
      <c r="AM457" s="62"/>
      <c r="AN457" s="62"/>
      <c r="AO457" s="62"/>
      <c r="AP457" s="62"/>
      <c r="AQ457" s="62"/>
      <c r="AR457" s="62"/>
      <c r="AS457" s="62"/>
      <c r="AT457" s="62"/>
      <c r="AU457" s="69"/>
    </row>
    <row r="458" spans="2:47" x14ac:dyDescent="0.35">
      <c r="B458" s="59"/>
      <c r="C458" s="59"/>
      <c r="D458" s="60"/>
      <c r="E458" s="60"/>
      <c r="F458" s="60"/>
      <c r="G458" s="60"/>
      <c r="H458" s="60"/>
      <c r="I458" s="60"/>
      <c r="J458" s="60"/>
      <c r="K458" s="61"/>
      <c r="L458" s="61"/>
      <c r="M458" s="61"/>
      <c r="N458" s="61"/>
      <c r="O458" s="62"/>
      <c r="P458" s="62"/>
      <c r="Q458" s="62"/>
      <c r="S458" s="64"/>
      <c r="T458" s="64"/>
      <c r="U458" s="64"/>
      <c r="W458" s="66"/>
      <c r="Y458" s="66"/>
      <c r="Z458" s="66"/>
      <c r="AA458" s="68"/>
      <c r="AB458" s="66"/>
      <c r="AE458" s="66"/>
      <c r="AH458" s="68"/>
      <c r="AI458" s="66"/>
      <c r="AJ458" s="62"/>
      <c r="AK458" s="62"/>
      <c r="AL458" s="62"/>
      <c r="AM458" s="62"/>
      <c r="AN458" s="62"/>
      <c r="AO458" s="62"/>
      <c r="AP458" s="62"/>
      <c r="AQ458" s="62"/>
      <c r="AR458" s="62"/>
      <c r="AS458" s="62"/>
      <c r="AT458" s="62"/>
      <c r="AU458" s="69"/>
    </row>
    <row r="459" spans="2:47" x14ac:dyDescent="0.35">
      <c r="B459" s="59"/>
      <c r="C459" s="59"/>
      <c r="D459" s="60"/>
      <c r="E459" s="60"/>
      <c r="F459" s="60"/>
      <c r="G459" s="60"/>
      <c r="H459" s="60"/>
      <c r="I459" s="60"/>
      <c r="J459" s="60"/>
      <c r="K459" s="61"/>
      <c r="L459" s="61"/>
      <c r="M459" s="61"/>
      <c r="N459" s="61"/>
      <c r="O459" s="62"/>
      <c r="P459" s="62"/>
      <c r="Q459" s="62"/>
      <c r="S459" s="64"/>
      <c r="T459" s="64"/>
      <c r="U459" s="64"/>
      <c r="W459" s="66"/>
      <c r="Y459" s="66"/>
      <c r="Z459" s="66"/>
      <c r="AA459" s="68"/>
      <c r="AB459" s="66"/>
      <c r="AE459" s="66"/>
      <c r="AH459" s="68"/>
      <c r="AI459" s="66"/>
      <c r="AJ459" s="62"/>
      <c r="AK459" s="62"/>
      <c r="AL459" s="62"/>
      <c r="AM459" s="62"/>
      <c r="AN459" s="62"/>
      <c r="AO459" s="62"/>
      <c r="AP459" s="62"/>
      <c r="AQ459" s="62"/>
      <c r="AR459" s="62"/>
      <c r="AS459" s="62"/>
      <c r="AT459" s="62"/>
      <c r="AU459" s="69"/>
    </row>
    <row r="460" spans="2:47" x14ac:dyDescent="0.35">
      <c r="B460" s="59"/>
      <c r="C460" s="59"/>
      <c r="D460" s="60"/>
      <c r="E460" s="60"/>
      <c r="F460" s="60"/>
      <c r="G460" s="60"/>
      <c r="H460" s="60"/>
      <c r="I460" s="60"/>
      <c r="J460" s="60"/>
      <c r="K460" s="61"/>
      <c r="L460" s="61"/>
      <c r="M460" s="61"/>
      <c r="N460" s="61"/>
      <c r="O460" s="62"/>
      <c r="P460" s="62"/>
      <c r="Q460" s="62"/>
      <c r="S460" s="64"/>
      <c r="T460" s="64"/>
      <c r="U460" s="64"/>
      <c r="W460" s="66"/>
      <c r="Y460" s="66"/>
      <c r="Z460" s="66"/>
      <c r="AA460" s="68"/>
      <c r="AB460" s="66"/>
      <c r="AE460" s="66"/>
      <c r="AH460" s="68"/>
      <c r="AI460" s="66"/>
      <c r="AJ460" s="62"/>
      <c r="AK460" s="62"/>
      <c r="AL460" s="62"/>
      <c r="AM460" s="62"/>
      <c r="AN460" s="62"/>
      <c r="AO460" s="62"/>
      <c r="AP460" s="62"/>
      <c r="AQ460" s="62"/>
      <c r="AR460" s="62"/>
      <c r="AS460" s="62"/>
      <c r="AT460" s="62"/>
      <c r="AU460" s="69"/>
    </row>
    <row r="461" spans="2:47" x14ac:dyDescent="0.35">
      <c r="B461" s="59"/>
      <c r="C461" s="59"/>
      <c r="D461" s="60"/>
      <c r="E461" s="60"/>
      <c r="F461" s="60"/>
      <c r="G461" s="60"/>
      <c r="H461" s="60"/>
      <c r="I461" s="60"/>
      <c r="J461" s="60"/>
      <c r="K461" s="61"/>
      <c r="L461" s="61"/>
      <c r="M461" s="61"/>
      <c r="N461" s="61"/>
      <c r="O461" s="62"/>
      <c r="P461" s="62"/>
      <c r="Q461" s="62"/>
      <c r="S461" s="64"/>
      <c r="T461" s="64"/>
      <c r="U461" s="64"/>
      <c r="W461" s="66"/>
      <c r="Y461" s="66"/>
      <c r="Z461" s="66"/>
      <c r="AA461" s="68"/>
      <c r="AB461" s="66"/>
      <c r="AE461" s="66"/>
      <c r="AH461" s="68"/>
      <c r="AI461" s="66"/>
      <c r="AJ461" s="62"/>
      <c r="AK461" s="62"/>
      <c r="AL461" s="62"/>
      <c r="AM461" s="62"/>
      <c r="AN461" s="62"/>
      <c r="AO461" s="62"/>
      <c r="AP461" s="62"/>
      <c r="AQ461" s="62"/>
      <c r="AR461" s="62"/>
      <c r="AS461" s="62"/>
      <c r="AT461" s="62"/>
      <c r="AU461" s="69"/>
    </row>
    <row r="462" spans="2:47" x14ac:dyDescent="0.35">
      <c r="B462" s="59"/>
      <c r="C462" s="59"/>
      <c r="D462" s="60"/>
      <c r="E462" s="60"/>
      <c r="F462" s="60"/>
      <c r="G462" s="60"/>
      <c r="H462" s="60"/>
      <c r="I462" s="60"/>
      <c r="J462" s="60"/>
      <c r="K462" s="61"/>
      <c r="L462" s="61"/>
      <c r="M462" s="61"/>
      <c r="N462" s="61"/>
      <c r="O462" s="62"/>
      <c r="P462" s="62"/>
      <c r="Q462" s="62"/>
      <c r="S462" s="64"/>
      <c r="T462" s="64"/>
      <c r="U462" s="64"/>
      <c r="W462" s="66"/>
      <c r="Y462" s="66"/>
      <c r="Z462" s="66"/>
      <c r="AA462" s="68"/>
      <c r="AB462" s="66"/>
      <c r="AE462" s="66"/>
      <c r="AH462" s="68"/>
      <c r="AI462" s="66"/>
      <c r="AJ462" s="62"/>
      <c r="AK462" s="62"/>
      <c r="AL462" s="62"/>
      <c r="AM462" s="62"/>
      <c r="AN462" s="62"/>
      <c r="AO462" s="62"/>
      <c r="AP462" s="62"/>
      <c r="AQ462" s="62"/>
      <c r="AR462" s="62"/>
      <c r="AS462" s="62"/>
      <c r="AT462" s="62"/>
      <c r="AU462" s="69"/>
    </row>
    <row r="463" spans="2:47" x14ac:dyDescent="0.35">
      <c r="B463" s="59"/>
      <c r="C463" s="59"/>
      <c r="D463" s="60"/>
      <c r="E463" s="60"/>
      <c r="F463" s="60"/>
      <c r="G463" s="60"/>
      <c r="H463" s="60"/>
      <c r="I463" s="60"/>
      <c r="J463" s="60"/>
      <c r="K463" s="61"/>
      <c r="L463" s="61"/>
      <c r="M463" s="61"/>
      <c r="N463" s="61"/>
      <c r="O463" s="62"/>
      <c r="P463" s="62"/>
      <c r="Q463" s="62"/>
      <c r="S463" s="64"/>
      <c r="T463" s="64"/>
      <c r="U463" s="64"/>
      <c r="W463" s="66"/>
      <c r="Y463" s="66"/>
      <c r="Z463" s="66"/>
      <c r="AA463" s="68"/>
      <c r="AB463" s="66"/>
      <c r="AE463" s="66"/>
      <c r="AH463" s="68"/>
      <c r="AI463" s="66"/>
      <c r="AJ463" s="62"/>
      <c r="AK463" s="62"/>
      <c r="AL463" s="62"/>
      <c r="AM463" s="62"/>
      <c r="AN463" s="62"/>
      <c r="AO463" s="62"/>
      <c r="AP463" s="62"/>
      <c r="AQ463" s="62"/>
      <c r="AR463" s="62"/>
      <c r="AS463" s="62"/>
      <c r="AT463" s="62"/>
      <c r="AU463" s="69"/>
    </row>
    <row r="464" spans="2:47" x14ac:dyDescent="0.35">
      <c r="B464" s="59"/>
      <c r="C464" s="59"/>
      <c r="D464" s="60"/>
      <c r="E464" s="60"/>
      <c r="F464" s="60"/>
      <c r="G464" s="60"/>
      <c r="H464" s="60"/>
      <c r="I464" s="60"/>
      <c r="J464" s="60"/>
      <c r="K464" s="61"/>
      <c r="L464" s="61"/>
      <c r="M464" s="61"/>
      <c r="N464" s="61"/>
      <c r="O464" s="62"/>
      <c r="P464" s="62"/>
      <c r="Q464" s="62"/>
      <c r="S464" s="64"/>
      <c r="T464" s="64"/>
      <c r="U464" s="64"/>
      <c r="W464" s="66"/>
      <c r="Y464" s="66"/>
      <c r="Z464" s="66"/>
      <c r="AA464" s="68"/>
      <c r="AB464" s="66"/>
      <c r="AE464" s="66"/>
      <c r="AH464" s="68"/>
      <c r="AI464" s="66"/>
      <c r="AJ464" s="62"/>
      <c r="AK464" s="62"/>
      <c r="AL464" s="62"/>
      <c r="AM464" s="62"/>
      <c r="AN464" s="62"/>
      <c r="AO464" s="62"/>
      <c r="AP464" s="62"/>
      <c r="AQ464" s="62"/>
      <c r="AR464" s="62"/>
      <c r="AS464" s="62"/>
      <c r="AT464" s="62"/>
      <c r="AU464" s="69"/>
    </row>
    <row r="465" spans="2:47" x14ac:dyDescent="0.35">
      <c r="B465" s="59"/>
      <c r="C465" s="59"/>
      <c r="D465" s="60"/>
      <c r="E465" s="60"/>
      <c r="F465" s="60"/>
      <c r="G465" s="60"/>
      <c r="H465" s="60"/>
      <c r="I465" s="60"/>
      <c r="J465" s="60"/>
      <c r="K465" s="61"/>
      <c r="L465" s="61"/>
      <c r="M465" s="61"/>
      <c r="N465" s="61"/>
      <c r="O465" s="62"/>
      <c r="P465" s="62"/>
      <c r="Q465" s="62"/>
      <c r="S465" s="64"/>
      <c r="T465" s="64"/>
      <c r="U465" s="64"/>
      <c r="W465" s="66"/>
      <c r="Y465" s="66"/>
      <c r="Z465" s="66"/>
      <c r="AA465" s="68"/>
      <c r="AB465" s="66"/>
      <c r="AE465" s="66"/>
      <c r="AH465" s="68"/>
      <c r="AI465" s="66"/>
      <c r="AJ465" s="62"/>
      <c r="AK465" s="62"/>
      <c r="AL465" s="62"/>
      <c r="AM465" s="62"/>
      <c r="AN465" s="62"/>
      <c r="AO465" s="62"/>
      <c r="AP465" s="62"/>
      <c r="AQ465" s="62"/>
      <c r="AR465" s="62"/>
      <c r="AS465" s="62"/>
      <c r="AT465" s="62"/>
      <c r="AU465" s="69"/>
    </row>
    <row r="466" spans="2:47" x14ac:dyDescent="0.35">
      <c r="B466" s="59"/>
      <c r="C466" s="59"/>
      <c r="D466" s="60"/>
      <c r="E466" s="60"/>
      <c r="F466" s="60"/>
      <c r="G466" s="60"/>
      <c r="H466" s="60"/>
      <c r="I466" s="60"/>
      <c r="J466" s="60"/>
      <c r="K466" s="61"/>
      <c r="L466" s="61"/>
      <c r="M466" s="61"/>
      <c r="N466" s="61"/>
      <c r="O466" s="62"/>
      <c r="P466" s="62"/>
      <c r="Q466" s="62"/>
      <c r="S466" s="64"/>
      <c r="T466" s="64"/>
      <c r="U466" s="64"/>
      <c r="W466" s="66"/>
      <c r="Y466" s="66"/>
      <c r="Z466" s="66"/>
      <c r="AA466" s="68"/>
      <c r="AB466" s="66"/>
      <c r="AE466" s="66"/>
      <c r="AH466" s="68"/>
      <c r="AI466" s="66"/>
      <c r="AJ466" s="62"/>
      <c r="AK466" s="62"/>
      <c r="AL466" s="62"/>
      <c r="AM466" s="62"/>
      <c r="AN466" s="62"/>
      <c r="AO466" s="62"/>
      <c r="AP466" s="62"/>
      <c r="AQ466" s="62"/>
      <c r="AR466" s="62"/>
      <c r="AS466" s="62"/>
      <c r="AT466" s="62"/>
      <c r="AU466" s="69"/>
    </row>
    <row r="467" spans="2:47" x14ac:dyDescent="0.35">
      <c r="B467" s="59"/>
      <c r="C467" s="59"/>
      <c r="D467" s="60"/>
      <c r="E467" s="60"/>
      <c r="F467" s="60"/>
      <c r="G467" s="60"/>
      <c r="H467" s="60"/>
      <c r="I467" s="60"/>
      <c r="J467" s="60"/>
      <c r="K467" s="61"/>
      <c r="L467" s="61"/>
      <c r="M467" s="61"/>
      <c r="N467" s="61"/>
      <c r="O467" s="62"/>
      <c r="P467" s="62"/>
      <c r="Q467" s="62"/>
      <c r="S467" s="64"/>
      <c r="T467" s="64"/>
      <c r="U467" s="64"/>
      <c r="W467" s="66"/>
      <c r="Y467" s="66"/>
      <c r="Z467" s="66"/>
      <c r="AA467" s="68"/>
      <c r="AB467" s="66"/>
      <c r="AE467" s="66"/>
      <c r="AH467" s="68"/>
      <c r="AI467" s="66"/>
      <c r="AJ467" s="62"/>
      <c r="AK467" s="62"/>
      <c r="AL467" s="62"/>
      <c r="AM467" s="62"/>
      <c r="AN467" s="62"/>
      <c r="AO467" s="62"/>
      <c r="AP467" s="62"/>
      <c r="AQ467" s="62"/>
      <c r="AR467" s="62"/>
      <c r="AS467" s="62"/>
      <c r="AT467" s="62"/>
      <c r="AU467" s="69"/>
    </row>
    <row r="468" spans="2:47" x14ac:dyDescent="0.35">
      <c r="B468" s="59"/>
      <c r="C468" s="59"/>
      <c r="D468" s="60"/>
      <c r="E468" s="60"/>
      <c r="F468" s="60"/>
      <c r="G468" s="60"/>
      <c r="H468" s="60"/>
      <c r="I468" s="60"/>
      <c r="J468" s="60"/>
      <c r="K468" s="61"/>
      <c r="L468" s="61"/>
      <c r="M468" s="61"/>
      <c r="N468" s="61"/>
      <c r="O468" s="62"/>
      <c r="P468" s="62"/>
      <c r="Q468" s="62"/>
      <c r="S468" s="64"/>
      <c r="T468" s="64"/>
      <c r="U468" s="64"/>
      <c r="W468" s="66"/>
      <c r="Y468" s="66"/>
      <c r="Z468" s="66"/>
      <c r="AA468" s="68"/>
      <c r="AB468" s="66"/>
      <c r="AE468" s="66"/>
      <c r="AH468" s="68"/>
      <c r="AI468" s="66"/>
      <c r="AJ468" s="62"/>
      <c r="AK468" s="62"/>
      <c r="AL468" s="62"/>
      <c r="AM468" s="62"/>
      <c r="AN468" s="62"/>
      <c r="AO468" s="62"/>
      <c r="AP468" s="62"/>
      <c r="AQ468" s="62"/>
      <c r="AR468" s="62"/>
      <c r="AS468" s="62"/>
      <c r="AT468" s="62"/>
      <c r="AU468" s="69"/>
    </row>
    <row r="469" spans="2:47" x14ac:dyDescent="0.35">
      <c r="B469" s="59"/>
      <c r="C469" s="59"/>
      <c r="D469" s="60"/>
      <c r="E469" s="60"/>
      <c r="F469" s="60"/>
      <c r="G469" s="60"/>
      <c r="H469" s="60"/>
      <c r="I469" s="60"/>
      <c r="J469" s="60"/>
      <c r="K469" s="61"/>
      <c r="L469" s="61"/>
      <c r="M469" s="61"/>
      <c r="N469" s="61"/>
      <c r="O469" s="62"/>
      <c r="P469" s="62"/>
      <c r="Q469" s="62"/>
      <c r="S469" s="64"/>
      <c r="T469" s="64"/>
      <c r="U469" s="64"/>
      <c r="W469" s="66"/>
      <c r="Y469" s="66"/>
      <c r="Z469" s="66"/>
      <c r="AA469" s="68"/>
      <c r="AB469" s="66"/>
      <c r="AE469" s="66"/>
      <c r="AH469" s="68"/>
      <c r="AI469" s="66"/>
      <c r="AJ469" s="62"/>
      <c r="AK469" s="62"/>
      <c r="AL469" s="62"/>
      <c r="AM469" s="62"/>
      <c r="AN469" s="62"/>
      <c r="AO469" s="62"/>
      <c r="AP469" s="62"/>
      <c r="AQ469" s="62"/>
      <c r="AR469" s="62"/>
      <c r="AS469" s="62"/>
      <c r="AT469" s="62"/>
      <c r="AU469" s="69"/>
    </row>
    <row r="470" spans="2:47" x14ac:dyDescent="0.35">
      <c r="B470" s="59"/>
      <c r="C470" s="59"/>
      <c r="D470" s="60"/>
      <c r="E470" s="60"/>
      <c r="F470" s="60"/>
      <c r="G470" s="60"/>
      <c r="H470" s="60"/>
      <c r="I470" s="60"/>
      <c r="J470" s="60"/>
      <c r="K470" s="61"/>
      <c r="L470" s="61"/>
      <c r="M470" s="61"/>
      <c r="N470" s="61"/>
      <c r="O470" s="62"/>
      <c r="P470" s="62"/>
      <c r="Q470" s="62"/>
      <c r="S470" s="64"/>
      <c r="T470" s="64"/>
      <c r="U470" s="64"/>
      <c r="W470" s="66"/>
      <c r="Y470" s="66"/>
      <c r="Z470" s="66"/>
      <c r="AA470" s="68"/>
      <c r="AB470" s="66"/>
      <c r="AE470" s="66"/>
      <c r="AH470" s="68"/>
      <c r="AI470" s="66"/>
      <c r="AJ470" s="62"/>
      <c r="AK470" s="62"/>
      <c r="AL470" s="62"/>
      <c r="AM470" s="62"/>
      <c r="AN470" s="62"/>
      <c r="AO470" s="62"/>
      <c r="AP470" s="62"/>
      <c r="AQ470" s="62"/>
      <c r="AR470" s="62"/>
      <c r="AS470" s="62"/>
      <c r="AT470" s="62"/>
      <c r="AU470" s="69"/>
    </row>
    <row r="471" spans="2:47" x14ac:dyDescent="0.35">
      <c r="B471" s="59"/>
      <c r="C471" s="59"/>
      <c r="D471" s="60"/>
      <c r="E471" s="60"/>
      <c r="F471" s="60"/>
      <c r="G471" s="60"/>
      <c r="H471" s="60"/>
      <c r="I471" s="60"/>
      <c r="J471" s="60"/>
      <c r="K471" s="61"/>
      <c r="L471" s="61"/>
      <c r="M471" s="61"/>
      <c r="N471" s="61"/>
      <c r="O471" s="62"/>
      <c r="P471" s="62"/>
      <c r="Q471" s="62"/>
      <c r="S471" s="64"/>
      <c r="T471" s="64"/>
      <c r="U471" s="64"/>
      <c r="W471" s="66"/>
      <c r="Y471" s="66"/>
      <c r="Z471" s="66"/>
      <c r="AA471" s="68"/>
      <c r="AB471" s="66"/>
      <c r="AE471" s="66"/>
      <c r="AH471" s="68"/>
      <c r="AI471" s="66"/>
      <c r="AJ471" s="62"/>
      <c r="AK471" s="62"/>
      <c r="AL471" s="62"/>
      <c r="AM471" s="62"/>
      <c r="AN471" s="62"/>
      <c r="AO471" s="62"/>
      <c r="AP471" s="62"/>
      <c r="AQ471" s="62"/>
      <c r="AR471" s="62"/>
      <c r="AS471" s="62"/>
      <c r="AT471" s="62"/>
      <c r="AU471" s="69"/>
    </row>
    <row r="472" spans="2:47" x14ac:dyDescent="0.35">
      <c r="B472" s="59"/>
      <c r="C472" s="59"/>
      <c r="D472" s="60"/>
      <c r="E472" s="60"/>
      <c r="F472" s="60"/>
      <c r="G472" s="60"/>
      <c r="H472" s="60"/>
      <c r="I472" s="60"/>
      <c r="J472" s="60"/>
      <c r="K472" s="61"/>
      <c r="L472" s="61"/>
      <c r="M472" s="61"/>
      <c r="N472" s="61"/>
      <c r="O472" s="62"/>
      <c r="P472" s="62"/>
      <c r="Q472" s="62"/>
      <c r="S472" s="64"/>
      <c r="T472" s="64"/>
      <c r="U472" s="64"/>
      <c r="W472" s="66"/>
      <c r="Y472" s="66"/>
      <c r="Z472" s="66"/>
      <c r="AA472" s="68"/>
      <c r="AB472" s="66"/>
      <c r="AE472" s="66"/>
      <c r="AH472" s="68"/>
      <c r="AI472" s="66"/>
      <c r="AJ472" s="62"/>
      <c r="AK472" s="62"/>
      <c r="AL472" s="62"/>
      <c r="AM472" s="62"/>
      <c r="AN472" s="62"/>
      <c r="AO472" s="62"/>
      <c r="AP472" s="62"/>
      <c r="AQ472" s="62"/>
      <c r="AR472" s="62"/>
      <c r="AS472" s="62"/>
      <c r="AT472" s="62"/>
      <c r="AU472" s="69"/>
    </row>
    <row r="473" spans="2:47" x14ac:dyDescent="0.35">
      <c r="B473" s="59"/>
      <c r="C473" s="59"/>
      <c r="D473" s="60"/>
      <c r="E473" s="60"/>
      <c r="F473" s="60"/>
      <c r="G473" s="60"/>
      <c r="H473" s="60"/>
      <c r="I473" s="60"/>
      <c r="J473" s="60"/>
      <c r="K473" s="61"/>
      <c r="L473" s="61"/>
      <c r="M473" s="61"/>
      <c r="N473" s="61"/>
      <c r="O473" s="62"/>
      <c r="P473" s="62"/>
      <c r="Q473" s="62"/>
      <c r="S473" s="64"/>
      <c r="T473" s="64"/>
      <c r="U473" s="64"/>
      <c r="W473" s="66"/>
      <c r="Y473" s="66"/>
      <c r="Z473" s="66"/>
      <c r="AA473" s="68"/>
      <c r="AB473" s="66"/>
      <c r="AE473" s="66"/>
      <c r="AH473" s="68"/>
      <c r="AI473" s="66"/>
      <c r="AJ473" s="62"/>
      <c r="AK473" s="62"/>
      <c r="AL473" s="62"/>
      <c r="AM473" s="62"/>
      <c r="AN473" s="62"/>
      <c r="AO473" s="62"/>
      <c r="AP473" s="62"/>
      <c r="AQ473" s="62"/>
      <c r="AR473" s="62"/>
      <c r="AS473" s="62"/>
      <c r="AT473" s="62"/>
      <c r="AU473" s="69"/>
    </row>
    <row r="474" spans="2:47" x14ac:dyDescent="0.35">
      <c r="B474" s="59"/>
      <c r="C474" s="59"/>
      <c r="D474" s="60"/>
      <c r="E474" s="60"/>
      <c r="F474" s="60"/>
      <c r="G474" s="60"/>
      <c r="H474" s="60"/>
      <c r="I474" s="60"/>
      <c r="J474" s="60"/>
      <c r="K474" s="61"/>
      <c r="L474" s="61"/>
      <c r="M474" s="61"/>
      <c r="N474" s="61"/>
      <c r="O474" s="62"/>
      <c r="P474" s="62"/>
      <c r="Q474" s="62"/>
      <c r="S474" s="64"/>
      <c r="T474" s="64"/>
      <c r="U474" s="64"/>
      <c r="W474" s="66"/>
      <c r="Y474" s="66"/>
      <c r="Z474" s="66"/>
      <c r="AA474" s="68"/>
      <c r="AB474" s="66"/>
      <c r="AE474" s="66"/>
      <c r="AH474" s="68"/>
      <c r="AI474" s="66"/>
      <c r="AJ474" s="62"/>
      <c r="AK474" s="62"/>
      <c r="AL474" s="62"/>
      <c r="AM474" s="62"/>
      <c r="AN474" s="62"/>
      <c r="AO474" s="62"/>
      <c r="AP474" s="62"/>
      <c r="AQ474" s="62"/>
      <c r="AR474" s="62"/>
      <c r="AS474" s="62"/>
      <c r="AT474" s="62"/>
      <c r="AU474" s="69"/>
    </row>
    <row r="475" spans="2:47" x14ac:dyDescent="0.35">
      <c r="B475" s="59"/>
      <c r="C475" s="59"/>
      <c r="D475" s="60"/>
      <c r="E475" s="60"/>
      <c r="F475" s="60"/>
      <c r="G475" s="60"/>
      <c r="H475" s="60"/>
      <c r="I475" s="60"/>
      <c r="J475" s="60"/>
      <c r="K475" s="61"/>
      <c r="L475" s="61"/>
      <c r="M475" s="61"/>
      <c r="N475" s="61"/>
      <c r="O475" s="62"/>
      <c r="P475" s="62"/>
      <c r="Q475" s="62"/>
      <c r="S475" s="64"/>
      <c r="T475" s="64"/>
      <c r="U475" s="64"/>
      <c r="W475" s="66"/>
      <c r="Y475" s="66"/>
      <c r="Z475" s="66"/>
      <c r="AA475" s="68"/>
      <c r="AB475" s="66"/>
      <c r="AE475" s="66"/>
      <c r="AH475" s="68"/>
      <c r="AI475" s="66"/>
      <c r="AJ475" s="62"/>
      <c r="AK475" s="62"/>
      <c r="AL475" s="62"/>
      <c r="AM475" s="62"/>
      <c r="AN475" s="62"/>
      <c r="AO475" s="62"/>
      <c r="AP475" s="62"/>
      <c r="AQ475" s="62"/>
      <c r="AR475" s="62"/>
      <c r="AS475" s="62"/>
      <c r="AT475" s="62"/>
      <c r="AU475" s="69"/>
    </row>
    <row r="476" spans="2:47" x14ac:dyDescent="0.35">
      <c r="B476" s="59"/>
      <c r="C476" s="59"/>
      <c r="D476" s="60"/>
      <c r="E476" s="60"/>
      <c r="F476" s="60"/>
      <c r="G476" s="60"/>
      <c r="H476" s="60"/>
      <c r="I476" s="60"/>
      <c r="J476" s="60"/>
      <c r="K476" s="61"/>
      <c r="L476" s="61"/>
      <c r="M476" s="61"/>
      <c r="N476" s="61"/>
      <c r="O476" s="62"/>
      <c r="P476" s="62"/>
      <c r="Q476" s="62"/>
      <c r="S476" s="64"/>
      <c r="T476" s="64"/>
      <c r="U476" s="64"/>
      <c r="W476" s="66"/>
      <c r="Y476" s="66"/>
      <c r="Z476" s="66"/>
      <c r="AA476" s="68"/>
      <c r="AB476" s="66"/>
      <c r="AE476" s="66"/>
      <c r="AH476" s="68"/>
      <c r="AI476" s="66"/>
      <c r="AJ476" s="62"/>
      <c r="AK476" s="62"/>
      <c r="AL476" s="62"/>
      <c r="AM476" s="62"/>
      <c r="AN476" s="62"/>
      <c r="AO476" s="62"/>
      <c r="AP476" s="62"/>
      <c r="AQ476" s="62"/>
      <c r="AR476" s="62"/>
      <c r="AS476" s="62"/>
      <c r="AT476" s="62"/>
      <c r="AU476" s="69"/>
    </row>
    <row r="477" spans="2:47" x14ac:dyDescent="0.35">
      <c r="B477" s="59"/>
      <c r="C477" s="59"/>
      <c r="D477" s="60"/>
      <c r="E477" s="60"/>
      <c r="F477" s="60"/>
      <c r="G477" s="60"/>
      <c r="H477" s="60"/>
      <c r="I477" s="60"/>
      <c r="J477" s="60"/>
      <c r="K477" s="61"/>
      <c r="L477" s="61"/>
      <c r="M477" s="61"/>
      <c r="N477" s="61"/>
      <c r="O477" s="62"/>
      <c r="P477" s="62"/>
      <c r="Q477" s="62"/>
      <c r="S477" s="64"/>
      <c r="T477" s="64"/>
      <c r="U477" s="64"/>
      <c r="W477" s="66"/>
      <c r="Y477" s="66"/>
      <c r="Z477" s="66"/>
      <c r="AA477" s="68"/>
      <c r="AB477" s="66"/>
      <c r="AE477" s="66"/>
      <c r="AH477" s="68"/>
      <c r="AI477" s="66"/>
      <c r="AJ477" s="62"/>
      <c r="AK477" s="62"/>
      <c r="AL477" s="62"/>
      <c r="AM477" s="62"/>
      <c r="AN477" s="62"/>
      <c r="AO477" s="62"/>
      <c r="AP477" s="62"/>
      <c r="AQ477" s="62"/>
      <c r="AR477" s="62"/>
      <c r="AS477" s="62"/>
      <c r="AT477" s="62"/>
      <c r="AU477" s="69"/>
    </row>
    <row r="478" spans="2:47" x14ac:dyDescent="0.35">
      <c r="B478" s="59"/>
      <c r="C478" s="59"/>
      <c r="D478" s="60"/>
      <c r="E478" s="60"/>
      <c r="F478" s="60"/>
      <c r="G478" s="60"/>
      <c r="H478" s="60"/>
      <c r="I478" s="60"/>
      <c r="J478" s="60"/>
      <c r="K478" s="61"/>
      <c r="L478" s="61"/>
      <c r="M478" s="61"/>
      <c r="N478" s="61"/>
      <c r="O478" s="62"/>
      <c r="P478" s="62"/>
      <c r="Q478" s="62"/>
      <c r="S478" s="64"/>
      <c r="T478" s="64"/>
      <c r="U478" s="64"/>
      <c r="W478" s="66"/>
      <c r="Y478" s="66"/>
      <c r="Z478" s="66"/>
      <c r="AA478" s="68"/>
      <c r="AB478" s="66"/>
      <c r="AE478" s="66"/>
      <c r="AH478" s="68"/>
      <c r="AI478" s="66"/>
      <c r="AJ478" s="62"/>
      <c r="AK478" s="62"/>
      <c r="AL478" s="62"/>
      <c r="AM478" s="62"/>
      <c r="AN478" s="62"/>
      <c r="AO478" s="62"/>
      <c r="AP478" s="62"/>
      <c r="AQ478" s="62"/>
      <c r="AR478" s="62"/>
      <c r="AS478" s="62"/>
      <c r="AT478" s="62"/>
      <c r="AU478" s="69"/>
    </row>
    <row r="479" spans="2:47" x14ac:dyDescent="0.35">
      <c r="B479" s="59"/>
      <c r="C479" s="59"/>
      <c r="D479" s="60"/>
      <c r="E479" s="60"/>
      <c r="F479" s="60"/>
      <c r="G479" s="60"/>
      <c r="H479" s="60"/>
      <c r="I479" s="60"/>
      <c r="J479" s="60"/>
      <c r="K479" s="61"/>
      <c r="L479" s="61"/>
      <c r="M479" s="61"/>
      <c r="N479" s="61"/>
      <c r="O479" s="62"/>
      <c r="P479" s="62"/>
      <c r="Q479" s="62"/>
      <c r="S479" s="64"/>
      <c r="T479" s="64"/>
      <c r="U479" s="64"/>
      <c r="W479" s="66"/>
      <c r="Y479" s="66"/>
      <c r="Z479" s="66"/>
      <c r="AA479" s="68"/>
      <c r="AB479" s="66"/>
      <c r="AE479" s="66"/>
      <c r="AH479" s="68"/>
      <c r="AI479" s="66"/>
      <c r="AJ479" s="62"/>
      <c r="AK479" s="62"/>
      <c r="AL479" s="62"/>
      <c r="AM479" s="62"/>
      <c r="AN479" s="62"/>
      <c r="AO479" s="62"/>
      <c r="AP479" s="62"/>
      <c r="AQ479" s="62"/>
      <c r="AR479" s="62"/>
      <c r="AS479" s="62"/>
      <c r="AT479" s="62"/>
      <c r="AU479" s="69"/>
    </row>
    <row r="480" spans="2:47" x14ac:dyDescent="0.35">
      <c r="B480" s="59"/>
      <c r="C480" s="59"/>
      <c r="D480" s="60"/>
      <c r="E480" s="60"/>
      <c r="F480" s="60"/>
      <c r="G480" s="60"/>
      <c r="H480" s="60"/>
      <c r="I480" s="60"/>
      <c r="J480" s="60"/>
      <c r="K480" s="61"/>
      <c r="L480" s="61"/>
      <c r="M480" s="61"/>
      <c r="N480" s="61"/>
      <c r="O480" s="62"/>
      <c r="P480" s="62"/>
      <c r="Q480" s="62"/>
      <c r="S480" s="64"/>
      <c r="T480" s="64"/>
      <c r="U480" s="64"/>
      <c r="W480" s="66"/>
      <c r="Y480" s="66"/>
      <c r="Z480" s="66"/>
      <c r="AA480" s="68"/>
      <c r="AB480" s="66"/>
      <c r="AE480" s="66"/>
      <c r="AH480" s="68"/>
      <c r="AI480" s="66"/>
      <c r="AJ480" s="62"/>
      <c r="AK480" s="62"/>
      <c r="AL480" s="62"/>
      <c r="AM480" s="62"/>
      <c r="AN480" s="62"/>
      <c r="AO480" s="62"/>
      <c r="AP480" s="62"/>
      <c r="AQ480" s="62"/>
      <c r="AR480" s="62"/>
      <c r="AS480" s="62"/>
      <c r="AT480" s="62"/>
      <c r="AU480" s="69"/>
    </row>
    <row r="481" spans="2:47" x14ac:dyDescent="0.35">
      <c r="B481" s="59"/>
      <c r="C481" s="59"/>
      <c r="D481" s="60"/>
      <c r="E481" s="60"/>
      <c r="F481" s="60"/>
      <c r="G481" s="60"/>
      <c r="H481" s="60"/>
      <c r="I481" s="60"/>
      <c r="J481" s="60"/>
      <c r="K481" s="61"/>
      <c r="L481" s="61"/>
      <c r="M481" s="61"/>
      <c r="N481" s="61"/>
      <c r="O481" s="62"/>
      <c r="P481" s="62"/>
      <c r="Q481" s="62"/>
      <c r="S481" s="64"/>
      <c r="T481" s="64"/>
      <c r="U481" s="64"/>
      <c r="W481" s="66"/>
      <c r="Y481" s="66"/>
      <c r="Z481" s="66"/>
      <c r="AA481" s="68"/>
      <c r="AB481" s="66"/>
      <c r="AE481" s="66"/>
      <c r="AH481" s="68"/>
      <c r="AI481" s="66"/>
      <c r="AJ481" s="62"/>
      <c r="AK481" s="62"/>
      <c r="AL481" s="62"/>
      <c r="AM481" s="62"/>
      <c r="AN481" s="62"/>
      <c r="AO481" s="62"/>
      <c r="AP481" s="62"/>
      <c r="AQ481" s="62"/>
      <c r="AR481" s="62"/>
      <c r="AS481" s="62"/>
      <c r="AT481" s="62"/>
      <c r="AU481" s="69"/>
    </row>
    <row r="482" spans="2:47" x14ac:dyDescent="0.35">
      <c r="B482" s="59"/>
      <c r="C482" s="59"/>
      <c r="D482" s="60"/>
      <c r="E482" s="60"/>
      <c r="F482" s="60"/>
      <c r="G482" s="60"/>
      <c r="H482" s="60"/>
      <c r="I482" s="60"/>
      <c r="J482" s="60"/>
      <c r="K482" s="61"/>
      <c r="L482" s="61"/>
      <c r="M482" s="61"/>
      <c r="N482" s="61"/>
      <c r="O482" s="62"/>
      <c r="P482" s="62"/>
      <c r="Q482" s="62"/>
      <c r="S482" s="64"/>
      <c r="T482" s="64"/>
      <c r="U482" s="64"/>
      <c r="W482" s="66"/>
      <c r="Y482" s="66"/>
      <c r="Z482" s="66"/>
      <c r="AA482" s="68"/>
      <c r="AB482" s="66"/>
      <c r="AE482" s="66"/>
      <c r="AH482" s="68"/>
      <c r="AI482" s="66"/>
      <c r="AJ482" s="62"/>
      <c r="AK482" s="62"/>
      <c r="AL482" s="62"/>
      <c r="AM482" s="62"/>
      <c r="AN482" s="62"/>
      <c r="AO482" s="62"/>
      <c r="AP482" s="62"/>
      <c r="AQ482" s="62"/>
      <c r="AR482" s="62"/>
      <c r="AS482" s="62"/>
      <c r="AT482" s="62"/>
      <c r="AU482" s="69"/>
    </row>
    <row r="483" spans="2:47" x14ac:dyDescent="0.35">
      <c r="B483" s="59"/>
      <c r="C483" s="59"/>
      <c r="D483" s="60"/>
      <c r="E483" s="60"/>
      <c r="F483" s="60"/>
      <c r="G483" s="60"/>
      <c r="H483" s="60"/>
      <c r="I483" s="60"/>
      <c r="J483" s="60"/>
      <c r="K483" s="61"/>
      <c r="L483" s="61"/>
      <c r="M483" s="61"/>
      <c r="N483" s="61"/>
      <c r="O483" s="62"/>
      <c r="P483" s="62"/>
      <c r="Q483" s="62"/>
      <c r="S483" s="64"/>
      <c r="T483" s="64"/>
      <c r="U483" s="64"/>
      <c r="W483" s="66"/>
      <c r="Y483" s="66"/>
      <c r="Z483" s="66"/>
      <c r="AA483" s="68"/>
      <c r="AB483" s="66"/>
      <c r="AE483" s="66"/>
      <c r="AH483" s="68"/>
      <c r="AI483" s="66"/>
      <c r="AJ483" s="62"/>
      <c r="AK483" s="62"/>
      <c r="AL483" s="62"/>
      <c r="AM483" s="62"/>
      <c r="AN483" s="62"/>
      <c r="AO483" s="62"/>
      <c r="AP483" s="62"/>
      <c r="AQ483" s="62"/>
      <c r="AR483" s="62"/>
      <c r="AS483" s="62"/>
      <c r="AT483" s="62"/>
      <c r="AU483" s="69"/>
    </row>
    <row r="484" spans="2:47" x14ac:dyDescent="0.35">
      <c r="B484" s="59"/>
      <c r="C484" s="59"/>
      <c r="D484" s="60"/>
      <c r="E484" s="60"/>
      <c r="F484" s="60"/>
      <c r="G484" s="60"/>
      <c r="H484" s="60"/>
      <c r="I484" s="60"/>
      <c r="J484" s="60"/>
      <c r="K484" s="61"/>
      <c r="L484" s="61"/>
      <c r="M484" s="61"/>
      <c r="N484" s="61"/>
      <c r="O484" s="62"/>
      <c r="P484" s="62"/>
      <c r="Q484" s="62"/>
      <c r="S484" s="64"/>
      <c r="T484" s="64"/>
      <c r="U484" s="64"/>
      <c r="W484" s="66"/>
      <c r="Y484" s="66"/>
      <c r="Z484" s="66"/>
      <c r="AA484" s="68"/>
      <c r="AB484" s="66"/>
      <c r="AE484" s="66"/>
      <c r="AH484" s="68"/>
      <c r="AI484" s="66"/>
      <c r="AJ484" s="62"/>
      <c r="AK484" s="62"/>
      <c r="AL484" s="62"/>
      <c r="AM484" s="62"/>
      <c r="AN484" s="62"/>
      <c r="AO484" s="62"/>
      <c r="AP484" s="62"/>
      <c r="AQ484" s="62"/>
      <c r="AR484" s="62"/>
      <c r="AS484" s="62"/>
      <c r="AT484" s="62"/>
      <c r="AU484" s="69"/>
    </row>
    <row r="485" spans="2:47" x14ac:dyDescent="0.35">
      <c r="B485" s="59"/>
      <c r="C485" s="59"/>
      <c r="D485" s="60"/>
      <c r="E485" s="60"/>
      <c r="F485" s="60"/>
      <c r="G485" s="60"/>
      <c r="H485" s="60"/>
      <c r="I485" s="60"/>
      <c r="J485" s="60"/>
      <c r="K485" s="61"/>
      <c r="L485" s="61"/>
      <c r="M485" s="61"/>
      <c r="N485" s="61"/>
      <c r="O485" s="62"/>
      <c r="P485" s="62"/>
      <c r="Q485" s="62"/>
      <c r="S485" s="64"/>
      <c r="T485" s="64"/>
      <c r="U485" s="64"/>
      <c r="W485" s="66"/>
      <c r="Y485" s="66"/>
      <c r="Z485" s="66"/>
      <c r="AA485" s="68"/>
      <c r="AB485" s="66"/>
      <c r="AE485" s="66"/>
      <c r="AH485" s="68"/>
      <c r="AI485" s="66"/>
      <c r="AJ485" s="62"/>
      <c r="AK485" s="62"/>
      <c r="AL485" s="62"/>
      <c r="AM485" s="62"/>
      <c r="AN485" s="62"/>
      <c r="AO485" s="62"/>
      <c r="AP485" s="62"/>
      <c r="AQ485" s="62"/>
      <c r="AR485" s="62"/>
      <c r="AS485" s="62"/>
      <c r="AT485" s="62"/>
      <c r="AU485" s="69"/>
    </row>
    <row r="486" spans="2:47" x14ac:dyDescent="0.35">
      <c r="B486" s="59"/>
      <c r="C486" s="59"/>
      <c r="D486" s="60"/>
      <c r="E486" s="60"/>
      <c r="F486" s="60"/>
      <c r="G486" s="60"/>
      <c r="H486" s="60"/>
      <c r="I486" s="60"/>
      <c r="J486" s="60"/>
      <c r="K486" s="61"/>
      <c r="L486" s="61"/>
      <c r="M486" s="61"/>
      <c r="N486" s="61"/>
      <c r="O486" s="62"/>
      <c r="P486" s="62"/>
      <c r="Q486" s="62"/>
      <c r="S486" s="64"/>
      <c r="T486" s="64"/>
      <c r="U486" s="64"/>
      <c r="W486" s="66"/>
      <c r="Y486" s="66"/>
      <c r="Z486" s="66"/>
      <c r="AA486" s="68"/>
      <c r="AB486" s="66"/>
      <c r="AE486" s="66"/>
      <c r="AH486" s="68"/>
      <c r="AI486" s="66"/>
      <c r="AJ486" s="62"/>
      <c r="AK486" s="62"/>
      <c r="AL486" s="62"/>
      <c r="AM486" s="62"/>
      <c r="AN486" s="62"/>
      <c r="AO486" s="62"/>
      <c r="AP486" s="62"/>
      <c r="AQ486" s="62"/>
      <c r="AR486" s="62"/>
      <c r="AS486" s="62"/>
      <c r="AT486" s="62"/>
      <c r="AU486" s="69"/>
    </row>
    <row r="487" spans="2:47" x14ac:dyDescent="0.35">
      <c r="B487" s="59"/>
      <c r="C487" s="59"/>
      <c r="D487" s="60"/>
      <c r="E487" s="60"/>
      <c r="F487" s="60"/>
      <c r="G487" s="60"/>
      <c r="H487" s="60"/>
      <c r="I487" s="60"/>
      <c r="J487" s="60"/>
      <c r="K487" s="61"/>
      <c r="L487" s="61"/>
      <c r="M487" s="61"/>
      <c r="N487" s="61"/>
      <c r="O487" s="62"/>
      <c r="P487" s="62"/>
      <c r="Q487" s="62"/>
      <c r="S487" s="64"/>
      <c r="T487" s="64"/>
      <c r="U487" s="64"/>
      <c r="W487" s="66"/>
      <c r="Y487" s="66"/>
      <c r="Z487" s="66"/>
      <c r="AA487" s="68"/>
      <c r="AB487" s="66"/>
      <c r="AE487" s="66"/>
      <c r="AH487" s="68"/>
      <c r="AI487" s="66"/>
      <c r="AJ487" s="62"/>
      <c r="AK487" s="62"/>
      <c r="AL487" s="62"/>
      <c r="AM487" s="62"/>
      <c r="AN487" s="62"/>
      <c r="AO487" s="62"/>
      <c r="AP487" s="62"/>
      <c r="AQ487" s="62"/>
      <c r="AR487" s="62"/>
      <c r="AS487" s="62"/>
      <c r="AT487" s="62"/>
      <c r="AU487" s="69"/>
    </row>
    <row r="488" spans="2:47" x14ac:dyDescent="0.35">
      <c r="B488" s="59"/>
      <c r="C488" s="59"/>
      <c r="D488" s="60"/>
      <c r="E488" s="60"/>
      <c r="F488" s="60"/>
      <c r="G488" s="60"/>
      <c r="H488" s="60"/>
      <c r="I488" s="60"/>
      <c r="J488" s="60"/>
      <c r="K488" s="61"/>
      <c r="L488" s="61"/>
      <c r="M488" s="61"/>
      <c r="N488" s="61"/>
      <c r="O488" s="62"/>
      <c r="P488" s="62"/>
      <c r="Q488" s="62"/>
      <c r="S488" s="64"/>
      <c r="T488" s="64"/>
      <c r="U488" s="64"/>
      <c r="W488" s="66"/>
      <c r="Y488" s="66"/>
      <c r="Z488" s="66"/>
      <c r="AA488" s="68"/>
      <c r="AB488" s="66"/>
      <c r="AE488" s="66"/>
      <c r="AH488" s="68"/>
      <c r="AI488" s="66"/>
      <c r="AJ488" s="62"/>
      <c r="AK488" s="62"/>
      <c r="AL488" s="62"/>
      <c r="AM488" s="62"/>
      <c r="AN488" s="62"/>
      <c r="AO488" s="62"/>
      <c r="AP488" s="62"/>
      <c r="AQ488" s="62"/>
      <c r="AR488" s="62"/>
      <c r="AS488" s="62"/>
      <c r="AT488" s="62"/>
      <c r="AU488" s="69"/>
    </row>
    <row r="489" spans="2:47" x14ac:dyDescent="0.35">
      <c r="B489" s="59"/>
      <c r="C489" s="59"/>
      <c r="D489" s="60"/>
      <c r="E489" s="60"/>
      <c r="F489" s="60"/>
      <c r="G489" s="60"/>
      <c r="H489" s="60"/>
      <c r="I489" s="60"/>
      <c r="J489" s="60"/>
      <c r="K489" s="61"/>
      <c r="L489" s="61"/>
      <c r="M489" s="61"/>
      <c r="N489" s="61"/>
      <c r="O489" s="62"/>
      <c r="P489" s="62"/>
      <c r="Q489" s="62"/>
      <c r="S489" s="64"/>
      <c r="T489" s="64"/>
      <c r="U489" s="64"/>
      <c r="W489" s="66"/>
      <c r="Y489" s="66"/>
      <c r="Z489" s="66"/>
      <c r="AA489" s="68"/>
      <c r="AB489" s="66"/>
      <c r="AE489" s="66"/>
      <c r="AH489" s="68"/>
      <c r="AI489" s="66"/>
      <c r="AJ489" s="62"/>
      <c r="AK489" s="62"/>
      <c r="AL489" s="62"/>
      <c r="AM489" s="62"/>
      <c r="AN489" s="62"/>
      <c r="AO489" s="62"/>
      <c r="AP489" s="62"/>
      <c r="AQ489" s="62"/>
      <c r="AR489" s="62"/>
      <c r="AS489" s="62"/>
      <c r="AT489" s="62"/>
      <c r="AU489" s="69"/>
    </row>
    <row r="490" spans="2:47" x14ac:dyDescent="0.35">
      <c r="B490" s="59"/>
      <c r="C490" s="59"/>
      <c r="D490" s="60"/>
      <c r="E490" s="60"/>
      <c r="F490" s="60"/>
      <c r="G490" s="60"/>
      <c r="H490" s="60"/>
      <c r="I490" s="60"/>
      <c r="J490" s="60"/>
      <c r="K490" s="61"/>
      <c r="L490" s="61"/>
      <c r="M490" s="61"/>
      <c r="N490" s="61"/>
      <c r="O490" s="62"/>
      <c r="P490" s="62"/>
      <c r="Q490" s="62"/>
      <c r="S490" s="64"/>
      <c r="T490" s="64"/>
      <c r="U490" s="64"/>
      <c r="W490" s="66"/>
      <c r="Y490" s="66"/>
      <c r="Z490" s="66"/>
      <c r="AA490" s="68"/>
      <c r="AB490" s="66"/>
      <c r="AE490" s="66"/>
      <c r="AH490" s="68"/>
      <c r="AI490" s="66"/>
      <c r="AJ490" s="62"/>
      <c r="AK490" s="62"/>
      <c r="AL490" s="62"/>
      <c r="AM490" s="62"/>
      <c r="AN490" s="62"/>
      <c r="AO490" s="62"/>
      <c r="AP490" s="62"/>
      <c r="AQ490" s="62"/>
      <c r="AR490" s="62"/>
      <c r="AS490" s="62"/>
      <c r="AT490" s="62"/>
      <c r="AU490" s="69"/>
    </row>
    <row r="491" spans="2:47" x14ac:dyDescent="0.35">
      <c r="B491" s="59"/>
      <c r="C491" s="59"/>
      <c r="D491" s="60"/>
      <c r="E491" s="60"/>
      <c r="F491" s="60"/>
      <c r="G491" s="60"/>
      <c r="H491" s="60"/>
      <c r="I491" s="60"/>
      <c r="J491" s="60"/>
      <c r="K491" s="61"/>
      <c r="L491" s="61"/>
      <c r="M491" s="61"/>
      <c r="N491" s="61"/>
      <c r="O491" s="62"/>
      <c r="P491" s="62"/>
      <c r="Q491" s="62"/>
      <c r="S491" s="64"/>
      <c r="T491" s="64"/>
      <c r="U491" s="64"/>
      <c r="W491" s="66"/>
      <c r="Y491" s="66"/>
      <c r="Z491" s="66"/>
      <c r="AA491" s="68"/>
      <c r="AB491" s="66"/>
      <c r="AE491" s="66"/>
      <c r="AH491" s="68"/>
      <c r="AI491" s="66"/>
      <c r="AJ491" s="62"/>
      <c r="AK491" s="62"/>
      <c r="AL491" s="62"/>
      <c r="AM491" s="62"/>
      <c r="AN491" s="62"/>
      <c r="AO491" s="62"/>
      <c r="AP491" s="62"/>
      <c r="AQ491" s="62"/>
      <c r="AR491" s="62"/>
      <c r="AS491" s="62"/>
      <c r="AT491" s="62"/>
      <c r="AU491" s="69"/>
    </row>
    <row r="492" spans="2:47" x14ac:dyDescent="0.35">
      <c r="B492" s="59"/>
      <c r="C492" s="59"/>
      <c r="D492" s="60"/>
      <c r="E492" s="60"/>
      <c r="F492" s="60"/>
      <c r="G492" s="60"/>
      <c r="H492" s="60"/>
      <c r="I492" s="60"/>
      <c r="J492" s="60"/>
      <c r="K492" s="61"/>
      <c r="L492" s="61"/>
      <c r="M492" s="61"/>
      <c r="N492" s="61"/>
      <c r="O492" s="62"/>
      <c r="P492" s="62"/>
      <c r="Q492" s="62"/>
      <c r="S492" s="64"/>
      <c r="T492" s="64"/>
      <c r="U492" s="64"/>
      <c r="W492" s="66"/>
      <c r="Y492" s="66"/>
      <c r="Z492" s="66"/>
      <c r="AA492" s="68"/>
      <c r="AB492" s="66"/>
      <c r="AE492" s="66"/>
      <c r="AH492" s="68"/>
      <c r="AI492" s="66"/>
      <c r="AJ492" s="62"/>
      <c r="AK492" s="62"/>
      <c r="AL492" s="62"/>
      <c r="AM492" s="62"/>
      <c r="AN492" s="62"/>
      <c r="AO492" s="62"/>
      <c r="AP492" s="62"/>
      <c r="AQ492" s="62"/>
      <c r="AR492" s="62"/>
      <c r="AS492" s="62"/>
      <c r="AT492" s="62"/>
      <c r="AU492" s="69"/>
    </row>
    <row r="493" spans="2:47" x14ac:dyDescent="0.35">
      <c r="B493" s="59"/>
      <c r="C493" s="59"/>
      <c r="D493" s="60"/>
      <c r="E493" s="60"/>
      <c r="F493" s="60"/>
      <c r="G493" s="60"/>
      <c r="H493" s="60"/>
      <c r="I493" s="60"/>
      <c r="J493" s="60"/>
      <c r="K493" s="61"/>
      <c r="L493" s="61"/>
      <c r="M493" s="61"/>
      <c r="N493" s="61"/>
      <c r="O493" s="62"/>
      <c r="P493" s="62"/>
      <c r="Q493" s="62"/>
      <c r="S493" s="64"/>
      <c r="T493" s="64"/>
      <c r="U493" s="64"/>
      <c r="W493" s="66"/>
      <c r="Y493" s="66"/>
      <c r="Z493" s="66"/>
      <c r="AA493" s="68"/>
      <c r="AB493" s="66"/>
      <c r="AE493" s="66"/>
      <c r="AH493" s="68"/>
      <c r="AI493" s="66"/>
      <c r="AJ493" s="62"/>
      <c r="AK493" s="62"/>
      <c r="AL493" s="62"/>
      <c r="AM493" s="62"/>
      <c r="AN493" s="62"/>
      <c r="AO493" s="62"/>
      <c r="AP493" s="62"/>
      <c r="AQ493" s="62"/>
      <c r="AR493" s="62"/>
      <c r="AS493" s="62"/>
      <c r="AT493" s="62"/>
      <c r="AU493" s="69"/>
    </row>
    <row r="494" spans="2:47" x14ac:dyDescent="0.35">
      <c r="B494" s="59"/>
      <c r="C494" s="59"/>
      <c r="D494" s="60"/>
      <c r="E494" s="60"/>
      <c r="F494" s="60"/>
      <c r="G494" s="60"/>
      <c r="H494" s="60"/>
      <c r="I494" s="60"/>
      <c r="J494" s="60"/>
      <c r="K494" s="61"/>
      <c r="L494" s="61"/>
      <c r="M494" s="61"/>
      <c r="N494" s="61"/>
      <c r="O494" s="62"/>
      <c r="P494" s="62"/>
      <c r="Q494" s="62"/>
      <c r="S494" s="64"/>
      <c r="T494" s="64"/>
      <c r="U494" s="64"/>
      <c r="W494" s="66"/>
      <c r="Y494" s="66"/>
      <c r="Z494" s="66"/>
      <c r="AA494" s="68"/>
      <c r="AB494" s="66"/>
      <c r="AE494" s="66"/>
      <c r="AH494" s="68"/>
      <c r="AI494" s="66"/>
      <c r="AJ494" s="62"/>
      <c r="AK494" s="62"/>
      <c r="AL494" s="62"/>
      <c r="AM494" s="62"/>
      <c r="AN494" s="62"/>
      <c r="AO494" s="62"/>
      <c r="AP494" s="62"/>
      <c r="AQ494" s="62"/>
      <c r="AR494" s="62"/>
      <c r="AS494" s="62"/>
      <c r="AT494" s="62"/>
      <c r="AU494" s="69"/>
    </row>
    <row r="495" spans="2:47" x14ac:dyDescent="0.35">
      <c r="B495" s="59"/>
      <c r="C495" s="59"/>
      <c r="D495" s="60"/>
      <c r="E495" s="60"/>
      <c r="F495" s="60"/>
      <c r="G495" s="60"/>
      <c r="H495" s="60"/>
      <c r="I495" s="60"/>
      <c r="J495" s="60"/>
      <c r="K495" s="61"/>
      <c r="L495" s="61"/>
      <c r="M495" s="61"/>
      <c r="N495" s="61"/>
      <c r="O495" s="62"/>
      <c r="P495" s="62"/>
      <c r="Q495" s="62"/>
      <c r="S495" s="64"/>
      <c r="T495" s="64"/>
      <c r="U495" s="64"/>
      <c r="W495" s="66"/>
      <c r="Y495" s="66"/>
      <c r="Z495" s="66"/>
      <c r="AA495" s="68"/>
      <c r="AB495" s="66"/>
      <c r="AE495" s="66"/>
      <c r="AH495" s="68"/>
      <c r="AI495" s="66"/>
      <c r="AJ495" s="62"/>
      <c r="AK495" s="62"/>
      <c r="AL495" s="62"/>
      <c r="AM495" s="62"/>
      <c r="AN495" s="62"/>
      <c r="AO495" s="62"/>
      <c r="AP495" s="62"/>
      <c r="AQ495" s="62"/>
      <c r="AR495" s="62"/>
      <c r="AS495" s="62"/>
      <c r="AT495" s="62"/>
      <c r="AU495" s="69"/>
    </row>
    <row r="496" spans="2:47" x14ac:dyDescent="0.35">
      <c r="B496" s="59"/>
      <c r="C496" s="59"/>
      <c r="D496" s="60"/>
      <c r="E496" s="60"/>
      <c r="F496" s="60"/>
      <c r="G496" s="60"/>
      <c r="H496" s="60"/>
      <c r="I496" s="60"/>
      <c r="J496" s="60"/>
      <c r="K496" s="61"/>
      <c r="L496" s="61"/>
      <c r="M496" s="61"/>
      <c r="N496" s="61"/>
      <c r="O496" s="62"/>
      <c r="P496" s="62"/>
      <c r="Q496" s="62"/>
      <c r="S496" s="64"/>
      <c r="T496" s="64"/>
      <c r="U496" s="64"/>
      <c r="W496" s="66"/>
      <c r="Y496" s="66"/>
      <c r="Z496" s="66"/>
      <c r="AA496" s="68"/>
      <c r="AB496" s="66"/>
      <c r="AE496" s="66"/>
      <c r="AH496" s="68"/>
      <c r="AI496" s="66"/>
      <c r="AJ496" s="62"/>
      <c r="AK496" s="62"/>
      <c r="AL496" s="62"/>
      <c r="AM496" s="62"/>
      <c r="AN496" s="62"/>
      <c r="AO496" s="62"/>
      <c r="AP496" s="62"/>
      <c r="AQ496" s="62"/>
      <c r="AR496" s="62"/>
      <c r="AS496" s="62"/>
      <c r="AT496" s="62"/>
      <c r="AU496" s="69"/>
    </row>
    <row r="497" spans="2:47" x14ac:dyDescent="0.35">
      <c r="B497" s="59"/>
      <c r="C497" s="59"/>
      <c r="D497" s="60"/>
      <c r="E497" s="60"/>
      <c r="F497" s="60"/>
      <c r="G497" s="60"/>
      <c r="H497" s="60"/>
      <c r="I497" s="60"/>
      <c r="J497" s="60"/>
      <c r="K497" s="61"/>
      <c r="L497" s="61"/>
      <c r="M497" s="61"/>
      <c r="N497" s="61"/>
      <c r="O497" s="62"/>
      <c r="P497" s="62"/>
      <c r="Q497" s="62"/>
      <c r="S497" s="64"/>
      <c r="T497" s="64"/>
      <c r="U497" s="64"/>
      <c r="W497" s="66"/>
      <c r="Y497" s="66"/>
      <c r="Z497" s="66"/>
      <c r="AA497" s="68"/>
      <c r="AB497" s="66"/>
      <c r="AE497" s="66"/>
      <c r="AH497" s="68"/>
      <c r="AI497" s="66"/>
      <c r="AJ497" s="62"/>
      <c r="AK497" s="62"/>
      <c r="AL497" s="62"/>
      <c r="AM497" s="62"/>
      <c r="AN497" s="62"/>
      <c r="AO497" s="62"/>
      <c r="AP497" s="62"/>
      <c r="AQ497" s="62"/>
      <c r="AR497" s="62"/>
      <c r="AS497" s="62"/>
      <c r="AT497" s="62"/>
      <c r="AU497" s="69"/>
    </row>
    <row r="498" spans="2:47" x14ac:dyDescent="0.35">
      <c r="B498" s="59"/>
      <c r="C498" s="59"/>
      <c r="D498" s="60"/>
      <c r="E498" s="60"/>
      <c r="F498" s="60"/>
      <c r="G498" s="60"/>
      <c r="H498" s="60"/>
      <c r="I498" s="60"/>
      <c r="J498" s="60"/>
      <c r="K498" s="61"/>
      <c r="L498" s="61"/>
      <c r="M498" s="61"/>
      <c r="N498" s="61"/>
      <c r="O498" s="62"/>
      <c r="P498" s="62"/>
      <c r="Q498" s="62"/>
      <c r="S498" s="64"/>
      <c r="T498" s="64"/>
      <c r="U498" s="64"/>
      <c r="W498" s="66"/>
      <c r="Y498" s="66"/>
      <c r="Z498" s="66"/>
      <c r="AA498" s="68"/>
      <c r="AB498" s="66"/>
      <c r="AE498" s="66"/>
      <c r="AH498" s="68"/>
      <c r="AI498" s="66"/>
      <c r="AJ498" s="62"/>
      <c r="AK498" s="62"/>
      <c r="AL498" s="62"/>
      <c r="AM498" s="62"/>
      <c r="AN498" s="62"/>
      <c r="AO498" s="62"/>
      <c r="AP498" s="62"/>
      <c r="AQ498" s="62"/>
      <c r="AR498" s="62"/>
      <c r="AS498" s="62"/>
      <c r="AT498" s="62"/>
      <c r="AU498" s="69"/>
    </row>
    <row r="499" spans="2:47" x14ac:dyDescent="0.35">
      <c r="B499" s="59"/>
      <c r="C499" s="59"/>
      <c r="D499" s="60"/>
      <c r="E499" s="60"/>
      <c r="F499" s="60"/>
      <c r="G499" s="60"/>
      <c r="H499" s="60"/>
      <c r="I499" s="60"/>
      <c r="J499" s="60"/>
      <c r="K499" s="61"/>
      <c r="L499" s="61"/>
      <c r="M499" s="61"/>
      <c r="N499" s="61"/>
      <c r="O499" s="62"/>
      <c r="P499" s="62"/>
      <c r="Q499" s="62"/>
      <c r="S499" s="64"/>
      <c r="T499" s="64"/>
      <c r="U499" s="64"/>
      <c r="W499" s="66"/>
      <c r="Y499" s="66"/>
      <c r="Z499" s="66"/>
      <c r="AA499" s="68"/>
      <c r="AB499" s="66"/>
      <c r="AE499" s="66"/>
      <c r="AH499" s="68"/>
      <c r="AI499" s="66"/>
      <c r="AJ499" s="62"/>
      <c r="AK499" s="62"/>
      <c r="AL499" s="62"/>
      <c r="AM499" s="62"/>
      <c r="AN499" s="62"/>
      <c r="AO499" s="62"/>
      <c r="AP499" s="62"/>
      <c r="AQ499" s="62"/>
      <c r="AR499" s="62"/>
      <c r="AS499" s="62"/>
      <c r="AT499" s="62"/>
      <c r="AU499" s="69"/>
    </row>
    <row r="500" spans="2:47" x14ac:dyDescent="0.35">
      <c r="B500" s="59"/>
      <c r="C500" s="59"/>
      <c r="D500" s="60"/>
      <c r="E500" s="60"/>
      <c r="F500" s="60"/>
      <c r="G500" s="60"/>
      <c r="H500" s="60"/>
      <c r="I500" s="60"/>
      <c r="J500" s="60"/>
      <c r="K500" s="61"/>
      <c r="L500" s="61"/>
      <c r="M500" s="61"/>
      <c r="N500" s="61"/>
      <c r="O500" s="62"/>
      <c r="P500" s="62"/>
      <c r="Q500" s="62"/>
      <c r="S500" s="64"/>
      <c r="T500" s="64"/>
      <c r="U500" s="64"/>
      <c r="W500" s="66"/>
      <c r="Y500" s="66"/>
      <c r="Z500" s="66"/>
      <c r="AA500" s="68"/>
      <c r="AB500" s="66"/>
      <c r="AE500" s="66"/>
      <c r="AH500" s="68"/>
      <c r="AI500" s="66"/>
      <c r="AJ500" s="62"/>
      <c r="AK500" s="62"/>
      <c r="AL500" s="62"/>
      <c r="AM500" s="62"/>
      <c r="AN500" s="62"/>
      <c r="AO500" s="62"/>
      <c r="AP500" s="62"/>
      <c r="AQ500" s="62"/>
      <c r="AR500" s="62"/>
      <c r="AS500" s="62"/>
      <c r="AT500" s="62"/>
      <c r="AU500" s="69"/>
    </row>
    <row r="501" spans="2:47" x14ac:dyDescent="0.35">
      <c r="B501" s="59"/>
      <c r="C501" s="59"/>
      <c r="D501" s="60"/>
      <c r="E501" s="60"/>
      <c r="F501" s="60"/>
      <c r="G501" s="60"/>
      <c r="H501" s="60"/>
      <c r="I501" s="60"/>
      <c r="J501" s="60"/>
      <c r="K501" s="61"/>
      <c r="L501" s="61"/>
      <c r="M501" s="61"/>
      <c r="N501" s="61"/>
      <c r="O501" s="62"/>
      <c r="P501" s="62"/>
      <c r="Q501" s="62"/>
      <c r="S501" s="64"/>
      <c r="T501" s="64"/>
      <c r="U501" s="64"/>
      <c r="W501" s="66"/>
      <c r="Y501" s="66"/>
      <c r="Z501" s="66"/>
      <c r="AA501" s="68"/>
      <c r="AB501" s="66"/>
      <c r="AE501" s="66"/>
      <c r="AH501" s="68"/>
      <c r="AI501" s="66"/>
      <c r="AJ501" s="62"/>
      <c r="AK501" s="62"/>
      <c r="AL501" s="62"/>
      <c r="AM501" s="62"/>
      <c r="AN501" s="62"/>
      <c r="AO501" s="62"/>
      <c r="AP501" s="62"/>
      <c r="AQ501" s="62"/>
      <c r="AR501" s="62"/>
      <c r="AS501" s="62"/>
      <c r="AT501" s="62"/>
      <c r="AU501" s="69"/>
    </row>
    <row r="502" spans="2:47" x14ac:dyDescent="0.35">
      <c r="B502" s="59"/>
      <c r="C502" s="59"/>
      <c r="D502" s="60"/>
      <c r="E502" s="60"/>
      <c r="F502" s="60"/>
      <c r="G502" s="60"/>
      <c r="H502" s="60"/>
      <c r="I502" s="60"/>
      <c r="J502" s="60"/>
      <c r="K502" s="61"/>
      <c r="L502" s="61"/>
      <c r="M502" s="61"/>
      <c r="N502" s="61"/>
      <c r="O502" s="62"/>
      <c r="P502" s="62"/>
      <c r="Q502" s="62"/>
      <c r="S502" s="64"/>
      <c r="T502" s="64"/>
      <c r="U502" s="64"/>
      <c r="W502" s="66"/>
      <c r="Y502" s="66"/>
      <c r="Z502" s="66"/>
      <c r="AA502" s="68"/>
      <c r="AB502" s="66"/>
      <c r="AE502" s="66"/>
      <c r="AH502" s="68"/>
      <c r="AI502" s="66"/>
      <c r="AJ502" s="62"/>
      <c r="AK502" s="62"/>
      <c r="AL502" s="62"/>
      <c r="AM502" s="62"/>
      <c r="AN502" s="62"/>
      <c r="AO502" s="62"/>
      <c r="AP502" s="62"/>
      <c r="AQ502" s="62"/>
      <c r="AR502" s="62"/>
      <c r="AS502" s="62"/>
      <c r="AT502" s="62"/>
      <c r="AU502" s="69"/>
    </row>
    <row r="503" spans="2:47" x14ac:dyDescent="0.35">
      <c r="B503" s="59"/>
      <c r="C503" s="59"/>
      <c r="D503" s="60"/>
      <c r="E503" s="60"/>
      <c r="F503" s="60"/>
      <c r="G503" s="60"/>
      <c r="H503" s="60"/>
      <c r="I503" s="60"/>
      <c r="J503" s="60"/>
      <c r="K503" s="61"/>
      <c r="L503" s="61"/>
      <c r="M503" s="61"/>
      <c r="N503" s="61"/>
      <c r="O503" s="62"/>
      <c r="P503" s="62"/>
      <c r="Q503" s="62"/>
      <c r="S503" s="64"/>
      <c r="T503" s="64"/>
      <c r="U503" s="64"/>
      <c r="W503" s="66"/>
      <c r="Y503" s="66"/>
      <c r="Z503" s="66"/>
      <c r="AA503" s="68"/>
      <c r="AB503" s="66"/>
      <c r="AE503" s="66"/>
      <c r="AH503" s="68"/>
      <c r="AI503" s="66"/>
      <c r="AJ503" s="62"/>
      <c r="AK503" s="62"/>
      <c r="AL503" s="62"/>
      <c r="AM503" s="62"/>
      <c r="AN503" s="62"/>
      <c r="AO503" s="62"/>
      <c r="AP503" s="62"/>
      <c r="AQ503" s="62"/>
      <c r="AR503" s="62"/>
      <c r="AS503" s="62"/>
      <c r="AT503" s="62"/>
      <c r="AU503" s="69"/>
    </row>
    <row r="504" spans="2:47" x14ac:dyDescent="0.35">
      <c r="B504" s="59"/>
      <c r="C504" s="59"/>
      <c r="D504" s="60"/>
      <c r="E504" s="60"/>
      <c r="F504" s="60"/>
      <c r="G504" s="60"/>
      <c r="H504" s="60"/>
      <c r="I504" s="60"/>
      <c r="J504" s="60"/>
      <c r="K504" s="61"/>
      <c r="L504" s="61"/>
      <c r="M504" s="61"/>
      <c r="N504" s="61"/>
      <c r="O504" s="62"/>
      <c r="P504" s="62"/>
      <c r="Q504" s="62"/>
      <c r="S504" s="64"/>
      <c r="T504" s="64"/>
      <c r="U504" s="64"/>
      <c r="W504" s="66"/>
      <c r="Y504" s="66"/>
      <c r="Z504" s="66"/>
      <c r="AA504" s="68"/>
      <c r="AB504" s="66"/>
      <c r="AE504" s="66"/>
      <c r="AH504" s="68"/>
      <c r="AI504" s="66"/>
      <c r="AJ504" s="62"/>
      <c r="AK504" s="62"/>
      <c r="AL504" s="62"/>
      <c r="AM504" s="62"/>
      <c r="AN504" s="62"/>
      <c r="AO504" s="62"/>
      <c r="AP504" s="62"/>
      <c r="AQ504" s="62"/>
      <c r="AR504" s="62"/>
      <c r="AS504" s="62"/>
      <c r="AT504" s="62"/>
      <c r="AU504" s="69"/>
    </row>
  </sheetData>
  <sheetProtection algorithmName="SHA-512" hashValue="9E+eenphbbSJKArtKCr5BADiLsQoD8Yha2YgL93BEJ06HMlxNhOISD+5CYrqcP+aEHM3Dq0WJ734cywb2mR+9w==" saltValue="Sz/zEEuwk4uh1frcpAmzTQ==" spinCount="100000" sheet="1" objects="1" scenarios="1"/>
  <mergeCells count="7">
    <mergeCell ref="AJ2:AT2"/>
    <mergeCell ref="W2:AI2"/>
    <mergeCell ref="K2:N2"/>
    <mergeCell ref="D2:G2"/>
    <mergeCell ref="H2:J2"/>
    <mergeCell ref="O2:R2"/>
    <mergeCell ref="S2:U2"/>
  </mergeCells>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53D-2FD6-4F1B-960C-1433C70B2D09}">
  <sheetPr codeName="Sheet6">
    <tabColor theme="0" tint="-0.34998626667073579"/>
  </sheetPr>
  <dimension ref="A1:CQ504"/>
  <sheetViews>
    <sheetView zoomScale="85" zoomScaleNormal="85" workbookViewId="0">
      <selection activeCell="Q5" sqref="Q5"/>
    </sheetView>
  </sheetViews>
  <sheetFormatPr defaultColWidth="8.640625" defaultRowHeight="14.15" x14ac:dyDescent="0.35"/>
  <cols>
    <col min="1" max="1" width="13.35546875" style="58" customWidth="1"/>
    <col min="2" max="3" width="13.35546875" style="70" customWidth="1"/>
    <col min="4" max="4" width="14.7109375" style="65" customWidth="1"/>
    <col min="5" max="5" width="10.140625" style="65" customWidth="1"/>
    <col min="6" max="6" width="18.2109375" style="65" customWidth="1"/>
    <col min="7" max="7" width="13.35546875" style="65" customWidth="1"/>
    <col min="8" max="8" width="12.2109375" style="67" customWidth="1"/>
    <col min="9" max="9" width="9.640625" style="67" customWidth="1"/>
    <col min="10" max="12" width="14.7109375" style="113" customWidth="1"/>
    <col min="13" max="13" width="14.140625" style="113" customWidth="1"/>
    <col min="14" max="14" width="22.7109375" style="113" customWidth="1"/>
    <col min="15" max="15" width="11.35546875" style="113" customWidth="1"/>
    <col min="16" max="16" width="8.7109375" style="113" bestFit="1" customWidth="1"/>
    <col min="17" max="17" width="13.140625" style="113" customWidth="1"/>
    <col min="18" max="18" width="12.640625" style="113" customWidth="1"/>
    <col min="19" max="19" width="24.2109375" style="113" customWidth="1"/>
    <col min="20" max="20" width="10.35546875" style="113" customWidth="1"/>
    <col min="21" max="21" width="10.7109375" style="113" customWidth="1"/>
    <col min="22" max="24" width="14.640625" style="113" customWidth="1"/>
    <col min="25" max="25" width="21.7109375" style="113" customWidth="1"/>
    <col min="26" max="26" width="14.640625" style="114" bestFit="1" customWidth="1"/>
    <col min="27" max="27" width="15.2109375" style="114" customWidth="1"/>
    <col min="28" max="30" width="21.7109375" style="114" customWidth="1"/>
    <col min="31" max="31" width="17.2109375" style="114" customWidth="1"/>
    <col min="32" max="32" width="8.640625" style="114"/>
    <col min="33" max="33" width="11.7109375" style="114" customWidth="1"/>
    <col min="34" max="39" width="8.640625" style="114"/>
    <col min="40" max="40" width="23.35546875" style="72" customWidth="1"/>
    <col min="41" max="41" width="29.140625" style="72" customWidth="1"/>
    <col min="42" max="42" width="29.140625" style="115" customWidth="1"/>
    <col min="43" max="43" width="34.35546875" style="72" customWidth="1"/>
    <col min="44" max="44" width="30.140625" style="72" bestFit="1" customWidth="1"/>
    <col min="45" max="46" width="23.35546875" style="72" customWidth="1"/>
    <col min="47" max="47" width="35.7109375" style="72" customWidth="1"/>
    <col min="48" max="48" width="25.2109375" style="72" customWidth="1"/>
    <col min="49" max="49" width="22.35546875" style="72" customWidth="1"/>
    <col min="50" max="50" width="22.7109375" style="72" customWidth="1"/>
    <col min="51" max="51" width="31.35546875" style="72" customWidth="1"/>
    <col min="52" max="53" width="12.35546875" style="72" customWidth="1"/>
    <col min="54" max="54" width="12.7109375" style="72" customWidth="1"/>
    <col min="55" max="55" width="16.7109375" style="72" bestFit="1" customWidth="1"/>
    <col min="56" max="56" width="16.7109375" style="72" customWidth="1"/>
    <col min="57" max="57" width="20.640625" style="72" customWidth="1"/>
    <col min="58" max="16384" width="8.640625" style="477"/>
  </cols>
  <sheetData>
    <row r="1" spans="1:95" x14ac:dyDescent="0.35">
      <c r="A1" s="36" t="s">
        <v>152</v>
      </c>
      <c r="B1" s="37"/>
      <c r="C1" s="37"/>
      <c r="D1" s="74" t="s">
        <v>154</v>
      </c>
      <c r="E1" s="74"/>
      <c r="F1" s="74"/>
      <c r="G1" s="74"/>
      <c r="H1" s="74"/>
      <c r="I1" s="74"/>
      <c r="J1" s="75" t="s">
        <v>198</v>
      </c>
      <c r="K1" s="75"/>
      <c r="L1" s="75"/>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7"/>
      <c r="AO1" s="77"/>
      <c r="AP1" s="78"/>
      <c r="AQ1" s="77"/>
      <c r="AR1" s="77"/>
      <c r="AS1" s="77"/>
      <c r="AT1" s="77"/>
      <c r="AU1" s="77"/>
      <c r="AV1" s="77"/>
      <c r="AW1" s="77"/>
      <c r="AX1" s="77"/>
      <c r="AY1" s="77"/>
      <c r="AZ1" s="77"/>
      <c r="BA1" s="77"/>
      <c r="BB1" s="77"/>
      <c r="BC1" s="77"/>
      <c r="BD1" s="77"/>
      <c r="BE1" s="77"/>
    </row>
    <row r="2" spans="1:95" ht="28.3" x14ac:dyDescent="0.35">
      <c r="A2" s="38"/>
      <c r="B2" s="31" t="s">
        <v>162</v>
      </c>
      <c r="C2" s="42" t="s">
        <v>111</v>
      </c>
      <c r="D2" s="79" t="s">
        <v>199</v>
      </c>
      <c r="E2" s="79"/>
      <c r="F2" s="79"/>
      <c r="G2" s="79"/>
      <c r="H2" s="80" t="s">
        <v>109</v>
      </c>
      <c r="I2" s="80"/>
      <c r="J2" s="81" t="s">
        <v>200</v>
      </c>
      <c r="K2" s="81"/>
      <c r="L2" s="81" t="s">
        <v>199</v>
      </c>
      <c r="M2" s="82"/>
      <c r="N2" s="82"/>
      <c r="O2" s="82"/>
      <c r="P2" s="82"/>
      <c r="Q2" s="81"/>
      <c r="R2" s="81"/>
      <c r="S2" s="81"/>
      <c r="T2" s="82"/>
      <c r="U2" s="82"/>
      <c r="V2" s="82"/>
      <c r="W2" s="82"/>
      <c r="X2" s="82"/>
      <c r="Y2" s="82"/>
      <c r="Z2" s="83" t="s">
        <v>109</v>
      </c>
      <c r="AA2" s="84"/>
      <c r="AB2" s="84"/>
      <c r="AC2" s="84"/>
      <c r="AD2" s="84"/>
      <c r="AE2" s="84"/>
      <c r="AF2" s="84"/>
      <c r="AG2" s="84"/>
      <c r="AH2" s="84"/>
      <c r="AI2" s="84"/>
      <c r="AJ2" s="84"/>
      <c r="AK2" s="84"/>
      <c r="AL2" s="84"/>
      <c r="AM2" s="84"/>
      <c r="AN2" s="85" t="s">
        <v>201</v>
      </c>
      <c r="AO2" s="85"/>
      <c r="AP2" s="86"/>
      <c r="AQ2" s="85"/>
      <c r="AR2" s="85"/>
      <c r="AS2" s="85"/>
      <c r="AT2" s="85"/>
      <c r="AU2" s="87"/>
      <c r="AV2" s="87"/>
      <c r="AW2" s="87"/>
      <c r="AX2" s="87"/>
      <c r="AY2" s="87"/>
      <c r="AZ2" s="87"/>
      <c r="BA2" s="87"/>
      <c r="BB2" s="87"/>
      <c r="BC2" s="87"/>
      <c r="BD2" s="87"/>
      <c r="BE2" s="87"/>
    </row>
    <row r="3" spans="1:95" x14ac:dyDescent="0.35">
      <c r="A3" s="88"/>
      <c r="B3" s="41"/>
      <c r="C3" s="41"/>
      <c r="D3" s="31" t="s">
        <v>202</v>
      </c>
      <c r="E3" s="31" t="s">
        <v>203</v>
      </c>
      <c r="F3" s="31" t="s">
        <v>204</v>
      </c>
      <c r="G3" s="31" t="s">
        <v>205</v>
      </c>
      <c r="H3" s="31" t="s">
        <v>154</v>
      </c>
      <c r="I3" s="31"/>
      <c r="J3" s="41" t="s">
        <v>76</v>
      </c>
      <c r="K3" s="41" t="s">
        <v>22</v>
      </c>
      <c r="L3" s="41" t="s">
        <v>206</v>
      </c>
      <c r="M3" s="31" t="s">
        <v>2</v>
      </c>
      <c r="N3" s="31" t="s">
        <v>207</v>
      </c>
      <c r="O3" s="31" t="s">
        <v>208</v>
      </c>
      <c r="P3" s="31" t="s">
        <v>209</v>
      </c>
      <c r="Q3" s="31" t="s">
        <v>210</v>
      </c>
      <c r="R3" s="31" t="s">
        <v>118</v>
      </c>
      <c r="S3" s="31" t="s">
        <v>211</v>
      </c>
      <c r="T3" s="41" t="s">
        <v>212</v>
      </c>
      <c r="U3" s="41" t="s">
        <v>209</v>
      </c>
      <c r="V3" s="31" t="s">
        <v>2</v>
      </c>
      <c r="W3" s="31" t="s">
        <v>213</v>
      </c>
      <c r="X3" s="31" t="s">
        <v>208</v>
      </c>
      <c r="Y3" s="31" t="s">
        <v>207</v>
      </c>
      <c r="Z3" s="41" t="s">
        <v>206</v>
      </c>
      <c r="AA3" s="31" t="s">
        <v>2</v>
      </c>
      <c r="AB3" s="31" t="s">
        <v>207</v>
      </c>
      <c r="AC3" s="31" t="s">
        <v>208</v>
      </c>
      <c r="AD3" s="31" t="s">
        <v>209</v>
      </c>
      <c r="AE3" s="31" t="s">
        <v>214</v>
      </c>
      <c r="AF3" s="31" t="s">
        <v>118</v>
      </c>
      <c r="AG3" s="31" t="s">
        <v>211</v>
      </c>
      <c r="AH3" s="41" t="s">
        <v>212</v>
      </c>
      <c r="AI3" s="41" t="s">
        <v>209</v>
      </c>
      <c r="AJ3" s="31" t="s">
        <v>2</v>
      </c>
      <c r="AK3" s="31" t="s">
        <v>213</v>
      </c>
      <c r="AL3" s="31" t="s">
        <v>208</v>
      </c>
      <c r="AM3" s="31" t="s">
        <v>207</v>
      </c>
      <c r="AN3" s="31" t="s">
        <v>215</v>
      </c>
      <c r="AO3" s="31" t="s">
        <v>216</v>
      </c>
      <c r="AP3" s="89" t="s">
        <v>217</v>
      </c>
      <c r="AQ3" s="31" t="s">
        <v>218</v>
      </c>
      <c r="AR3" s="31" t="s">
        <v>219</v>
      </c>
      <c r="AS3" s="31" t="s">
        <v>215</v>
      </c>
      <c r="AT3" s="31" t="s">
        <v>466</v>
      </c>
      <c r="AU3" s="31" t="s">
        <v>467</v>
      </c>
      <c r="AV3" s="31" t="s">
        <v>220</v>
      </c>
      <c r="AW3" s="31" t="s">
        <v>221</v>
      </c>
      <c r="AX3" s="31" t="s">
        <v>222</v>
      </c>
      <c r="AY3" s="31" t="s">
        <v>223</v>
      </c>
      <c r="AZ3" s="31" t="s">
        <v>224</v>
      </c>
      <c r="BA3" s="31" t="s">
        <v>225</v>
      </c>
      <c r="BB3" s="31" t="s">
        <v>226</v>
      </c>
      <c r="BC3" s="31" t="s">
        <v>227</v>
      </c>
      <c r="BD3" s="31" t="s">
        <v>228</v>
      </c>
      <c r="BE3" s="31" t="s">
        <v>229</v>
      </c>
    </row>
    <row r="4" spans="1:95" s="44" customFormat="1" x14ac:dyDescent="0.35">
      <c r="A4" s="38"/>
      <c r="B4" s="31"/>
      <c r="C4" s="31"/>
      <c r="D4" s="31" t="s">
        <v>230</v>
      </c>
      <c r="E4" s="31"/>
      <c r="F4" s="31"/>
      <c r="G4" s="31"/>
      <c r="H4" s="31" t="s">
        <v>231</v>
      </c>
      <c r="I4" s="31" t="s">
        <v>232</v>
      </c>
      <c r="J4" s="31"/>
      <c r="K4" s="31" t="s">
        <v>233</v>
      </c>
      <c r="L4" s="31" t="s">
        <v>234</v>
      </c>
      <c r="M4" s="31" t="s">
        <v>234</v>
      </c>
      <c r="N4" s="31" t="s">
        <v>234</v>
      </c>
      <c r="O4" s="31" t="s">
        <v>234</v>
      </c>
      <c r="P4" s="31" t="s">
        <v>234</v>
      </c>
      <c r="Q4" s="31" t="s">
        <v>24</v>
      </c>
      <c r="R4" s="31" t="s">
        <v>24</v>
      </c>
      <c r="S4" s="31" t="s">
        <v>24</v>
      </c>
      <c r="T4" s="31" t="s">
        <v>24</v>
      </c>
      <c r="U4" s="31" t="s">
        <v>24</v>
      </c>
      <c r="V4" s="31" t="s">
        <v>24</v>
      </c>
      <c r="W4" s="31" t="s">
        <v>24</v>
      </c>
      <c r="X4" s="31" t="s">
        <v>24</v>
      </c>
      <c r="Y4" s="31" t="s">
        <v>24</v>
      </c>
      <c r="Z4" s="31" t="s">
        <v>234</v>
      </c>
      <c r="AA4" s="31" t="s">
        <v>234</v>
      </c>
      <c r="AB4" s="31" t="s">
        <v>234</v>
      </c>
      <c r="AC4" s="31" t="s">
        <v>234</v>
      </c>
      <c r="AD4" s="31" t="s">
        <v>234</v>
      </c>
      <c r="AE4" s="31" t="s">
        <v>24</v>
      </c>
      <c r="AF4" s="31" t="s">
        <v>24</v>
      </c>
      <c r="AG4" s="31" t="s">
        <v>24</v>
      </c>
      <c r="AH4" s="31" t="s">
        <v>24</v>
      </c>
      <c r="AI4" s="31" t="s">
        <v>24</v>
      </c>
      <c r="AJ4" s="31" t="s">
        <v>24</v>
      </c>
      <c r="AK4" s="31" t="s">
        <v>24</v>
      </c>
      <c r="AL4" s="31" t="s">
        <v>24</v>
      </c>
      <c r="AM4" s="31" t="s">
        <v>24</v>
      </c>
      <c r="AN4" s="31"/>
      <c r="AO4" s="31"/>
      <c r="AP4" s="90"/>
      <c r="AQ4" s="31"/>
      <c r="AR4" s="31"/>
      <c r="AS4" s="31" t="s">
        <v>24</v>
      </c>
      <c r="AT4" s="31" t="s">
        <v>24</v>
      </c>
      <c r="AU4" s="31" t="s">
        <v>24</v>
      </c>
      <c r="AV4" s="31" t="s">
        <v>24</v>
      </c>
      <c r="AW4" s="31" t="s">
        <v>24</v>
      </c>
      <c r="AX4" s="31" t="s">
        <v>234</v>
      </c>
      <c r="AY4" s="31" t="s">
        <v>234</v>
      </c>
      <c r="AZ4" s="31" t="s">
        <v>24</v>
      </c>
      <c r="BA4" s="31" t="s">
        <v>24</v>
      </c>
      <c r="BB4" s="31" t="s">
        <v>24</v>
      </c>
      <c r="BC4" s="31" t="s">
        <v>24</v>
      </c>
      <c r="BD4" s="31" t="s">
        <v>24</v>
      </c>
      <c r="BE4" s="31" t="s">
        <v>24</v>
      </c>
    </row>
    <row r="5" spans="1:95" x14ac:dyDescent="0.35">
      <c r="A5" s="45" t="s">
        <v>142</v>
      </c>
      <c r="B5" s="91">
        <f>SUM('2. Eingaben Fahrzeug-Ebene'!$D5:$E5)</f>
        <v>1</v>
      </c>
      <c r="C5" s="91">
        <f>'2. Eingaben Fahrzeug-Ebene'!C5</f>
        <v>1</v>
      </c>
      <c r="D5" s="92">
        <f>'2. Eingaben Fahrzeug-Ebene'!X5*'2. Eingaben Fahrzeug-Ebene'!J5/100/'2d. Annahmen'!$B$56</f>
        <v>4362.2222222222217</v>
      </c>
      <c r="E5" s="93">
        <f ca="1">IF(B5,'2a. Ladekonzept'!S5/'2a. Ladekonzept'!D5,0)</f>
        <v>0</v>
      </c>
      <c r="F5" s="93">
        <f ca="1">IF(B5,SUM('2a. Ladekonzept'!U5,'2a. Ladekonzept'!T5)/'2a. Ladekonzept'!D5,0)</f>
        <v>1</v>
      </c>
      <c r="G5" s="93">
        <f ca="1">IF(B5,'2a. Ladekonzept'!Q5/'2a. Ladekonzept'!D5,0)</f>
        <v>0</v>
      </c>
      <c r="H5" s="94">
        <f>'2. Eingaben Fahrzeug-Ebene'!V5*'2. Eingaben Fahrzeug-Ebene'!O5/100</f>
        <v>5.8</v>
      </c>
      <c r="I5" s="95">
        <f>'2. Eingaben Fahrzeug-Ebene'!X5*'2. Eingaben Fahrzeug-Ebene'!O5/100</f>
        <v>1508</v>
      </c>
      <c r="J5" s="96">
        <f>IF(B5,'1c. Inputs Segment Summary'!Z2,0)</f>
        <v>0.03</v>
      </c>
      <c r="K5" s="97">
        <f>IF(B5,'1c. Inputs Segment Summary'!AA2/12,0)</f>
        <v>4</v>
      </c>
      <c r="L5" s="97">
        <f>IF(B5,'2. Eingaben Fahrzeug-Ebene'!N5*'2. Eingaben Fahrzeug-Ebene'!$X5,0)</f>
        <v>650</v>
      </c>
      <c r="M5" s="97" cm="1">
        <f t="array" aca="1" ref="M5" ca="1">IF(B5,D5*(SUMPRODUCT('1b. Corrected Inputs Segment'!$J$19:$J$21,TRANSPOSE('2b. Kosten'!E5:G5)))+AY5,0)</f>
        <v>1046.9333333333332</v>
      </c>
      <c r="N5" s="97" cm="1">
        <f t="array" ref="N5">IF(B5,INDEX('2d. Annahmen'!$D$22:$D$25,'2. Eingaben Fahrzeug-Ebene'!G5),0)</f>
        <v>400</v>
      </c>
      <c r="O5" s="97" cm="1">
        <f t="array" ref="O5">IF(B5,INDEX('2d. Annahmen'!$C$22:$C$25,'2. Eingaben Fahrzeug-Ebene'!G5),0)</f>
        <v>1200</v>
      </c>
      <c r="P5" s="97" cm="1">
        <f t="array" ref="P5">IF(B5,INDEX('2d. Annahmen'!$L$4:$L$7,'2. Eingaben Fahrzeug-Ebene'!G5),0)</f>
        <v>470</v>
      </c>
      <c r="Q5" s="97">
        <f>IF(B5,'2. Eingaben Fahrzeug-Ebene'!K5,0)</f>
        <v>28810.890000000003</v>
      </c>
      <c r="R5" s="97" cm="1">
        <f t="array" ref="R5">IF(B5,NPV(J5, _xlfn.MAKEARRAY(1, K5, _xlfn.LAMBDA(_xlpm.r,_xlpm.c, IF(_xlpm.c = K5, -'2. Eingaben Fahrzeug-Ebene'!M5, 0)))),0)</f>
        <v>-7847.9167814577122</v>
      </c>
      <c r="S5" s="97">
        <f>SUM(Q5:R5)</f>
        <v>20962.973218542291</v>
      </c>
      <c r="T5" s="97">
        <f t="shared" ref="T5" si="0">IF(B5,NPV(J5,_xlfn.MAKEARRAY(K5,1,_xlfn.LAMBDA(_xlpm.r,_xlpm.c,L5))),0)</f>
        <v>2416.1139618267403</v>
      </c>
      <c r="U5" s="97">
        <f t="shared" ref="U5" si="1">IF(B5,NPV(J5,_xlfn.MAKEARRAY(K5,1,_xlfn.LAMBDA(_xlpm.r,_xlpm.c,P5))),0)</f>
        <v>1747.0362493208738</v>
      </c>
      <c r="V5" s="97">
        <f t="shared" ref="V5" ca="1" si="2">IF(B5,NPV(J5,_xlfn.MAKEARRAY(K5,1,_xlfn.LAMBDA(_xlpm.r,_xlpm.c,M5))),0)</f>
        <v>3891.554221182269</v>
      </c>
      <c r="W5" s="97" cm="1">
        <f t="array" aca="1" ref="W5" ca="1">IF(B5,AV5+NPV(J5,_xlfn.MAKEARRAY(K5,1,_xlfn.LAMBDA(_xlpm.r,_xlpm.c,AX5)))+NPV(J5, _xlfn.MAKEARRAY(1, K5, _xlfn.LAMBDA(_xlpm.r,_xlpm.c, IF(_xlpm.c = K5, -AW5, 0))))+BD5+NPV(J5, _xlfn.MAKEARRAY(1, K5, _xlfn.LAMBDA(_xlpm.r,_xlpm.c, IF(_xlpm.c = K5, -BE5, 0)))),0)</f>
        <v>1720.6191365841023</v>
      </c>
      <c r="X5" s="97">
        <f t="shared" ref="X5" si="3">IF(B5,NPV(J5,_xlfn.MAKEARRAY(K5,1,_xlfn.LAMBDA(_xlpm.r,_xlpm.c,O5))),0)</f>
        <v>4460.5180833724435</v>
      </c>
      <c r="Y5" s="97">
        <f t="shared" ref="Y5" si="4">IF(B5,NPV(J5,_xlfn.MAKEARRAY(K5,1,_xlfn.LAMBDA(_xlpm.r,_xlpm.c,N5))),0)</f>
        <v>1486.8393611241479</v>
      </c>
      <c r="Z5" s="98">
        <f>IF(B5,'2. Eingaben Fahrzeug-Ebene'!S5*'2. Eingaben Fahrzeug-Ebene'!$X5,0)</f>
        <v>1300</v>
      </c>
      <c r="AA5" s="98">
        <f>IF(B5,I5*'1b. Corrected Inputs Segment'!$J$18,0)</f>
        <v>2714.4</v>
      </c>
      <c r="AB5" s="98" cm="1">
        <f t="array" ref="AB5">IF(B5,INDEX('2d. Annahmen'!$D$22:$D$25,'2. Eingaben Fahrzeug-Ebene'!G5),0)</f>
        <v>400</v>
      </c>
      <c r="AC5" s="98" cm="1">
        <f t="array" ref="AC5">IF(B5,INDEX('2d. Annahmen'!$C$22:$C$25,'2. Eingaben Fahrzeug-Ebene'!G5),0)</f>
        <v>1200</v>
      </c>
      <c r="AD5" s="98" cm="1">
        <f t="array" ref="AD5">IF(B5,INDEX('2d. Annahmen'!I13:I16,'2. Eingaben Fahrzeug-Ebene'!G5),0)</f>
        <v>400</v>
      </c>
      <c r="AE5" s="98">
        <f>IF(B5,'2. Eingaben Fahrzeug-Ebene'!P5,0)</f>
        <v>27219.464999999997</v>
      </c>
      <c r="AF5" s="98" cm="1">
        <f t="array" ref="AF5">IF(B5,NPV(J5, _xlfn.MAKEARRAY(1, K5, _xlfn.LAMBDA(_xlpm.r,_xlpm.c, IF(_xlpm.c = K5, -'2. Eingaben Fahrzeug-Ebene'!R5, 0)))),0)</f>
        <v>-7643.7340027351711</v>
      </c>
      <c r="AG5" s="98">
        <f>SUM(AE5:AF5)</f>
        <v>19575.730997264825</v>
      </c>
      <c r="AH5" s="98">
        <f t="shared" ref="AH5" si="5">IF(B5,NPV(J5,_xlfn.MAKEARRAY(K5,1,_xlfn.LAMBDA(_xlpm.r,_xlpm.c,Z5))),0)</f>
        <v>4832.2279236534805</v>
      </c>
      <c r="AI5" s="98">
        <f t="shared" ref="AI5" si="6">IF(B5,NPV(J5,_xlfn.MAKEARRAY(K5,1,_xlfn.LAMBDA(_xlpm.r,_xlpm.c,AD5))),0)</f>
        <v>1486.8393611241479</v>
      </c>
      <c r="AJ5" s="98">
        <f t="shared" ref="AJ5" si="7">IF(B5,NPV(J5,_xlfn.MAKEARRAY(K5,1,_xlfn.LAMBDA(_xlpm.r,_xlpm.c,AA5))),0)</f>
        <v>10089.691904588468</v>
      </c>
      <c r="AK5" s="98">
        <f>0</f>
        <v>0</v>
      </c>
      <c r="AL5" s="98">
        <f t="shared" ref="AL5" si="8">IF(B5,NPV(J5,_xlfn.MAKEARRAY(K5,1,_xlfn.LAMBDA(_xlpm.r,_xlpm.c,AC5))),0)</f>
        <v>4460.5180833724435</v>
      </c>
      <c r="AM5" s="98">
        <f t="shared" ref="AM5" si="9">IF(B5,NPV(J5,_xlfn.MAKEARRAY(K5,1,_xlfn.LAMBDA(_xlpm.r,_xlpm.c,AB5))),0)</f>
        <v>1486.8393611241479</v>
      </c>
      <c r="AN5" s="99" t="str">
        <f ca="1">IF('2a. Ladekonzept'!V5&gt;0,'2a. Ladekonzept'!V5&amp;" x "&amp;_xlfn.TEXTJOIN(" ",TRUE,'1b. Corrected Inputs Segment'!$J$24:$K$24),"")</f>
        <v/>
      </c>
      <c r="AO5" s="99" t="str">
        <f ca="1">_xlfn.TEXTJOIN(", ",TRUE,IF('2a. Ladekonzept'!X5&gt;0,'2a. Ladekonzept'!X5&amp;" x "&amp;_xlfn.TEXTJOIN(" ",TRUE,'1b. Corrected Inputs Segment'!$J$25:$K$25),""),IF('2a. Ladekonzept'!AD5&gt;0,'2a. Ladekonzept'!AD5&amp;" x "&amp;'2a. Ladekonzept'!AF5&amp;" kW",""))</f>
        <v>1 x 11 kW</v>
      </c>
      <c r="AP5" s="100">
        <f ca="1">'2a. Ladekonzept'!V5*'1b. Corrected Inputs Segment'!$J$24</f>
        <v>0</v>
      </c>
      <c r="AQ5" s="101">
        <f ca="1">'2a. Ladekonzept'!X5*'1b. Corrected Inputs Segment'!$J$25+'2a. Ladekonzept'!AD5*'2a. Ladekonzept'!AF5</f>
        <v>11</v>
      </c>
      <c r="AR5" s="101">
        <f ca="1">MAX('2a. Ladekonzept'!AI5,'2a. Ladekonzept'!AB5)</f>
        <v>8.8000000000000007</v>
      </c>
      <c r="AS5" s="101">
        <f ca="1">'2a. Ladekonzept'!V5*'3a. Detailierte Ergebnisse'!$B$28</f>
        <v>0</v>
      </c>
      <c r="AT5" s="101">
        <f ca="1">IF(B5,'2a. Ladekonzept'!X5*IF('2a. Ladekonzept'!Z5&gt;0,INDEX('3a. Detailierte Ergebnisse'!$T$28:$AE$28,MATCH('2a. Ladekonzept'!Z5,Ladeleistung,0)),0),0)</f>
        <v>1632</v>
      </c>
      <c r="AU5" s="101">
        <f ca="1">IF(B5,'2a. Ladekonzept'!AD5*IF('2a. Ladekonzept'!AF5&gt;0,INDEX('3a. Detailierte Ergebnisse'!$T$28:$AE$28,MATCH('2a. Ladekonzept'!AF5,Ladeleistung,0)),0),0)</f>
        <v>0</v>
      </c>
      <c r="AV5" s="101">
        <f t="shared" ref="AV5:AV14" ca="1" si="10">SUM(AS5:AU5)</f>
        <v>1632</v>
      </c>
      <c r="AW5" s="101">
        <f ca="1">AV5*('2d. Annahmen'!$B$54-K5)/'2d. Annahmen'!$B$54</f>
        <v>979.2</v>
      </c>
      <c r="AX5" s="101">
        <f ca="1">'2d. Annahmen'!$B$55*AV5</f>
        <v>24.48</v>
      </c>
      <c r="AY5" s="101">
        <f ca="1">IF(AQ5&gt;0,'2d. Annahmen'!$B$69*AQ5,0)*12</f>
        <v>0</v>
      </c>
      <c r="AZ5" s="101">
        <f ca="1">IF(AP5&gt;0,'3a. Detailierte Ergebnisse'!$B$41*AP5,0)</f>
        <v>0</v>
      </c>
      <c r="BA5" s="101">
        <f ca="1">'2a. Ladekonzept'!V5*'3a. Detailierte Ergebnisse'!$F$39</f>
        <v>0</v>
      </c>
      <c r="BB5" s="101">
        <f ca="1">IF(AR5&gt;0,'3a. Detailierte Ergebnisse'!$C$41*AR5,0)</f>
        <v>0</v>
      </c>
      <c r="BC5" s="101">
        <f ca="1">SUM('2a. Ladekonzept'!X5,'2a. Ladekonzept'!AD5)*'3a. Detailierte Ergebnisse'!$J$39</f>
        <v>3000</v>
      </c>
      <c r="BD5" s="101">
        <f ca="1">SUM(AZ5:BC5)</f>
        <v>3000</v>
      </c>
      <c r="BE5" s="101">
        <f ca="1">BD5*('2d. Annahmen'!$B$62-K5)/'2d. Annahmen'!$B$62</f>
        <v>2400</v>
      </c>
      <c r="BF5" s="102"/>
      <c r="BG5" s="102"/>
      <c r="BH5" s="102"/>
      <c r="BI5" s="102"/>
      <c r="BJ5" s="102"/>
      <c r="BK5" s="102"/>
      <c r="BL5" s="102"/>
      <c r="BM5" s="102"/>
      <c r="BN5" s="102"/>
      <c r="BO5" s="102"/>
      <c r="BP5" s="102"/>
      <c r="BQ5" s="102"/>
      <c r="BR5" s="102"/>
      <c r="BS5" s="102"/>
      <c r="BT5" s="102"/>
      <c r="BU5" s="102"/>
      <c r="BV5" s="102"/>
      <c r="BW5" s="102"/>
      <c r="BX5" s="103"/>
      <c r="BY5" s="103"/>
      <c r="BZ5" s="103"/>
      <c r="CA5" s="103"/>
      <c r="CB5" s="103"/>
      <c r="CC5" s="103"/>
      <c r="CD5" s="103"/>
      <c r="CE5" s="102"/>
      <c r="CF5" s="102"/>
      <c r="CG5" s="102"/>
      <c r="CH5" s="102"/>
      <c r="CI5" s="102"/>
      <c r="CJ5" s="102"/>
      <c r="CK5" s="103"/>
      <c r="CL5" s="103"/>
      <c r="CM5" s="103"/>
      <c r="CN5" s="103"/>
      <c r="CO5" s="103"/>
      <c r="CP5" s="103"/>
      <c r="CQ5" s="103"/>
    </row>
    <row r="6" spans="1:95" x14ac:dyDescent="0.35">
      <c r="A6" s="58" t="s">
        <v>143</v>
      </c>
      <c r="B6" s="59">
        <f>SUM('2. Eingaben Fahrzeug-Ebene'!$D6:$E6)</f>
        <v>0</v>
      </c>
      <c r="C6" s="59">
        <f>'2. Eingaben Fahrzeug-Ebene'!C6</f>
        <v>0</v>
      </c>
      <c r="D6" s="104">
        <f>'2. Eingaben Fahrzeug-Ebene'!X6*'2. Eingaben Fahrzeug-Ebene'!J6/100/'2d. Annahmen'!$B$56</f>
        <v>0</v>
      </c>
      <c r="E6" s="105">
        <f>IF(B6,'2a. Ladekonzept'!S6/'2a. Ladekonzept'!D6,0)</f>
        <v>0</v>
      </c>
      <c r="F6" s="105">
        <f>IF(B6,SUM('2a. Ladekonzept'!U6,'2a. Ladekonzept'!T6)/'2a. Ladekonzept'!D6,0)</f>
        <v>0</v>
      </c>
      <c r="G6" s="105">
        <f>IF(B6,'2a. Ladekonzept'!Q6/'2a. Ladekonzept'!D6,0)</f>
        <v>0</v>
      </c>
      <c r="H6" s="68">
        <f>'2. Eingaben Fahrzeug-Ebene'!V6*'2. Eingaben Fahrzeug-Ebene'!O6/100</f>
        <v>0</v>
      </c>
      <c r="I6" s="106">
        <f>'2. Eingaben Fahrzeug-Ebene'!X6*'2. Eingaben Fahrzeug-Ebene'!O6/100</f>
        <v>0</v>
      </c>
      <c r="J6" s="107">
        <f>IF(B6,'1c. Inputs Segment Summary'!Z3,0)</f>
        <v>0</v>
      </c>
      <c r="K6" s="108">
        <f>IF(B6,'1c. Inputs Segment Summary'!AA3/12,0)</f>
        <v>0</v>
      </c>
      <c r="L6" s="108">
        <f>IF(B6,'2. Eingaben Fahrzeug-Ebene'!N6*'2. Eingaben Fahrzeug-Ebene'!$X6,0)</f>
        <v>0</v>
      </c>
      <c r="M6" s="108" cm="1">
        <f t="array" ref="M6">IF(B6,D6*(SUMPRODUCT('1b. Corrected Inputs Segment'!$J$19:$J$21,TRANSPOSE('2b. Kosten'!E6:G6)))+AY6,0)</f>
        <v>0</v>
      </c>
      <c r="N6" s="108" cm="1">
        <f t="array" ref="N6">IF(B6,INDEX('2d. Annahmen'!$D$22:$D$25,'2. Eingaben Fahrzeug-Ebene'!G6),0)</f>
        <v>0</v>
      </c>
      <c r="O6" s="108" cm="1">
        <f t="array" ref="O6">IF(B6,INDEX('2d. Annahmen'!$C$22:$C$25,'2. Eingaben Fahrzeug-Ebene'!G6),0)</f>
        <v>0</v>
      </c>
      <c r="P6" s="108" cm="1">
        <f t="array" ref="P6">IF(B6,INDEX('2d. Annahmen'!$L$4:$L$7,'2. Eingaben Fahrzeug-Ebene'!G6),0)</f>
        <v>0</v>
      </c>
      <c r="Q6" s="108">
        <f>IF(B6,'2. Eingaben Fahrzeug-Ebene'!K6,0)</f>
        <v>0</v>
      </c>
      <c r="R6" s="108" cm="1">
        <f t="array" ref="R6">IF(B6,NPV(J6, _xlfn.MAKEARRAY(1, K6, _xlfn.LAMBDA(_xlpm.r,_xlpm.c, IF(_xlpm.c = K6, -'2. Eingaben Fahrzeug-Ebene'!M6, 0)))),0)</f>
        <v>0</v>
      </c>
      <c r="S6" s="108">
        <f t="shared" ref="S6:S14" si="11">SUM(Q6:R6)</f>
        <v>0</v>
      </c>
      <c r="T6" s="108">
        <f t="shared" ref="T6" si="12">IF(B6,NPV(J6,_xlfn.MAKEARRAY(K6,1,_xlfn.LAMBDA(_xlpm.r,_xlpm.c,L6))),0)</f>
        <v>0</v>
      </c>
      <c r="U6" s="108">
        <f t="shared" ref="U6" si="13">IF(B6,NPV(J6,_xlfn.MAKEARRAY(K6,1,_xlfn.LAMBDA(_xlpm.r,_xlpm.c,P6))),0)</f>
        <v>0</v>
      </c>
      <c r="V6" s="108">
        <f t="shared" ref="V6" si="14">IF(B6,NPV(J6,_xlfn.MAKEARRAY(K6,1,_xlfn.LAMBDA(_xlpm.r,_xlpm.c,M6))),0)</f>
        <v>0</v>
      </c>
      <c r="W6" s="108" cm="1">
        <f t="array" ref="W6">IF(B6,AV6+NPV(J6,_xlfn.MAKEARRAY(K6,1,_xlfn.LAMBDA(_xlpm.r,_xlpm.c,AX6)))+NPV(J6, _xlfn.MAKEARRAY(1, K6, _xlfn.LAMBDA(_xlpm.r,_xlpm.c, IF(_xlpm.c = K6, -AW6, 0))))+BD6+NPV(J6, _xlfn.MAKEARRAY(1, K6, _xlfn.LAMBDA(_xlpm.r,_xlpm.c, IF(_xlpm.c = K6, -BE6, 0)))),0)</f>
        <v>0</v>
      </c>
      <c r="X6" s="108">
        <f t="shared" ref="X6" si="15">IF(B6,NPV(J6,_xlfn.MAKEARRAY(K6,1,_xlfn.LAMBDA(_xlpm.r,_xlpm.c,O6))),0)</f>
        <v>0</v>
      </c>
      <c r="Y6" s="108">
        <f t="shared" ref="Y6" si="16">IF(B6,NPV(J6,_xlfn.MAKEARRAY(K6,1,_xlfn.LAMBDA(_xlpm.r,_xlpm.c,N6))),0)</f>
        <v>0</v>
      </c>
      <c r="Z6" s="109">
        <f>IF(B6,'2. Eingaben Fahrzeug-Ebene'!S6*'2. Eingaben Fahrzeug-Ebene'!$X6,0)</f>
        <v>0</v>
      </c>
      <c r="AA6" s="109">
        <f>IF(B6,I6*'1b. Corrected Inputs Segment'!$J$18,0)</f>
        <v>0</v>
      </c>
      <c r="AB6" s="109" cm="1">
        <f t="array" ref="AB6">IF(B6,INDEX('2d. Annahmen'!$D$22:$D$25,'2. Eingaben Fahrzeug-Ebene'!G6),0)</f>
        <v>0</v>
      </c>
      <c r="AC6" s="109" cm="1">
        <f t="array" ref="AC6">IF(B6,INDEX('2d. Annahmen'!$C$22:$C$25,'2. Eingaben Fahrzeug-Ebene'!G6),0)</f>
        <v>0</v>
      </c>
      <c r="AD6" s="109" cm="1">
        <f t="array" ref="AD6">IF(B6,INDEX('2d. Annahmen'!I14:I17,'2. Eingaben Fahrzeug-Ebene'!G6),0)</f>
        <v>0</v>
      </c>
      <c r="AE6" s="109">
        <f>IF(B6,'2. Eingaben Fahrzeug-Ebene'!P6,0)</f>
        <v>0</v>
      </c>
      <c r="AF6" s="109" cm="1">
        <f t="array" ref="AF6">IF(B6,NPV(J6, _xlfn.MAKEARRAY(1, K6, _xlfn.LAMBDA(_xlpm.r,_xlpm.c, IF(_xlpm.c = K6, -'2. Eingaben Fahrzeug-Ebene'!R6, 0)))),0)</f>
        <v>0</v>
      </c>
      <c r="AG6" s="109">
        <f t="shared" ref="AG6:AG14" si="17">SUM(AE6:AF6)</f>
        <v>0</v>
      </c>
      <c r="AH6" s="109">
        <f t="shared" ref="AH6" si="18">IF(B6,NPV(J6,_xlfn.MAKEARRAY(K6,1,_xlfn.LAMBDA(_xlpm.r,_xlpm.c,Z6))),0)</f>
        <v>0</v>
      </c>
      <c r="AI6" s="109">
        <f t="shared" ref="AI6" si="19">IF(B6,NPV(J6,_xlfn.MAKEARRAY(K6,1,_xlfn.LAMBDA(_xlpm.r,_xlpm.c,AD6))),0)</f>
        <v>0</v>
      </c>
      <c r="AJ6" s="109">
        <f t="shared" ref="AJ6" si="20">IF(B6,NPV(J6,_xlfn.MAKEARRAY(K6,1,_xlfn.LAMBDA(_xlpm.r,_xlpm.c,AA6))),0)</f>
        <v>0</v>
      </c>
      <c r="AK6" s="109">
        <f>0</f>
        <v>0</v>
      </c>
      <c r="AL6" s="109">
        <f t="shared" ref="AL6" si="21">IF(B6,NPV(J6,_xlfn.MAKEARRAY(K6,1,_xlfn.LAMBDA(_xlpm.r,_xlpm.c,AC6))),0)</f>
        <v>0</v>
      </c>
      <c r="AM6" s="109">
        <f t="shared" ref="AM6" si="22">IF(B6,NPV(J6,_xlfn.MAKEARRAY(K6,1,_xlfn.LAMBDA(_xlpm.r,_xlpm.c,AB6))),0)</f>
        <v>0</v>
      </c>
      <c r="AN6" s="110" t="str">
        <f>IF('2a. Ladekonzept'!V6&gt;0,'2a. Ladekonzept'!V6&amp;" x "&amp;_xlfn.TEXTJOIN(" ",TRUE,'1b. Corrected Inputs Segment'!$J$24:$K$24),"")</f>
        <v/>
      </c>
      <c r="AO6" s="110" t="str">
        <f>_xlfn.TEXTJOIN(", ",TRUE,IF('2a. Ladekonzept'!X6&gt;0,'2a. Ladekonzept'!X6&amp;" x "&amp;_xlfn.TEXTJOIN(" ",TRUE,'1b. Corrected Inputs Segment'!$J$25:$K$25),""),IF('2a. Ladekonzept'!AD6&gt;0,'2a. Ladekonzept'!AD6&amp;" x "&amp;'2a. Ladekonzept'!AF6&amp;" kW",""))</f>
        <v/>
      </c>
      <c r="AP6" s="111">
        <f>'2a. Ladekonzept'!V6*'1b. Corrected Inputs Segment'!$J$24</f>
        <v>0</v>
      </c>
      <c r="AQ6" s="112">
        <f>'2a. Ladekonzept'!X6*'1b. Corrected Inputs Segment'!$J$25+'2a. Ladekonzept'!AD6*'2a. Ladekonzept'!AF6</f>
        <v>0</v>
      </c>
      <c r="AR6" s="112">
        <f ca="1">MAX('2a. Ladekonzept'!AI6,'2a. Ladekonzept'!AB6)</f>
        <v>0</v>
      </c>
      <c r="AS6" s="112">
        <f ca="1">'2a. Ladekonzept'!V6*'3a. Detailierte Ergebnisse'!$B$28</f>
        <v>0</v>
      </c>
      <c r="AT6" s="112">
        <f>IF(B6,'2a. Ladekonzept'!X6*IF('2a. Ladekonzept'!Z6&gt;0,INDEX('3a. Detailierte Ergebnisse'!$T$28:$AE$28,MATCH('2a. Ladekonzept'!Z6,Ladeleistung,0)),0),0)</f>
        <v>0</v>
      </c>
      <c r="AU6" s="112">
        <f>IF(B6,'2a. Ladekonzept'!AD6*IF('2a. Ladekonzept'!AF6&gt;0,INDEX('3a. Detailierte Ergebnisse'!$T$28:$AE$28,MATCH('2a. Ladekonzept'!AF6,Ladeleistung,0)),0),0)</f>
        <v>0</v>
      </c>
      <c r="AV6" s="112">
        <f t="shared" ca="1" si="10"/>
        <v>0</v>
      </c>
      <c r="AW6" s="112">
        <f ca="1">AV6*('2d. Annahmen'!$B$54-K6)/'2d. Annahmen'!$B$54</f>
        <v>0</v>
      </c>
      <c r="AX6" s="112">
        <f ca="1">'2d. Annahmen'!$B$55*AV6</f>
        <v>0</v>
      </c>
      <c r="AY6" s="112">
        <f>IF(AQ6&gt;0,'2d. Annahmen'!$B$69*AQ6,0)*12</f>
        <v>0</v>
      </c>
      <c r="AZ6" s="112">
        <f>IF(AP6&gt;0,'3a. Detailierte Ergebnisse'!$B$41*AP6,0)</f>
        <v>0</v>
      </c>
      <c r="BA6" s="112">
        <f ca="1">'2a. Ladekonzept'!V6*'3a. Detailierte Ergebnisse'!$F$39</f>
        <v>0</v>
      </c>
      <c r="BB6" s="112">
        <f ca="1">IF(AR6&gt;0,'3a. Detailierte Ergebnisse'!$C$41*AR6,0)</f>
        <v>0</v>
      </c>
      <c r="BC6" s="112">
        <f ca="1">SUM('2a. Ladekonzept'!X6,'2a. Ladekonzept'!AD6)*'3a. Detailierte Ergebnisse'!$J$39</f>
        <v>0</v>
      </c>
      <c r="BD6" s="112">
        <f t="shared" ref="BD6:BD13" ca="1" si="23">SUM(AZ6:BC6)</f>
        <v>0</v>
      </c>
      <c r="BE6" s="112">
        <f ca="1">BD6*('2d. Annahmen'!$B$62-K6)/'2d. Annahmen'!$B$62</f>
        <v>0</v>
      </c>
      <c r="BF6" s="102"/>
      <c r="BG6" s="102"/>
      <c r="BH6" s="102"/>
      <c r="BI6" s="102"/>
      <c r="BJ6" s="102"/>
      <c r="BK6" s="102"/>
      <c r="BL6" s="102"/>
      <c r="BM6" s="102"/>
      <c r="BN6" s="102"/>
      <c r="BO6" s="102"/>
      <c r="BP6" s="102"/>
      <c r="BQ6" s="102"/>
      <c r="BR6" s="102"/>
      <c r="BS6" s="102"/>
      <c r="BT6" s="102"/>
      <c r="BU6" s="102"/>
      <c r="BV6" s="102"/>
      <c r="BW6" s="102"/>
      <c r="BX6" s="103"/>
      <c r="BY6" s="103"/>
      <c r="BZ6" s="103"/>
      <c r="CA6" s="103"/>
      <c r="CB6" s="103"/>
      <c r="CC6" s="103"/>
      <c r="CD6" s="103"/>
      <c r="CE6" s="102"/>
      <c r="CF6" s="102"/>
      <c r="CG6" s="102"/>
      <c r="CH6" s="102"/>
      <c r="CI6" s="102"/>
      <c r="CJ6" s="102"/>
      <c r="CK6" s="103"/>
      <c r="CL6" s="103"/>
      <c r="CM6" s="103"/>
      <c r="CN6" s="103"/>
      <c r="CO6" s="103"/>
      <c r="CP6" s="103"/>
      <c r="CQ6" s="103"/>
    </row>
    <row r="7" spans="1:95" x14ac:dyDescent="0.35">
      <c r="A7" s="58" t="s">
        <v>144</v>
      </c>
      <c r="B7" s="59">
        <f>SUM('2. Eingaben Fahrzeug-Ebene'!$D7:$E7)</f>
        <v>0</v>
      </c>
      <c r="C7" s="59">
        <f>'2. Eingaben Fahrzeug-Ebene'!C7</f>
        <v>0</v>
      </c>
      <c r="D7" s="104">
        <f>'2. Eingaben Fahrzeug-Ebene'!X7*'2. Eingaben Fahrzeug-Ebene'!J7/100/'2d. Annahmen'!$B$56</f>
        <v>0</v>
      </c>
      <c r="E7" s="105">
        <f>IF(B7,'2a. Ladekonzept'!S7/'2a. Ladekonzept'!D7,0)</f>
        <v>0</v>
      </c>
      <c r="F7" s="105">
        <f>IF(B7,SUM('2a. Ladekonzept'!U7,'2a. Ladekonzept'!T7)/'2a. Ladekonzept'!D7,0)</f>
        <v>0</v>
      </c>
      <c r="G7" s="105">
        <f>IF(B7,'2a. Ladekonzept'!Q7/'2a. Ladekonzept'!D7,0)</f>
        <v>0</v>
      </c>
      <c r="H7" s="68">
        <f>'2. Eingaben Fahrzeug-Ebene'!V7*'2. Eingaben Fahrzeug-Ebene'!O7/100</f>
        <v>0</v>
      </c>
      <c r="I7" s="106">
        <f>'2. Eingaben Fahrzeug-Ebene'!X7*'2. Eingaben Fahrzeug-Ebene'!O7/100</f>
        <v>0</v>
      </c>
      <c r="J7" s="107">
        <f>IF(B7,'1c. Inputs Segment Summary'!Z4,0)</f>
        <v>0</v>
      </c>
      <c r="K7" s="108">
        <f>IF(B7,'1c. Inputs Segment Summary'!AA4/12,0)</f>
        <v>0</v>
      </c>
      <c r="L7" s="108">
        <f>IF(B7,'2. Eingaben Fahrzeug-Ebene'!N7*'2. Eingaben Fahrzeug-Ebene'!$X7,0)</f>
        <v>0</v>
      </c>
      <c r="M7" s="108" cm="1">
        <f t="array" ref="M7">IF(B7,D7*(SUMPRODUCT('1b. Corrected Inputs Segment'!$J$19:$J$21,TRANSPOSE('2b. Kosten'!E7:G7)))+AY7,0)</f>
        <v>0</v>
      </c>
      <c r="N7" s="108" cm="1">
        <f t="array" ref="N7">IF(B7,INDEX('2d. Annahmen'!$D$22:$D$25,'2. Eingaben Fahrzeug-Ebene'!G7),0)</f>
        <v>0</v>
      </c>
      <c r="O7" s="108" cm="1">
        <f t="array" ref="O7">IF(B7,INDEX('2d. Annahmen'!$C$22:$C$25,'2. Eingaben Fahrzeug-Ebene'!G7),0)</f>
        <v>0</v>
      </c>
      <c r="P7" s="108" cm="1">
        <f t="array" ref="P7">IF(B7,INDEX('2d. Annahmen'!$L$4:$L$7,'2. Eingaben Fahrzeug-Ebene'!G7),0)</f>
        <v>0</v>
      </c>
      <c r="Q7" s="108">
        <f>IF(B7,'2. Eingaben Fahrzeug-Ebene'!K7,0)</f>
        <v>0</v>
      </c>
      <c r="R7" s="108" cm="1">
        <f t="array" ref="R7">IF(B7,NPV(J7, _xlfn.MAKEARRAY(1, K7, _xlfn.LAMBDA(_xlpm.r,_xlpm.c, IF(_xlpm.c = K7, -'2. Eingaben Fahrzeug-Ebene'!M7, 0)))),0)</f>
        <v>0</v>
      </c>
      <c r="S7" s="108">
        <f t="shared" si="11"/>
        <v>0</v>
      </c>
      <c r="T7" s="108">
        <f t="shared" ref="T7" si="24">IF(B7,NPV(J7,_xlfn.MAKEARRAY(K7,1,_xlfn.LAMBDA(_xlpm.r,_xlpm.c,L7))),0)</f>
        <v>0</v>
      </c>
      <c r="U7" s="108">
        <f t="shared" ref="U7" si="25">IF(B7,NPV(J7,_xlfn.MAKEARRAY(K7,1,_xlfn.LAMBDA(_xlpm.r,_xlpm.c,P7))),0)</f>
        <v>0</v>
      </c>
      <c r="V7" s="108">
        <f t="shared" ref="V7" si="26">IF(B7,NPV(J7,_xlfn.MAKEARRAY(K7,1,_xlfn.LAMBDA(_xlpm.r,_xlpm.c,M7))),0)</f>
        <v>0</v>
      </c>
      <c r="W7" s="108" cm="1">
        <f t="array" ref="W7">IF(B7,AV7+NPV(J7,_xlfn.MAKEARRAY(K7,1,_xlfn.LAMBDA(_xlpm.r,_xlpm.c,AX7)))+NPV(J7, _xlfn.MAKEARRAY(1, K7, _xlfn.LAMBDA(_xlpm.r,_xlpm.c, IF(_xlpm.c = K7, -AW7, 0))))+BD7+NPV(J7, _xlfn.MAKEARRAY(1, K7, _xlfn.LAMBDA(_xlpm.r,_xlpm.c, IF(_xlpm.c = K7, -BE7, 0)))),0)</f>
        <v>0</v>
      </c>
      <c r="X7" s="108">
        <f t="shared" ref="X7" si="27">IF(B7,NPV(J7,_xlfn.MAKEARRAY(K7,1,_xlfn.LAMBDA(_xlpm.r,_xlpm.c,O7))),0)</f>
        <v>0</v>
      </c>
      <c r="Y7" s="108">
        <f t="shared" ref="Y7" si="28">IF(B7,NPV(J7,_xlfn.MAKEARRAY(K7,1,_xlfn.LAMBDA(_xlpm.r,_xlpm.c,N7))),0)</f>
        <v>0</v>
      </c>
      <c r="Z7" s="109">
        <f>IF(B7,'2. Eingaben Fahrzeug-Ebene'!S7*'2. Eingaben Fahrzeug-Ebene'!$X7,0)</f>
        <v>0</v>
      </c>
      <c r="AA7" s="109">
        <f>IF(B7,I7*'1b. Corrected Inputs Segment'!$J$18,0)</f>
        <v>0</v>
      </c>
      <c r="AB7" s="109" cm="1">
        <f t="array" ref="AB7">IF(B7,INDEX('2d. Annahmen'!$D$22:$D$25,'2. Eingaben Fahrzeug-Ebene'!G7),0)</f>
        <v>0</v>
      </c>
      <c r="AC7" s="109" cm="1">
        <f t="array" ref="AC7">IF(B7,INDEX('2d. Annahmen'!$C$22:$C$25,'2. Eingaben Fahrzeug-Ebene'!G7),0)</f>
        <v>0</v>
      </c>
      <c r="AD7" s="109" cm="1">
        <f t="array" ref="AD7">IF(B7,INDEX('2d. Annahmen'!I15:I18,'2. Eingaben Fahrzeug-Ebene'!G7),0)</f>
        <v>0</v>
      </c>
      <c r="AE7" s="109">
        <f>IF(B7,'2. Eingaben Fahrzeug-Ebene'!P7,0)</f>
        <v>0</v>
      </c>
      <c r="AF7" s="109" cm="1">
        <f t="array" ref="AF7">IF(B7,NPV(J7, _xlfn.MAKEARRAY(1, K7, _xlfn.LAMBDA(_xlpm.r,_xlpm.c, IF(_xlpm.c = K7, -'2. Eingaben Fahrzeug-Ebene'!R7, 0)))),0)</f>
        <v>0</v>
      </c>
      <c r="AG7" s="109">
        <f t="shared" si="17"/>
        <v>0</v>
      </c>
      <c r="AH7" s="109">
        <f t="shared" ref="AH7" si="29">IF(B7,NPV(J7,_xlfn.MAKEARRAY(K7,1,_xlfn.LAMBDA(_xlpm.r,_xlpm.c,Z7))),0)</f>
        <v>0</v>
      </c>
      <c r="AI7" s="109">
        <f t="shared" ref="AI7" si="30">IF(B7,NPV(J7,_xlfn.MAKEARRAY(K7,1,_xlfn.LAMBDA(_xlpm.r,_xlpm.c,AD7))),0)</f>
        <v>0</v>
      </c>
      <c r="AJ7" s="109">
        <f t="shared" ref="AJ7" si="31">IF(B7,NPV(J7,_xlfn.MAKEARRAY(K7,1,_xlfn.LAMBDA(_xlpm.r,_xlpm.c,AA7))),0)</f>
        <v>0</v>
      </c>
      <c r="AK7" s="109">
        <f>0</f>
        <v>0</v>
      </c>
      <c r="AL7" s="109">
        <f t="shared" ref="AL7" si="32">IF(B7,NPV(J7,_xlfn.MAKEARRAY(K7,1,_xlfn.LAMBDA(_xlpm.r,_xlpm.c,AC7))),0)</f>
        <v>0</v>
      </c>
      <c r="AM7" s="109">
        <f t="shared" ref="AM7" si="33">IF(B7,NPV(J7,_xlfn.MAKEARRAY(K7,1,_xlfn.LAMBDA(_xlpm.r,_xlpm.c,AB7))),0)</f>
        <v>0</v>
      </c>
      <c r="AN7" s="110" t="str">
        <f>IF('2a. Ladekonzept'!V7&gt;0,'2a. Ladekonzept'!V7&amp;" x "&amp;_xlfn.TEXTJOIN(" ",TRUE,'1b. Corrected Inputs Segment'!$J$24:$K$24),"")</f>
        <v/>
      </c>
      <c r="AO7" s="110" t="str">
        <f>_xlfn.TEXTJOIN(", ",TRUE,IF('2a. Ladekonzept'!X7&gt;0,'2a. Ladekonzept'!X7&amp;" x "&amp;_xlfn.TEXTJOIN(" ",TRUE,'1b. Corrected Inputs Segment'!$J$25:$K$25),""),IF('2a. Ladekonzept'!AD7&gt;0,'2a. Ladekonzept'!AD7&amp;" x "&amp;'2a. Ladekonzept'!AF7&amp;" kW",""))</f>
        <v/>
      </c>
      <c r="AP7" s="111">
        <f>'2a. Ladekonzept'!V7*'1b. Corrected Inputs Segment'!$J$24</f>
        <v>0</v>
      </c>
      <c r="AQ7" s="112">
        <f>'2a. Ladekonzept'!X7*'1b. Corrected Inputs Segment'!$J$25+'2a. Ladekonzept'!AD7*'2a. Ladekonzept'!AF7</f>
        <v>0</v>
      </c>
      <c r="AR7" s="112">
        <f ca="1">MAX('2a. Ladekonzept'!AI7,'2a. Ladekonzept'!AB7)</f>
        <v>0</v>
      </c>
      <c r="AS7" s="112">
        <f ca="1">'2a. Ladekonzept'!V7*'3a. Detailierte Ergebnisse'!$B$28</f>
        <v>0</v>
      </c>
      <c r="AT7" s="112">
        <f>IF(B7,'2a. Ladekonzept'!X7*IF('2a. Ladekonzept'!Z7&gt;0,INDEX('3a. Detailierte Ergebnisse'!$T$28:$AE$28,MATCH('2a. Ladekonzept'!Z7,Ladeleistung,0)),0),0)</f>
        <v>0</v>
      </c>
      <c r="AU7" s="112">
        <f>IF(B7,'2a. Ladekonzept'!AD7*IF('2a. Ladekonzept'!AF7&gt;0,INDEX('3a. Detailierte Ergebnisse'!$T$28:$AE$28,MATCH('2a. Ladekonzept'!AF7,Ladeleistung,0)),0),0)</f>
        <v>0</v>
      </c>
      <c r="AV7" s="112">
        <f t="shared" ca="1" si="10"/>
        <v>0</v>
      </c>
      <c r="AW7" s="112">
        <f ca="1">AV7*('2d. Annahmen'!$B$54-K7)/'2d. Annahmen'!$B$54</f>
        <v>0</v>
      </c>
      <c r="AX7" s="112">
        <f ca="1">'2d. Annahmen'!$B$55*AV7</f>
        <v>0</v>
      </c>
      <c r="AY7" s="112">
        <f>IF(AQ7&gt;0,'2d. Annahmen'!$B$69*AQ7,0)*12</f>
        <v>0</v>
      </c>
      <c r="AZ7" s="112">
        <f>IF(AP7&gt;0,'3a. Detailierte Ergebnisse'!$B$41*AP7,0)</f>
        <v>0</v>
      </c>
      <c r="BA7" s="112">
        <f ca="1">'2a. Ladekonzept'!V7*'3a. Detailierte Ergebnisse'!$F$39</f>
        <v>0</v>
      </c>
      <c r="BB7" s="112">
        <f ca="1">IF(AR7&gt;0,'3a. Detailierte Ergebnisse'!$C$41*AR7,0)</f>
        <v>0</v>
      </c>
      <c r="BC7" s="112">
        <f ca="1">SUM('2a. Ladekonzept'!X7,'2a. Ladekonzept'!AD7)*'3a. Detailierte Ergebnisse'!$J$39</f>
        <v>0</v>
      </c>
      <c r="BD7" s="112">
        <f t="shared" ca="1" si="23"/>
        <v>0</v>
      </c>
      <c r="BE7" s="112">
        <f ca="1">BD7*('2d. Annahmen'!$B$62-K7)/'2d. Annahmen'!$B$62</f>
        <v>0</v>
      </c>
      <c r="BF7" s="102"/>
      <c r="BG7" s="102"/>
      <c r="BH7" s="102"/>
      <c r="BI7" s="102"/>
      <c r="BJ7" s="102"/>
      <c r="BK7" s="102"/>
      <c r="BL7" s="102"/>
      <c r="BM7" s="102"/>
      <c r="BN7" s="102"/>
      <c r="BO7" s="102"/>
      <c r="BP7" s="102"/>
      <c r="BQ7" s="102"/>
      <c r="BR7" s="102"/>
      <c r="BS7" s="102"/>
      <c r="BT7" s="102"/>
      <c r="BU7" s="102"/>
      <c r="BV7" s="102"/>
      <c r="BW7" s="102"/>
      <c r="BX7" s="103"/>
      <c r="BY7" s="103"/>
      <c r="BZ7" s="103"/>
      <c r="CA7" s="103"/>
      <c r="CB7" s="103"/>
      <c r="CC7" s="103"/>
      <c r="CD7" s="103"/>
      <c r="CE7" s="102"/>
      <c r="CF7" s="102"/>
      <c r="CG7" s="102"/>
      <c r="CH7" s="102"/>
      <c r="CI7" s="102"/>
      <c r="CJ7" s="102"/>
      <c r="CK7" s="103"/>
      <c r="CL7" s="103"/>
      <c r="CM7" s="103"/>
      <c r="CN7" s="103"/>
      <c r="CO7" s="103"/>
      <c r="CP7" s="103"/>
      <c r="CQ7" s="103"/>
    </row>
    <row r="8" spans="1:95" x14ac:dyDescent="0.35">
      <c r="A8" s="58" t="s">
        <v>145</v>
      </c>
      <c r="B8" s="59">
        <f>SUM('2. Eingaben Fahrzeug-Ebene'!$D8:$E8)</f>
        <v>0</v>
      </c>
      <c r="C8" s="59">
        <f>'2. Eingaben Fahrzeug-Ebene'!C8</f>
        <v>0</v>
      </c>
      <c r="D8" s="104">
        <f>'2. Eingaben Fahrzeug-Ebene'!X8*'2. Eingaben Fahrzeug-Ebene'!J8/100/'2d. Annahmen'!$B$56</f>
        <v>0</v>
      </c>
      <c r="E8" s="105">
        <f>IF(B8,'2a. Ladekonzept'!S8/'2a. Ladekonzept'!D8,0)</f>
        <v>0</v>
      </c>
      <c r="F8" s="105">
        <f>IF(B8,SUM('2a. Ladekonzept'!U8,'2a. Ladekonzept'!T8)/'2a. Ladekonzept'!D8,0)</f>
        <v>0</v>
      </c>
      <c r="G8" s="105">
        <f>IF(B8,'2a. Ladekonzept'!Q8/'2a. Ladekonzept'!D8,0)</f>
        <v>0</v>
      </c>
      <c r="H8" s="68">
        <f>'2. Eingaben Fahrzeug-Ebene'!V8*'2. Eingaben Fahrzeug-Ebene'!O8/100</f>
        <v>0</v>
      </c>
      <c r="I8" s="106">
        <f>'2. Eingaben Fahrzeug-Ebene'!X8*'2. Eingaben Fahrzeug-Ebene'!O8/100</f>
        <v>0</v>
      </c>
      <c r="J8" s="107">
        <f>IF(B8,'1c. Inputs Segment Summary'!Z5,0)</f>
        <v>0</v>
      </c>
      <c r="K8" s="108">
        <f>IF(B8,'1c. Inputs Segment Summary'!AA5/12,0)</f>
        <v>0</v>
      </c>
      <c r="L8" s="108">
        <f>IF(B8,'2. Eingaben Fahrzeug-Ebene'!N8*'2. Eingaben Fahrzeug-Ebene'!$X8,0)</f>
        <v>0</v>
      </c>
      <c r="M8" s="108" cm="1">
        <f t="array" ref="M8">IF(B8,D8*(SUMPRODUCT('1b. Corrected Inputs Segment'!$J$19:$J$21,TRANSPOSE('2b. Kosten'!E8:G8)))+AY8,0)</f>
        <v>0</v>
      </c>
      <c r="N8" s="108" cm="1">
        <f t="array" ref="N8">IF(B8,INDEX('2d. Annahmen'!$D$22:$D$25,'2. Eingaben Fahrzeug-Ebene'!G8),0)</f>
        <v>0</v>
      </c>
      <c r="O8" s="108" cm="1">
        <f t="array" ref="O8">IF(B8,INDEX('2d. Annahmen'!$C$22:$C$25,'2. Eingaben Fahrzeug-Ebene'!G8),0)</f>
        <v>0</v>
      </c>
      <c r="P8" s="108" cm="1">
        <f t="array" ref="P8">IF(B8,INDEX('2d. Annahmen'!$L$4:$L$7,'2. Eingaben Fahrzeug-Ebene'!G8),0)</f>
        <v>0</v>
      </c>
      <c r="Q8" s="108">
        <f>IF(B8,'2. Eingaben Fahrzeug-Ebene'!K8,0)</f>
        <v>0</v>
      </c>
      <c r="R8" s="108" cm="1">
        <f t="array" ref="R8">IF(B8,NPV(J8, _xlfn.MAKEARRAY(1, K8, _xlfn.LAMBDA(_xlpm.r,_xlpm.c, IF(_xlpm.c = K8, -'2. Eingaben Fahrzeug-Ebene'!M8, 0)))),0)</f>
        <v>0</v>
      </c>
      <c r="S8" s="108">
        <f t="shared" si="11"/>
        <v>0</v>
      </c>
      <c r="T8" s="108">
        <f t="shared" ref="T8" si="34">IF(B8,NPV(J8,_xlfn.MAKEARRAY(K8,1,_xlfn.LAMBDA(_xlpm.r,_xlpm.c,L8))),0)</f>
        <v>0</v>
      </c>
      <c r="U8" s="108">
        <f t="shared" ref="U8" si="35">IF(B8,NPV(J8,_xlfn.MAKEARRAY(K8,1,_xlfn.LAMBDA(_xlpm.r,_xlpm.c,P8))),0)</f>
        <v>0</v>
      </c>
      <c r="V8" s="108">
        <f t="shared" ref="V8" si="36">IF(B8,NPV(J8,_xlfn.MAKEARRAY(K8,1,_xlfn.LAMBDA(_xlpm.r,_xlpm.c,M8))),0)</f>
        <v>0</v>
      </c>
      <c r="W8" s="108" cm="1">
        <f t="array" ref="W8">IF(B8,AV8+NPV(J8,_xlfn.MAKEARRAY(K8,1,_xlfn.LAMBDA(_xlpm.r,_xlpm.c,AX8)))+NPV(J8, _xlfn.MAKEARRAY(1, K8, _xlfn.LAMBDA(_xlpm.r,_xlpm.c, IF(_xlpm.c = K8, -AW8, 0))))+BD8+NPV(J8, _xlfn.MAKEARRAY(1, K8, _xlfn.LAMBDA(_xlpm.r,_xlpm.c, IF(_xlpm.c = K8, -BE8, 0)))),0)</f>
        <v>0</v>
      </c>
      <c r="X8" s="108">
        <f t="shared" ref="X8" si="37">IF(B8,NPV(J8,_xlfn.MAKEARRAY(K8,1,_xlfn.LAMBDA(_xlpm.r,_xlpm.c,O8))),0)</f>
        <v>0</v>
      </c>
      <c r="Y8" s="108">
        <f t="shared" ref="Y8" si="38">IF(B8,NPV(J8,_xlfn.MAKEARRAY(K8,1,_xlfn.LAMBDA(_xlpm.r,_xlpm.c,N8))),0)</f>
        <v>0</v>
      </c>
      <c r="Z8" s="109">
        <f>IF(B8,'2. Eingaben Fahrzeug-Ebene'!S8*'2. Eingaben Fahrzeug-Ebene'!$X8,0)</f>
        <v>0</v>
      </c>
      <c r="AA8" s="109">
        <f>IF(B8,I8*'1b. Corrected Inputs Segment'!$J$18,0)</f>
        <v>0</v>
      </c>
      <c r="AB8" s="109" cm="1">
        <f t="array" ref="AB8">IF(B8,INDEX('2d. Annahmen'!$D$22:$D$25,'2. Eingaben Fahrzeug-Ebene'!G8),0)</f>
        <v>0</v>
      </c>
      <c r="AC8" s="109" cm="1">
        <f t="array" ref="AC8">IF(B8,INDEX('2d. Annahmen'!$C$22:$C$25,'2. Eingaben Fahrzeug-Ebene'!G8),0)</f>
        <v>0</v>
      </c>
      <c r="AD8" s="109" cm="1">
        <f t="array" ref="AD8">IF(B8,INDEX('2d. Annahmen'!I16:I19,'2. Eingaben Fahrzeug-Ebene'!G8),0)</f>
        <v>0</v>
      </c>
      <c r="AE8" s="109">
        <f>IF(B8,'2. Eingaben Fahrzeug-Ebene'!P8,0)</f>
        <v>0</v>
      </c>
      <c r="AF8" s="109" cm="1">
        <f t="array" ref="AF8">IF(B8,NPV(J8, _xlfn.MAKEARRAY(1, K8, _xlfn.LAMBDA(_xlpm.r,_xlpm.c, IF(_xlpm.c = K8, -'2. Eingaben Fahrzeug-Ebene'!R8, 0)))),0)</f>
        <v>0</v>
      </c>
      <c r="AG8" s="109">
        <f t="shared" si="17"/>
        <v>0</v>
      </c>
      <c r="AH8" s="109">
        <f t="shared" ref="AH8" si="39">IF(B8,NPV(J8,_xlfn.MAKEARRAY(K8,1,_xlfn.LAMBDA(_xlpm.r,_xlpm.c,Z8))),0)</f>
        <v>0</v>
      </c>
      <c r="AI8" s="109">
        <f t="shared" ref="AI8" si="40">IF(B8,NPV(J8,_xlfn.MAKEARRAY(K8,1,_xlfn.LAMBDA(_xlpm.r,_xlpm.c,AD8))),0)</f>
        <v>0</v>
      </c>
      <c r="AJ8" s="109">
        <f t="shared" ref="AJ8" si="41">IF(B8,NPV(J8,_xlfn.MAKEARRAY(K8,1,_xlfn.LAMBDA(_xlpm.r,_xlpm.c,AA8))),0)</f>
        <v>0</v>
      </c>
      <c r="AK8" s="109">
        <f>0</f>
        <v>0</v>
      </c>
      <c r="AL8" s="109">
        <f t="shared" ref="AL8" si="42">IF(B8,NPV(J8,_xlfn.MAKEARRAY(K8,1,_xlfn.LAMBDA(_xlpm.r,_xlpm.c,AC8))),0)</f>
        <v>0</v>
      </c>
      <c r="AM8" s="109">
        <f t="shared" ref="AM8" si="43">IF(B8,NPV(J8,_xlfn.MAKEARRAY(K8,1,_xlfn.LAMBDA(_xlpm.r,_xlpm.c,AB8))),0)</f>
        <v>0</v>
      </c>
      <c r="AN8" s="110" t="str">
        <f>IF('2a. Ladekonzept'!V8&gt;0,'2a. Ladekonzept'!V8&amp;" x "&amp;_xlfn.TEXTJOIN(" ",TRUE,'1b. Corrected Inputs Segment'!$J$24:$K$24),"")</f>
        <v/>
      </c>
      <c r="AO8" s="110" t="str">
        <f>_xlfn.TEXTJOIN(", ",TRUE,IF('2a. Ladekonzept'!X8&gt;0,'2a. Ladekonzept'!X8&amp;" x "&amp;_xlfn.TEXTJOIN(" ",TRUE,'1b. Corrected Inputs Segment'!$J$25:$K$25),""),IF('2a. Ladekonzept'!AD8&gt;0,'2a. Ladekonzept'!AD8&amp;" x "&amp;'2a. Ladekonzept'!AF8&amp;" kW",""))</f>
        <v/>
      </c>
      <c r="AP8" s="111">
        <f>'2a. Ladekonzept'!V8*'1b. Corrected Inputs Segment'!$J$24</f>
        <v>0</v>
      </c>
      <c r="AQ8" s="112">
        <f>'2a. Ladekonzept'!X8*'1b. Corrected Inputs Segment'!$J$25+'2a. Ladekonzept'!AD8*'2a. Ladekonzept'!AF8</f>
        <v>0</v>
      </c>
      <c r="AR8" s="112">
        <f ca="1">MAX('2a. Ladekonzept'!AI8,'2a. Ladekonzept'!AB8)</f>
        <v>0</v>
      </c>
      <c r="AS8" s="112">
        <f ca="1">'2a. Ladekonzept'!V8*'3a. Detailierte Ergebnisse'!$B$28</f>
        <v>0</v>
      </c>
      <c r="AT8" s="112">
        <f>IF(B8,'2a. Ladekonzept'!X8*IF('2a. Ladekonzept'!Z8&gt;0,INDEX('3a. Detailierte Ergebnisse'!$T$28:$AE$28,MATCH('2a. Ladekonzept'!Z8,Ladeleistung,0)),0),0)</f>
        <v>0</v>
      </c>
      <c r="AU8" s="112">
        <f>IF(B8,'2a. Ladekonzept'!AD8*IF('2a. Ladekonzept'!AF8&gt;0,INDEX('3a. Detailierte Ergebnisse'!$T$28:$AE$28,MATCH('2a. Ladekonzept'!AF8,Ladeleistung,0)),0),0)</f>
        <v>0</v>
      </c>
      <c r="AV8" s="112">
        <f t="shared" ca="1" si="10"/>
        <v>0</v>
      </c>
      <c r="AW8" s="112">
        <f ca="1">AV8*('2d. Annahmen'!$B$54-K8)/'2d. Annahmen'!$B$54</f>
        <v>0</v>
      </c>
      <c r="AX8" s="112">
        <f ca="1">'2d. Annahmen'!$B$55*AV8</f>
        <v>0</v>
      </c>
      <c r="AY8" s="112">
        <f>IF(AQ8&gt;0,'2d. Annahmen'!$B$69*AQ8,0)*12</f>
        <v>0</v>
      </c>
      <c r="AZ8" s="112">
        <f>IF(AP8&gt;0,'3a. Detailierte Ergebnisse'!$B$41*AP8,0)</f>
        <v>0</v>
      </c>
      <c r="BA8" s="112">
        <f ca="1">'2a. Ladekonzept'!V8*'3a. Detailierte Ergebnisse'!$F$39</f>
        <v>0</v>
      </c>
      <c r="BB8" s="112">
        <f ca="1">IF(AR8&gt;0,'3a. Detailierte Ergebnisse'!$C$41*AR8,0)</f>
        <v>0</v>
      </c>
      <c r="BC8" s="112">
        <f ca="1">SUM('2a. Ladekonzept'!X8,'2a. Ladekonzept'!AD8)*'3a. Detailierte Ergebnisse'!$J$39</f>
        <v>0</v>
      </c>
      <c r="BD8" s="112">
        <f t="shared" ca="1" si="23"/>
        <v>0</v>
      </c>
      <c r="BE8" s="112">
        <f ca="1">BD8*('2d. Annahmen'!$B$62-K8)/'2d. Annahmen'!$B$62</f>
        <v>0</v>
      </c>
      <c r="BF8" s="102"/>
      <c r="BG8" s="102"/>
      <c r="BH8" s="102"/>
      <c r="BI8" s="102"/>
      <c r="BJ8" s="102"/>
      <c r="BK8" s="102"/>
      <c r="BL8" s="102"/>
      <c r="BM8" s="102"/>
      <c r="BN8" s="102"/>
      <c r="BO8" s="102"/>
      <c r="BP8" s="102"/>
      <c r="BQ8" s="102"/>
      <c r="BR8" s="102"/>
      <c r="BS8" s="102"/>
      <c r="BT8" s="102"/>
      <c r="BU8" s="102"/>
      <c r="BV8" s="102"/>
      <c r="BW8" s="102"/>
      <c r="BX8" s="103"/>
      <c r="BY8" s="103"/>
      <c r="BZ8" s="103"/>
      <c r="CA8" s="103"/>
      <c r="CB8" s="103"/>
      <c r="CC8" s="103"/>
      <c r="CD8" s="103"/>
      <c r="CE8" s="102"/>
      <c r="CF8" s="102"/>
      <c r="CG8" s="102"/>
      <c r="CH8" s="102"/>
      <c r="CI8" s="102"/>
      <c r="CJ8" s="102"/>
      <c r="CK8" s="103"/>
      <c r="CL8" s="103"/>
      <c r="CM8" s="103"/>
      <c r="CN8" s="103"/>
      <c r="CO8" s="103"/>
      <c r="CP8" s="103"/>
      <c r="CQ8" s="103"/>
    </row>
    <row r="9" spans="1:95" x14ac:dyDescent="0.35">
      <c r="A9" s="58" t="s">
        <v>146</v>
      </c>
      <c r="B9" s="59">
        <f>SUM('2. Eingaben Fahrzeug-Ebene'!$D9:$E9)</f>
        <v>0</v>
      </c>
      <c r="C9" s="59">
        <f>'2. Eingaben Fahrzeug-Ebene'!C9</f>
        <v>0</v>
      </c>
      <c r="D9" s="104">
        <f>'2. Eingaben Fahrzeug-Ebene'!X9*'2. Eingaben Fahrzeug-Ebene'!J9/100/'2d. Annahmen'!$B$56</f>
        <v>0</v>
      </c>
      <c r="E9" s="105">
        <f>IF(B9,'2a. Ladekonzept'!S9/'2a. Ladekonzept'!D9,0)</f>
        <v>0</v>
      </c>
      <c r="F9" s="105">
        <f>IF(B9,SUM('2a. Ladekonzept'!U9,'2a. Ladekonzept'!T9)/'2a. Ladekonzept'!D9,0)</f>
        <v>0</v>
      </c>
      <c r="G9" s="105">
        <f>IF(B9,'2a. Ladekonzept'!Q9/'2a. Ladekonzept'!D9,0)</f>
        <v>0</v>
      </c>
      <c r="H9" s="68">
        <f>'2. Eingaben Fahrzeug-Ebene'!V9*'2. Eingaben Fahrzeug-Ebene'!O9/100</f>
        <v>0</v>
      </c>
      <c r="I9" s="106">
        <f>'2. Eingaben Fahrzeug-Ebene'!X9*'2. Eingaben Fahrzeug-Ebene'!O9/100</f>
        <v>0</v>
      </c>
      <c r="J9" s="107">
        <f>IF(B9,'1c. Inputs Segment Summary'!Z6,0)</f>
        <v>0</v>
      </c>
      <c r="K9" s="108">
        <f>IF(B9,'1c. Inputs Segment Summary'!AA6/12,0)</f>
        <v>0</v>
      </c>
      <c r="L9" s="108">
        <f>IF(B9,'2. Eingaben Fahrzeug-Ebene'!N9*'2. Eingaben Fahrzeug-Ebene'!$X9,0)</f>
        <v>0</v>
      </c>
      <c r="M9" s="108" cm="1">
        <f t="array" ref="M9">IF(B9,D9*(SUMPRODUCT('1b. Corrected Inputs Segment'!$J$19:$J$21,TRANSPOSE('2b. Kosten'!E9:G9)))+AY9,0)</f>
        <v>0</v>
      </c>
      <c r="N9" s="108" cm="1">
        <f t="array" ref="N9">IF(B9,INDEX('2d. Annahmen'!$D$22:$D$25,'2. Eingaben Fahrzeug-Ebene'!G9),0)</f>
        <v>0</v>
      </c>
      <c r="O9" s="108" cm="1">
        <f t="array" ref="O9">IF(B9,INDEX('2d. Annahmen'!$C$22:$C$25,'2. Eingaben Fahrzeug-Ebene'!G9),0)</f>
        <v>0</v>
      </c>
      <c r="P9" s="108" cm="1">
        <f t="array" ref="P9">IF(B9,INDEX('2d. Annahmen'!$L$4:$L$7,'2. Eingaben Fahrzeug-Ebene'!G9),0)</f>
        <v>0</v>
      </c>
      <c r="Q9" s="108">
        <f>IF(B9,'2. Eingaben Fahrzeug-Ebene'!K9,0)</f>
        <v>0</v>
      </c>
      <c r="R9" s="108" cm="1">
        <f t="array" ref="R9">IF(B9,NPV(J9, _xlfn.MAKEARRAY(1, K9, _xlfn.LAMBDA(_xlpm.r,_xlpm.c, IF(_xlpm.c = K9, -'2. Eingaben Fahrzeug-Ebene'!M9, 0)))),0)</f>
        <v>0</v>
      </c>
      <c r="S9" s="108">
        <f t="shared" si="11"/>
        <v>0</v>
      </c>
      <c r="T9" s="108">
        <f t="shared" ref="T9" si="44">IF(B9,NPV(J9,_xlfn.MAKEARRAY(K9,1,_xlfn.LAMBDA(_xlpm.r,_xlpm.c,L9))),0)</f>
        <v>0</v>
      </c>
      <c r="U9" s="108">
        <f t="shared" ref="U9" si="45">IF(B9,NPV(J9,_xlfn.MAKEARRAY(K9,1,_xlfn.LAMBDA(_xlpm.r,_xlpm.c,P9))),0)</f>
        <v>0</v>
      </c>
      <c r="V9" s="108">
        <f t="shared" ref="V9" si="46">IF(B9,NPV(J9,_xlfn.MAKEARRAY(K9,1,_xlfn.LAMBDA(_xlpm.r,_xlpm.c,M9))),0)</f>
        <v>0</v>
      </c>
      <c r="W9" s="108" cm="1">
        <f t="array" ref="W9">IF(B9,AV9+NPV(J9,_xlfn.MAKEARRAY(K9,1,_xlfn.LAMBDA(_xlpm.r,_xlpm.c,AX9)))+NPV(J9, _xlfn.MAKEARRAY(1, K9, _xlfn.LAMBDA(_xlpm.r,_xlpm.c, IF(_xlpm.c = K9, -AW9, 0))))+BD9+NPV(J9, _xlfn.MAKEARRAY(1, K9, _xlfn.LAMBDA(_xlpm.r,_xlpm.c, IF(_xlpm.c = K9, -BE9, 0)))),0)</f>
        <v>0</v>
      </c>
      <c r="X9" s="108">
        <f t="shared" ref="X9" si="47">IF(B9,NPV(J9,_xlfn.MAKEARRAY(K9,1,_xlfn.LAMBDA(_xlpm.r,_xlpm.c,O9))),0)</f>
        <v>0</v>
      </c>
      <c r="Y9" s="108">
        <f t="shared" ref="Y9" si="48">IF(B9,NPV(J9,_xlfn.MAKEARRAY(K9,1,_xlfn.LAMBDA(_xlpm.r,_xlpm.c,N9))),0)</f>
        <v>0</v>
      </c>
      <c r="Z9" s="109">
        <f>IF(B9,'2. Eingaben Fahrzeug-Ebene'!S9*'2. Eingaben Fahrzeug-Ebene'!$X9,0)</f>
        <v>0</v>
      </c>
      <c r="AA9" s="109">
        <f>IF(B9,I9*'1b. Corrected Inputs Segment'!$J$18,0)</f>
        <v>0</v>
      </c>
      <c r="AB9" s="109" cm="1">
        <f t="array" ref="AB9">IF(B9,INDEX('2d. Annahmen'!$D$22:$D$25,'2. Eingaben Fahrzeug-Ebene'!G9),0)</f>
        <v>0</v>
      </c>
      <c r="AC9" s="109" cm="1">
        <f t="array" ref="AC9">IF(B9,INDEX('2d. Annahmen'!$C$22:$C$25,'2. Eingaben Fahrzeug-Ebene'!G9),0)</f>
        <v>0</v>
      </c>
      <c r="AD9" s="109" cm="1">
        <f t="array" ref="AD9">IF(B9,INDEX('2d. Annahmen'!I17:I20,'2. Eingaben Fahrzeug-Ebene'!G9),0)</f>
        <v>0</v>
      </c>
      <c r="AE9" s="109">
        <f>IF(B9,'2. Eingaben Fahrzeug-Ebene'!P9,0)</f>
        <v>0</v>
      </c>
      <c r="AF9" s="109" cm="1">
        <f t="array" ref="AF9">IF(B9,NPV(J9, _xlfn.MAKEARRAY(1, K9, _xlfn.LAMBDA(_xlpm.r,_xlpm.c, IF(_xlpm.c = K9, -'2. Eingaben Fahrzeug-Ebene'!R9, 0)))),0)</f>
        <v>0</v>
      </c>
      <c r="AG9" s="109">
        <f t="shared" si="17"/>
        <v>0</v>
      </c>
      <c r="AH9" s="109">
        <f t="shared" ref="AH9" si="49">IF(B9,NPV(J9,_xlfn.MAKEARRAY(K9,1,_xlfn.LAMBDA(_xlpm.r,_xlpm.c,Z9))),0)</f>
        <v>0</v>
      </c>
      <c r="AI9" s="109">
        <f t="shared" ref="AI9" si="50">IF(B9,NPV(J9,_xlfn.MAKEARRAY(K9,1,_xlfn.LAMBDA(_xlpm.r,_xlpm.c,AD9))),0)</f>
        <v>0</v>
      </c>
      <c r="AJ9" s="109">
        <f t="shared" ref="AJ9" si="51">IF(B9,NPV(J9,_xlfn.MAKEARRAY(K9,1,_xlfn.LAMBDA(_xlpm.r,_xlpm.c,AA9))),0)</f>
        <v>0</v>
      </c>
      <c r="AK9" s="109">
        <f>0</f>
        <v>0</v>
      </c>
      <c r="AL9" s="109">
        <f t="shared" ref="AL9" si="52">IF(B9,NPV(J9,_xlfn.MAKEARRAY(K9,1,_xlfn.LAMBDA(_xlpm.r,_xlpm.c,AC9))),0)</f>
        <v>0</v>
      </c>
      <c r="AM9" s="109">
        <f t="shared" ref="AM9" si="53">IF(B9,NPV(J9,_xlfn.MAKEARRAY(K9,1,_xlfn.LAMBDA(_xlpm.r,_xlpm.c,AB9))),0)</f>
        <v>0</v>
      </c>
      <c r="AN9" s="110" t="str">
        <f>IF('2a. Ladekonzept'!V9&gt;0,'2a. Ladekonzept'!V9&amp;" x "&amp;_xlfn.TEXTJOIN(" ",TRUE,'1b. Corrected Inputs Segment'!$J$24:$K$24),"")</f>
        <v/>
      </c>
      <c r="AO9" s="110" t="str">
        <f>_xlfn.TEXTJOIN(", ",TRUE,IF('2a. Ladekonzept'!X9&gt;0,'2a. Ladekonzept'!X9&amp;" x "&amp;_xlfn.TEXTJOIN(" ",TRUE,'1b. Corrected Inputs Segment'!$J$25:$K$25),""),IF('2a. Ladekonzept'!AD9&gt;0,'2a. Ladekonzept'!AD9&amp;" x "&amp;'2a. Ladekonzept'!AF9&amp;" kW",""))</f>
        <v/>
      </c>
      <c r="AP9" s="111">
        <f>'2a. Ladekonzept'!V9*'1b. Corrected Inputs Segment'!$J$24</f>
        <v>0</v>
      </c>
      <c r="AQ9" s="112">
        <f>'2a. Ladekonzept'!X9*'1b. Corrected Inputs Segment'!$J$25+'2a. Ladekonzept'!AD9*'2a. Ladekonzept'!AF9</f>
        <v>0</v>
      </c>
      <c r="AR9" s="112">
        <f ca="1">MAX('2a. Ladekonzept'!AI9,'2a. Ladekonzept'!AB9)</f>
        <v>0</v>
      </c>
      <c r="AS9" s="112">
        <f ca="1">'2a. Ladekonzept'!V9*'3a. Detailierte Ergebnisse'!$B$28</f>
        <v>0</v>
      </c>
      <c r="AT9" s="112">
        <f>IF(B9,'2a. Ladekonzept'!X9*IF('2a. Ladekonzept'!Z9&gt;0,INDEX('3a. Detailierte Ergebnisse'!$T$28:$AE$28,MATCH('2a. Ladekonzept'!Z9,Ladeleistung,0)),0),0)</f>
        <v>0</v>
      </c>
      <c r="AU9" s="112">
        <f>IF(B9,'2a. Ladekonzept'!AD9*IF('2a. Ladekonzept'!AF9&gt;0,INDEX('3a. Detailierte Ergebnisse'!$T$28:$AE$28,MATCH('2a. Ladekonzept'!AF9,Ladeleistung,0)),0),0)</f>
        <v>0</v>
      </c>
      <c r="AV9" s="112">
        <f t="shared" ca="1" si="10"/>
        <v>0</v>
      </c>
      <c r="AW9" s="112">
        <f ca="1">AV9*('2d. Annahmen'!$B$54-K9)/'2d. Annahmen'!$B$54</f>
        <v>0</v>
      </c>
      <c r="AX9" s="112">
        <f ca="1">'2d. Annahmen'!$B$55*AV9</f>
        <v>0</v>
      </c>
      <c r="AY9" s="112">
        <f>IF(AQ9&gt;0,'2d. Annahmen'!$B$69*AQ9,0)*12</f>
        <v>0</v>
      </c>
      <c r="AZ9" s="112">
        <f>IF(AP9&gt;0,'3a. Detailierte Ergebnisse'!$B$41*AP9,0)</f>
        <v>0</v>
      </c>
      <c r="BA9" s="112">
        <f ca="1">'2a. Ladekonzept'!V9*'3a. Detailierte Ergebnisse'!$F$39</f>
        <v>0</v>
      </c>
      <c r="BB9" s="112">
        <f ca="1">IF(AR9&gt;0,'3a. Detailierte Ergebnisse'!$C$41*AR9,0)</f>
        <v>0</v>
      </c>
      <c r="BC9" s="112">
        <f ca="1">SUM('2a. Ladekonzept'!X9,'2a. Ladekonzept'!AD9)*'3a. Detailierte Ergebnisse'!$J$39</f>
        <v>0</v>
      </c>
      <c r="BD9" s="112">
        <f t="shared" ca="1" si="23"/>
        <v>0</v>
      </c>
      <c r="BE9" s="112">
        <f ca="1">BD9*('2d. Annahmen'!$B$62-K9)/'2d. Annahmen'!$B$62</f>
        <v>0</v>
      </c>
      <c r="BF9" s="102"/>
      <c r="BG9" s="102"/>
      <c r="BH9" s="102"/>
      <c r="BI9" s="102"/>
      <c r="BJ9" s="102"/>
      <c r="BK9" s="102"/>
      <c r="BL9" s="102"/>
      <c r="BM9" s="102"/>
      <c r="BN9" s="102"/>
      <c r="BO9" s="102"/>
      <c r="BP9" s="102"/>
      <c r="BQ9" s="102"/>
      <c r="BR9" s="102"/>
      <c r="BS9" s="102"/>
      <c r="BT9" s="102"/>
      <c r="BU9" s="102"/>
      <c r="BV9" s="102"/>
      <c r="BW9" s="102"/>
      <c r="BX9" s="103"/>
      <c r="BY9" s="103"/>
      <c r="BZ9" s="103"/>
      <c r="CA9" s="103"/>
      <c r="CB9" s="103"/>
      <c r="CC9" s="103"/>
      <c r="CD9" s="103"/>
      <c r="CE9" s="102"/>
      <c r="CF9" s="102"/>
      <c r="CG9" s="102"/>
      <c r="CH9" s="102"/>
      <c r="CI9" s="102"/>
      <c r="CJ9" s="102"/>
      <c r="CK9" s="103"/>
      <c r="CL9" s="103"/>
      <c r="CM9" s="103"/>
      <c r="CN9" s="103"/>
      <c r="CO9" s="103"/>
      <c r="CP9" s="103"/>
      <c r="CQ9" s="103"/>
    </row>
    <row r="10" spans="1:95" x14ac:dyDescent="0.35">
      <c r="A10" s="58" t="s">
        <v>147</v>
      </c>
      <c r="B10" s="59">
        <f>SUM('2. Eingaben Fahrzeug-Ebene'!$D10:$E10)</f>
        <v>0</v>
      </c>
      <c r="C10" s="59">
        <f>'2. Eingaben Fahrzeug-Ebene'!C10</f>
        <v>0</v>
      </c>
      <c r="D10" s="104">
        <f>'2. Eingaben Fahrzeug-Ebene'!X10*'2. Eingaben Fahrzeug-Ebene'!J10/100/'2d. Annahmen'!$B$56</f>
        <v>0</v>
      </c>
      <c r="E10" s="105">
        <f>IF(B10,'2a. Ladekonzept'!S10/'2a. Ladekonzept'!D10,0)</f>
        <v>0</v>
      </c>
      <c r="F10" s="105">
        <f>IF(B10,SUM('2a. Ladekonzept'!U10,'2a. Ladekonzept'!T10)/'2a. Ladekonzept'!D10,0)</f>
        <v>0</v>
      </c>
      <c r="G10" s="105">
        <f>IF(B10,'2a. Ladekonzept'!Q10/'2a. Ladekonzept'!D10,0)</f>
        <v>0</v>
      </c>
      <c r="H10" s="68">
        <f>'2. Eingaben Fahrzeug-Ebene'!V10*'2. Eingaben Fahrzeug-Ebene'!O10/100</f>
        <v>0</v>
      </c>
      <c r="I10" s="106">
        <f>'2. Eingaben Fahrzeug-Ebene'!X10*'2. Eingaben Fahrzeug-Ebene'!O10/100</f>
        <v>0</v>
      </c>
      <c r="J10" s="107">
        <f>IF(B10,'1c. Inputs Segment Summary'!Z7,0)</f>
        <v>0</v>
      </c>
      <c r="K10" s="108">
        <f>IF(B10,'1c. Inputs Segment Summary'!AA7/12,0)</f>
        <v>0</v>
      </c>
      <c r="L10" s="108">
        <f>IF(B10,'2. Eingaben Fahrzeug-Ebene'!N10*'2. Eingaben Fahrzeug-Ebene'!$X10,0)</f>
        <v>0</v>
      </c>
      <c r="M10" s="108" cm="1">
        <f t="array" ref="M10">IF(B10,D10*(SUMPRODUCT('1b. Corrected Inputs Segment'!$J$19:$J$21,TRANSPOSE('2b. Kosten'!E10:G10)))+AY10,0)</f>
        <v>0</v>
      </c>
      <c r="N10" s="108" cm="1">
        <f t="array" ref="N10">IF(B10,INDEX('2d. Annahmen'!$D$22:$D$25,'2. Eingaben Fahrzeug-Ebene'!G10),0)</f>
        <v>0</v>
      </c>
      <c r="O10" s="108" cm="1">
        <f t="array" ref="O10">IF(B10,INDEX('2d. Annahmen'!$C$22:$C$25,'2. Eingaben Fahrzeug-Ebene'!G10),0)</f>
        <v>0</v>
      </c>
      <c r="P10" s="108" cm="1">
        <f t="array" ref="P10">IF(B10,INDEX('2d. Annahmen'!$L$4:$L$7,'2. Eingaben Fahrzeug-Ebene'!G10),0)</f>
        <v>0</v>
      </c>
      <c r="Q10" s="108">
        <f>IF(B10,'2. Eingaben Fahrzeug-Ebene'!K10,0)</f>
        <v>0</v>
      </c>
      <c r="R10" s="108" cm="1">
        <f t="array" ref="R10">IF(B10,NPV(J10, _xlfn.MAKEARRAY(1, K10, _xlfn.LAMBDA(_xlpm.r,_xlpm.c, IF(_xlpm.c = K10, -'2. Eingaben Fahrzeug-Ebene'!M10, 0)))),0)</f>
        <v>0</v>
      </c>
      <c r="S10" s="108">
        <f t="shared" si="11"/>
        <v>0</v>
      </c>
      <c r="T10" s="108">
        <f t="shared" ref="T10" si="54">IF(B10,NPV(J10,_xlfn.MAKEARRAY(K10,1,_xlfn.LAMBDA(_xlpm.r,_xlpm.c,L10))),0)</f>
        <v>0</v>
      </c>
      <c r="U10" s="108">
        <f t="shared" ref="U10" si="55">IF(B10,NPV(J10,_xlfn.MAKEARRAY(K10,1,_xlfn.LAMBDA(_xlpm.r,_xlpm.c,P10))),0)</f>
        <v>0</v>
      </c>
      <c r="V10" s="108">
        <f t="shared" ref="V10" si="56">IF(B10,NPV(J10,_xlfn.MAKEARRAY(K10,1,_xlfn.LAMBDA(_xlpm.r,_xlpm.c,M10))),0)</f>
        <v>0</v>
      </c>
      <c r="W10" s="108" cm="1">
        <f t="array" ref="W10">IF(B10,AV10+NPV(J10,_xlfn.MAKEARRAY(K10,1,_xlfn.LAMBDA(_xlpm.r,_xlpm.c,AX10)))+NPV(J10, _xlfn.MAKEARRAY(1, K10, _xlfn.LAMBDA(_xlpm.r,_xlpm.c, IF(_xlpm.c = K10, -AW10, 0))))+BD10+NPV(J10, _xlfn.MAKEARRAY(1, K10, _xlfn.LAMBDA(_xlpm.r,_xlpm.c, IF(_xlpm.c = K10, -BE10, 0)))),0)</f>
        <v>0</v>
      </c>
      <c r="X10" s="108">
        <f t="shared" ref="X10" si="57">IF(B10,NPV(J10,_xlfn.MAKEARRAY(K10,1,_xlfn.LAMBDA(_xlpm.r,_xlpm.c,O10))),0)</f>
        <v>0</v>
      </c>
      <c r="Y10" s="108">
        <f t="shared" ref="Y10" si="58">IF(B10,NPV(J10,_xlfn.MAKEARRAY(K10,1,_xlfn.LAMBDA(_xlpm.r,_xlpm.c,N10))),0)</f>
        <v>0</v>
      </c>
      <c r="Z10" s="109">
        <f>IF(B10,'2. Eingaben Fahrzeug-Ebene'!S10*'2. Eingaben Fahrzeug-Ebene'!$X10,0)</f>
        <v>0</v>
      </c>
      <c r="AA10" s="109">
        <f>IF(B10,I10*'1b. Corrected Inputs Segment'!$J$18,0)</f>
        <v>0</v>
      </c>
      <c r="AB10" s="109" cm="1">
        <f t="array" ref="AB10">IF(B10,INDEX('2d. Annahmen'!$D$22:$D$25,'2. Eingaben Fahrzeug-Ebene'!G10),0)</f>
        <v>0</v>
      </c>
      <c r="AC10" s="109" cm="1">
        <f t="array" ref="AC10">IF(B10,INDEX('2d. Annahmen'!$C$22:$C$25,'2. Eingaben Fahrzeug-Ebene'!G10),0)</f>
        <v>0</v>
      </c>
      <c r="AD10" s="109" cm="1">
        <f t="array" ref="AD10">IF(B10,INDEX('2d. Annahmen'!I18:I21,'2. Eingaben Fahrzeug-Ebene'!G10),0)</f>
        <v>0</v>
      </c>
      <c r="AE10" s="109">
        <f>IF(B10,'2. Eingaben Fahrzeug-Ebene'!P10,0)</f>
        <v>0</v>
      </c>
      <c r="AF10" s="109" cm="1">
        <f t="array" ref="AF10">IF(B10,NPV(J10, _xlfn.MAKEARRAY(1, K10, _xlfn.LAMBDA(_xlpm.r,_xlpm.c, IF(_xlpm.c = K10, -'2. Eingaben Fahrzeug-Ebene'!R10, 0)))),0)</f>
        <v>0</v>
      </c>
      <c r="AG10" s="109">
        <f t="shared" si="17"/>
        <v>0</v>
      </c>
      <c r="AH10" s="109">
        <f t="shared" ref="AH10" si="59">IF(B10,NPV(J10,_xlfn.MAKEARRAY(K10,1,_xlfn.LAMBDA(_xlpm.r,_xlpm.c,Z10))),0)</f>
        <v>0</v>
      </c>
      <c r="AI10" s="109">
        <f t="shared" ref="AI10" si="60">IF(B10,NPV(J10,_xlfn.MAKEARRAY(K10,1,_xlfn.LAMBDA(_xlpm.r,_xlpm.c,AD10))),0)</f>
        <v>0</v>
      </c>
      <c r="AJ10" s="109">
        <f t="shared" ref="AJ10" si="61">IF(B10,NPV(J10,_xlfn.MAKEARRAY(K10,1,_xlfn.LAMBDA(_xlpm.r,_xlpm.c,AA10))),0)</f>
        <v>0</v>
      </c>
      <c r="AK10" s="109">
        <f>0</f>
        <v>0</v>
      </c>
      <c r="AL10" s="109">
        <f t="shared" ref="AL10" si="62">IF(B10,NPV(J10,_xlfn.MAKEARRAY(K10,1,_xlfn.LAMBDA(_xlpm.r,_xlpm.c,AC10))),0)</f>
        <v>0</v>
      </c>
      <c r="AM10" s="109">
        <f t="shared" ref="AM10" si="63">IF(B10,NPV(J10,_xlfn.MAKEARRAY(K10,1,_xlfn.LAMBDA(_xlpm.r,_xlpm.c,AB10))),0)</f>
        <v>0</v>
      </c>
      <c r="AN10" s="110" t="str">
        <f>IF('2a. Ladekonzept'!V10&gt;0,'2a. Ladekonzept'!V10&amp;" x "&amp;_xlfn.TEXTJOIN(" ",TRUE,'1b. Corrected Inputs Segment'!$J$24:$K$24),"")</f>
        <v/>
      </c>
      <c r="AO10" s="110" t="str">
        <f>_xlfn.TEXTJOIN(", ",TRUE,IF('2a. Ladekonzept'!X10&gt;0,'2a. Ladekonzept'!X10&amp;" x "&amp;_xlfn.TEXTJOIN(" ",TRUE,'1b. Corrected Inputs Segment'!$J$25:$K$25),""),IF('2a. Ladekonzept'!AD10&gt;0,'2a. Ladekonzept'!AD10&amp;" x "&amp;'2a. Ladekonzept'!AF10&amp;" kW",""))</f>
        <v/>
      </c>
      <c r="AP10" s="111">
        <f>'2a. Ladekonzept'!V10*'1b. Corrected Inputs Segment'!$J$24</f>
        <v>0</v>
      </c>
      <c r="AQ10" s="112">
        <f>'2a. Ladekonzept'!X10*'1b. Corrected Inputs Segment'!$J$25+'2a. Ladekonzept'!AD10*'2a. Ladekonzept'!AF10</f>
        <v>0</v>
      </c>
      <c r="AR10" s="112">
        <f ca="1">MAX('2a. Ladekonzept'!AI10,'2a. Ladekonzept'!AB10)</f>
        <v>0</v>
      </c>
      <c r="AS10" s="112">
        <f ca="1">'2a. Ladekonzept'!V10*'3a. Detailierte Ergebnisse'!$B$28</f>
        <v>0</v>
      </c>
      <c r="AT10" s="112">
        <f>IF(B10,'2a. Ladekonzept'!X10*IF('2a. Ladekonzept'!Z10&gt;0,INDEX('3a. Detailierte Ergebnisse'!$T$28:$AE$28,MATCH('2a. Ladekonzept'!Z10,Ladeleistung,0)),0),0)</f>
        <v>0</v>
      </c>
      <c r="AU10" s="112">
        <f>IF(B10,'2a. Ladekonzept'!AD10*IF('2a. Ladekonzept'!AF10&gt;0,INDEX('3a. Detailierte Ergebnisse'!$T$28:$AE$28,MATCH('2a. Ladekonzept'!AF10,Ladeleistung,0)),0),0)</f>
        <v>0</v>
      </c>
      <c r="AV10" s="112">
        <f t="shared" ca="1" si="10"/>
        <v>0</v>
      </c>
      <c r="AW10" s="112">
        <f ca="1">AV10*('2d. Annahmen'!$B$54-K10)/'2d. Annahmen'!$B$54</f>
        <v>0</v>
      </c>
      <c r="AX10" s="112">
        <f ca="1">'2d. Annahmen'!$B$55*AV10</f>
        <v>0</v>
      </c>
      <c r="AY10" s="112">
        <f>IF(AQ10&gt;0,'2d. Annahmen'!$B$69*AQ10,0)*12</f>
        <v>0</v>
      </c>
      <c r="AZ10" s="112">
        <f>IF(AP10&gt;0,'3a. Detailierte Ergebnisse'!$B$41*AP10,0)</f>
        <v>0</v>
      </c>
      <c r="BA10" s="112">
        <f ca="1">'2a. Ladekonzept'!V10*'3a. Detailierte Ergebnisse'!$F$39</f>
        <v>0</v>
      </c>
      <c r="BB10" s="112">
        <f ca="1">IF(AR10&gt;0,'3a. Detailierte Ergebnisse'!$C$41*AR10,0)</f>
        <v>0</v>
      </c>
      <c r="BC10" s="112">
        <f ca="1">SUM('2a. Ladekonzept'!X10,'2a. Ladekonzept'!AD10)*'3a. Detailierte Ergebnisse'!$J$39</f>
        <v>0</v>
      </c>
      <c r="BD10" s="112">
        <f t="shared" ca="1" si="23"/>
        <v>0</v>
      </c>
      <c r="BE10" s="112">
        <f ca="1">BD10*('2d. Annahmen'!$B$62-K10)/'2d. Annahmen'!$B$62</f>
        <v>0</v>
      </c>
      <c r="BF10" s="102"/>
      <c r="BG10" s="102"/>
      <c r="BH10" s="102"/>
      <c r="BI10" s="102"/>
      <c r="BJ10" s="102"/>
      <c r="BK10" s="102"/>
      <c r="BL10" s="102"/>
      <c r="BM10" s="102"/>
      <c r="BN10" s="102"/>
      <c r="BO10" s="102"/>
      <c r="BP10" s="102"/>
      <c r="BQ10" s="102"/>
      <c r="BR10" s="102"/>
      <c r="BS10" s="102"/>
      <c r="BT10" s="102"/>
      <c r="BU10" s="102"/>
      <c r="BV10" s="102"/>
      <c r="BW10" s="102"/>
      <c r="BX10" s="103"/>
      <c r="BY10" s="103"/>
      <c r="BZ10" s="103"/>
      <c r="CA10" s="103"/>
      <c r="CB10" s="103"/>
      <c r="CC10" s="103"/>
      <c r="CD10" s="103"/>
      <c r="CE10" s="102"/>
      <c r="CF10" s="102"/>
      <c r="CG10" s="102"/>
      <c r="CH10" s="102"/>
      <c r="CI10" s="102"/>
      <c r="CJ10" s="102"/>
      <c r="CK10" s="103"/>
      <c r="CL10" s="103"/>
      <c r="CM10" s="103"/>
      <c r="CN10" s="103"/>
      <c r="CO10" s="103"/>
      <c r="CP10" s="103"/>
      <c r="CQ10" s="103"/>
    </row>
    <row r="11" spans="1:95" x14ac:dyDescent="0.35">
      <c r="A11" s="58" t="s">
        <v>148</v>
      </c>
      <c r="B11" s="59">
        <f>SUM('2. Eingaben Fahrzeug-Ebene'!$D11:$E11)</f>
        <v>0</v>
      </c>
      <c r="C11" s="59">
        <f>'2. Eingaben Fahrzeug-Ebene'!C11</f>
        <v>0</v>
      </c>
      <c r="D11" s="104">
        <f>'2. Eingaben Fahrzeug-Ebene'!X11*'2. Eingaben Fahrzeug-Ebene'!J11/100/'2d. Annahmen'!$B$56</f>
        <v>0</v>
      </c>
      <c r="E11" s="105">
        <f>IF(B11,'2a. Ladekonzept'!S11/'2a. Ladekonzept'!D11,0)</f>
        <v>0</v>
      </c>
      <c r="F11" s="105">
        <f>IF(B11,SUM('2a. Ladekonzept'!U11,'2a. Ladekonzept'!T11)/'2a. Ladekonzept'!D11,0)</f>
        <v>0</v>
      </c>
      <c r="G11" s="105">
        <f>IF(B11,'2a. Ladekonzept'!Q11/'2a. Ladekonzept'!D11,0)</f>
        <v>0</v>
      </c>
      <c r="H11" s="68">
        <f>'2. Eingaben Fahrzeug-Ebene'!V11*'2. Eingaben Fahrzeug-Ebene'!O11/100</f>
        <v>0</v>
      </c>
      <c r="I11" s="106">
        <f>'2. Eingaben Fahrzeug-Ebene'!X11*'2. Eingaben Fahrzeug-Ebene'!O11/100</f>
        <v>0</v>
      </c>
      <c r="J11" s="107">
        <f>IF(B11,'1c. Inputs Segment Summary'!Z8,0)</f>
        <v>0</v>
      </c>
      <c r="K11" s="108">
        <f>IF(B11,'1c. Inputs Segment Summary'!AA8/12,0)</f>
        <v>0</v>
      </c>
      <c r="L11" s="108">
        <f>IF(B11,'2. Eingaben Fahrzeug-Ebene'!N11*'2. Eingaben Fahrzeug-Ebene'!$X11,0)</f>
        <v>0</v>
      </c>
      <c r="M11" s="108" cm="1">
        <f t="array" ref="M11">IF(B11,D11*(SUMPRODUCT('1b. Corrected Inputs Segment'!$J$19:$J$21,TRANSPOSE('2b. Kosten'!E11:G11)))+AY11,0)</f>
        <v>0</v>
      </c>
      <c r="N11" s="108" cm="1">
        <f t="array" ref="N11">IF(B11,INDEX('2d. Annahmen'!$D$22:$D$25,'2. Eingaben Fahrzeug-Ebene'!G11),0)</f>
        <v>0</v>
      </c>
      <c r="O11" s="108" cm="1">
        <f t="array" ref="O11">IF(B11,INDEX('2d. Annahmen'!$C$22:$C$25,'2. Eingaben Fahrzeug-Ebene'!G11),0)</f>
        <v>0</v>
      </c>
      <c r="P11" s="108" cm="1">
        <f t="array" ref="P11">IF(B11,INDEX('2d. Annahmen'!$L$4:$L$7,'2. Eingaben Fahrzeug-Ebene'!G11),0)</f>
        <v>0</v>
      </c>
      <c r="Q11" s="108">
        <f>IF(B11,'2. Eingaben Fahrzeug-Ebene'!K11,0)</f>
        <v>0</v>
      </c>
      <c r="R11" s="108" cm="1">
        <f t="array" ref="R11">IF(B11,NPV(J11, _xlfn.MAKEARRAY(1, K11, _xlfn.LAMBDA(_xlpm.r,_xlpm.c, IF(_xlpm.c = K11, -'2. Eingaben Fahrzeug-Ebene'!M11, 0)))),0)</f>
        <v>0</v>
      </c>
      <c r="S11" s="108">
        <f t="shared" si="11"/>
        <v>0</v>
      </c>
      <c r="T11" s="108">
        <f t="shared" ref="T11" si="64">IF(B11,NPV(J11,_xlfn.MAKEARRAY(K11,1,_xlfn.LAMBDA(_xlpm.r,_xlpm.c,L11))),0)</f>
        <v>0</v>
      </c>
      <c r="U11" s="108">
        <f t="shared" ref="U11" si="65">IF(B11,NPV(J11,_xlfn.MAKEARRAY(K11,1,_xlfn.LAMBDA(_xlpm.r,_xlpm.c,P11))),0)</f>
        <v>0</v>
      </c>
      <c r="V11" s="108">
        <f t="shared" ref="V11" si="66">IF(B11,NPV(J11,_xlfn.MAKEARRAY(K11,1,_xlfn.LAMBDA(_xlpm.r,_xlpm.c,M11))),0)</f>
        <v>0</v>
      </c>
      <c r="W11" s="108" cm="1">
        <f t="array" ref="W11">IF(B11,AV11+NPV(J11,_xlfn.MAKEARRAY(K11,1,_xlfn.LAMBDA(_xlpm.r,_xlpm.c,AX11)))+NPV(J11, _xlfn.MAKEARRAY(1, K11, _xlfn.LAMBDA(_xlpm.r,_xlpm.c, IF(_xlpm.c = K11, -AW11, 0))))+BD11+NPV(J11, _xlfn.MAKEARRAY(1, K11, _xlfn.LAMBDA(_xlpm.r,_xlpm.c, IF(_xlpm.c = K11, -BE11, 0)))),0)</f>
        <v>0</v>
      </c>
      <c r="X11" s="108">
        <f t="shared" ref="X11" si="67">IF(B11,NPV(J11,_xlfn.MAKEARRAY(K11,1,_xlfn.LAMBDA(_xlpm.r,_xlpm.c,O11))),0)</f>
        <v>0</v>
      </c>
      <c r="Y11" s="108">
        <f t="shared" ref="Y11" si="68">IF(B11,NPV(J11,_xlfn.MAKEARRAY(K11,1,_xlfn.LAMBDA(_xlpm.r,_xlpm.c,N11))),0)</f>
        <v>0</v>
      </c>
      <c r="Z11" s="109">
        <f>IF(B11,'2. Eingaben Fahrzeug-Ebene'!S11*'2. Eingaben Fahrzeug-Ebene'!$X11,0)</f>
        <v>0</v>
      </c>
      <c r="AA11" s="109">
        <f>IF(B11,I11*'1b. Corrected Inputs Segment'!$J$18,0)</f>
        <v>0</v>
      </c>
      <c r="AB11" s="109" cm="1">
        <f t="array" ref="AB11">IF(B11,INDEX('2d. Annahmen'!$D$22:$D$25,'2. Eingaben Fahrzeug-Ebene'!G11),0)</f>
        <v>0</v>
      </c>
      <c r="AC11" s="109" cm="1">
        <f t="array" ref="AC11">IF(B11,INDEX('2d. Annahmen'!$C$22:$C$25,'2. Eingaben Fahrzeug-Ebene'!G11),0)</f>
        <v>0</v>
      </c>
      <c r="AD11" s="109" cm="1">
        <f t="array" ref="AD11">IF(B11,INDEX('2d. Annahmen'!I19:I22,'2. Eingaben Fahrzeug-Ebene'!G11),0)</f>
        <v>0</v>
      </c>
      <c r="AE11" s="109">
        <f>IF(B11,'2. Eingaben Fahrzeug-Ebene'!P11,0)</f>
        <v>0</v>
      </c>
      <c r="AF11" s="109" cm="1">
        <f t="array" ref="AF11">IF(B11,NPV(J11, _xlfn.MAKEARRAY(1, K11, _xlfn.LAMBDA(_xlpm.r,_xlpm.c, IF(_xlpm.c = K11, -'2. Eingaben Fahrzeug-Ebene'!R11, 0)))),0)</f>
        <v>0</v>
      </c>
      <c r="AG11" s="109">
        <f t="shared" si="17"/>
        <v>0</v>
      </c>
      <c r="AH11" s="109">
        <f t="shared" ref="AH11" si="69">IF(B11,NPV(J11,_xlfn.MAKEARRAY(K11,1,_xlfn.LAMBDA(_xlpm.r,_xlpm.c,Z11))),0)</f>
        <v>0</v>
      </c>
      <c r="AI11" s="109">
        <f t="shared" ref="AI11" si="70">IF(B11,NPV(J11,_xlfn.MAKEARRAY(K11,1,_xlfn.LAMBDA(_xlpm.r,_xlpm.c,AD11))),0)</f>
        <v>0</v>
      </c>
      <c r="AJ11" s="109">
        <f t="shared" ref="AJ11" si="71">IF(B11,NPV(J11,_xlfn.MAKEARRAY(K11,1,_xlfn.LAMBDA(_xlpm.r,_xlpm.c,AA11))),0)</f>
        <v>0</v>
      </c>
      <c r="AK11" s="109">
        <f>0</f>
        <v>0</v>
      </c>
      <c r="AL11" s="109">
        <f t="shared" ref="AL11" si="72">IF(B11,NPV(J11,_xlfn.MAKEARRAY(K11,1,_xlfn.LAMBDA(_xlpm.r,_xlpm.c,AC11))),0)</f>
        <v>0</v>
      </c>
      <c r="AM11" s="109">
        <f t="shared" ref="AM11" si="73">IF(B11,NPV(J11,_xlfn.MAKEARRAY(K11,1,_xlfn.LAMBDA(_xlpm.r,_xlpm.c,AB11))),0)</f>
        <v>0</v>
      </c>
      <c r="AN11" s="110" t="str">
        <f>IF('2a. Ladekonzept'!V11&gt;0,'2a. Ladekonzept'!V11&amp;" x "&amp;_xlfn.TEXTJOIN(" ",TRUE,'1b. Corrected Inputs Segment'!$J$24:$K$24),"")</f>
        <v/>
      </c>
      <c r="AO11" s="110" t="str">
        <f>_xlfn.TEXTJOIN(", ",TRUE,IF('2a. Ladekonzept'!X11&gt;0,'2a. Ladekonzept'!X11&amp;" x "&amp;_xlfn.TEXTJOIN(" ",TRUE,'1b. Corrected Inputs Segment'!$J$25:$K$25),""),IF('2a. Ladekonzept'!AD11&gt;0,'2a. Ladekonzept'!AD11&amp;" x "&amp;'2a. Ladekonzept'!AF11&amp;" kW",""))</f>
        <v/>
      </c>
      <c r="AP11" s="111">
        <f>'2a. Ladekonzept'!V11*'1b. Corrected Inputs Segment'!$J$24</f>
        <v>0</v>
      </c>
      <c r="AQ11" s="112">
        <f>'2a. Ladekonzept'!X11*'1b. Corrected Inputs Segment'!$J$25+'2a. Ladekonzept'!AD11*'2a. Ladekonzept'!AF11</f>
        <v>0</v>
      </c>
      <c r="AR11" s="112">
        <f ca="1">MAX('2a. Ladekonzept'!AI11,'2a. Ladekonzept'!AB11)</f>
        <v>0</v>
      </c>
      <c r="AS11" s="112">
        <f ca="1">'2a. Ladekonzept'!V11*'3a. Detailierte Ergebnisse'!$B$28</f>
        <v>0</v>
      </c>
      <c r="AT11" s="112">
        <f>IF(B11,'2a. Ladekonzept'!X11*IF('2a. Ladekonzept'!Z11&gt;0,INDEX('3a. Detailierte Ergebnisse'!$T$28:$AE$28,MATCH('2a. Ladekonzept'!Z11,Ladeleistung,0)),0),0)</f>
        <v>0</v>
      </c>
      <c r="AU11" s="112">
        <f>IF(B11,'2a. Ladekonzept'!AD11*IF('2a. Ladekonzept'!AF11&gt;0,INDEX('3a. Detailierte Ergebnisse'!$T$28:$AE$28,MATCH('2a. Ladekonzept'!AF11,Ladeleistung,0)),0),0)</f>
        <v>0</v>
      </c>
      <c r="AV11" s="112">
        <f t="shared" ca="1" si="10"/>
        <v>0</v>
      </c>
      <c r="AW11" s="112">
        <f ca="1">AV11*('2d. Annahmen'!$B$54-K11)/'2d. Annahmen'!$B$54</f>
        <v>0</v>
      </c>
      <c r="AX11" s="112">
        <f ca="1">'2d. Annahmen'!$B$55*AV11</f>
        <v>0</v>
      </c>
      <c r="AY11" s="112">
        <f>IF(AQ11&gt;0,'2d. Annahmen'!$B$69*AQ11,0)*12</f>
        <v>0</v>
      </c>
      <c r="AZ11" s="112">
        <f>IF(AP11&gt;0,'3a. Detailierte Ergebnisse'!$B$41*AP11,0)</f>
        <v>0</v>
      </c>
      <c r="BA11" s="112">
        <f ca="1">'2a. Ladekonzept'!V11*'3a. Detailierte Ergebnisse'!$F$39</f>
        <v>0</v>
      </c>
      <c r="BB11" s="112">
        <f ca="1">IF(AR11&gt;0,'3a. Detailierte Ergebnisse'!$C$41*AR11,0)</f>
        <v>0</v>
      </c>
      <c r="BC11" s="112">
        <f ca="1">SUM('2a. Ladekonzept'!X11,'2a. Ladekonzept'!AD11)*'3a. Detailierte Ergebnisse'!$J$39</f>
        <v>0</v>
      </c>
      <c r="BD11" s="112">
        <f t="shared" ca="1" si="23"/>
        <v>0</v>
      </c>
      <c r="BE11" s="112">
        <f ca="1">BD11*('2d. Annahmen'!$B$62-K11)/'2d. Annahmen'!$B$62</f>
        <v>0</v>
      </c>
      <c r="BF11" s="102"/>
      <c r="BG11" s="102"/>
      <c r="BH11" s="102"/>
      <c r="BI11" s="102"/>
      <c r="BJ11" s="102"/>
      <c r="BK11" s="102"/>
      <c r="BL11" s="102"/>
      <c r="BM11" s="102"/>
      <c r="BN11" s="102"/>
      <c r="BO11" s="102"/>
      <c r="BP11" s="102"/>
      <c r="BQ11" s="102"/>
      <c r="BR11" s="102"/>
      <c r="BS11" s="102"/>
      <c r="BT11" s="102"/>
      <c r="BU11" s="102"/>
      <c r="BV11" s="102"/>
      <c r="BW11" s="102"/>
      <c r="BX11" s="103"/>
      <c r="BY11" s="103"/>
      <c r="BZ11" s="103"/>
      <c r="CA11" s="103"/>
      <c r="CB11" s="103"/>
      <c r="CC11" s="103"/>
      <c r="CD11" s="103"/>
      <c r="CE11" s="102"/>
      <c r="CF11" s="102"/>
      <c r="CG11" s="102"/>
      <c r="CH11" s="102"/>
      <c r="CI11" s="102"/>
      <c r="CJ11" s="102"/>
      <c r="CK11" s="103"/>
      <c r="CL11" s="103"/>
      <c r="CM11" s="103"/>
      <c r="CN11" s="103"/>
      <c r="CO11" s="103"/>
      <c r="CP11" s="103"/>
      <c r="CQ11" s="103"/>
    </row>
    <row r="12" spans="1:95" x14ac:dyDescent="0.35">
      <c r="A12" s="58" t="s">
        <v>149</v>
      </c>
      <c r="B12" s="59">
        <f>SUM('2. Eingaben Fahrzeug-Ebene'!$D12:$E12)</f>
        <v>0</v>
      </c>
      <c r="C12" s="59">
        <f>'2. Eingaben Fahrzeug-Ebene'!C12</f>
        <v>0</v>
      </c>
      <c r="D12" s="104">
        <f>'2. Eingaben Fahrzeug-Ebene'!X12*'2. Eingaben Fahrzeug-Ebene'!J12/100/'2d. Annahmen'!$B$56</f>
        <v>0</v>
      </c>
      <c r="E12" s="105">
        <f>IF(B12,'2a. Ladekonzept'!S12/'2a. Ladekonzept'!D12,0)</f>
        <v>0</v>
      </c>
      <c r="F12" s="105">
        <f>IF(B12,SUM('2a. Ladekonzept'!U12,'2a. Ladekonzept'!T12)/'2a. Ladekonzept'!D12,0)</f>
        <v>0</v>
      </c>
      <c r="G12" s="105">
        <f>IF(B12,'2a. Ladekonzept'!Q12/'2a. Ladekonzept'!D12,0)</f>
        <v>0</v>
      </c>
      <c r="H12" s="68">
        <f>'2. Eingaben Fahrzeug-Ebene'!V12*'2. Eingaben Fahrzeug-Ebene'!O12/100</f>
        <v>0</v>
      </c>
      <c r="I12" s="106">
        <f>'2. Eingaben Fahrzeug-Ebene'!X12*'2. Eingaben Fahrzeug-Ebene'!O12/100</f>
        <v>0</v>
      </c>
      <c r="J12" s="107">
        <f>IF(B12,'1c. Inputs Segment Summary'!Z9,0)</f>
        <v>0</v>
      </c>
      <c r="K12" s="108">
        <f>IF(B12,'1c. Inputs Segment Summary'!AA9/12,0)</f>
        <v>0</v>
      </c>
      <c r="L12" s="108">
        <f>IF(B12,'2. Eingaben Fahrzeug-Ebene'!N12*'2. Eingaben Fahrzeug-Ebene'!$X12,0)</f>
        <v>0</v>
      </c>
      <c r="M12" s="108" cm="1">
        <f t="array" ref="M12">IF(B12,D12*(SUMPRODUCT('1b. Corrected Inputs Segment'!$J$19:$J$21,TRANSPOSE('2b. Kosten'!E12:G12)))+AY12,0)</f>
        <v>0</v>
      </c>
      <c r="N12" s="108" cm="1">
        <f t="array" ref="N12">IF(B12,INDEX('2d. Annahmen'!$D$22:$D$25,'2. Eingaben Fahrzeug-Ebene'!G12),0)</f>
        <v>0</v>
      </c>
      <c r="O12" s="108" cm="1">
        <f t="array" ref="O12">IF(B12,INDEX('2d. Annahmen'!$C$22:$C$25,'2. Eingaben Fahrzeug-Ebene'!G12),0)</f>
        <v>0</v>
      </c>
      <c r="P12" s="108" cm="1">
        <f t="array" ref="P12">IF(B12,INDEX('2d. Annahmen'!$L$4:$L$7,'2. Eingaben Fahrzeug-Ebene'!G12),0)</f>
        <v>0</v>
      </c>
      <c r="Q12" s="108">
        <f>IF(B12,'2. Eingaben Fahrzeug-Ebene'!K12,0)</f>
        <v>0</v>
      </c>
      <c r="R12" s="108" cm="1">
        <f t="array" ref="R12">IF(B12,NPV(J12, _xlfn.MAKEARRAY(1, K12, _xlfn.LAMBDA(_xlpm.r,_xlpm.c, IF(_xlpm.c = K12, -'2. Eingaben Fahrzeug-Ebene'!M12, 0)))),0)</f>
        <v>0</v>
      </c>
      <c r="S12" s="108">
        <f t="shared" si="11"/>
        <v>0</v>
      </c>
      <c r="T12" s="108">
        <f t="shared" ref="T12" si="74">IF(B12,NPV(J12,_xlfn.MAKEARRAY(K12,1,_xlfn.LAMBDA(_xlpm.r,_xlpm.c,L12))),0)</f>
        <v>0</v>
      </c>
      <c r="U12" s="108">
        <f t="shared" ref="U12" si="75">IF(B12,NPV(J12,_xlfn.MAKEARRAY(K12,1,_xlfn.LAMBDA(_xlpm.r,_xlpm.c,P12))),0)</f>
        <v>0</v>
      </c>
      <c r="V12" s="108">
        <f t="shared" ref="V12" si="76">IF(B12,NPV(J12,_xlfn.MAKEARRAY(K12,1,_xlfn.LAMBDA(_xlpm.r,_xlpm.c,M12))),0)</f>
        <v>0</v>
      </c>
      <c r="W12" s="108" cm="1">
        <f t="array" ref="W12">IF(B12,AV12+NPV(J12,_xlfn.MAKEARRAY(K12,1,_xlfn.LAMBDA(_xlpm.r,_xlpm.c,AX12)))+NPV(J12, _xlfn.MAKEARRAY(1, K12, _xlfn.LAMBDA(_xlpm.r,_xlpm.c, IF(_xlpm.c = K12, -AW12, 0))))+BD12+NPV(J12, _xlfn.MAKEARRAY(1, K12, _xlfn.LAMBDA(_xlpm.r,_xlpm.c, IF(_xlpm.c = K12, -BE12, 0)))),0)</f>
        <v>0</v>
      </c>
      <c r="X12" s="108">
        <f t="shared" ref="X12" si="77">IF(B12,NPV(J12,_xlfn.MAKEARRAY(K12,1,_xlfn.LAMBDA(_xlpm.r,_xlpm.c,O12))),0)</f>
        <v>0</v>
      </c>
      <c r="Y12" s="108">
        <f t="shared" ref="Y12" si="78">IF(B12,NPV(J12,_xlfn.MAKEARRAY(K12,1,_xlfn.LAMBDA(_xlpm.r,_xlpm.c,N12))),0)</f>
        <v>0</v>
      </c>
      <c r="Z12" s="109">
        <f>IF(B12,'2. Eingaben Fahrzeug-Ebene'!S12*'2. Eingaben Fahrzeug-Ebene'!$X12,0)</f>
        <v>0</v>
      </c>
      <c r="AA12" s="109">
        <f>IF(B12,I12*'1b. Corrected Inputs Segment'!$J$18,0)</f>
        <v>0</v>
      </c>
      <c r="AB12" s="109" cm="1">
        <f t="array" ref="AB12">IF(B12,INDEX('2d. Annahmen'!$D$22:$D$25,'2. Eingaben Fahrzeug-Ebene'!G12),0)</f>
        <v>0</v>
      </c>
      <c r="AC12" s="109" cm="1">
        <f t="array" ref="AC12">IF(B12,INDEX('2d. Annahmen'!$C$22:$C$25,'2. Eingaben Fahrzeug-Ebene'!G12),0)</f>
        <v>0</v>
      </c>
      <c r="AD12" s="109" cm="1">
        <f t="array" ref="AD12">IF(B12,INDEX('2d. Annahmen'!I20:I23,'2. Eingaben Fahrzeug-Ebene'!G12),0)</f>
        <v>0</v>
      </c>
      <c r="AE12" s="109">
        <f>IF(B12,'2. Eingaben Fahrzeug-Ebene'!P12,0)</f>
        <v>0</v>
      </c>
      <c r="AF12" s="109" cm="1">
        <f t="array" ref="AF12">IF(B12,NPV(J12, _xlfn.MAKEARRAY(1, K12, _xlfn.LAMBDA(_xlpm.r,_xlpm.c, IF(_xlpm.c = K12, -'2. Eingaben Fahrzeug-Ebene'!R12, 0)))),0)</f>
        <v>0</v>
      </c>
      <c r="AG12" s="109">
        <f t="shared" si="17"/>
        <v>0</v>
      </c>
      <c r="AH12" s="109">
        <f t="shared" ref="AH12" si="79">IF(B12,NPV(J12,_xlfn.MAKEARRAY(K12,1,_xlfn.LAMBDA(_xlpm.r,_xlpm.c,Z12))),0)</f>
        <v>0</v>
      </c>
      <c r="AI12" s="109">
        <f t="shared" ref="AI12" si="80">IF(B12,NPV(J12,_xlfn.MAKEARRAY(K12,1,_xlfn.LAMBDA(_xlpm.r,_xlpm.c,AD12))),0)</f>
        <v>0</v>
      </c>
      <c r="AJ12" s="109">
        <f t="shared" ref="AJ12" si="81">IF(B12,NPV(J12,_xlfn.MAKEARRAY(K12,1,_xlfn.LAMBDA(_xlpm.r,_xlpm.c,AA12))),0)</f>
        <v>0</v>
      </c>
      <c r="AK12" s="109">
        <f>0</f>
        <v>0</v>
      </c>
      <c r="AL12" s="109">
        <f t="shared" ref="AL12" si="82">IF(B12,NPV(J12,_xlfn.MAKEARRAY(K12,1,_xlfn.LAMBDA(_xlpm.r,_xlpm.c,AC12))),0)</f>
        <v>0</v>
      </c>
      <c r="AM12" s="109">
        <f t="shared" ref="AM12" si="83">IF(B12,NPV(J12,_xlfn.MAKEARRAY(K12,1,_xlfn.LAMBDA(_xlpm.r,_xlpm.c,AB12))),0)</f>
        <v>0</v>
      </c>
      <c r="AN12" s="110" t="str">
        <f>IF('2a. Ladekonzept'!V12&gt;0,'2a. Ladekonzept'!V12&amp;" x "&amp;_xlfn.TEXTJOIN(" ",TRUE,'1b. Corrected Inputs Segment'!$J$24:$K$24),"")</f>
        <v/>
      </c>
      <c r="AO12" s="110" t="str">
        <f>_xlfn.TEXTJOIN(", ",TRUE,IF('2a. Ladekonzept'!X12&gt;0,'2a. Ladekonzept'!X12&amp;" x "&amp;_xlfn.TEXTJOIN(" ",TRUE,'1b. Corrected Inputs Segment'!$J$25:$K$25),""),IF('2a. Ladekonzept'!AD12&gt;0,'2a. Ladekonzept'!AD12&amp;" x "&amp;'2a. Ladekonzept'!AF12&amp;" kW",""))</f>
        <v/>
      </c>
      <c r="AP12" s="111">
        <f>'2a. Ladekonzept'!V12*'1b. Corrected Inputs Segment'!$J$24</f>
        <v>0</v>
      </c>
      <c r="AQ12" s="112">
        <f>'2a. Ladekonzept'!X12*'1b. Corrected Inputs Segment'!$J$25+'2a. Ladekonzept'!AD12*'2a. Ladekonzept'!AF12</f>
        <v>0</v>
      </c>
      <c r="AR12" s="112">
        <f ca="1">MAX('2a. Ladekonzept'!AI12,'2a. Ladekonzept'!AB12)</f>
        <v>0</v>
      </c>
      <c r="AS12" s="112">
        <f ca="1">'2a. Ladekonzept'!V12*'3a. Detailierte Ergebnisse'!$B$28</f>
        <v>0</v>
      </c>
      <c r="AT12" s="112">
        <f>IF(B12,'2a. Ladekonzept'!X12*IF('2a. Ladekonzept'!Z12&gt;0,INDEX('3a. Detailierte Ergebnisse'!$T$28:$AE$28,MATCH('2a. Ladekonzept'!Z12,Ladeleistung,0)),0),0)</f>
        <v>0</v>
      </c>
      <c r="AU12" s="112">
        <f>IF(B12,'2a. Ladekonzept'!AD12*IF('2a. Ladekonzept'!AF12&gt;0,INDEX('3a. Detailierte Ergebnisse'!$T$28:$AE$28,MATCH('2a. Ladekonzept'!AF12,Ladeleistung,0)),0),0)</f>
        <v>0</v>
      </c>
      <c r="AV12" s="112">
        <f t="shared" ca="1" si="10"/>
        <v>0</v>
      </c>
      <c r="AW12" s="112">
        <f ca="1">AV12*('2d. Annahmen'!$B$54-K12)/'2d. Annahmen'!$B$54</f>
        <v>0</v>
      </c>
      <c r="AX12" s="112">
        <f ca="1">'2d. Annahmen'!$B$55*AV12</f>
        <v>0</v>
      </c>
      <c r="AY12" s="112">
        <f>IF(AQ12&gt;0,'2d. Annahmen'!$B$69*AQ12,0)*12</f>
        <v>0</v>
      </c>
      <c r="AZ12" s="112">
        <f>IF(AP12&gt;0,'3a. Detailierte Ergebnisse'!$B$41*AP12,0)</f>
        <v>0</v>
      </c>
      <c r="BA12" s="112">
        <f ca="1">'2a. Ladekonzept'!V12*'3a. Detailierte Ergebnisse'!$F$39</f>
        <v>0</v>
      </c>
      <c r="BB12" s="112">
        <f ca="1">IF(AR12&gt;0,'3a. Detailierte Ergebnisse'!$C$41*AR12,0)</f>
        <v>0</v>
      </c>
      <c r="BC12" s="112">
        <f ca="1">SUM('2a. Ladekonzept'!X12,'2a. Ladekonzept'!AD12)*'3a. Detailierte Ergebnisse'!$J$39</f>
        <v>0</v>
      </c>
      <c r="BD12" s="112">
        <f t="shared" ca="1" si="23"/>
        <v>0</v>
      </c>
      <c r="BE12" s="112">
        <f ca="1">BD12*('2d. Annahmen'!$B$62-K12)/'2d. Annahmen'!$B$62</f>
        <v>0</v>
      </c>
      <c r="BF12" s="102"/>
      <c r="BG12" s="102"/>
      <c r="BH12" s="102"/>
      <c r="BI12" s="102"/>
      <c r="BJ12" s="102"/>
      <c r="BK12" s="102"/>
      <c r="BL12" s="102"/>
      <c r="BM12" s="102"/>
      <c r="BN12" s="102"/>
      <c r="BO12" s="102"/>
      <c r="BP12" s="102"/>
      <c r="BQ12" s="102"/>
      <c r="BR12" s="102"/>
      <c r="BS12" s="102"/>
      <c r="BT12" s="102"/>
      <c r="BU12" s="102"/>
      <c r="BV12" s="102"/>
      <c r="BW12" s="102"/>
      <c r="BX12" s="103"/>
      <c r="BY12" s="103"/>
      <c r="BZ12" s="103"/>
      <c r="CA12" s="103"/>
      <c r="CB12" s="103"/>
      <c r="CC12" s="103"/>
      <c r="CD12" s="103"/>
      <c r="CE12" s="102"/>
      <c r="CF12" s="102"/>
      <c r="CG12" s="102"/>
      <c r="CH12" s="102"/>
      <c r="CI12" s="102"/>
      <c r="CJ12" s="102"/>
      <c r="CK12" s="103"/>
      <c r="CL12" s="103"/>
      <c r="CM12" s="103"/>
      <c r="CN12" s="103"/>
      <c r="CO12" s="103"/>
      <c r="CP12" s="103"/>
      <c r="CQ12" s="103"/>
    </row>
    <row r="13" spans="1:95" x14ac:dyDescent="0.35">
      <c r="A13" s="58" t="s">
        <v>150</v>
      </c>
      <c r="B13" s="59">
        <f>SUM('2. Eingaben Fahrzeug-Ebene'!$D13:$E13)</f>
        <v>0</v>
      </c>
      <c r="C13" s="59">
        <f>'2. Eingaben Fahrzeug-Ebene'!C13</f>
        <v>0</v>
      </c>
      <c r="D13" s="104">
        <f>'2. Eingaben Fahrzeug-Ebene'!X13*'2. Eingaben Fahrzeug-Ebene'!J13/100/'2d. Annahmen'!$B$56</f>
        <v>0</v>
      </c>
      <c r="E13" s="105">
        <f>IF(B13,'2a. Ladekonzept'!S13/'2a. Ladekonzept'!D13,0)</f>
        <v>0</v>
      </c>
      <c r="F13" s="105">
        <f>IF(B13,SUM('2a. Ladekonzept'!U13,'2a. Ladekonzept'!T13)/'2a. Ladekonzept'!D13,0)</f>
        <v>0</v>
      </c>
      <c r="G13" s="105">
        <f>IF(B13,'2a. Ladekonzept'!Q13/'2a. Ladekonzept'!D13,0)</f>
        <v>0</v>
      </c>
      <c r="H13" s="68">
        <f>'2. Eingaben Fahrzeug-Ebene'!V13*'2. Eingaben Fahrzeug-Ebene'!O13/100</f>
        <v>0</v>
      </c>
      <c r="I13" s="106">
        <f>'2. Eingaben Fahrzeug-Ebene'!X13*'2. Eingaben Fahrzeug-Ebene'!O13/100</f>
        <v>0</v>
      </c>
      <c r="J13" s="107">
        <f>IF(B13,'1c. Inputs Segment Summary'!Z10,0)</f>
        <v>0</v>
      </c>
      <c r="K13" s="108">
        <f>IF(B13,'1c. Inputs Segment Summary'!AA10/12,0)</f>
        <v>0</v>
      </c>
      <c r="L13" s="108">
        <f>IF(B13,'2. Eingaben Fahrzeug-Ebene'!N13*'2. Eingaben Fahrzeug-Ebene'!$X13,0)</f>
        <v>0</v>
      </c>
      <c r="M13" s="108" cm="1">
        <f t="array" ref="M13">IF(B13,D13*(SUMPRODUCT('1b. Corrected Inputs Segment'!$J$19:$J$21,TRANSPOSE('2b. Kosten'!E13:G13)))+AY13,0)</f>
        <v>0</v>
      </c>
      <c r="N13" s="108" cm="1">
        <f t="array" ref="N13">IF(B13,INDEX('2d. Annahmen'!$D$22:$D$25,'2. Eingaben Fahrzeug-Ebene'!G13),0)</f>
        <v>0</v>
      </c>
      <c r="O13" s="108" cm="1">
        <f t="array" ref="O13">IF(B13,INDEX('2d. Annahmen'!$C$22:$C$25,'2. Eingaben Fahrzeug-Ebene'!G13),0)</f>
        <v>0</v>
      </c>
      <c r="P13" s="108" cm="1">
        <f t="array" ref="P13">IF(B13,INDEX('2d. Annahmen'!$L$4:$L$7,'2. Eingaben Fahrzeug-Ebene'!G13),0)</f>
        <v>0</v>
      </c>
      <c r="Q13" s="108">
        <f>IF(B13,'2. Eingaben Fahrzeug-Ebene'!K13,0)</f>
        <v>0</v>
      </c>
      <c r="R13" s="108" cm="1">
        <f t="array" ref="R13">IF(B13,NPV(J13, _xlfn.MAKEARRAY(1, K13, _xlfn.LAMBDA(_xlpm.r,_xlpm.c, IF(_xlpm.c = K13, -'2. Eingaben Fahrzeug-Ebene'!M13, 0)))),0)</f>
        <v>0</v>
      </c>
      <c r="S13" s="108">
        <f t="shared" si="11"/>
        <v>0</v>
      </c>
      <c r="T13" s="108">
        <f t="shared" ref="T13" si="84">IF(B13,NPV(J13,_xlfn.MAKEARRAY(K13,1,_xlfn.LAMBDA(_xlpm.r,_xlpm.c,L13))),0)</f>
        <v>0</v>
      </c>
      <c r="U13" s="108">
        <f t="shared" ref="U13" si="85">IF(B13,NPV(J13,_xlfn.MAKEARRAY(K13,1,_xlfn.LAMBDA(_xlpm.r,_xlpm.c,P13))),0)</f>
        <v>0</v>
      </c>
      <c r="V13" s="108">
        <f t="shared" ref="V13" si="86">IF(B13,NPV(J13,_xlfn.MAKEARRAY(K13,1,_xlfn.LAMBDA(_xlpm.r,_xlpm.c,M13))),0)</f>
        <v>0</v>
      </c>
      <c r="W13" s="108" cm="1">
        <f t="array" ref="W13">IF(B13,AV13+NPV(J13,_xlfn.MAKEARRAY(K13,1,_xlfn.LAMBDA(_xlpm.r,_xlpm.c,AX13)))+NPV(J13, _xlfn.MAKEARRAY(1, K13, _xlfn.LAMBDA(_xlpm.r,_xlpm.c, IF(_xlpm.c = K13, -AW13, 0))))+BD13+NPV(J13, _xlfn.MAKEARRAY(1, K13, _xlfn.LAMBDA(_xlpm.r,_xlpm.c, IF(_xlpm.c = K13, -BE13, 0)))),0)</f>
        <v>0</v>
      </c>
      <c r="X13" s="108">
        <f t="shared" ref="X13" si="87">IF(B13,NPV(J13,_xlfn.MAKEARRAY(K13,1,_xlfn.LAMBDA(_xlpm.r,_xlpm.c,O13))),0)</f>
        <v>0</v>
      </c>
      <c r="Y13" s="108">
        <f t="shared" ref="Y13" si="88">IF(B13,NPV(J13,_xlfn.MAKEARRAY(K13,1,_xlfn.LAMBDA(_xlpm.r,_xlpm.c,N13))),0)</f>
        <v>0</v>
      </c>
      <c r="Z13" s="109">
        <f>IF(B13,'2. Eingaben Fahrzeug-Ebene'!S13*'2. Eingaben Fahrzeug-Ebene'!$X13,0)</f>
        <v>0</v>
      </c>
      <c r="AA13" s="109">
        <f>IF(B13,I13*'1b. Corrected Inputs Segment'!$J$18,0)</f>
        <v>0</v>
      </c>
      <c r="AB13" s="109" cm="1">
        <f t="array" ref="AB13">IF(B13,INDEX('2d. Annahmen'!$D$22:$D$25,'2. Eingaben Fahrzeug-Ebene'!G13),0)</f>
        <v>0</v>
      </c>
      <c r="AC13" s="109" cm="1">
        <f t="array" ref="AC13">IF(B13,INDEX('2d. Annahmen'!$C$22:$C$25,'2. Eingaben Fahrzeug-Ebene'!G13),0)</f>
        <v>0</v>
      </c>
      <c r="AD13" s="109" cm="1">
        <f t="array" ref="AD13">IF(B13,INDEX('2d. Annahmen'!I21:I24,'2. Eingaben Fahrzeug-Ebene'!G13),0)</f>
        <v>0</v>
      </c>
      <c r="AE13" s="109">
        <f>IF(B13,'2. Eingaben Fahrzeug-Ebene'!P13,0)</f>
        <v>0</v>
      </c>
      <c r="AF13" s="109" cm="1">
        <f t="array" ref="AF13">IF(B13,NPV(J13, _xlfn.MAKEARRAY(1, K13, _xlfn.LAMBDA(_xlpm.r,_xlpm.c, IF(_xlpm.c = K13, -'2. Eingaben Fahrzeug-Ebene'!R13, 0)))),0)</f>
        <v>0</v>
      </c>
      <c r="AG13" s="109">
        <f t="shared" si="17"/>
        <v>0</v>
      </c>
      <c r="AH13" s="109">
        <f t="shared" ref="AH13" si="89">IF(B13,NPV(J13,_xlfn.MAKEARRAY(K13,1,_xlfn.LAMBDA(_xlpm.r,_xlpm.c,Z13))),0)</f>
        <v>0</v>
      </c>
      <c r="AI13" s="109">
        <f t="shared" ref="AI13" si="90">IF(B13,NPV(J13,_xlfn.MAKEARRAY(K13,1,_xlfn.LAMBDA(_xlpm.r,_xlpm.c,AD13))),0)</f>
        <v>0</v>
      </c>
      <c r="AJ13" s="109">
        <f t="shared" ref="AJ13" si="91">IF(B13,NPV(J13,_xlfn.MAKEARRAY(K13,1,_xlfn.LAMBDA(_xlpm.r,_xlpm.c,AA13))),0)</f>
        <v>0</v>
      </c>
      <c r="AK13" s="109">
        <f>0</f>
        <v>0</v>
      </c>
      <c r="AL13" s="109">
        <f t="shared" ref="AL13" si="92">IF(B13,NPV(J13,_xlfn.MAKEARRAY(K13,1,_xlfn.LAMBDA(_xlpm.r,_xlpm.c,AC13))),0)</f>
        <v>0</v>
      </c>
      <c r="AM13" s="109">
        <f t="shared" ref="AM13" si="93">IF(B13,NPV(J13,_xlfn.MAKEARRAY(K13,1,_xlfn.LAMBDA(_xlpm.r,_xlpm.c,AB13))),0)</f>
        <v>0</v>
      </c>
      <c r="AN13" s="110" t="str">
        <f>IF('2a. Ladekonzept'!V13&gt;0,'2a. Ladekonzept'!V13&amp;" x "&amp;_xlfn.TEXTJOIN(" ",TRUE,'1b. Corrected Inputs Segment'!$J$24:$K$24),"")</f>
        <v/>
      </c>
      <c r="AO13" s="110" t="str">
        <f>_xlfn.TEXTJOIN(", ",TRUE,IF('2a. Ladekonzept'!X13&gt;0,'2a. Ladekonzept'!X13&amp;" x "&amp;_xlfn.TEXTJOIN(" ",TRUE,'1b. Corrected Inputs Segment'!$J$25:$K$25),""),IF('2a. Ladekonzept'!AD13&gt;0,'2a. Ladekonzept'!AD13&amp;" x "&amp;'2a. Ladekonzept'!AF13&amp;" kW",""))</f>
        <v/>
      </c>
      <c r="AP13" s="111">
        <f>'2a. Ladekonzept'!V13*'1b. Corrected Inputs Segment'!$J$24</f>
        <v>0</v>
      </c>
      <c r="AQ13" s="112">
        <f>'2a. Ladekonzept'!X13*'1b. Corrected Inputs Segment'!$J$25+'2a. Ladekonzept'!AD13*'2a. Ladekonzept'!AF13</f>
        <v>0</v>
      </c>
      <c r="AR13" s="112">
        <f ca="1">MAX('2a. Ladekonzept'!AI13,'2a. Ladekonzept'!AB13)</f>
        <v>0</v>
      </c>
      <c r="AS13" s="112">
        <f ca="1">'2a. Ladekonzept'!V13*'3a. Detailierte Ergebnisse'!$B$28</f>
        <v>0</v>
      </c>
      <c r="AT13" s="112">
        <f>IF(B13,'2a. Ladekonzept'!X13*IF('2a. Ladekonzept'!Z13&gt;0,INDEX('3a. Detailierte Ergebnisse'!$T$28:$AE$28,MATCH('2a. Ladekonzept'!Z13,Ladeleistung,0)),0),0)</f>
        <v>0</v>
      </c>
      <c r="AU13" s="112">
        <f>IF(B13,'2a. Ladekonzept'!AD13*IF('2a. Ladekonzept'!AF13&gt;0,INDEX('3a. Detailierte Ergebnisse'!$T$28:$AE$28,MATCH('2a. Ladekonzept'!AF13,Ladeleistung,0)),0),0)</f>
        <v>0</v>
      </c>
      <c r="AV13" s="112">
        <f t="shared" ca="1" si="10"/>
        <v>0</v>
      </c>
      <c r="AW13" s="112">
        <f ca="1">AV13*('2d. Annahmen'!$B$54-K13)/'2d. Annahmen'!$B$54</f>
        <v>0</v>
      </c>
      <c r="AX13" s="112">
        <f ca="1">'2d. Annahmen'!$B$55*AV13</f>
        <v>0</v>
      </c>
      <c r="AY13" s="112">
        <f>IF(AQ13&gt;0,'2d. Annahmen'!$B$69*AQ13,0)*12</f>
        <v>0</v>
      </c>
      <c r="AZ13" s="112">
        <f>IF(AP13&gt;0,'3a. Detailierte Ergebnisse'!$B$41*AP13,0)</f>
        <v>0</v>
      </c>
      <c r="BA13" s="112">
        <f ca="1">'2a. Ladekonzept'!V13*'3a. Detailierte Ergebnisse'!$F$39</f>
        <v>0</v>
      </c>
      <c r="BB13" s="112">
        <f ca="1">IF(AR13&gt;0,'3a. Detailierte Ergebnisse'!$C$41*AR13,0)</f>
        <v>0</v>
      </c>
      <c r="BC13" s="112">
        <f ca="1">SUM('2a. Ladekonzept'!X13,'2a. Ladekonzept'!AD13)*'3a. Detailierte Ergebnisse'!$J$39</f>
        <v>0</v>
      </c>
      <c r="BD13" s="112">
        <f t="shared" ca="1" si="23"/>
        <v>0</v>
      </c>
      <c r="BE13" s="112">
        <f ca="1">BD13*('2d. Annahmen'!$B$62-K13)/'2d. Annahmen'!$B$62</f>
        <v>0</v>
      </c>
      <c r="BF13" s="102"/>
      <c r="BG13" s="102"/>
      <c r="BH13" s="102"/>
      <c r="BI13" s="102"/>
      <c r="BJ13" s="102"/>
      <c r="BK13" s="102"/>
      <c r="BL13" s="102"/>
      <c r="BM13" s="102"/>
      <c r="BN13" s="102"/>
      <c r="BO13" s="102"/>
      <c r="BP13" s="102"/>
      <c r="BQ13" s="102"/>
      <c r="BR13" s="102"/>
      <c r="BS13" s="102"/>
      <c r="BT13" s="102"/>
      <c r="BU13" s="102"/>
      <c r="BV13" s="102"/>
      <c r="BW13" s="102"/>
      <c r="BX13" s="103"/>
      <c r="BY13" s="103"/>
      <c r="BZ13" s="103"/>
      <c r="CA13" s="103"/>
      <c r="CB13" s="103"/>
      <c r="CC13" s="103"/>
      <c r="CD13" s="103"/>
      <c r="CE13" s="102"/>
      <c r="CF13" s="102"/>
      <c r="CG13" s="102"/>
      <c r="CH13" s="102"/>
      <c r="CI13" s="102"/>
      <c r="CJ13" s="102"/>
      <c r="CK13" s="103"/>
      <c r="CL13" s="103"/>
      <c r="CM13" s="103"/>
      <c r="CN13" s="103"/>
      <c r="CO13" s="103"/>
      <c r="CP13" s="103"/>
      <c r="CQ13" s="103"/>
    </row>
    <row r="14" spans="1:95" x14ac:dyDescent="0.35">
      <c r="A14" s="58" t="s">
        <v>151</v>
      </c>
      <c r="B14" s="59">
        <f>SUM('2. Eingaben Fahrzeug-Ebene'!$D14:$E14)</f>
        <v>0</v>
      </c>
      <c r="C14" s="59">
        <f>'2. Eingaben Fahrzeug-Ebene'!C14</f>
        <v>0</v>
      </c>
      <c r="D14" s="104">
        <f>'2. Eingaben Fahrzeug-Ebene'!X14*'2. Eingaben Fahrzeug-Ebene'!J14/100/'2d. Annahmen'!$B$56</f>
        <v>0</v>
      </c>
      <c r="E14" s="105">
        <f>IF(B14,'2a. Ladekonzept'!S14/'2a. Ladekonzept'!D14,0)</f>
        <v>0</v>
      </c>
      <c r="F14" s="105">
        <f>IF(B14,SUM('2a. Ladekonzept'!U14,'2a. Ladekonzept'!T14)/'2a. Ladekonzept'!D14,0)</f>
        <v>0</v>
      </c>
      <c r="G14" s="105">
        <f>IF(B14,'2a. Ladekonzept'!Q14/'2a. Ladekonzept'!D14,0)</f>
        <v>0</v>
      </c>
      <c r="H14" s="68">
        <f>'2. Eingaben Fahrzeug-Ebene'!V14*'2. Eingaben Fahrzeug-Ebene'!O14/100</f>
        <v>0</v>
      </c>
      <c r="I14" s="106">
        <f>'2. Eingaben Fahrzeug-Ebene'!X14*'2. Eingaben Fahrzeug-Ebene'!O14/100</f>
        <v>0</v>
      </c>
      <c r="J14" s="107">
        <f>IF(B14,'1c. Inputs Segment Summary'!Z11,0)</f>
        <v>0</v>
      </c>
      <c r="K14" s="108">
        <f>IF(B14,'1c. Inputs Segment Summary'!AA11/12,0)</f>
        <v>0</v>
      </c>
      <c r="L14" s="108">
        <f>IF(B14,'2. Eingaben Fahrzeug-Ebene'!N14*'2. Eingaben Fahrzeug-Ebene'!$X14,0)</f>
        <v>0</v>
      </c>
      <c r="M14" s="108" cm="1">
        <f t="array" ref="M14">IF(B14,D14*(SUMPRODUCT('1b. Corrected Inputs Segment'!$J$19:$J$21,TRANSPOSE('2b. Kosten'!E14:G14)))+AY14,0)</f>
        <v>0</v>
      </c>
      <c r="N14" s="108" cm="1">
        <f t="array" ref="N14">IF(B14,INDEX('2d. Annahmen'!$D$22:$D$25,'2. Eingaben Fahrzeug-Ebene'!G14),0)</f>
        <v>0</v>
      </c>
      <c r="O14" s="108" cm="1">
        <f t="array" ref="O14">IF(B14,INDEX('2d. Annahmen'!$C$22:$C$25,'2. Eingaben Fahrzeug-Ebene'!G14),0)</f>
        <v>0</v>
      </c>
      <c r="P14" s="108" cm="1">
        <f t="array" ref="P14">IF(B14,INDEX('2d. Annahmen'!$L$4:$L$7,'2. Eingaben Fahrzeug-Ebene'!G14),0)</f>
        <v>0</v>
      </c>
      <c r="Q14" s="108">
        <f>IF(B14,'2. Eingaben Fahrzeug-Ebene'!K14,0)</f>
        <v>0</v>
      </c>
      <c r="R14" s="108" cm="1">
        <f t="array" ref="R14">IF(B14,NPV(J14, _xlfn.MAKEARRAY(1, K14, _xlfn.LAMBDA(_xlpm.r,_xlpm.c, IF(_xlpm.c = K14, -'2. Eingaben Fahrzeug-Ebene'!M14, 0)))),0)</f>
        <v>0</v>
      </c>
      <c r="S14" s="108">
        <f t="shared" si="11"/>
        <v>0</v>
      </c>
      <c r="T14" s="108">
        <f t="shared" ref="T14" si="94">IF(B14,NPV(J14,_xlfn.MAKEARRAY(K14,1,_xlfn.LAMBDA(_xlpm.r,_xlpm.c,L14))),0)</f>
        <v>0</v>
      </c>
      <c r="U14" s="108">
        <f t="shared" ref="U14" si="95">IF(B14,NPV(J14,_xlfn.MAKEARRAY(K14,1,_xlfn.LAMBDA(_xlpm.r,_xlpm.c,P14))),0)</f>
        <v>0</v>
      </c>
      <c r="V14" s="108">
        <f t="shared" ref="V14" si="96">IF(B14,NPV(J14,_xlfn.MAKEARRAY(K14,1,_xlfn.LAMBDA(_xlpm.r,_xlpm.c,M14))),0)</f>
        <v>0</v>
      </c>
      <c r="W14" s="108" cm="1">
        <f t="array" ref="W14">IF(B14,AV14+NPV(J14,_xlfn.MAKEARRAY(K14,1,_xlfn.LAMBDA(_xlpm.r,_xlpm.c,AX14)))+NPV(J14, _xlfn.MAKEARRAY(1, K14, _xlfn.LAMBDA(_xlpm.r,_xlpm.c, IF(_xlpm.c = K14, -AW14, 0))))+BD14+NPV(J14, _xlfn.MAKEARRAY(1, K14, _xlfn.LAMBDA(_xlpm.r,_xlpm.c, IF(_xlpm.c = K14, -BE14, 0)))),0)</f>
        <v>0</v>
      </c>
      <c r="X14" s="108">
        <f t="shared" ref="X14" si="97">IF(B14,NPV(J14,_xlfn.MAKEARRAY(K14,1,_xlfn.LAMBDA(_xlpm.r,_xlpm.c,O14))),0)</f>
        <v>0</v>
      </c>
      <c r="Y14" s="108">
        <f t="shared" ref="Y14" si="98">IF(B14,NPV(J14,_xlfn.MAKEARRAY(K14,1,_xlfn.LAMBDA(_xlpm.r,_xlpm.c,N14))),0)</f>
        <v>0</v>
      </c>
      <c r="Z14" s="109">
        <f>IF(B14,'2. Eingaben Fahrzeug-Ebene'!S14*'2. Eingaben Fahrzeug-Ebene'!$X14,0)</f>
        <v>0</v>
      </c>
      <c r="AA14" s="109">
        <f>IF(B14,I14*'1b. Corrected Inputs Segment'!$J$18,0)</f>
        <v>0</v>
      </c>
      <c r="AB14" s="109" cm="1">
        <f t="array" ref="AB14">IF(B14,INDEX('2d. Annahmen'!$D$22:$D$25,'2. Eingaben Fahrzeug-Ebene'!G14),0)</f>
        <v>0</v>
      </c>
      <c r="AC14" s="109" cm="1">
        <f t="array" ref="AC14">IF(B14,INDEX('2d. Annahmen'!$C$22:$C$25,'2. Eingaben Fahrzeug-Ebene'!G14),0)</f>
        <v>0</v>
      </c>
      <c r="AD14" s="109" cm="1">
        <f t="array" ref="AD14">IF(B14,INDEX('2d. Annahmen'!I22:I25,'2. Eingaben Fahrzeug-Ebene'!G14),0)</f>
        <v>0</v>
      </c>
      <c r="AE14" s="109">
        <f>IF(B14,'2. Eingaben Fahrzeug-Ebene'!P14,0)</f>
        <v>0</v>
      </c>
      <c r="AF14" s="109" cm="1">
        <f t="array" ref="AF14">IF(B14,NPV(J14, _xlfn.MAKEARRAY(1, K14, _xlfn.LAMBDA(_xlpm.r,_xlpm.c, IF(_xlpm.c = K14, -'2. Eingaben Fahrzeug-Ebene'!R14, 0)))),0)</f>
        <v>0</v>
      </c>
      <c r="AG14" s="109">
        <f t="shared" si="17"/>
        <v>0</v>
      </c>
      <c r="AH14" s="109">
        <f t="shared" ref="AH14" si="99">IF(B14,NPV(J14,_xlfn.MAKEARRAY(K14,1,_xlfn.LAMBDA(_xlpm.r,_xlpm.c,Z14))),0)</f>
        <v>0</v>
      </c>
      <c r="AI14" s="109">
        <f t="shared" ref="AI14" si="100">IF(B14,NPV(J14,_xlfn.MAKEARRAY(K14,1,_xlfn.LAMBDA(_xlpm.r,_xlpm.c,AD14))),0)</f>
        <v>0</v>
      </c>
      <c r="AJ14" s="109">
        <f t="shared" ref="AJ14" si="101">IF(B14,NPV(J14,_xlfn.MAKEARRAY(K14,1,_xlfn.LAMBDA(_xlpm.r,_xlpm.c,AA14))),0)</f>
        <v>0</v>
      </c>
      <c r="AK14" s="109">
        <f>0</f>
        <v>0</v>
      </c>
      <c r="AL14" s="109">
        <f t="shared" ref="AL14" si="102">IF(B14,NPV(J14,_xlfn.MAKEARRAY(K14,1,_xlfn.LAMBDA(_xlpm.r,_xlpm.c,AC14))),0)</f>
        <v>0</v>
      </c>
      <c r="AM14" s="109">
        <f t="shared" ref="AM14" si="103">IF(B14,NPV(J14,_xlfn.MAKEARRAY(K14,1,_xlfn.LAMBDA(_xlpm.r,_xlpm.c,AB14))),0)</f>
        <v>0</v>
      </c>
      <c r="AN14" s="110" t="str">
        <f>IF('2a. Ladekonzept'!V14&gt;0,'2a. Ladekonzept'!V14&amp;" x "&amp;_xlfn.TEXTJOIN(" ",TRUE,'1b. Corrected Inputs Segment'!$J$24:$K$24),"")</f>
        <v/>
      </c>
      <c r="AO14" s="110" t="str">
        <f>_xlfn.TEXTJOIN(", ",TRUE,IF('2a. Ladekonzept'!X14&gt;0,'2a. Ladekonzept'!X14&amp;" x "&amp;_xlfn.TEXTJOIN(" ",TRUE,'1b. Corrected Inputs Segment'!$J$25:$K$25),""),IF('2a. Ladekonzept'!AD14&gt;0,'2a. Ladekonzept'!AD14&amp;" x "&amp;'2a. Ladekonzept'!AF14&amp;" kW",""))</f>
        <v/>
      </c>
      <c r="AP14" s="111">
        <f>'2a. Ladekonzept'!V14*'1b. Corrected Inputs Segment'!$J$24</f>
        <v>0</v>
      </c>
      <c r="AQ14" s="112">
        <f>'2a. Ladekonzept'!X14*'1b. Corrected Inputs Segment'!$J$25+'2a. Ladekonzept'!AD14*'2a. Ladekonzept'!AF14</f>
        <v>0</v>
      </c>
      <c r="AR14" s="112">
        <f ca="1">MAX('2a. Ladekonzept'!AI14,'2a. Ladekonzept'!AB14)</f>
        <v>0</v>
      </c>
      <c r="AS14" s="112">
        <f ca="1">'2a. Ladekonzept'!V14*'3a. Detailierte Ergebnisse'!$B$28</f>
        <v>0</v>
      </c>
      <c r="AT14" s="112">
        <f>IF(B14,'2a. Ladekonzept'!X14*IF('2a. Ladekonzept'!Z14&gt;0,INDEX('3a. Detailierte Ergebnisse'!$T$28:$AE$28,MATCH('2a. Ladekonzept'!Z14,Ladeleistung,0)),0),0)</f>
        <v>0</v>
      </c>
      <c r="AU14" s="112">
        <f>IF(B14,'2a. Ladekonzept'!AD14*IF('2a. Ladekonzept'!AF14&gt;0,INDEX('3a. Detailierte Ergebnisse'!$T$28:$AE$28,MATCH('2a. Ladekonzept'!AF14,Ladeleistung,0)),0),0)</f>
        <v>0</v>
      </c>
      <c r="AV14" s="112">
        <f t="shared" ca="1" si="10"/>
        <v>0</v>
      </c>
      <c r="AW14" s="112">
        <f ca="1">AV14*('2d. Annahmen'!$B$54-K14)/'2d. Annahmen'!$B$54</f>
        <v>0</v>
      </c>
      <c r="AX14" s="112">
        <f ca="1">'2d. Annahmen'!$B$55*AV14</f>
        <v>0</v>
      </c>
      <c r="AY14" s="112">
        <f>IF(AQ14&gt;0,'2d. Annahmen'!$B$69*AQ14,0)*12</f>
        <v>0</v>
      </c>
      <c r="AZ14" s="112">
        <f>IF(AP14&gt;0,'3a. Detailierte Ergebnisse'!$B$41*AP14,0)</f>
        <v>0</v>
      </c>
      <c r="BA14" s="112">
        <f ca="1">'2a. Ladekonzept'!V14*'3a. Detailierte Ergebnisse'!$F$39</f>
        <v>0</v>
      </c>
      <c r="BB14" s="112">
        <f ca="1">IF(AR14&gt;0,'3a. Detailierte Ergebnisse'!$C$41*AR14,0)</f>
        <v>0</v>
      </c>
      <c r="BC14" s="112">
        <f ca="1">SUM('2a. Ladekonzept'!X14,'2a. Ladekonzept'!AD14)*'3a. Detailierte Ergebnisse'!$J$39</f>
        <v>0</v>
      </c>
      <c r="BD14" s="112">
        <f ca="1">SUM(AZ14:BC14)</f>
        <v>0</v>
      </c>
      <c r="BE14" s="112">
        <f ca="1">BD14*('2d. Annahmen'!$B$62-K14)/'2d. Annahmen'!$B$62</f>
        <v>0</v>
      </c>
      <c r="BF14" s="102"/>
      <c r="BG14" s="102"/>
      <c r="BH14" s="102"/>
      <c r="BI14" s="102"/>
      <c r="BJ14" s="102"/>
      <c r="BK14" s="102"/>
      <c r="BL14" s="102"/>
      <c r="BM14" s="102"/>
      <c r="BN14" s="102"/>
      <c r="BO14" s="102"/>
      <c r="BP14" s="102"/>
      <c r="BQ14" s="102"/>
      <c r="BR14" s="102"/>
      <c r="BS14" s="102"/>
      <c r="BT14" s="102"/>
      <c r="BU14" s="102"/>
      <c r="BV14" s="102"/>
      <c r="BW14" s="102"/>
      <c r="BX14" s="103"/>
      <c r="BY14" s="103"/>
      <c r="BZ14" s="103"/>
      <c r="CA14" s="103"/>
      <c r="CB14" s="103"/>
      <c r="CC14" s="103"/>
      <c r="CD14" s="103"/>
      <c r="CE14" s="102"/>
      <c r="CF14" s="102"/>
      <c r="CG14" s="102"/>
      <c r="CH14" s="102"/>
      <c r="CI14" s="102"/>
      <c r="CJ14" s="102"/>
      <c r="CK14" s="103"/>
      <c r="CL14" s="103"/>
      <c r="CM14" s="103"/>
      <c r="CN14" s="103"/>
      <c r="CO14" s="103"/>
      <c r="CP14" s="103"/>
      <c r="CQ14" s="103"/>
    </row>
    <row r="15" spans="1:95" x14ac:dyDescent="0.35">
      <c r="B15" s="59"/>
      <c r="C15" s="59"/>
      <c r="D15" s="104"/>
      <c r="E15" s="105"/>
      <c r="F15" s="105"/>
      <c r="G15" s="105"/>
      <c r="H15" s="68"/>
      <c r="I15" s="106"/>
      <c r="J15" s="107"/>
      <c r="K15" s="108"/>
      <c r="L15" s="108"/>
      <c r="M15" s="108"/>
      <c r="N15" s="108"/>
      <c r="O15" s="108"/>
      <c r="P15" s="108"/>
      <c r="Q15" s="108"/>
      <c r="R15" s="108"/>
      <c r="S15" s="108"/>
      <c r="T15" s="108"/>
      <c r="U15" s="108"/>
      <c r="V15" s="108"/>
      <c r="W15" s="108"/>
      <c r="X15" s="108"/>
      <c r="Y15" s="108"/>
      <c r="Z15" s="109"/>
      <c r="AA15" s="109"/>
      <c r="AB15" s="109"/>
      <c r="AC15" s="109"/>
      <c r="AD15" s="109"/>
      <c r="AE15" s="109"/>
      <c r="AF15" s="109"/>
      <c r="AG15" s="109"/>
      <c r="AH15" s="109"/>
      <c r="AI15" s="109"/>
      <c r="AJ15" s="109"/>
      <c r="AK15" s="109"/>
      <c r="AL15" s="109"/>
      <c r="AM15" s="109"/>
      <c r="AN15" s="110"/>
      <c r="AO15" s="110"/>
      <c r="AP15" s="111"/>
      <c r="AQ15" s="112"/>
      <c r="AR15" s="112"/>
      <c r="AS15" s="112"/>
      <c r="AT15" s="112"/>
      <c r="AU15" s="112"/>
      <c r="AV15" s="112"/>
      <c r="AW15" s="112"/>
      <c r="AX15" s="112"/>
      <c r="AY15" s="112"/>
      <c r="AZ15" s="112"/>
      <c r="BA15" s="112"/>
      <c r="BB15" s="112"/>
      <c r="BC15" s="112"/>
      <c r="BD15" s="112"/>
      <c r="BE15" s="112"/>
    </row>
    <row r="16" spans="1:95" x14ac:dyDescent="0.35">
      <c r="B16" s="59"/>
      <c r="C16" s="59"/>
      <c r="D16" s="104"/>
      <c r="E16" s="105"/>
      <c r="F16" s="105"/>
      <c r="G16" s="105"/>
      <c r="H16" s="68"/>
      <c r="I16" s="106"/>
      <c r="J16" s="107"/>
      <c r="K16" s="108"/>
      <c r="L16" s="108"/>
      <c r="M16" s="108"/>
      <c r="N16" s="108"/>
      <c r="O16" s="108"/>
      <c r="P16" s="108"/>
      <c r="Q16" s="108"/>
      <c r="R16" s="108"/>
      <c r="S16" s="108"/>
      <c r="T16" s="108"/>
      <c r="U16" s="108"/>
      <c r="V16" s="108"/>
      <c r="W16" s="108"/>
      <c r="X16" s="108"/>
      <c r="Y16" s="108"/>
      <c r="Z16" s="109"/>
      <c r="AA16" s="109"/>
      <c r="AB16" s="109"/>
      <c r="AC16" s="109"/>
      <c r="AD16" s="109"/>
      <c r="AE16" s="109"/>
      <c r="AF16" s="109"/>
      <c r="AG16" s="109"/>
      <c r="AH16" s="109"/>
      <c r="AI16" s="109"/>
      <c r="AJ16" s="109"/>
      <c r="AK16" s="109"/>
      <c r="AL16" s="109"/>
      <c r="AM16" s="109"/>
      <c r="AN16" s="110"/>
      <c r="AO16" s="110"/>
      <c r="AP16" s="111"/>
      <c r="AQ16" s="112"/>
      <c r="AR16" s="112"/>
      <c r="AS16" s="112"/>
      <c r="AT16" s="112"/>
      <c r="AU16" s="112"/>
      <c r="AV16" s="112"/>
      <c r="AW16" s="112"/>
      <c r="AX16" s="112"/>
      <c r="AY16" s="112"/>
      <c r="AZ16" s="112"/>
      <c r="BA16" s="112"/>
      <c r="BB16" s="112"/>
      <c r="BC16" s="112"/>
      <c r="BD16" s="112"/>
      <c r="BE16" s="112"/>
    </row>
    <row r="17" spans="2:57" x14ac:dyDescent="0.35">
      <c r="B17" s="59"/>
      <c r="C17" s="59"/>
      <c r="D17" s="104"/>
      <c r="E17" s="105"/>
      <c r="F17" s="105"/>
      <c r="G17" s="105"/>
      <c r="H17" s="68"/>
      <c r="I17" s="106"/>
      <c r="J17" s="107"/>
      <c r="K17" s="108"/>
      <c r="L17" s="108"/>
      <c r="M17" s="108"/>
      <c r="N17" s="108"/>
      <c r="O17" s="108"/>
      <c r="P17" s="108"/>
      <c r="Q17" s="108"/>
      <c r="R17" s="108"/>
      <c r="S17" s="108"/>
      <c r="T17" s="108"/>
      <c r="U17" s="108"/>
      <c r="V17" s="108"/>
      <c r="W17" s="108"/>
      <c r="X17" s="108"/>
      <c r="Y17" s="108"/>
      <c r="Z17" s="109"/>
      <c r="AA17" s="109"/>
      <c r="AB17" s="109"/>
      <c r="AC17" s="109"/>
      <c r="AD17" s="109"/>
      <c r="AE17" s="109"/>
      <c r="AF17" s="109"/>
      <c r="AG17" s="109"/>
      <c r="AH17" s="109"/>
      <c r="AI17" s="109"/>
      <c r="AJ17" s="109"/>
      <c r="AK17" s="109"/>
      <c r="AL17" s="109"/>
      <c r="AM17" s="109"/>
      <c r="AN17" s="110"/>
      <c r="AO17" s="110"/>
      <c r="AP17" s="111"/>
      <c r="AQ17" s="112"/>
      <c r="AR17" s="112"/>
      <c r="AS17" s="112"/>
      <c r="AT17" s="112"/>
      <c r="AU17" s="112"/>
      <c r="AV17" s="112"/>
      <c r="AW17" s="112"/>
      <c r="AX17" s="112"/>
      <c r="AY17" s="112"/>
      <c r="AZ17" s="112"/>
      <c r="BA17" s="112"/>
      <c r="BB17" s="112"/>
      <c r="BC17" s="112"/>
      <c r="BD17" s="112"/>
      <c r="BE17" s="112"/>
    </row>
    <row r="18" spans="2:57" x14ac:dyDescent="0.35">
      <c r="B18" s="59"/>
      <c r="C18" s="59"/>
      <c r="D18" s="104"/>
      <c r="E18" s="105"/>
      <c r="F18" s="105"/>
      <c r="G18" s="105"/>
      <c r="H18" s="68"/>
      <c r="I18" s="106"/>
      <c r="J18" s="107"/>
      <c r="K18" s="108"/>
      <c r="L18" s="108"/>
      <c r="M18" s="108"/>
      <c r="N18" s="108"/>
      <c r="O18" s="108"/>
      <c r="P18" s="108"/>
      <c r="Q18" s="108"/>
      <c r="R18" s="108"/>
      <c r="S18" s="108"/>
      <c r="T18" s="108"/>
      <c r="U18" s="108"/>
      <c r="V18" s="108"/>
      <c r="W18" s="108"/>
      <c r="X18" s="108"/>
      <c r="Y18" s="108"/>
      <c r="Z18" s="109"/>
      <c r="AA18" s="109"/>
      <c r="AB18" s="109"/>
      <c r="AC18" s="109"/>
      <c r="AD18" s="109"/>
      <c r="AE18" s="109"/>
      <c r="AF18" s="109"/>
      <c r="AG18" s="109"/>
      <c r="AH18" s="109"/>
      <c r="AI18" s="109"/>
      <c r="AJ18" s="109"/>
      <c r="AK18" s="109"/>
      <c r="AL18" s="109"/>
      <c r="AM18" s="109"/>
      <c r="AN18" s="110"/>
      <c r="AO18" s="110"/>
      <c r="AP18" s="111"/>
      <c r="AQ18" s="112"/>
      <c r="AR18" s="112"/>
      <c r="AS18" s="112"/>
      <c r="AT18" s="112"/>
      <c r="AU18" s="112"/>
      <c r="AV18" s="112"/>
      <c r="AW18" s="112"/>
      <c r="AX18" s="112"/>
      <c r="AY18" s="112"/>
      <c r="AZ18" s="112"/>
      <c r="BA18" s="112"/>
      <c r="BB18" s="112"/>
      <c r="BC18" s="112"/>
      <c r="BD18" s="112"/>
      <c r="BE18" s="112"/>
    </row>
    <row r="19" spans="2:57" x14ac:dyDescent="0.35">
      <c r="B19" s="59"/>
      <c r="C19" s="59"/>
      <c r="D19" s="104"/>
      <c r="E19" s="105"/>
      <c r="F19" s="105"/>
      <c r="G19" s="105"/>
      <c r="H19" s="68"/>
      <c r="I19" s="106"/>
      <c r="J19" s="107"/>
      <c r="K19" s="108"/>
      <c r="L19" s="108"/>
      <c r="M19" s="108"/>
      <c r="N19" s="108"/>
      <c r="O19" s="108"/>
      <c r="P19" s="108"/>
      <c r="Q19" s="108"/>
      <c r="R19" s="108"/>
      <c r="S19" s="108"/>
      <c r="T19" s="108"/>
      <c r="U19" s="108"/>
      <c r="V19" s="108"/>
      <c r="W19" s="108"/>
      <c r="X19" s="108"/>
      <c r="Y19" s="108"/>
      <c r="Z19" s="109"/>
      <c r="AA19" s="109"/>
      <c r="AB19" s="109"/>
      <c r="AC19" s="109"/>
      <c r="AD19" s="109"/>
      <c r="AE19" s="109"/>
      <c r="AF19" s="109"/>
      <c r="AG19" s="109"/>
      <c r="AH19" s="109"/>
      <c r="AI19" s="109"/>
      <c r="AJ19" s="109"/>
      <c r="AK19" s="109"/>
      <c r="AL19" s="109"/>
      <c r="AM19" s="109"/>
      <c r="AN19" s="110"/>
      <c r="AO19" s="110"/>
      <c r="AP19" s="111"/>
      <c r="AQ19" s="112"/>
      <c r="AR19" s="112"/>
      <c r="AS19" s="112"/>
      <c r="AT19" s="112"/>
      <c r="AU19" s="112"/>
      <c r="AV19" s="112"/>
      <c r="AW19" s="112"/>
      <c r="AX19" s="112"/>
      <c r="AY19" s="112"/>
      <c r="AZ19" s="112"/>
      <c r="BA19" s="112"/>
      <c r="BB19" s="112"/>
      <c r="BC19" s="112"/>
      <c r="BD19" s="112"/>
      <c r="BE19" s="112"/>
    </row>
    <row r="20" spans="2:57" x14ac:dyDescent="0.35">
      <c r="B20" s="59"/>
      <c r="C20" s="59"/>
      <c r="D20" s="104"/>
      <c r="E20" s="105"/>
      <c r="F20" s="105"/>
      <c r="G20" s="105"/>
      <c r="H20" s="68"/>
      <c r="I20" s="106"/>
      <c r="J20" s="107"/>
      <c r="K20" s="108"/>
      <c r="L20" s="108"/>
      <c r="M20" s="108"/>
      <c r="N20" s="108"/>
      <c r="O20" s="108"/>
      <c r="P20" s="108"/>
      <c r="Q20" s="108"/>
      <c r="R20" s="108"/>
      <c r="S20" s="108"/>
      <c r="T20" s="108"/>
      <c r="U20" s="108"/>
      <c r="V20" s="108"/>
      <c r="W20" s="108"/>
      <c r="X20" s="108"/>
      <c r="Y20" s="108"/>
      <c r="Z20" s="109"/>
      <c r="AA20" s="109"/>
      <c r="AB20" s="109"/>
      <c r="AC20" s="109"/>
      <c r="AD20" s="109"/>
      <c r="AE20" s="109"/>
      <c r="AF20" s="109"/>
      <c r="AG20" s="109"/>
      <c r="AH20" s="109"/>
      <c r="AI20" s="109"/>
      <c r="AJ20" s="109"/>
      <c r="AK20" s="109"/>
      <c r="AL20" s="109"/>
      <c r="AM20" s="109"/>
      <c r="AN20" s="110"/>
      <c r="AO20" s="110"/>
      <c r="AP20" s="111"/>
      <c r="AQ20" s="112"/>
      <c r="AR20" s="112"/>
      <c r="AS20" s="112"/>
      <c r="AT20" s="112"/>
      <c r="AU20" s="112"/>
      <c r="AV20" s="112"/>
      <c r="AW20" s="112"/>
      <c r="AX20" s="112"/>
      <c r="AY20" s="112"/>
      <c r="AZ20" s="112"/>
      <c r="BA20" s="112"/>
      <c r="BB20" s="112"/>
      <c r="BC20" s="112"/>
      <c r="BD20" s="112"/>
      <c r="BE20" s="112"/>
    </row>
    <row r="21" spans="2:57" x14ac:dyDescent="0.35">
      <c r="B21" s="59"/>
      <c r="C21" s="59"/>
      <c r="D21" s="104"/>
      <c r="E21" s="105"/>
      <c r="F21" s="105"/>
      <c r="G21" s="105"/>
      <c r="H21" s="68"/>
      <c r="I21" s="106"/>
      <c r="J21" s="107"/>
      <c r="K21" s="108"/>
      <c r="L21" s="108"/>
      <c r="M21" s="108"/>
      <c r="N21" s="108"/>
      <c r="O21" s="108"/>
      <c r="P21" s="108"/>
      <c r="Q21" s="108"/>
      <c r="R21" s="108"/>
      <c r="S21" s="108"/>
      <c r="T21" s="108"/>
      <c r="U21" s="108"/>
      <c r="V21" s="108"/>
      <c r="W21" s="108"/>
      <c r="X21" s="108"/>
      <c r="Y21" s="108"/>
      <c r="Z21" s="109"/>
      <c r="AA21" s="109"/>
      <c r="AB21" s="109"/>
      <c r="AC21" s="109"/>
      <c r="AD21" s="109"/>
      <c r="AE21" s="109"/>
      <c r="AF21" s="109"/>
      <c r="AG21" s="109"/>
      <c r="AH21" s="109"/>
      <c r="AI21" s="109"/>
      <c r="AJ21" s="109"/>
      <c r="AK21" s="109"/>
      <c r="AL21" s="109"/>
      <c r="AM21" s="109"/>
      <c r="AN21" s="110"/>
      <c r="AO21" s="110"/>
      <c r="AP21" s="111"/>
      <c r="AQ21" s="112"/>
      <c r="AR21" s="112"/>
      <c r="AS21" s="112"/>
      <c r="AT21" s="112"/>
      <c r="AU21" s="112"/>
      <c r="AV21" s="112"/>
      <c r="AW21" s="112"/>
      <c r="AX21" s="112"/>
      <c r="AY21" s="112"/>
      <c r="AZ21" s="112"/>
      <c r="BA21" s="112"/>
      <c r="BB21" s="112"/>
      <c r="BC21" s="112"/>
      <c r="BD21" s="112"/>
      <c r="BE21" s="112"/>
    </row>
    <row r="22" spans="2:57" x14ac:dyDescent="0.35">
      <c r="B22" s="59"/>
      <c r="C22" s="59"/>
      <c r="D22" s="104"/>
      <c r="E22" s="105"/>
      <c r="F22" s="105"/>
      <c r="G22" s="105"/>
      <c r="H22" s="68"/>
      <c r="I22" s="106"/>
      <c r="J22" s="107"/>
      <c r="K22" s="108"/>
      <c r="L22" s="108"/>
      <c r="M22" s="108"/>
      <c r="N22" s="108"/>
      <c r="O22" s="108"/>
      <c r="P22" s="108"/>
      <c r="Q22" s="108"/>
      <c r="R22" s="108"/>
      <c r="S22" s="108"/>
      <c r="T22" s="108"/>
      <c r="U22" s="108"/>
      <c r="V22" s="108"/>
      <c r="W22" s="108"/>
      <c r="X22" s="108"/>
      <c r="Y22" s="108"/>
      <c r="Z22" s="109"/>
      <c r="AA22" s="109"/>
      <c r="AB22" s="109"/>
      <c r="AC22" s="109"/>
      <c r="AD22" s="109"/>
      <c r="AE22" s="109"/>
      <c r="AF22" s="109"/>
      <c r="AG22" s="109"/>
      <c r="AH22" s="109"/>
      <c r="AI22" s="109"/>
      <c r="AJ22" s="109"/>
      <c r="AK22" s="109"/>
      <c r="AL22" s="109"/>
      <c r="AM22" s="109"/>
      <c r="AN22" s="110"/>
      <c r="AO22" s="110"/>
      <c r="AP22" s="111"/>
      <c r="AQ22" s="112"/>
      <c r="AR22" s="112"/>
      <c r="AS22" s="112"/>
      <c r="AT22" s="112"/>
      <c r="AU22" s="112"/>
      <c r="AV22" s="112"/>
      <c r="AW22" s="112"/>
      <c r="AX22" s="112"/>
      <c r="AY22" s="112"/>
      <c r="AZ22" s="112"/>
      <c r="BA22" s="112"/>
      <c r="BB22" s="112"/>
      <c r="BC22" s="112"/>
      <c r="BD22" s="112"/>
      <c r="BE22" s="112"/>
    </row>
    <row r="23" spans="2:57" x14ac:dyDescent="0.35">
      <c r="B23" s="59"/>
      <c r="C23" s="59"/>
      <c r="D23" s="104"/>
      <c r="E23" s="105"/>
      <c r="F23" s="105"/>
      <c r="G23" s="105"/>
      <c r="H23" s="68"/>
      <c r="I23" s="106"/>
      <c r="J23" s="107"/>
      <c r="K23" s="108"/>
      <c r="L23" s="108"/>
      <c r="M23" s="108"/>
      <c r="N23" s="108"/>
      <c r="O23" s="108"/>
      <c r="P23" s="108"/>
      <c r="Q23" s="108"/>
      <c r="R23" s="108"/>
      <c r="S23" s="108"/>
      <c r="T23" s="108"/>
      <c r="U23" s="108"/>
      <c r="V23" s="108"/>
      <c r="W23" s="108"/>
      <c r="X23" s="108"/>
      <c r="Y23" s="108"/>
      <c r="Z23" s="109"/>
      <c r="AA23" s="109"/>
      <c r="AB23" s="109"/>
      <c r="AC23" s="109"/>
      <c r="AD23" s="109"/>
      <c r="AE23" s="109"/>
      <c r="AF23" s="109"/>
      <c r="AG23" s="109"/>
      <c r="AH23" s="109"/>
      <c r="AI23" s="109"/>
      <c r="AJ23" s="109"/>
      <c r="AK23" s="109"/>
      <c r="AL23" s="109"/>
      <c r="AM23" s="109"/>
      <c r="AN23" s="110"/>
      <c r="AO23" s="110"/>
      <c r="AP23" s="111"/>
      <c r="AQ23" s="112"/>
      <c r="AR23" s="112"/>
      <c r="AS23" s="112"/>
      <c r="AT23" s="112"/>
      <c r="AU23" s="112"/>
      <c r="AV23" s="112"/>
      <c r="AW23" s="112"/>
      <c r="AX23" s="112"/>
      <c r="AY23" s="112"/>
      <c r="AZ23" s="112"/>
      <c r="BA23" s="112"/>
      <c r="BB23" s="112"/>
      <c r="BC23" s="112"/>
      <c r="BD23" s="112"/>
      <c r="BE23" s="112"/>
    </row>
    <row r="24" spans="2:57" x14ac:dyDescent="0.35">
      <c r="B24" s="59"/>
      <c r="C24" s="59"/>
      <c r="D24" s="104"/>
      <c r="E24" s="105"/>
      <c r="F24" s="105"/>
      <c r="G24" s="105"/>
      <c r="H24" s="68"/>
      <c r="I24" s="106"/>
      <c r="J24" s="107"/>
      <c r="K24" s="108"/>
      <c r="L24" s="108"/>
      <c r="M24" s="108"/>
      <c r="N24" s="108"/>
      <c r="O24" s="108"/>
      <c r="P24" s="108"/>
      <c r="Q24" s="108"/>
      <c r="R24" s="108"/>
      <c r="S24" s="108"/>
      <c r="T24" s="108"/>
      <c r="U24" s="108"/>
      <c r="V24" s="108"/>
      <c r="W24" s="108"/>
      <c r="X24" s="108"/>
      <c r="Y24" s="108"/>
      <c r="Z24" s="109"/>
      <c r="AA24" s="109"/>
      <c r="AB24" s="109"/>
      <c r="AC24" s="109"/>
      <c r="AD24" s="109"/>
      <c r="AE24" s="109"/>
      <c r="AF24" s="109"/>
      <c r="AG24" s="109"/>
      <c r="AH24" s="109"/>
      <c r="AI24" s="109"/>
      <c r="AJ24" s="109"/>
      <c r="AK24" s="109"/>
      <c r="AL24" s="109"/>
      <c r="AM24" s="109"/>
      <c r="AN24" s="110"/>
      <c r="AO24" s="110"/>
      <c r="AP24" s="111"/>
      <c r="AQ24" s="112"/>
      <c r="AR24" s="112"/>
      <c r="AS24" s="112"/>
      <c r="AT24" s="112"/>
      <c r="AU24" s="112"/>
      <c r="AV24" s="112"/>
      <c r="AW24" s="112"/>
      <c r="AX24" s="112"/>
      <c r="AY24" s="112"/>
      <c r="AZ24" s="112"/>
      <c r="BA24" s="112"/>
      <c r="BB24" s="112"/>
      <c r="BC24" s="112"/>
      <c r="BD24" s="112"/>
      <c r="BE24" s="112"/>
    </row>
    <row r="25" spans="2:57" x14ac:dyDescent="0.35">
      <c r="B25" s="59"/>
      <c r="C25" s="59"/>
      <c r="D25" s="104"/>
      <c r="E25" s="105"/>
      <c r="F25" s="105"/>
      <c r="G25" s="105"/>
      <c r="H25" s="68"/>
      <c r="I25" s="106"/>
      <c r="J25" s="107"/>
      <c r="K25" s="108"/>
      <c r="L25" s="108"/>
      <c r="M25" s="108"/>
      <c r="N25" s="108"/>
      <c r="O25" s="108"/>
      <c r="P25" s="108"/>
      <c r="Q25" s="108"/>
      <c r="R25" s="108"/>
      <c r="S25" s="108"/>
      <c r="T25" s="108"/>
      <c r="U25" s="108"/>
      <c r="V25" s="108"/>
      <c r="W25" s="108"/>
      <c r="X25" s="108"/>
      <c r="Y25" s="108"/>
      <c r="Z25" s="109"/>
      <c r="AA25" s="109"/>
      <c r="AB25" s="109"/>
      <c r="AC25" s="109"/>
      <c r="AD25" s="109"/>
      <c r="AE25" s="109"/>
      <c r="AF25" s="109"/>
      <c r="AG25" s="109"/>
      <c r="AH25" s="109"/>
      <c r="AI25" s="109"/>
      <c r="AJ25" s="109"/>
      <c r="AK25" s="109"/>
      <c r="AL25" s="109"/>
      <c r="AM25" s="109"/>
      <c r="AN25" s="110"/>
      <c r="AO25" s="110"/>
      <c r="AP25" s="111"/>
      <c r="AQ25" s="112"/>
      <c r="AR25" s="112"/>
      <c r="AS25" s="112"/>
      <c r="AT25" s="112"/>
      <c r="AU25" s="112"/>
      <c r="AV25" s="112"/>
      <c r="AW25" s="112"/>
      <c r="AX25" s="112"/>
      <c r="AY25" s="112"/>
      <c r="AZ25" s="112"/>
      <c r="BA25" s="112"/>
      <c r="BB25" s="112"/>
      <c r="BC25" s="112"/>
      <c r="BD25" s="112"/>
      <c r="BE25" s="112"/>
    </row>
    <row r="26" spans="2:57" x14ac:dyDescent="0.35">
      <c r="B26" s="59"/>
      <c r="C26" s="59"/>
      <c r="D26" s="104"/>
      <c r="E26" s="105"/>
      <c r="F26" s="105"/>
      <c r="G26" s="105"/>
      <c r="H26" s="68"/>
      <c r="I26" s="106"/>
      <c r="J26" s="107"/>
      <c r="K26" s="108"/>
      <c r="L26" s="108"/>
      <c r="M26" s="108"/>
      <c r="N26" s="108"/>
      <c r="O26" s="108"/>
      <c r="P26" s="108"/>
      <c r="Q26" s="108"/>
      <c r="R26" s="108"/>
      <c r="S26" s="108"/>
      <c r="T26" s="108"/>
      <c r="U26" s="108"/>
      <c r="V26" s="108"/>
      <c r="W26" s="108"/>
      <c r="X26" s="108"/>
      <c r="Y26" s="108"/>
      <c r="Z26" s="109"/>
      <c r="AA26" s="109"/>
      <c r="AB26" s="109"/>
      <c r="AC26" s="109"/>
      <c r="AD26" s="109"/>
      <c r="AE26" s="109"/>
      <c r="AF26" s="109"/>
      <c r="AG26" s="109"/>
      <c r="AH26" s="109"/>
      <c r="AI26" s="109"/>
      <c r="AJ26" s="109"/>
      <c r="AK26" s="109"/>
      <c r="AL26" s="109"/>
      <c r="AM26" s="109"/>
      <c r="AN26" s="110"/>
      <c r="AO26" s="110"/>
      <c r="AP26" s="111"/>
      <c r="AQ26" s="112"/>
      <c r="AR26" s="112"/>
      <c r="AS26" s="112"/>
      <c r="AT26" s="112"/>
      <c r="AU26" s="112"/>
      <c r="AV26" s="112"/>
      <c r="AW26" s="112"/>
      <c r="AX26" s="112"/>
      <c r="AY26" s="112"/>
      <c r="AZ26" s="112"/>
      <c r="BA26" s="112"/>
      <c r="BB26" s="112"/>
      <c r="BC26" s="112"/>
      <c r="BD26" s="112"/>
      <c r="BE26" s="112"/>
    </row>
    <row r="27" spans="2:57" x14ac:dyDescent="0.35">
      <c r="B27" s="59"/>
      <c r="C27" s="59"/>
      <c r="D27" s="104"/>
      <c r="E27" s="105"/>
      <c r="F27" s="105"/>
      <c r="G27" s="105"/>
      <c r="H27" s="68"/>
      <c r="I27" s="106"/>
      <c r="J27" s="107"/>
      <c r="K27" s="108"/>
      <c r="L27" s="108"/>
      <c r="M27" s="108"/>
      <c r="N27" s="108"/>
      <c r="O27" s="108"/>
      <c r="P27" s="108"/>
      <c r="Q27" s="108"/>
      <c r="R27" s="108"/>
      <c r="S27" s="108"/>
      <c r="T27" s="108"/>
      <c r="U27" s="108"/>
      <c r="V27" s="108"/>
      <c r="W27" s="108"/>
      <c r="X27" s="108"/>
      <c r="Y27" s="108"/>
      <c r="Z27" s="109"/>
      <c r="AA27" s="109"/>
      <c r="AB27" s="109"/>
      <c r="AC27" s="109"/>
      <c r="AD27" s="109"/>
      <c r="AE27" s="109"/>
      <c r="AF27" s="109"/>
      <c r="AG27" s="109"/>
      <c r="AH27" s="109"/>
      <c r="AI27" s="109"/>
      <c r="AJ27" s="109"/>
      <c r="AK27" s="109"/>
      <c r="AL27" s="109"/>
      <c r="AM27" s="109"/>
      <c r="AN27" s="110"/>
      <c r="AO27" s="110"/>
      <c r="AP27" s="111"/>
      <c r="AQ27" s="112"/>
      <c r="AR27" s="112"/>
      <c r="AS27" s="112"/>
      <c r="AT27" s="112"/>
      <c r="AU27" s="112"/>
      <c r="AV27" s="112"/>
      <c r="AW27" s="112"/>
      <c r="AX27" s="112"/>
      <c r="AY27" s="112"/>
      <c r="AZ27" s="112"/>
      <c r="BA27" s="112"/>
      <c r="BB27" s="112"/>
      <c r="BC27" s="112"/>
      <c r="BD27" s="112"/>
      <c r="BE27" s="112"/>
    </row>
    <row r="28" spans="2:57" x14ac:dyDescent="0.35">
      <c r="B28" s="59"/>
      <c r="C28" s="59"/>
      <c r="D28" s="104"/>
      <c r="E28" s="105"/>
      <c r="F28" s="105"/>
      <c r="G28" s="105"/>
      <c r="H28" s="68"/>
      <c r="I28" s="106"/>
      <c r="J28" s="107"/>
      <c r="K28" s="108"/>
      <c r="L28" s="108"/>
      <c r="M28" s="108"/>
      <c r="N28" s="108"/>
      <c r="O28" s="108"/>
      <c r="P28" s="108"/>
      <c r="Q28" s="108"/>
      <c r="R28" s="108"/>
      <c r="S28" s="108"/>
      <c r="T28" s="108"/>
      <c r="U28" s="108"/>
      <c r="V28" s="108"/>
      <c r="W28" s="108"/>
      <c r="X28" s="108"/>
      <c r="Y28" s="108"/>
      <c r="Z28" s="109"/>
      <c r="AA28" s="109"/>
      <c r="AB28" s="109"/>
      <c r="AC28" s="109"/>
      <c r="AD28" s="109"/>
      <c r="AE28" s="109"/>
      <c r="AF28" s="109"/>
      <c r="AG28" s="109"/>
      <c r="AH28" s="109"/>
      <c r="AI28" s="109"/>
      <c r="AJ28" s="109"/>
      <c r="AK28" s="109"/>
      <c r="AL28" s="109"/>
      <c r="AM28" s="109"/>
      <c r="AN28" s="110"/>
      <c r="AO28" s="110"/>
      <c r="AP28" s="111"/>
      <c r="AQ28" s="112"/>
      <c r="AR28" s="112"/>
      <c r="AS28" s="112"/>
      <c r="AT28" s="112"/>
      <c r="AU28" s="112"/>
      <c r="AV28" s="112"/>
      <c r="AW28" s="112"/>
      <c r="AX28" s="112"/>
      <c r="AY28" s="112"/>
      <c r="AZ28" s="112"/>
      <c r="BA28" s="112"/>
      <c r="BB28" s="112"/>
      <c r="BC28" s="112"/>
      <c r="BD28" s="112"/>
      <c r="BE28" s="112"/>
    </row>
    <row r="29" spans="2:57" x14ac:dyDescent="0.35">
      <c r="B29" s="59"/>
      <c r="C29" s="59"/>
      <c r="D29" s="104"/>
      <c r="E29" s="105"/>
      <c r="F29" s="105"/>
      <c r="G29" s="105"/>
      <c r="H29" s="68"/>
      <c r="I29" s="106"/>
      <c r="J29" s="107"/>
      <c r="K29" s="108"/>
      <c r="L29" s="108"/>
      <c r="M29" s="108"/>
      <c r="N29" s="108"/>
      <c r="O29" s="108"/>
      <c r="P29" s="108"/>
      <c r="Q29" s="108"/>
      <c r="R29" s="108"/>
      <c r="S29" s="108"/>
      <c r="T29" s="108"/>
      <c r="U29" s="108"/>
      <c r="V29" s="108"/>
      <c r="W29" s="108"/>
      <c r="X29" s="108"/>
      <c r="Y29" s="108"/>
      <c r="Z29" s="109"/>
      <c r="AA29" s="109"/>
      <c r="AB29" s="109"/>
      <c r="AC29" s="109"/>
      <c r="AD29" s="109"/>
      <c r="AE29" s="109"/>
      <c r="AF29" s="109"/>
      <c r="AG29" s="109"/>
      <c r="AH29" s="109"/>
      <c r="AI29" s="109"/>
      <c r="AJ29" s="109"/>
      <c r="AK29" s="109"/>
      <c r="AL29" s="109"/>
      <c r="AM29" s="109"/>
      <c r="AN29" s="110"/>
      <c r="AO29" s="110"/>
      <c r="AP29" s="111"/>
      <c r="AQ29" s="112"/>
      <c r="AR29" s="112"/>
      <c r="AS29" s="112"/>
      <c r="AT29" s="112"/>
      <c r="AU29" s="112"/>
      <c r="AV29" s="112"/>
      <c r="AW29" s="112"/>
      <c r="AX29" s="112"/>
      <c r="AY29" s="112"/>
      <c r="AZ29" s="112"/>
      <c r="BA29" s="112"/>
      <c r="BB29" s="112"/>
      <c r="BC29" s="112"/>
      <c r="BD29" s="112"/>
      <c r="BE29" s="112"/>
    </row>
    <row r="30" spans="2:57" x14ac:dyDescent="0.35">
      <c r="B30" s="59"/>
      <c r="C30" s="59"/>
      <c r="D30" s="104"/>
      <c r="E30" s="105"/>
      <c r="F30" s="105"/>
      <c r="G30" s="105"/>
      <c r="H30" s="68"/>
      <c r="I30" s="106"/>
      <c r="J30" s="107"/>
      <c r="K30" s="108"/>
      <c r="L30" s="108"/>
      <c r="M30" s="108"/>
      <c r="N30" s="108"/>
      <c r="O30" s="108"/>
      <c r="P30" s="108"/>
      <c r="Q30" s="108"/>
      <c r="R30" s="108"/>
      <c r="S30" s="108"/>
      <c r="T30" s="108"/>
      <c r="U30" s="108"/>
      <c r="V30" s="108"/>
      <c r="W30" s="108"/>
      <c r="X30" s="108"/>
      <c r="Y30" s="108"/>
      <c r="Z30" s="109"/>
      <c r="AA30" s="109"/>
      <c r="AB30" s="109"/>
      <c r="AC30" s="109"/>
      <c r="AD30" s="109"/>
      <c r="AE30" s="109"/>
      <c r="AF30" s="109"/>
      <c r="AG30" s="109"/>
      <c r="AH30" s="109"/>
      <c r="AI30" s="109"/>
      <c r="AJ30" s="109"/>
      <c r="AK30" s="109"/>
      <c r="AL30" s="109"/>
      <c r="AM30" s="109"/>
      <c r="AN30" s="110"/>
      <c r="AO30" s="110"/>
      <c r="AP30" s="111"/>
      <c r="AQ30" s="112"/>
      <c r="AR30" s="112"/>
      <c r="AS30" s="112"/>
      <c r="AT30" s="112"/>
      <c r="AU30" s="112"/>
      <c r="AV30" s="112"/>
      <c r="AW30" s="112"/>
      <c r="AX30" s="112"/>
      <c r="AY30" s="112"/>
      <c r="AZ30" s="112"/>
      <c r="BA30" s="112"/>
      <c r="BB30" s="112"/>
      <c r="BC30" s="112"/>
      <c r="BD30" s="112"/>
      <c r="BE30" s="112"/>
    </row>
    <row r="31" spans="2:57" x14ac:dyDescent="0.35">
      <c r="B31" s="59"/>
      <c r="C31" s="59"/>
      <c r="D31" s="104"/>
      <c r="E31" s="105"/>
      <c r="F31" s="105"/>
      <c r="G31" s="105"/>
      <c r="H31" s="68"/>
      <c r="I31" s="106"/>
      <c r="J31" s="107"/>
      <c r="K31" s="108"/>
      <c r="L31" s="108"/>
      <c r="M31" s="108"/>
      <c r="N31" s="108"/>
      <c r="O31" s="108"/>
      <c r="P31" s="108"/>
      <c r="Q31" s="108"/>
      <c r="R31" s="108"/>
      <c r="S31" s="108"/>
      <c r="T31" s="108"/>
      <c r="U31" s="108"/>
      <c r="V31" s="108"/>
      <c r="W31" s="108"/>
      <c r="X31" s="108"/>
      <c r="Y31" s="108"/>
      <c r="Z31" s="109"/>
      <c r="AA31" s="109"/>
      <c r="AB31" s="109"/>
      <c r="AC31" s="109"/>
      <c r="AD31" s="109"/>
      <c r="AE31" s="109"/>
      <c r="AF31" s="109"/>
      <c r="AG31" s="109"/>
      <c r="AH31" s="109"/>
      <c r="AI31" s="109"/>
      <c r="AJ31" s="109"/>
      <c r="AK31" s="109"/>
      <c r="AL31" s="109"/>
      <c r="AM31" s="109"/>
      <c r="AN31" s="110"/>
      <c r="AO31" s="110"/>
      <c r="AP31" s="111"/>
      <c r="AQ31" s="112"/>
      <c r="AR31" s="112"/>
      <c r="AS31" s="112"/>
      <c r="AT31" s="112"/>
      <c r="AU31" s="112"/>
      <c r="AV31" s="112"/>
      <c r="AW31" s="112"/>
      <c r="AX31" s="112"/>
      <c r="AY31" s="112"/>
      <c r="AZ31" s="112"/>
      <c r="BA31" s="112"/>
      <c r="BB31" s="112"/>
      <c r="BC31" s="112"/>
      <c r="BD31" s="112"/>
      <c r="BE31" s="112"/>
    </row>
    <row r="32" spans="2:57" x14ac:dyDescent="0.35">
      <c r="B32" s="59"/>
      <c r="C32" s="59"/>
      <c r="D32" s="104"/>
      <c r="E32" s="105"/>
      <c r="F32" s="105"/>
      <c r="G32" s="105"/>
      <c r="H32" s="68"/>
      <c r="I32" s="106"/>
      <c r="J32" s="107"/>
      <c r="K32" s="108"/>
      <c r="L32" s="108"/>
      <c r="M32" s="108"/>
      <c r="N32" s="108"/>
      <c r="O32" s="108"/>
      <c r="P32" s="108"/>
      <c r="Q32" s="108"/>
      <c r="R32" s="108"/>
      <c r="S32" s="108"/>
      <c r="T32" s="108"/>
      <c r="U32" s="108"/>
      <c r="V32" s="108"/>
      <c r="W32" s="108"/>
      <c r="X32" s="108"/>
      <c r="Y32" s="108"/>
      <c r="Z32" s="109"/>
      <c r="AA32" s="109"/>
      <c r="AB32" s="109"/>
      <c r="AC32" s="109"/>
      <c r="AD32" s="109"/>
      <c r="AE32" s="109"/>
      <c r="AF32" s="109"/>
      <c r="AG32" s="109"/>
      <c r="AH32" s="109"/>
      <c r="AI32" s="109"/>
      <c r="AJ32" s="109"/>
      <c r="AK32" s="109"/>
      <c r="AL32" s="109"/>
      <c r="AM32" s="109"/>
      <c r="AN32" s="110"/>
      <c r="AO32" s="110"/>
      <c r="AP32" s="111"/>
      <c r="AQ32" s="112"/>
      <c r="AR32" s="112"/>
      <c r="AS32" s="112"/>
      <c r="AT32" s="112"/>
      <c r="AU32" s="112"/>
      <c r="AV32" s="112"/>
      <c r="AW32" s="112"/>
      <c r="AX32" s="112"/>
      <c r="AY32" s="112"/>
      <c r="AZ32" s="112"/>
      <c r="BA32" s="112"/>
      <c r="BB32" s="112"/>
      <c r="BC32" s="112"/>
      <c r="BD32" s="112"/>
      <c r="BE32" s="112"/>
    </row>
    <row r="33" spans="2:57" x14ac:dyDescent="0.35">
      <c r="B33" s="59"/>
      <c r="C33" s="59"/>
      <c r="D33" s="104"/>
      <c r="E33" s="105"/>
      <c r="F33" s="105"/>
      <c r="G33" s="105"/>
      <c r="H33" s="68"/>
      <c r="I33" s="106"/>
      <c r="J33" s="107"/>
      <c r="K33" s="108"/>
      <c r="L33" s="108"/>
      <c r="M33" s="108"/>
      <c r="N33" s="108"/>
      <c r="O33" s="108"/>
      <c r="P33" s="108"/>
      <c r="Q33" s="108"/>
      <c r="R33" s="108"/>
      <c r="S33" s="108"/>
      <c r="T33" s="108"/>
      <c r="U33" s="108"/>
      <c r="V33" s="108"/>
      <c r="W33" s="108"/>
      <c r="X33" s="108"/>
      <c r="Y33" s="108"/>
      <c r="Z33" s="109"/>
      <c r="AA33" s="109"/>
      <c r="AB33" s="109"/>
      <c r="AC33" s="109"/>
      <c r="AD33" s="109"/>
      <c r="AE33" s="109"/>
      <c r="AF33" s="109"/>
      <c r="AG33" s="109"/>
      <c r="AH33" s="109"/>
      <c r="AI33" s="109"/>
      <c r="AJ33" s="109"/>
      <c r="AK33" s="109"/>
      <c r="AL33" s="109"/>
      <c r="AM33" s="109"/>
      <c r="AN33" s="110"/>
      <c r="AO33" s="110"/>
      <c r="AP33" s="111"/>
      <c r="AQ33" s="112"/>
      <c r="AR33" s="112"/>
      <c r="AS33" s="112"/>
      <c r="AT33" s="112"/>
      <c r="AU33" s="112"/>
      <c r="AV33" s="112"/>
      <c r="AW33" s="112"/>
      <c r="AX33" s="112"/>
      <c r="AY33" s="112"/>
      <c r="AZ33" s="112"/>
      <c r="BA33" s="112"/>
      <c r="BB33" s="112"/>
      <c r="BC33" s="112"/>
      <c r="BD33" s="112"/>
      <c r="BE33" s="112"/>
    </row>
    <row r="34" spans="2:57" x14ac:dyDescent="0.35">
      <c r="B34" s="59"/>
      <c r="C34" s="59"/>
      <c r="D34" s="104"/>
      <c r="E34" s="105"/>
      <c r="F34" s="105"/>
      <c r="G34" s="105"/>
      <c r="H34" s="68"/>
      <c r="I34" s="106"/>
      <c r="J34" s="107"/>
      <c r="K34" s="108"/>
      <c r="L34" s="108"/>
      <c r="M34" s="108"/>
      <c r="N34" s="108"/>
      <c r="O34" s="108"/>
      <c r="P34" s="108"/>
      <c r="Q34" s="108"/>
      <c r="R34" s="108"/>
      <c r="S34" s="108"/>
      <c r="T34" s="108"/>
      <c r="U34" s="108"/>
      <c r="V34" s="108"/>
      <c r="W34" s="108"/>
      <c r="X34" s="108"/>
      <c r="Y34" s="108"/>
      <c r="Z34" s="109"/>
      <c r="AA34" s="109"/>
      <c r="AB34" s="109"/>
      <c r="AC34" s="109"/>
      <c r="AD34" s="109"/>
      <c r="AE34" s="109"/>
      <c r="AF34" s="109"/>
      <c r="AG34" s="109"/>
      <c r="AH34" s="109"/>
      <c r="AI34" s="109"/>
      <c r="AJ34" s="109"/>
      <c r="AK34" s="109"/>
      <c r="AL34" s="109"/>
      <c r="AM34" s="109"/>
      <c r="AN34" s="110"/>
      <c r="AO34" s="110"/>
      <c r="AP34" s="111"/>
      <c r="AQ34" s="112"/>
      <c r="AR34" s="112"/>
      <c r="AS34" s="112"/>
      <c r="AT34" s="112"/>
      <c r="AU34" s="112"/>
      <c r="AV34" s="112"/>
      <c r="AW34" s="112"/>
      <c r="AX34" s="112"/>
      <c r="AY34" s="112"/>
      <c r="AZ34" s="112"/>
      <c r="BA34" s="112"/>
      <c r="BB34" s="112"/>
      <c r="BC34" s="112"/>
      <c r="BD34" s="112"/>
      <c r="BE34" s="112"/>
    </row>
    <row r="35" spans="2:57" x14ac:dyDescent="0.35">
      <c r="B35" s="59"/>
      <c r="C35" s="59"/>
      <c r="D35" s="104"/>
      <c r="E35" s="105"/>
      <c r="F35" s="105"/>
      <c r="G35" s="105"/>
      <c r="H35" s="68"/>
      <c r="I35" s="106"/>
      <c r="J35" s="107"/>
      <c r="K35" s="108"/>
      <c r="L35" s="108"/>
      <c r="M35" s="108"/>
      <c r="N35" s="108"/>
      <c r="O35" s="108"/>
      <c r="P35" s="108"/>
      <c r="Q35" s="108"/>
      <c r="R35" s="108"/>
      <c r="S35" s="108"/>
      <c r="T35" s="108"/>
      <c r="U35" s="108"/>
      <c r="V35" s="108"/>
      <c r="W35" s="108"/>
      <c r="X35" s="108"/>
      <c r="Y35" s="108"/>
      <c r="Z35" s="109"/>
      <c r="AA35" s="109"/>
      <c r="AB35" s="109"/>
      <c r="AC35" s="109"/>
      <c r="AD35" s="109"/>
      <c r="AE35" s="109"/>
      <c r="AF35" s="109"/>
      <c r="AG35" s="109"/>
      <c r="AH35" s="109"/>
      <c r="AI35" s="109"/>
      <c r="AJ35" s="109"/>
      <c r="AK35" s="109"/>
      <c r="AL35" s="109"/>
      <c r="AM35" s="109"/>
      <c r="AN35" s="110"/>
      <c r="AO35" s="110"/>
      <c r="AP35" s="111"/>
      <c r="AQ35" s="112"/>
      <c r="AR35" s="112"/>
      <c r="AS35" s="112"/>
      <c r="AT35" s="112"/>
      <c r="AU35" s="112"/>
      <c r="AV35" s="112"/>
      <c r="AW35" s="112"/>
      <c r="AX35" s="112"/>
      <c r="AY35" s="112"/>
      <c r="AZ35" s="112"/>
      <c r="BA35" s="112"/>
      <c r="BB35" s="112"/>
      <c r="BC35" s="112"/>
      <c r="BD35" s="112"/>
      <c r="BE35" s="112"/>
    </row>
    <row r="36" spans="2:57" x14ac:dyDescent="0.35">
      <c r="B36" s="59"/>
      <c r="C36" s="59"/>
      <c r="D36" s="104"/>
      <c r="E36" s="105"/>
      <c r="F36" s="105"/>
      <c r="G36" s="105"/>
      <c r="H36" s="68"/>
      <c r="I36" s="106"/>
      <c r="J36" s="107"/>
      <c r="K36" s="108"/>
      <c r="L36" s="108"/>
      <c r="M36" s="108"/>
      <c r="N36" s="108"/>
      <c r="O36" s="108"/>
      <c r="P36" s="108"/>
      <c r="Q36" s="108"/>
      <c r="R36" s="108"/>
      <c r="S36" s="108"/>
      <c r="T36" s="108"/>
      <c r="U36" s="108"/>
      <c r="V36" s="108"/>
      <c r="W36" s="108"/>
      <c r="X36" s="108"/>
      <c r="Y36" s="108"/>
      <c r="Z36" s="109"/>
      <c r="AA36" s="109"/>
      <c r="AB36" s="109"/>
      <c r="AC36" s="109"/>
      <c r="AD36" s="109"/>
      <c r="AE36" s="109"/>
      <c r="AF36" s="109"/>
      <c r="AG36" s="109"/>
      <c r="AH36" s="109"/>
      <c r="AI36" s="109"/>
      <c r="AJ36" s="109"/>
      <c r="AK36" s="109"/>
      <c r="AL36" s="109"/>
      <c r="AM36" s="109"/>
      <c r="AN36" s="110"/>
      <c r="AO36" s="110"/>
      <c r="AP36" s="111"/>
      <c r="AQ36" s="112"/>
      <c r="AR36" s="112"/>
      <c r="AS36" s="112"/>
      <c r="AT36" s="112"/>
      <c r="AU36" s="112"/>
      <c r="AV36" s="112"/>
      <c r="AW36" s="112"/>
      <c r="AX36" s="112"/>
      <c r="AY36" s="112"/>
      <c r="AZ36" s="112"/>
      <c r="BA36" s="112"/>
      <c r="BB36" s="112"/>
      <c r="BC36" s="112"/>
      <c r="BD36" s="112"/>
      <c r="BE36" s="112"/>
    </row>
    <row r="37" spans="2:57" x14ac:dyDescent="0.35">
      <c r="B37" s="59"/>
      <c r="C37" s="59"/>
      <c r="D37" s="104"/>
      <c r="E37" s="105"/>
      <c r="F37" s="105"/>
      <c r="G37" s="105"/>
      <c r="H37" s="68"/>
      <c r="I37" s="106"/>
      <c r="J37" s="107"/>
      <c r="K37" s="108"/>
      <c r="L37" s="108"/>
      <c r="M37" s="108"/>
      <c r="N37" s="108"/>
      <c r="O37" s="108"/>
      <c r="P37" s="108"/>
      <c r="Q37" s="108"/>
      <c r="R37" s="108"/>
      <c r="S37" s="108"/>
      <c r="T37" s="108"/>
      <c r="U37" s="108"/>
      <c r="V37" s="108"/>
      <c r="W37" s="108"/>
      <c r="X37" s="108"/>
      <c r="Y37" s="108"/>
      <c r="Z37" s="109"/>
      <c r="AA37" s="109"/>
      <c r="AB37" s="109"/>
      <c r="AC37" s="109"/>
      <c r="AD37" s="109"/>
      <c r="AE37" s="109"/>
      <c r="AF37" s="109"/>
      <c r="AG37" s="109"/>
      <c r="AH37" s="109"/>
      <c r="AI37" s="109"/>
      <c r="AJ37" s="109"/>
      <c r="AK37" s="109"/>
      <c r="AL37" s="109"/>
      <c r="AM37" s="109"/>
      <c r="AN37" s="110"/>
      <c r="AO37" s="110"/>
      <c r="AP37" s="111"/>
      <c r="AQ37" s="112"/>
      <c r="AR37" s="112"/>
      <c r="AS37" s="112"/>
      <c r="AT37" s="112"/>
      <c r="AU37" s="112"/>
      <c r="AV37" s="112"/>
      <c r="AW37" s="112"/>
      <c r="AX37" s="112"/>
      <c r="AY37" s="112"/>
      <c r="AZ37" s="112"/>
      <c r="BA37" s="112"/>
      <c r="BB37" s="112"/>
      <c r="BC37" s="112"/>
      <c r="BD37" s="112"/>
      <c r="BE37" s="112"/>
    </row>
    <row r="38" spans="2:57" x14ac:dyDescent="0.35">
      <c r="B38" s="59"/>
      <c r="C38" s="59"/>
      <c r="D38" s="104"/>
      <c r="E38" s="105"/>
      <c r="F38" s="105"/>
      <c r="G38" s="105"/>
      <c r="H38" s="68"/>
      <c r="I38" s="106"/>
      <c r="J38" s="107"/>
      <c r="K38" s="108"/>
      <c r="L38" s="108"/>
      <c r="M38" s="108"/>
      <c r="N38" s="108"/>
      <c r="O38" s="108"/>
      <c r="P38" s="108"/>
      <c r="Q38" s="108"/>
      <c r="R38" s="108"/>
      <c r="S38" s="108"/>
      <c r="T38" s="108"/>
      <c r="U38" s="108"/>
      <c r="V38" s="108"/>
      <c r="W38" s="108"/>
      <c r="X38" s="108"/>
      <c r="Y38" s="108"/>
      <c r="Z38" s="109"/>
      <c r="AA38" s="109"/>
      <c r="AB38" s="109"/>
      <c r="AC38" s="109"/>
      <c r="AD38" s="109"/>
      <c r="AE38" s="109"/>
      <c r="AF38" s="109"/>
      <c r="AG38" s="109"/>
      <c r="AH38" s="109"/>
      <c r="AI38" s="109"/>
      <c r="AJ38" s="109"/>
      <c r="AK38" s="109"/>
      <c r="AL38" s="109"/>
      <c r="AM38" s="109"/>
      <c r="AN38" s="110"/>
      <c r="AO38" s="110"/>
      <c r="AP38" s="111"/>
      <c r="AQ38" s="112"/>
      <c r="AR38" s="112"/>
      <c r="AS38" s="112"/>
      <c r="AT38" s="112"/>
      <c r="AU38" s="112"/>
      <c r="AV38" s="112"/>
      <c r="AW38" s="112"/>
      <c r="AX38" s="112"/>
      <c r="AY38" s="112"/>
      <c r="AZ38" s="112"/>
      <c r="BA38" s="112"/>
      <c r="BB38" s="112"/>
      <c r="BC38" s="112"/>
      <c r="BD38" s="112"/>
      <c r="BE38" s="112"/>
    </row>
    <row r="39" spans="2:57" x14ac:dyDescent="0.35">
      <c r="B39" s="59"/>
      <c r="C39" s="59"/>
      <c r="D39" s="104"/>
      <c r="E39" s="105"/>
      <c r="F39" s="105"/>
      <c r="G39" s="105"/>
      <c r="H39" s="68"/>
      <c r="I39" s="106"/>
      <c r="J39" s="107"/>
      <c r="K39" s="108"/>
      <c r="L39" s="108"/>
      <c r="M39" s="108"/>
      <c r="N39" s="108"/>
      <c r="O39" s="108"/>
      <c r="P39" s="108"/>
      <c r="Q39" s="108"/>
      <c r="R39" s="108"/>
      <c r="S39" s="108"/>
      <c r="T39" s="108"/>
      <c r="U39" s="108"/>
      <c r="V39" s="108"/>
      <c r="W39" s="108"/>
      <c r="X39" s="108"/>
      <c r="Y39" s="108"/>
      <c r="Z39" s="109"/>
      <c r="AA39" s="109"/>
      <c r="AB39" s="109"/>
      <c r="AC39" s="109"/>
      <c r="AD39" s="109"/>
      <c r="AE39" s="109"/>
      <c r="AF39" s="109"/>
      <c r="AG39" s="109"/>
      <c r="AH39" s="109"/>
      <c r="AI39" s="109"/>
      <c r="AJ39" s="109"/>
      <c r="AK39" s="109"/>
      <c r="AL39" s="109"/>
      <c r="AM39" s="109"/>
      <c r="AN39" s="110"/>
      <c r="AO39" s="110"/>
      <c r="AP39" s="111"/>
      <c r="AQ39" s="112"/>
      <c r="AR39" s="112"/>
      <c r="AS39" s="112"/>
      <c r="AT39" s="112"/>
      <c r="AU39" s="112"/>
      <c r="AV39" s="112"/>
      <c r="AW39" s="112"/>
      <c r="AX39" s="112"/>
      <c r="AY39" s="112"/>
      <c r="AZ39" s="112"/>
      <c r="BA39" s="112"/>
      <c r="BB39" s="112"/>
      <c r="BC39" s="112"/>
      <c r="BD39" s="112"/>
      <c r="BE39" s="112"/>
    </row>
    <row r="40" spans="2:57" x14ac:dyDescent="0.35">
      <c r="B40" s="59"/>
      <c r="C40" s="59"/>
      <c r="D40" s="104"/>
      <c r="E40" s="105"/>
      <c r="F40" s="105"/>
      <c r="G40" s="105"/>
      <c r="H40" s="68"/>
      <c r="I40" s="106"/>
      <c r="J40" s="107"/>
      <c r="K40" s="108"/>
      <c r="L40" s="108"/>
      <c r="M40" s="108"/>
      <c r="N40" s="108"/>
      <c r="O40" s="108"/>
      <c r="P40" s="108"/>
      <c r="Q40" s="108"/>
      <c r="R40" s="108"/>
      <c r="S40" s="108"/>
      <c r="T40" s="108"/>
      <c r="U40" s="108"/>
      <c r="V40" s="108"/>
      <c r="W40" s="108"/>
      <c r="X40" s="108"/>
      <c r="Y40" s="108"/>
      <c r="Z40" s="109"/>
      <c r="AA40" s="109"/>
      <c r="AB40" s="109"/>
      <c r="AC40" s="109"/>
      <c r="AD40" s="109"/>
      <c r="AE40" s="109"/>
      <c r="AF40" s="109"/>
      <c r="AG40" s="109"/>
      <c r="AH40" s="109"/>
      <c r="AI40" s="109"/>
      <c r="AJ40" s="109"/>
      <c r="AK40" s="109"/>
      <c r="AL40" s="109"/>
      <c r="AM40" s="109"/>
      <c r="AN40" s="110"/>
      <c r="AO40" s="110"/>
      <c r="AP40" s="111"/>
      <c r="AQ40" s="112"/>
      <c r="AR40" s="112"/>
      <c r="AS40" s="112"/>
      <c r="AT40" s="112"/>
      <c r="AU40" s="112"/>
      <c r="AV40" s="112"/>
      <c r="AW40" s="112"/>
      <c r="AX40" s="112"/>
      <c r="AY40" s="112"/>
      <c r="AZ40" s="112"/>
      <c r="BA40" s="112"/>
      <c r="BB40" s="112"/>
      <c r="BC40" s="112"/>
      <c r="BD40" s="112"/>
      <c r="BE40" s="112"/>
    </row>
    <row r="41" spans="2:57" x14ac:dyDescent="0.35">
      <c r="B41" s="59"/>
      <c r="C41" s="59"/>
      <c r="D41" s="104"/>
      <c r="E41" s="105"/>
      <c r="F41" s="105"/>
      <c r="G41" s="105"/>
      <c r="H41" s="68"/>
      <c r="I41" s="106"/>
      <c r="J41" s="107"/>
      <c r="K41" s="108"/>
      <c r="L41" s="108"/>
      <c r="M41" s="108"/>
      <c r="N41" s="108"/>
      <c r="O41" s="108"/>
      <c r="P41" s="108"/>
      <c r="Q41" s="108"/>
      <c r="R41" s="108"/>
      <c r="S41" s="108"/>
      <c r="T41" s="108"/>
      <c r="U41" s="108"/>
      <c r="V41" s="108"/>
      <c r="W41" s="108"/>
      <c r="X41" s="108"/>
      <c r="Y41" s="108"/>
      <c r="Z41" s="109"/>
      <c r="AA41" s="109"/>
      <c r="AB41" s="109"/>
      <c r="AC41" s="109"/>
      <c r="AD41" s="109"/>
      <c r="AE41" s="109"/>
      <c r="AF41" s="109"/>
      <c r="AG41" s="109"/>
      <c r="AH41" s="109"/>
      <c r="AI41" s="109"/>
      <c r="AJ41" s="109"/>
      <c r="AK41" s="109"/>
      <c r="AL41" s="109"/>
      <c r="AM41" s="109"/>
      <c r="AN41" s="110"/>
      <c r="AO41" s="110"/>
      <c r="AP41" s="111"/>
      <c r="AQ41" s="112"/>
      <c r="AR41" s="112"/>
      <c r="AS41" s="112"/>
      <c r="AT41" s="112"/>
      <c r="AU41" s="112"/>
      <c r="AV41" s="112"/>
      <c r="AW41" s="112"/>
      <c r="AX41" s="112"/>
      <c r="AY41" s="112"/>
      <c r="AZ41" s="112"/>
      <c r="BA41" s="112"/>
      <c r="BB41" s="112"/>
      <c r="BC41" s="112"/>
      <c r="BD41" s="112"/>
      <c r="BE41" s="112"/>
    </row>
    <row r="42" spans="2:57" x14ac:dyDescent="0.35">
      <c r="B42" s="59"/>
      <c r="C42" s="59"/>
      <c r="D42" s="104"/>
      <c r="E42" s="105"/>
      <c r="F42" s="105"/>
      <c r="G42" s="105"/>
      <c r="H42" s="68"/>
      <c r="I42" s="106"/>
      <c r="J42" s="107"/>
      <c r="K42" s="108"/>
      <c r="L42" s="108"/>
      <c r="M42" s="108"/>
      <c r="N42" s="108"/>
      <c r="O42" s="108"/>
      <c r="P42" s="108"/>
      <c r="Q42" s="108"/>
      <c r="R42" s="108"/>
      <c r="S42" s="108"/>
      <c r="T42" s="108"/>
      <c r="U42" s="108"/>
      <c r="V42" s="108"/>
      <c r="W42" s="108"/>
      <c r="X42" s="108"/>
      <c r="Y42" s="108"/>
      <c r="Z42" s="109"/>
      <c r="AA42" s="109"/>
      <c r="AB42" s="109"/>
      <c r="AC42" s="109"/>
      <c r="AD42" s="109"/>
      <c r="AE42" s="109"/>
      <c r="AF42" s="109"/>
      <c r="AG42" s="109"/>
      <c r="AH42" s="109"/>
      <c r="AI42" s="109"/>
      <c r="AJ42" s="109"/>
      <c r="AK42" s="109"/>
      <c r="AL42" s="109"/>
      <c r="AM42" s="109"/>
      <c r="AN42" s="110"/>
      <c r="AO42" s="110"/>
      <c r="AP42" s="111"/>
      <c r="AQ42" s="112"/>
      <c r="AR42" s="112"/>
      <c r="AS42" s="112"/>
      <c r="AT42" s="112"/>
      <c r="AU42" s="112"/>
      <c r="AV42" s="112"/>
      <c r="AW42" s="112"/>
      <c r="AX42" s="112"/>
      <c r="AY42" s="112"/>
      <c r="AZ42" s="112"/>
      <c r="BA42" s="112"/>
      <c r="BB42" s="112"/>
      <c r="BC42" s="112"/>
      <c r="BD42" s="112"/>
      <c r="BE42" s="112"/>
    </row>
    <row r="43" spans="2:57" x14ac:dyDescent="0.35">
      <c r="B43" s="59"/>
      <c r="C43" s="59"/>
      <c r="D43" s="104"/>
      <c r="E43" s="105"/>
      <c r="F43" s="105"/>
      <c r="G43" s="105"/>
      <c r="H43" s="68"/>
      <c r="I43" s="106"/>
      <c r="J43" s="107"/>
      <c r="K43" s="108"/>
      <c r="L43" s="108"/>
      <c r="M43" s="108"/>
      <c r="N43" s="108"/>
      <c r="O43" s="108"/>
      <c r="P43" s="108"/>
      <c r="Q43" s="108"/>
      <c r="R43" s="108"/>
      <c r="S43" s="108"/>
      <c r="T43" s="108"/>
      <c r="U43" s="108"/>
      <c r="V43" s="108"/>
      <c r="W43" s="108"/>
      <c r="X43" s="108"/>
      <c r="Y43" s="108"/>
      <c r="Z43" s="109"/>
      <c r="AA43" s="109"/>
      <c r="AB43" s="109"/>
      <c r="AC43" s="109"/>
      <c r="AD43" s="109"/>
      <c r="AE43" s="109"/>
      <c r="AF43" s="109"/>
      <c r="AG43" s="109"/>
      <c r="AH43" s="109"/>
      <c r="AI43" s="109"/>
      <c r="AJ43" s="109"/>
      <c r="AK43" s="109"/>
      <c r="AL43" s="109"/>
      <c r="AM43" s="109"/>
      <c r="AN43" s="110"/>
      <c r="AO43" s="110"/>
      <c r="AP43" s="111"/>
      <c r="AQ43" s="112"/>
      <c r="AR43" s="112"/>
      <c r="AS43" s="112"/>
      <c r="AT43" s="112"/>
      <c r="AU43" s="112"/>
      <c r="AV43" s="112"/>
      <c r="AW43" s="112"/>
      <c r="AX43" s="112"/>
      <c r="AY43" s="112"/>
      <c r="AZ43" s="112"/>
      <c r="BA43" s="112"/>
      <c r="BB43" s="112"/>
      <c r="BC43" s="112"/>
      <c r="BD43" s="112"/>
      <c r="BE43" s="112"/>
    </row>
    <row r="44" spans="2:57" x14ac:dyDescent="0.35">
      <c r="B44" s="59"/>
      <c r="C44" s="59"/>
      <c r="D44" s="104"/>
      <c r="E44" s="105"/>
      <c r="F44" s="105"/>
      <c r="G44" s="105"/>
      <c r="H44" s="68"/>
      <c r="I44" s="106"/>
      <c r="J44" s="107"/>
      <c r="K44" s="108"/>
      <c r="L44" s="108"/>
      <c r="M44" s="108"/>
      <c r="N44" s="108"/>
      <c r="O44" s="108"/>
      <c r="P44" s="108"/>
      <c r="Q44" s="108"/>
      <c r="R44" s="108"/>
      <c r="S44" s="108"/>
      <c r="T44" s="108"/>
      <c r="U44" s="108"/>
      <c r="V44" s="108"/>
      <c r="W44" s="108"/>
      <c r="X44" s="108"/>
      <c r="Y44" s="108"/>
      <c r="Z44" s="109"/>
      <c r="AA44" s="109"/>
      <c r="AB44" s="109"/>
      <c r="AC44" s="109"/>
      <c r="AD44" s="109"/>
      <c r="AE44" s="109"/>
      <c r="AF44" s="109"/>
      <c r="AG44" s="109"/>
      <c r="AH44" s="109"/>
      <c r="AI44" s="109"/>
      <c r="AJ44" s="109"/>
      <c r="AK44" s="109"/>
      <c r="AL44" s="109"/>
      <c r="AM44" s="109"/>
      <c r="AN44" s="110"/>
      <c r="AO44" s="110"/>
      <c r="AP44" s="111"/>
      <c r="AQ44" s="112"/>
      <c r="AR44" s="112"/>
      <c r="AS44" s="112"/>
      <c r="AT44" s="112"/>
      <c r="AU44" s="112"/>
      <c r="AV44" s="112"/>
      <c r="AW44" s="112"/>
      <c r="AX44" s="112"/>
      <c r="AY44" s="112"/>
      <c r="AZ44" s="112"/>
      <c r="BA44" s="112"/>
      <c r="BB44" s="112"/>
      <c r="BC44" s="112"/>
      <c r="BD44" s="112"/>
      <c r="BE44" s="112"/>
    </row>
    <row r="45" spans="2:57" x14ac:dyDescent="0.35">
      <c r="B45" s="59"/>
      <c r="C45" s="59"/>
      <c r="D45" s="104"/>
      <c r="E45" s="105"/>
      <c r="F45" s="105"/>
      <c r="G45" s="105"/>
      <c r="H45" s="68"/>
      <c r="I45" s="106"/>
      <c r="J45" s="107"/>
      <c r="K45" s="108"/>
      <c r="L45" s="108"/>
      <c r="M45" s="108"/>
      <c r="N45" s="108"/>
      <c r="O45" s="108"/>
      <c r="P45" s="108"/>
      <c r="Q45" s="108"/>
      <c r="R45" s="108"/>
      <c r="S45" s="108"/>
      <c r="T45" s="108"/>
      <c r="U45" s="108"/>
      <c r="V45" s="108"/>
      <c r="W45" s="108"/>
      <c r="X45" s="108"/>
      <c r="Y45" s="108"/>
      <c r="Z45" s="109"/>
      <c r="AA45" s="109"/>
      <c r="AB45" s="109"/>
      <c r="AC45" s="109"/>
      <c r="AD45" s="109"/>
      <c r="AE45" s="109"/>
      <c r="AF45" s="109"/>
      <c r="AG45" s="109"/>
      <c r="AH45" s="109"/>
      <c r="AI45" s="109"/>
      <c r="AJ45" s="109"/>
      <c r="AK45" s="109"/>
      <c r="AL45" s="109"/>
      <c r="AM45" s="109"/>
      <c r="AN45" s="110"/>
      <c r="AO45" s="110"/>
      <c r="AP45" s="111"/>
      <c r="AQ45" s="112"/>
      <c r="AR45" s="112"/>
      <c r="AS45" s="112"/>
      <c r="AT45" s="112"/>
      <c r="AU45" s="112"/>
      <c r="AV45" s="112"/>
      <c r="AW45" s="112"/>
      <c r="AX45" s="112"/>
      <c r="AY45" s="112"/>
      <c r="AZ45" s="112"/>
      <c r="BA45" s="112"/>
      <c r="BB45" s="112"/>
      <c r="BC45" s="112"/>
      <c r="BD45" s="112"/>
      <c r="BE45" s="112"/>
    </row>
    <row r="46" spans="2:57" x14ac:dyDescent="0.35">
      <c r="B46" s="59"/>
      <c r="C46" s="59"/>
      <c r="D46" s="104"/>
      <c r="E46" s="105"/>
      <c r="F46" s="105"/>
      <c r="G46" s="105"/>
      <c r="H46" s="68"/>
      <c r="I46" s="106"/>
      <c r="J46" s="107"/>
      <c r="K46" s="108"/>
      <c r="L46" s="108"/>
      <c r="M46" s="108"/>
      <c r="N46" s="108"/>
      <c r="O46" s="108"/>
      <c r="P46" s="108"/>
      <c r="Q46" s="108"/>
      <c r="R46" s="108"/>
      <c r="S46" s="108"/>
      <c r="T46" s="108"/>
      <c r="U46" s="108"/>
      <c r="V46" s="108"/>
      <c r="W46" s="108"/>
      <c r="X46" s="108"/>
      <c r="Y46" s="108"/>
      <c r="Z46" s="109"/>
      <c r="AA46" s="109"/>
      <c r="AB46" s="109"/>
      <c r="AC46" s="109"/>
      <c r="AD46" s="109"/>
      <c r="AE46" s="109"/>
      <c r="AF46" s="109"/>
      <c r="AG46" s="109"/>
      <c r="AH46" s="109"/>
      <c r="AI46" s="109"/>
      <c r="AJ46" s="109"/>
      <c r="AK46" s="109"/>
      <c r="AL46" s="109"/>
      <c r="AM46" s="109"/>
      <c r="AN46" s="110"/>
      <c r="AO46" s="110"/>
      <c r="AP46" s="111"/>
      <c r="AQ46" s="112"/>
      <c r="AR46" s="112"/>
      <c r="AS46" s="112"/>
      <c r="AT46" s="112"/>
      <c r="AU46" s="112"/>
      <c r="AV46" s="112"/>
      <c r="AW46" s="112"/>
      <c r="AX46" s="112"/>
      <c r="AY46" s="112"/>
      <c r="AZ46" s="112"/>
      <c r="BA46" s="112"/>
      <c r="BB46" s="112"/>
      <c r="BC46" s="112"/>
      <c r="BD46" s="112"/>
      <c r="BE46" s="112"/>
    </row>
    <row r="47" spans="2:57" x14ac:dyDescent="0.35">
      <c r="B47" s="59"/>
      <c r="C47" s="59"/>
      <c r="D47" s="104"/>
      <c r="E47" s="105"/>
      <c r="F47" s="105"/>
      <c r="G47" s="105"/>
      <c r="H47" s="68"/>
      <c r="I47" s="106"/>
      <c r="J47" s="107"/>
      <c r="K47" s="108"/>
      <c r="L47" s="108"/>
      <c r="M47" s="108"/>
      <c r="N47" s="108"/>
      <c r="O47" s="108"/>
      <c r="P47" s="108"/>
      <c r="Q47" s="108"/>
      <c r="R47" s="108"/>
      <c r="S47" s="108"/>
      <c r="T47" s="108"/>
      <c r="U47" s="108"/>
      <c r="V47" s="108"/>
      <c r="W47" s="108"/>
      <c r="X47" s="108"/>
      <c r="Y47" s="108"/>
      <c r="Z47" s="109"/>
      <c r="AA47" s="109"/>
      <c r="AB47" s="109"/>
      <c r="AC47" s="109"/>
      <c r="AD47" s="109"/>
      <c r="AE47" s="109"/>
      <c r="AF47" s="109"/>
      <c r="AG47" s="109"/>
      <c r="AH47" s="109"/>
      <c r="AI47" s="109"/>
      <c r="AJ47" s="109"/>
      <c r="AK47" s="109"/>
      <c r="AL47" s="109"/>
      <c r="AM47" s="109"/>
      <c r="AN47" s="110"/>
      <c r="AO47" s="110"/>
      <c r="AP47" s="111"/>
      <c r="AQ47" s="112"/>
      <c r="AR47" s="112"/>
      <c r="AS47" s="112"/>
      <c r="AT47" s="112"/>
      <c r="AU47" s="112"/>
      <c r="AV47" s="112"/>
      <c r="AW47" s="112"/>
      <c r="AX47" s="112"/>
      <c r="AY47" s="112"/>
      <c r="AZ47" s="112"/>
      <c r="BA47" s="112"/>
      <c r="BB47" s="112"/>
      <c r="BC47" s="112"/>
      <c r="BD47" s="112"/>
      <c r="BE47" s="112"/>
    </row>
    <row r="48" spans="2:57" x14ac:dyDescent="0.35">
      <c r="B48" s="59"/>
      <c r="C48" s="59"/>
      <c r="D48" s="104"/>
      <c r="E48" s="105"/>
      <c r="F48" s="105"/>
      <c r="G48" s="105"/>
      <c r="H48" s="68"/>
      <c r="I48" s="106"/>
      <c r="J48" s="107"/>
      <c r="K48" s="108"/>
      <c r="L48" s="108"/>
      <c r="M48" s="108"/>
      <c r="N48" s="108"/>
      <c r="O48" s="108"/>
      <c r="P48" s="108"/>
      <c r="Q48" s="108"/>
      <c r="R48" s="108"/>
      <c r="S48" s="108"/>
      <c r="T48" s="108"/>
      <c r="U48" s="108"/>
      <c r="V48" s="108"/>
      <c r="W48" s="108"/>
      <c r="X48" s="108"/>
      <c r="Y48" s="108"/>
      <c r="Z48" s="109"/>
      <c r="AA48" s="109"/>
      <c r="AB48" s="109"/>
      <c r="AC48" s="109"/>
      <c r="AD48" s="109"/>
      <c r="AE48" s="109"/>
      <c r="AF48" s="109"/>
      <c r="AG48" s="109"/>
      <c r="AH48" s="109"/>
      <c r="AI48" s="109"/>
      <c r="AJ48" s="109"/>
      <c r="AK48" s="109"/>
      <c r="AL48" s="109"/>
      <c r="AM48" s="109"/>
      <c r="AN48" s="110"/>
      <c r="AO48" s="110"/>
      <c r="AP48" s="111"/>
      <c r="AQ48" s="112"/>
      <c r="AR48" s="112"/>
      <c r="AS48" s="112"/>
      <c r="AT48" s="112"/>
      <c r="AU48" s="112"/>
      <c r="AV48" s="112"/>
      <c r="AW48" s="112"/>
      <c r="AX48" s="112"/>
      <c r="AY48" s="112"/>
      <c r="AZ48" s="112"/>
      <c r="BA48" s="112"/>
      <c r="BB48" s="112"/>
      <c r="BC48" s="112"/>
      <c r="BD48" s="112"/>
      <c r="BE48" s="112"/>
    </row>
    <row r="49" spans="2:57" x14ac:dyDescent="0.35">
      <c r="B49" s="59"/>
      <c r="C49" s="59"/>
      <c r="D49" s="104"/>
      <c r="E49" s="105"/>
      <c r="F49" s="105"/>
      <c r="G49" s="105"/>
      <c r="H49" s="68"/>
      <c r="I49" s="106"/>
      <c r="J49" s="107"/>
      <c r="K49" s="108"/>
      <c r="L49" s="108"/>
      <c r="M49" s="108"/>
      <c r="N49" s="108"/>
      <c r="O49" s="108"/>
      <c r="P49" s="108"/>
      <c r="Q49" s="108"/>
      <c r="R49" s="108"/>
      <c r="S49" s="108"/>
      <c r="T49" s="108"/>
      <c r="U49" s="108"/>
      <c r="V49" s="108"/>
      <c r="W49" s="108"/>
      <c r="X49" s="108"/>
      <c r="Y49" s="108"/>
      <c r="Z49" s="109"/>
      <c r="AA49" s="109"/>
      <c r="AB49" s="109"/>
      <c r="AC49" s="109"/>
      <c r="AD49" s="109"/>
      <c r="AE49" s="109"/>
      <c r="AF49" s="109"/>
      <c r="AG49" s="109"/>
      <c r="AH49" s="109"/>
      <c r="AI49" s="109"/>
      <c r="AJ49" s="109"/>
      <c r="AK49" s="109"/>
      <c r="AL49" s="109"/>
      <c r="AM49" s="109"/>
      <c r="AN49" s="110"/>
      <c r="AO49" s="110"/>
      <c r="AP49" s="111"/>
      <c r="AQ49" s="112"/>
      <c r="AR49" s="112"/>
      <c r="AS49" s="112"/>
      <c r="AT49" s="112"/>
      <c r="AU49" s="112"/>
      <c r="AV49" s="112"/>
      <c r="AW49" s="112"/>
      <c r="AX49" s="112"/>
      <c r="AY49" s="112"/>
      <c r="AZ49" s="112"/>
      <c r="BA49" s="112"/>
      <c r="BB49" s="112"/>
      <c r="BC49" s="112"/>
      <c r="BD49" s="112"/>
      <c r="BE49" s="112"/>
    </row>
    <row r="50" spans="2:57" x14ac:dyDescent="0.35">
      <c r="B50" s="59"/>
      <c r="C50" s="59"/>
      <c r="D50" s="104"/>
      <c r="E50" s="105"/>
      <c r="F50" s="105"/>
      <c r="G50" s="105"/>
      <c r="H50" s="68"/>
      <c r="I50" s="106"/>
      <c r="J50" s="107"/>
      <c r="K50" s="108"/>
      <c r="L50" s="108"/>
      <c r="M50" s="108"/>
      <c r="N50" s="108"/>
      <c r="O50" s="108"/>
      <c r="P50" s="108"/>
      <c r="Q50" s="108"/>
      <c r="R50" s="108"/>
      <c r="S50" s="108"/>
      <c r="T50" s="108"/>
      <c r="U50" s="108"/>
      <c r="V50" s="108"/>
      <c r="W50" s="108"/>
      <c r="X50" s="108"/>
      <c r="Y50" s="108"/>
      <c r="Z50" s="109"/>
      <c r="AA50" s="109"/>
      <c r="AB50" s="109"/>
      <c r="AC50" s="109"/>
      <c r="AD50" s="109"/>
      <c r="AE50" s="109"/>
      <c r="AF50" s="109"/>
      <c r="AG50" s="109"/>
      <c r="AH50" s="109"/>
      <c r="AI50" s="109"/>
      <c r="AJ50" s="109"/>
      <c r="AK50" s="109"/>
      <c r="AL50" s="109"/>
      <c r="AM50" s="109"/>
      <c r="AN50" s="110"/>
      <c r="AO50" s="110"/>
      <c r="AP50" s="111"/>
      <c r="AQ50" s="112"/>
      <c r="AR50" s="112"/>
      <c r="AS50" s="112"/>
      <c r="AT50" s="112"/>
      <c r="AU50" s="112"/>
      <c r="AV50" s="112"/>
      <c r="AW50" s="112"/>
      <c r="AX50" s="112"/>
      <c r="AY50" s="112"/>
      <c r="AZ50" s="112"/>
      <c r="BA50" s="112"/>
      <c r="BB50" s="112"/>
      <c r="BC50" s="112"/>
      <c r="BD50" s="112"/>
      <c r="BE50" s="112"/>
    </row>
    <row r="51" spans="2:57" x14ac:dyDescent="0.35">
      <c r="B51" s="59"/>
      <c r="C51" s="59"/>
      <c r="D51" s="104"/>
      <c r="E51" s="105"/>
      <c r="F51" s="105"/>
      <c r="G51" s="105"/>
      <c r="H51" s="68"/>
      <c r="I51" s="106"/>
      <c r="J51" s="107"/>
      <c r="K51" s="108"/>
      <c r="L51" s="108"/>
      <c r="M51" s="108"/>
      <c r="N51" s="108"/>
      <c r="O51" s="108"/>
      <c r="P51" s="108"/>
      <c r="Q51" s="108"/>
      <c r="R51" s="108"/>
      <c r="S51" s="108"/>
      <c r="T51" s="108"/>
      <c r="U51" s="108"/>
      <c r="V51" s="108"/>
      <c r="W51" s="108"/>
      <c r="X51" s="108"/>
      <c r="Y51" s="108"/>
      <c r="Z51" s="109"/>
      <c r="AA51" s="109"/>
      <c r="AB51" s="109"/>
      <c r="AC51" s="109"/>
      <c r="AD51" s="109"/>
      <c r="AE51" s="109"/>
      <c r="AF51" s="109"/>
      <c r="AG51" s="109"/>
      <c r="AH51" s="109"/>
      <c r="AI51" s="109"/>
      <c r="AJ51" s="109"/>
      <c r="AK51" s="109"/>
      <c r="AL51" s="109"/>
      <c r="AM51" s="109"/>
      <c r="AN51" s="110"/>
      <c r="AO51" s="110"/>
      <c r="AP51" s="111"/>
      <c r="AQ51" s="112"/>
      <c r="AR51" s="112"/>
      <c r="AS51" s="112"/>
      <c r="AT51" s="112"/>
      <c r="AU51" s="112"/>
      <c r="AV51" s="112"/>
      <c r="AW51" s="112"/>
      <c r="AX51" s="112"/>
      <c r="AY51" s="112"/>
      <c r="AZ51" s="112"/>
      <c r="BA51" s="112"/>
      <c r="BB51" s="112"/>
      <c r="BC51" s="112"/>
      <c r="BD51" s="112"/>
      <c r="BE51" s="112"/>
    </row>
    <row r="52" spans="2:57" x14ac:dyDescent="0.35">
      <c r="B52" s="59"/>
      <c r="C52" s="59"/>
      <c r="D52" s="104"/>
      <c r="E52" s="105"/>
      <c r="F52" s="105"/>
      <c r="G52" s="105"/>
      <c r="H52" s="68"/>
      <c r="I52" s="106"/>
      <c r="J52" s="107"/>
      <c r="K52" s="108"/>
      <c r="L52" s="108"/>
      <c r="M52" s="108"/>
      <c r="N52" s="108"/>
      <c r="O52" s="108"/>
      <c r="P52" s="108"/>
      <c r="Q52" s="108"/>
      <c r="R52" s="108"/>
      <c r="S52" s="108"/>
      <c r="T52" s="108"/>
      <c r="U52" s="108"/>
      <c r="V52" s="108"/>
      <c r="W52" s="108"/>
      <c r="X52" s="108"/>
      <c r="Y52" s="108"/>
      <c r="Z52" s="109"/>
      <c r="AA52" s="109"/>
      <c r="AB52" s="109"/>
      <c r="AC52" s="109"/>
      <c r="AD52" s="109"/>
      <c r="AE52" s="109"/>
      <c r="AF52" s="109"/>
      <c r="AG52" s="109"/>
      <c r="AH52" s="109"/>
      <c r="AI52" s="109"/>
      <c r="AJ52" s="109"/>
      <c r="AK52" s="109"/>
      <c r="AL52" s="109"/>
      <c r="AM52" s="109"/>
      <c r="AN52" s="110"/>
      <c r="AO52" s="110"/>
      <c r="AP52" s="111"/>
      <c r="AQ52" s="112"/>
      <c r="AR52" s="112"/>
      <c r="AS52" s="112"/>
      <c r="AT52" s="112"/>
      <c r="AU52" s="112"/>
      <c r="AV52" s="112"/>
      <c r="AW52" s="112"/>
      <c r="AX52" s="112"/>
      <c r="AY52" s="112"/>
      <c r="AZ52" s="112"/>
      <c r="BA52" s="112"/>
      <c r="BB52" s="112"/>
      <c r="BC52" s="112"/>
      <c r="BD52" s="112"/>
      <c r="BE52" s="112"/>
    </row>
    <row r="53" spans="2:57" x14ac:dyDescent="0.35">
      <c r="B53" s="59"/>
      <c r="C53" s="59"/>
      <c r="D53" s="104"/>
      <c r="E53" s="105"/>
      <c r="F53" s="105"/>
      <c r="G53" s="105"/>
      <c r="H53" s="68"/>
      <c r="I53" s="106"/>
      <c r="J53" s="107"/>
      <c r="K53" s="108"/>
      <c r="L53" s="108"/>
      <c r="M53" s="108"/>
      <c r="N53" s="108"/>
      <c r="O53" s="108"/>
      <c r="P53" s="108"/>
      <c r="Q53" s="108"/>
      <c r="R53" s="108"/>
      <c r="S53" s="108"/>
      <c r="T53" s="108"/>
      <c r="U53" s="108"/>
      <c r="V53" s="108"/>
      <c r="W53" s="108"/>
      <c r="X53" s="108"/>
      <c r="Y53" s="108"/>
      <c r="Z53" s="109"/>
      <c r="AA53" s="109"/>
      <c r="AB53" s="109"/>
      <c r="AC53" s="109"/>
      <c r="AD53" s="109"/>
      <c r="AE53" s="109"/>
      <c r="AF53" s="109"/>
      <c r="AG53" s="109"/>
      <c r="AH53" s="109"/>
      <c r="AI53" s="109"/>
      <c r="AJ53" s="109"/>
      <c r="AK53" s="109"/>
      <c r="AL53" s="109"/>
      <c r="AM53" s="109"/>
      <c r="AN53" s="110"/>
      <c r="AO53" s="110"/>
      <c r="AP53" s="111"/>
      <c r="AQ53" s="112"/>
      <c r="AR53" s="112"/>
      <c r="AS53" s="112"/>
      <c r="AT53" s="112"/>
      <c r="AU53" s="112"/>
      <c r="AV53" s="112"/>
      <c r="AW53" s="112"/>
      <c r="AX53" s="112"/>
      <c r="AY53" s="112"/>
      <c r="AZ53" s="112"/>
      <c r="BA53" s="112"/>
      <c r="BB53" s="112"/>
      <c r="BC53" s="112"/>
      <c r="BD53" s="112"/>
      <c r="BE53" s="112"/>
    </row>
    <row r="54" spans="2:57" x14ac:dyDescent="0.35">
      <c r="B54" s="59"/>
      <c r="C54" s="59"/>
      <c r="D54" s="104"/>
      <c r="E54" s="105"/>
      <c r="F54" s="105"/>
      <c r="G54" s="105"/>
      <c r="H54" s="68"/>
      <c r="I54" s="106"/>
      <c r="J54" s="107"/>
      <c r="K54" s="108"/>
      <c r="L54" s="108"/>
      <c r="M54" s="108"/>
      <c r="N54" s="108"/>
      <c r="O54" s="108"/>
      <c r="P54" s="108"/>
      <c r="Q54" s="108"/>
      <c r="R54" s="108"/>
      <c r="S54" s="108"/>
      <c r="T54" s="108"/>
      <c r="U54" s="108"/>
      <c r="V54" s="108"/>
      <c r="W54" s="108"/>
      <c r="X54" s="108"/>
      <c r="Y54" s="108"/>
      <c r="Z54" s="109"/>
      <c r="AA54" s="109"/>
      <c r="AB54" s="109"/>
      <c r="AC54" s="109"/>
      <c r="AD54" s="109"/>
      <c r="AE54" s="109"/>
      <c r="AF54" s="109"/>
      <c r="AG54" s="109"/>
      <c r="AH54" s="109"/>
      <c r="AI54" s="109"/>
      <c r="AJ54" s="109"/>
      <c r="AK54" s="109"/>
      <c r="AL54" s="109"/>
      <c r="AM54" s="109"/>
      <c r="AN54" s="110"/>
      <c r="AO54" s="110"/>
      <c r="AP54" s="111"/>
      <c r="AQ54" s="112"/>
      <c r="AR54" s="112"/>
      <c r="AS54" s="112"/>
      <c r="AT54" s="112"/>
      <c r="AU54" s="112"/>
      <c r="AV54" s="112"/>
      <c r="AW54" s="112"/>
      <c r="AX54" s="112"/>
      <c r="AY54" s="112"/>
      <c r="AZ54" s="112"/>
      <c r="BA54" s="112"/>
      <c r="BB54" s="112"/>
      <c r="BC54" s="112"/>
      <c r="BD54" s="112"/>
      <c r="BE54" s="112"/>
    </row>
    <row r="55" spans="2:57" x14ac:dyDescent="0.35">
      <c r="B55" s="59"/>
      <c r="C55" s="59"/>
      <c r="D55" s="104"/>
      <c r="E55" s="105"/>
      <c r="F55" s="105"/>
      <c r="G55" s="105"/>
      <c r="H55" s="68"/>
      <c r="I55" s="106"/>
      <c r="J55" s="107"/>
      <c r="K55" s="108"/>
      <c r="L55" s="108"/>
      <c r="M55" s="108"/>
      <c r="N55" s="108"/>
      <c r="O55" s="108"/>
      <c r="P55" s="108"/>
      <c r="Q55" s="108"/>
      <c r="R55" s="108"/>
      <c r="S55" s="108"/>
      <c r="T55" s="108"/>
      <c r="U55" s="108"/>
      <c r="V55" s="108"/>
      <c r="W55" s="108"/>
      <c r="X55" s="108"/>
      <c r="Y55" s="108"/>
      <c r="Z55" s="109"/>
      <c r="AA55" s="109"/>
      <c r="AB55" s="109"/>
      <c r="AC55" s="109"/>
      <c r="AD55" s="109"/>
      <c r="AE55" s="109"/>
      <c r="AF55" s="109"/>
      <c r="AG55" s="109"/>
      <c r="AH55" s="109"/>
      <c r="AI55" s="109"/>
      <c r="AJ55" s="109"/>
      <c r="AK55" s="109"/>
      <c r="AL55" s="109"/>
      <c r="AM55" s="109"/>
      <c r="AN55" s="110"/>
      <c r="AO55" s="110"/>
      <c r="AP55" s="111"/>
      <c r="AQ55" s="112"/>
      <c r="AR55" s="112"/>
      <c r="AS55" s="112"/>
      <c r="AT55" s="112"/>
      <c r="AU55" s="112"/>
      <c r="AV55" s="112"/>
      <c r="AW55" s="112"/>
      <c r="AX55" s="112"/>
      <c r="AY55" s="112"/>
      <c r="AZ55" s="112"/>
      <c r="BA55" s="112"/>
      <c r="BB55" s="112"/>
      <c r="BC55" s="112"/>
      <c r="BD55" s="112"/>
      <c r="BE55" s="112"/>
    </row>
    <row r="56" spans="2:57" x14ac:dyDescent="0.35">
      <c r="B56" s="59"/>
      <c r="C56" s="59"/>
      <c r="D56" s="104"/>
      <c r="E56" s="105"/>
      <c r="F56" s="105"/>
      <c r="G56" s="105"/>
      <c r="H56" s="68"/>
      <c r="I56" s="106"/>
      <c r="J56" s="107"/>
      <c r="K56" s="108"/>
      <c r="L56" s="108"/>
      <c r="M56" s="108"/>
      <c r="N56" s="108"/>
      <c r="O56" s="108"/>
      <c r="P56" s="108"/>
      <c r="Q56" s="108"/>
      <c r="R56" s="108"/>
      <c r="S56" s="108"/>
      <c r="T56" s="108"/>
      <c r="U56" s="108"/>
      <c r="V56" s="108"/>
      <c r="W56" s="108"/>
      <c r="X56" s="108"/>
      <c r="Y56" s="108"/>
      <c r="Z56" s="109"/>
      <c r="AA56" s="109"/>
      <c r="AB56" s="109"/>
      <c r="AC56" s="109"/>
      <c r="AD56" s="109"/>
      <c r="AE56" s="109"/>
      <c r="AF56" s="109"/>
      <c r="AG56" s="109"/>
      <c r="AH56" s="109"/>
      <c r="AI56" s="109"/>
      <c r="AJ56" s="109"/>
      <c r="AK56" s="109"/>
      <c r="AL56" s="109"/>
      <c r="AM56" s="109"/>
      <c r="AN56" s="110"/>
      <c r="AO56" s="110"/>
      <c r="AP56" s="111"/>
      <c r="AQ56" s="112"/>
      <c r="AR56" s="112"/>
      <c r="AS56" s="112"/>
      <c r="AT56" s="112"/>
      <c r="AU56" s="112"/>
      <c r="AV56" s="112"/>
      <c r="AW56" s="112"/>
      <c r="AX56" s="112"/>
      <c r="AY56" s="112"/>
      <c r="AZ56" s="112"/>
      <c r="BA56" s="112"/>
      <c r="BB56" s="112"/>
      <c r="BC56" s="112"/>
      <c r="BD56" s="112"/>
      <c r="BE56" s="112"/>
    </row>
    <row r="57" spans="2:57" x14ac:dyDescent="0.35">
      <c r="B57" s="59"/>
      <c r="C57" s="59"/>
      <c r="D57" s="104"/>
      <c r="E57" s="105"/>
      <c r="F57" s="105"/>
      <c r="G57" s="105"/>
      <c r="H57" s="68"/>
      <c r="I57" s="106"/>
      <c r="J57" s="107"/>
      <c r="K57" s="108"/>
      <c r="L57" s="108"/>
      <c r="M57" s="108"/>
      <c r="N57" s="108"/>
      <c r="O57" s="108"/>
      <c r="P57" s="108"/>
      <c r="Q57" s="108"/>
      <c r="R57" s="108"/>
      <c r="S57" s="108"/>
      <c r="T57" s="108"/>
      <c r="U57" s="108"/>
      <c r="V57" s="108"/>
      <c r="W57" s="108"/>
      <c r="X57" s="108"/>
      <c r="Y57" s="108"/>
      <c r="Z57" s="109"/>
      <c r="AA57" s="109"/>
      <c r="AB57" s="109"/>
      <c r="AC57" s="109"/>
      <c r="AD57" s="109"/>
      <c r="AE57" s="109"/>
      <c r="AF57" s="109"/>
      <c r="AG57" s="109"/>
      <c r="AH57" s="109"/>
      <c r="AI57" s="109"/>
      <c r="AJ57" s="109"/>
      <c r="AK57" s="109"/>
      <c r="AL57" s="109"/>
      <c r="AM57" s="109"/>
      <c r="AN57" s="110"/>
      <c r="AO57" s="110"/>
      <c r="AP57" s="111"/>
      <c r="AQ57" s="112"/>
      <c r="AR57" s="112"/>
      <c r="AS57" s="112"/>
      <c r="AT57" s="112"/>
      <c r="AU57" s="112"/>
      <c r="AV57" s="112"/>
      <c r="AW57" s="112"/>
      <c r="AX57" s="112"/>
      <c r="AY57" s="112"/>
      <c r="AZ57" s="112"/>
      <c r="BA57" s="112"/>
      <c r="BB57" s="112"/>
      <c r="BC57" s="112"/>
      <c r="BD57" s="112"/>
      <c r="BE57" s="112"/>
    </row>
    <row r="58" spans="2:57" x14ac:dyDescent="0.35">
      <c r="B58" s="59"/>
      <c r="C58" s="59"/>
      <c r="D58" s="104"/>
      <c r="E58" s="105"/>
      <c r="F58" s="105"/>
      <c r="G58" s="105"/>
      <c r="H58" s="68"/>
      <c r="I58" s="106"/>
      <c r="J58" s="107"/>
      <c r="K58" s="108"/>
      <c r="L58" s="108"/>
      <c r="M58" s="108"/>
      <c r="N58" s="108"/>
      <c r="O58" s="108"/>
      <c r="P58" s="108"/>
      <c r="Q58" s="108"/>
      <c r="R58" s="108"/>
      <c r="S58" s="108"/>
      <c r="T58" s="108"/>
      <c r="U58" s="108"/>
      <c r="V58" s="108"/>
      <c r="W58" s="108"/>
      <c r="X58" s="108"/>
      <c r="Y58" s="108"/>
      <c r="Z58" s="109"/>
      <c r="AA58" s="109"/>
      <c r="AB58" s="109"/>
      <c r="AC58" s="109"/>
      <c r="AD58" s="109"/>
      <c r="AE58" s="109"/>
      <c r="AF58" s="109"/>
      <c r="AG58" s="109"/>
      <c r="AH58" s="109"/>
      <c r="AI58" s="109"/>
      <c r="AJ58" s="109"/>
      <c r="AK58" s="109"/>
      <c r="AL58" s="109"/>
      <c r="AM58" s="109"/>
      <c r="AN58" s="110"/>
      <c r="AO58" s="110"/>
      <c r="AP58" s="111"/>
      <c r="AQ58" s="112"/>
      <c r="AR58" s="112"/>
      <c r="AS58" s="112"/>
      <c r="AT58" s="112"/>
      <c r="AU58" s="112"/>
      <c r="AV58" s="112"/>
      <c r="AW58" s="112"/>
      <c r="AX58" s="112"/>
      <c r="AY58" s="112"/>
      <c r="AZ58" s="112"/>
      <c r="BA58" s="112"/>
      <c r="BB58" s="112"/>
      <c r="BC58" s="112"/>
      <c r="BD58" s="112"/>
      <c r="BE58" s="112"/>
    </row>
    <row r="59" spans="2:57" x14ac:dyDescent="0.35">
      <c r="B59" s="59"/>
      <c r="C59" s="59"/>
      <c r="D59" s="104"/>
      <c r="E59" s="105"/>
      <c r="F59" s="105"/>
      <c r="G59" s="105"/>
      <c r="H59" s="68"/>
      <c r="I59" s="106"/>
      <c r="J59" s="107"/>
      <c r="K59" s="108"/>
      <c r="L59" s="108"/>
      <c r="M59" s="108"/>
      <c r="N59" s="108"/>
      <c r="O59" s="108"/>
      <c r="P59" s="108"/>
      <c r="Q59" s="108"/>
      <c r="R59" s="108"/>
      <c r="S59" s="108"/>
      <c r="T59" s="108"/>
      <c r="U59" s="108"/>
      <c r="V59" s="108"/>
      <c r="W59" s="108"/>
      <c r="X59" s="108"/>
      <c r="Y59" s="108"/>
      <c r="Z59" s="109"/>
      <c r="AA59" s="109"/>
      <c r="AB59" s="109"/>
      <c r="AC59" s="109"/>
      <c r="AD59" s="109"/>
      <c r="AE59" s="109"/>
      <c r="AF59" s="109"/>
      <c r="AG59" s="109"/>
      <c r="AH59" s="109"/>
      <c r="AI59" s="109"/>
      <c r="AJ59" s="109"/>
      <c r="AK59" s="109"/>
      <c r="AL59" s="109"/>
      <c r="AM59" s="109"/>
      <c r="AN59" s="110"/>
      <c r="AO59" s="110"/>
      <c r="AP59" s="111"/>
      <c r="AQ59" s="112"/>
      <c r="AR59" s="112"/>
      <c r="AS59" s="112"/>
      <c r="AT59" s="112"/>
      <c r="AU59" s="112"/>
      <c r="AV59" s="112"/>
      <c r="AW59" s="112"/>
      <c r="AX59" s="112"/>
      <c r="AY59" s="112"/>
      <c r="AZ59" s="112"/>
      <c r="BA59" s="112"/>
      <c r="BB59" s="112"/>
      <c r="BC59" s="112"/>
      <c r="BD59" s="112"/>
      <c r="BE59" s="112"/>
    </row>
    <row r="60" spans="2:57" x14ac:dyDescent="0.35">
      <c r="B60" s="59"/>
      <c r="C60" s="59"/>
      <c r="D60" s="104"/>
      <c r="E60" s="105"/>
      <c r="F60" s="105"/>
      <c r="G60" s="105"/>
      <c r="H60" s="68"/>
      <c r="I60" s="106"/>
      <c r="J60" s="107"/>
      <c r="K60" s="108"/>
      <c r="L60" s="108"/>
      <c r="M60" s="108"/>
      <c r="N60" s="108"/>
      <c r="O60" s="108"/>
      <c r="P60" s="108"/>
      <c r="Q60" s="108"/>
      <c r="R60" s="108"/>
      <c r="S60" s="108"/>
      <c r="T60" s="108"/>
      <c r="U60" s="108"/>
      <c r="V60" s="108"/>
      <c r="W60" s="108"/>
      <c r="X60" s="108"/>
      <c r="Y60" s="108"/>
      <c r="Z60" s="109"/>
      <c r="AA60" s="109"/>
      <c r="AB60" s="109"/>
      <c r="AC60" s="109"/>
      <c r="AD60" s="109"/>
      <c r="AE60" s="109"/>
      <c r="AF60" s="109"/>
      <c r="AG60" s="109"/>
      <c r="AH60" s="109"/>
      <c r="AI60" s="109"/>
      <c r="AJ60" s="109"/>
      <c r="AK60" s="109"/>
      <c r="AL60" s="109"/>
      <c r="AM60" s="109"/>
      <c r="AN60" s="110"/>
      <c r="AO60" s="110"/>
      <c r="AP60" s="111"/>
      <c r="AQ60" s="112"/>
      <c r="AR60" s="112"/>
      <c r="AS60" s="112"/>
      <c r="AT60" s="112"/>
      <c r="AU60" s="112"/>
      <c r="AV60" s="112"/>
      <c r="AW60" s="112"/>
      <c r="AX60" s="112"/>
      <c r="AY60" s="112"/>
      <c r="AZ60" s="112"/>
      <c r="BA60" s="112"/>
      <c r="BB60" s="112"/>
      <c r="BC60" s="112"/>
      <c r="BD60" s="112"/>
      <c r="BE60" s="112"/>
    </row>
    <row r="61" spans="2:57" x14ac:dyDescent="0.35">
      <c r="B61" s="59"/>
      <c r="C61" s="59"/>
      <c r="D61" s="104"/>
      <c r="E61" s="105"/>
      <c r="F61" s="105"/>
      <c r="G61" s="105"/>
      <c r="H61" s="68"/>
      <c r="I61" s="106"/>
      <c r="J61" s="107"/>
      <c r="K61" s="108"/>
      <c r="L61" s="108"/>
      <c r="M61" s="108"/>
      <c r="N61" s="108"/>
      <c r="O61" s="108"/>
      <c r="P61" s="108"/>
      <c r="Q61" s="108"/>
      <c r="R61" s="108"/>
      <c r="S61" s="108"/>
      <c r="T61" s="108"/>
      <c r="U61" s="108"/>
      <c r="V61" s="108"/>
      <c r="W61" s="108"/>
      <c r="X61" s="108"/>
      <c r="Y61" s="108"/>
      <c r="Z61" s="109"/>
      <c r="AA61" s="109"/>
      <c r="AB61" s="109"/>
      <c r="AC61" s="109"/>
      <c r="AD61" s="109"/>
      <c r="AE61" s="109"/>
      <c r="AF61" s="109"/>
      <c r="AG61" s="109"/>
      <c r="AH61" s="109"/>
      <c r="AI61" s="109"/>
      <c r="AJ61" s="109"/>
      <c r="AK61" s="109"/>
      <c r="AL61" s="109"/>
      <c r="AM61" s="109"/>
      <c r="AN61" s="110"/>
      <c r="AO61" s="110"/>
      <c r="AP61" s="111"/>
      <c r="AQ61" s="112"/>
      <c r="AR61" s="112"/>
      <c r="AS61" s="112"/>
      <c r="AT61" s="112"/>
      <c r="AU61" s="112"/>
      <c r="AV61" s="112"/>
      <c r="AW61" s="112"/>
      <c r="AX61" s="112"/>
      <c r="AY61" s="112"/>
      <c r="AZ61" s="112"/>
      <c r="BA61" s="112"/>
      <c r="BB61" s="112"/>
      <c r="BC61" s="112"/>
      <c r="BD61" s="112"/>
      <c r="BE61" s="112"/>
    </row>
    <row r="62" spans="2:57" x14ac:dyDescent="0.35">
      <c r="B62" s="59"/>
      <c r="C62" s="59"/>
      <c r="D62" s="104"/>
      <c r="E62" s="105"/>
      <c r="F62" s="105"/>
      <c r="G62" s="105"/>
      <c r="H62" s="68"/>
      <c r="I62" s="106"/>
      <c r="J62" s="107"/>
      <c r="K62" s="108"/>
      <c r="L62" s="108"/>
      <c r="M62" s="108"/>
      <c r="N62" s="108"/>
      <c r="O62" s="108"/>
      <c r="P62" s="108"/>
      <c r="Q62" s="108"/>
      <c r="R62" s="108"/>
      <c r="S62" s="108"/>
      <c r="T62" s="108"/>
      <c r="U62" s="108"/>
      <c r="V62" s="108"/>
      <c r="W62" s="108"/>
      <c r="X62" s="108"/>
      <c r="Y62" s="108"/>
      <c r="Z62" s="109"/>
      <c r="AA62" s="109"/>
      <c r="AB62" s="109"/>
      <c r="AC62" s="109"/>
      <c r="AD62" s="109"/>
      <c r="AE62" s="109"/>
      <c r="AF62" s="109"/>
      <c r="AG62" s="109"/>
      <c r="AH62" s="109"/>
      <c r="AI62" s="109"/>
      <c r="AJ62" s="109"/>
      <c r="AK62" s="109"/>
      <c r="AL62" s="109"/>
      <c r="AM62" s="109"/>
      <c r="AN62" s="110"/>
      <c r="AO62" s="110"/>
      <c r="AP62" s="111"/>
      <c r="AQ62" s="112"/>
      <c r="AR62" s="112"/>
      <c r="AS62" s="112"/>
      <c r="AT62" s="112"/>
      <c r="AU62" s="112"/>
      <c r="AV62" s="112"/>
      <c r="AW62" s="112"/>
      <c r="AX62" s="112"/>
      <c r="AY62" s="112"/>
      <c r="AZ62" s="112"/>
      <c r="BA62" s="112"/>
      <c r="BB62" s="112"/>
      <c r="BC62" s="112"/>
      <c r="BD62" s="112"/>
      <c r="BE62" s="112"/>
    </row>
    <row r="63" spans="2:57" x14ac:dyDescent="0.35">
      <c r="B63" s="59"/>
      <c r="C63" s="59"/>
      <c r="D63" s="104"/>
      <c r="E63" s="105"/>
      <c r="F63" s="105"/>
      <c r="G63" s="105"/>
      <c r="H63" s="68"/>
      <c r="I63" s="106"/>
      <c r="J63" s="107"/>
      <c r="K63" s="108"/>
      <c r="L63" s="108"/>
      <c r="M63" s="108"/>
      <c r="N63" s="108"/>
      <c r="O63" s="108"/>
      <c r="P63" s="108"/>
      <c r="Q63" s="108"/>
      <c r="R63" s="108"/>
      <c r="S63" s="108"/>
      <c r="T63" s="108"/>
      <c r="U63" s="108"/>
      <c r="V63" s="108"/>
      <c r="W63" s="108"/>
      <c r="X63" s="108"/>
      <c r="Y63" s="108"/>
      <c r="Z63" s="109"/>
      <c r="AA63" s="109"/>
      <c r="AB63" s="109"/>
      <c r="AC63" s="109"/>
      <c r="AD63" s="109"/>
      <c r="AE63" s="109"/>
      <c r="AF63" s="109"/>
      <c r="AG63" s="109"/>
      <c r="AH63" s="109"/>
      <c r="AI63" s="109"/>
      <c r="AJ63" s="109"/>
      <c r="AK63" s="109"/>
      <c r="AL63" s="109"/>
      <c r="AM63" s="109"/>
      <c r="AN63" s="110"/>
      <c r="AO63" s="110"/>
      <c r="AP63" s="111"/>
      <c r="AQ63" s="112"/>
      <c r="AR63" s="112"/>
      <c r="AS63" s="112"/>
      <c r="AT63" s="112"/>
      <c r="AU63" s="112"/>
      <c r="AV63" s="112"/>
      <c r="AW63" s="112"/>
      <c r="AX63" s="112"/>
      <c r="AY63" s="112"/>
      <c r="AZ63" s="112"/>
      <c r="BA63" s="112"/>
      <c r="BB63" s="112"/>
      <c r="BC63" s="112"/>
      <c r="BD63" s="112"/>
      <c r="BE63" s="112"/>
    </row>
    <row r="64" spans="2:57" x14ac:dyDescent="0.35">
      <c r="B64" s="59"/>
      <c r="C64" s="59"/>
      <c r="D64" s="104"/>
      <c r="E64" s="105"/>
      <c r="F64" s="105"/>
      <c r="G64" s="105"/>
      <c r="H64" s="68"/>
      <c r="I64" s="106"/>
      <c r="J64" s="107"/>
      <c r="K64" s="108"/>
      <c r="L64" s="108"/>
      <c r="M64" s="108"/>
      <c r="N64" s="108"/>
      <c r="O64" s="108"/>
      <c r="P64" s="108"/>
      <c r="Q64" s="108"/>
      <c r="R64" s="108"/>
      <c r="S64" s="108"/>
      <c r="T64" s="108"/>
      <c r="U64" s="108"/>
      <c r="V64" s="108"/>
      <c r="W64" s="108"/>
      <c r="X64" s="108"/>
      <c r="Y64" s="108"/>
      <c r="Z64" s="109"/>
      <c r="AA64" s="109"/>
      <c r="AB64" s="109"/>
      <c r="AC64" s="109"/>
      <c r="AD64" s="109"/>
      <c r="AE64" s="109"/>
      <c r="AF64" s="109"/>
      <c r="AG64" s="109"/>
      <c r="AH64" s="109"/>
      <c r="AI64" s="109"/>
      <c r="AJ64" s="109"/>
      <c r="AK64" s="109"/>
      <c r="AL64" s="109"/>
      <c r="AM64" s="109"/>
      <c r="AN64" s="110"/>
      <c r="AO64" s="110"/>
      <c r="AP64" s="111"/>
      <c r="AQ64" s="112"/>
      <c r="AR64" s="112"/>
      <c r="AS64" s="112"/>
      <c r="AT64" s="112"/>
      <c r="AU64" s="112"/>
      <c r="AV64" s="112"/>
      <c r="AW64" s="112"/>
      <c r="AX64" s="112"/>
      <c r="AY64" s="112"/>
      <c r="AZ64" s="112"/>
      <c r="BA64" s="112"/>
      <c r="BB64" s="112"/>
      <c r="BC64" s="112"/>
      <c r="BD64" s="112"/>
      <c r="BE64" s="112"/>
    </row>
    <row r="65" spans="2:57" x14ac:dyDescent="0.35">
      <c r="B65" s="59"/>
      <c r="C65" s="59"/>
      <c r="D65" s="104"/>
      <c r="E65" s="105"/>
      <c r="F65" s="105"/>
      <c r="G65" s="105"/>
      <c r="H65" s="68"/>
      <c r="I65" s="106"/>
      <c r="J65" s="107"/>
      <c r="K65" s="108"/>
      <c r="L65" s="108"/>
      <c r="M65" s="108"/>
      <c r="N65" s="108"/>
      <c r="O65" s="108"/>
      <c r="P65" s="108"/>
      <c r="Q65" s="108"/>
      <c r="R65" s="108"/>
      <c r="S65" s="108"/>
      <c r="T65" s="108"/>
      <c r="U65" s="108"/>
      <c r="V65" s="108"/>
      <c r="W65" s="108"/>
      <c r="X65" s="108"/>
      <c r="Y65" s="108"/>
      <c r="Z65" s="109"/>
      <c r="AA65" s="109"/>
      <c r="AB65" s="109"/>
      <c r="AC65" s="109"/>
      <c r="AD65" s="109"/>
      <c r="AE65" s="109"/>
      <c r="AF65" s="109"/>
      <c r="AG65" s="109"/>
      <c r="AH65" s="109"/>
      <c r="AI65" s="109"/>
      <c r="AJ65" s="109"/>
      <c r="AK65" s="109"/>
      <c r="AL65" s="109"/>
      <c r="AM65" s="109"/>
      <c r="AN65" s="110"/>
      <c r="AO65" s="110"/>
      <c r="AP65" s="111"/>
      <c r="AQ65" s="112"/>
      <c r="AR65" s="112"/>
      <c r="AS65" s="112"/>
      <c r="AT65" s="112"/>
      <c r="AU65" s="112"/>
      <c r="AV65" s="112"/>
      <c r="AW65" s="112"/>
      <c r="AX65" s="112"/>
      <c r="AY65" s="112"/>
      <c r="AZ65" s="112"/>
      <c r="BA65" s="112"/>
      <c r="BB65" s="112"/>
      <c r="BC65" s="112"/>
      <c r="BD65" s="112"/>
      <c r="BE65" s="112"/>
    </row>
    <row r="66" spans="2:57" x14ac:dyDescent="0.35">
      <c r="B66" s="59"/>
      <c r="C66" s="59"/>
      <c r="D66" s="104"/>
      <c r="E66" s="105"/>
      <c r="F66" s="105"/>
      <c r="G66" s="105"/>
      <c r="H66" s="68"/>
      <c r="I66" s="106"/>
      <c r="J66" s="107"/>
      <c r="K66" s="108"/>
      <c r="L66" s="108"/>
      <c r="M66" s="108"/>
      <c r="N66" s="108"/>
      <c r="O66" s="108"/>
      <c r="P66" s="108"/>
      <c r="Q66" s="108"/>
      <c r="R66" s="108"/>
      <c r="S66" s="108"/>
      <c r="T66" s="108"/>
      <c r="U66" s="108"/>
      <c r="V66" s="108"/>
      <c r="W66" s="108"/>
      <c r="X66" s="108"/>
      <c r="Y66" s="108"/>
      <c r="Z66" s="109"/>
      <c r="AA66" s="109"/>
      <c r="AB66" s="109"/>
      <c r="AC66" s="109"/>
      <c r="AD66" s="109"/>
      <c r="AE66" s="109"/>
      <c r="AF66" s="109"/>
      <c r="AG66" s="109"/>
      <c r="AH66" s="109"/>
      <c r="AI66" s="109"/>
      <c r="AJ66" s="109"/>
      <c r="AK66" s="109"/>
      <c r="AL66" s="109"/>
      <c r="AM66" s="109"/>
      <c r="AN66" s="110"/>
      <c r="AO66" s="110"/>
      <c r="AP66" s="111"/>
      <c r="AQ66" s="112"/>
      <c r="AR66" s="112"/>
      <c r="AS66" s="112"/>
      <c r="AT66" s="112"/>
      <c r="AU66" s="112"/>
      <c r="AV66" s="112"/>
      <c r="AW66" s="112"/>
      <c r="AX66" s="112"/>
      <c r="AY66" s="112"/>
      <c r="AZ66" s="112"/>
      <c r="BA66" s="112"/>
      <c r="BB66" s="112"/>
      <c r="BC66" s="112"/>
      <c r="BD66" s="112"/>
      <c r="BE66" s="112"/>
    </row>
    <row r="67" spans="2:57" x14ac:dyDescent="0.35">
      <c r="B67" s="59"/>
      <c r="C67" s="59"/>
      <c r="D67" s="104"/>
      <c r="E67" s="105"/>
      <c r="F67" s="105"/>
      <c r="G67" s="105"/>
      <c r="H67" s="68"/>
      <c r="I67" s="106"/>
      <c r="J67" s="107"/>
      <c r="K67" s="108"/>
      <c r="L67" s="108"/>
      <c r="M67" s="108"/>
      <c r="N67" s="108"/>
      <c r="O67" s="108"/>
      <c r="P67" s="108"/>
      <c r="Q67" s="108"/>
      <c r="R67" s="108"/>
      <c r="S67" s="108"/>
      <c r="T67" s="108"/>
      <c r="U67" s="108"/>
      <c r="V67" s="108"/>
      <c r="W67" s="108"/>
      <c r="X67" s="108"/>
      <c r="Y67" s="108"/>
      <c r="Z67" s="109"/>
      <c r="AA67" s="109"/>
      <c r="AB67" s="109"/>
      <c r="AC67" s="109"/>
      <c r="AD67" s="109"/>
      <c r="AE67" s="109"/>
      <c r="AF67" s="109"/>
      <c r="AG67" s="109"/>
      <c r="AH67" s="109"/>
      <c r="AI67" s="109"/>
      <c r="AJ67" s="109"/>
      <c r="AK67" s="109"/>
      <c r="AL67" s="109"/>
      <c r="AM67" s="109"/>
      <c r="AN67" s="110"/>
      <c r="AO67" s="110"/>
      <c r="AP67" s="111"/>
      <c r="AQ67" s="112"/>
      <c r="AR67" s="112"/>
      <c r="AS67" s="112"/>
      <c r="AT67" s="112"/>
      <c r="AU67" s="112"/>
      <c r="AV67" s="112"/>
      <c r="AW67" s="112"/>
      <c r="AX67" s="112"/>
      <c r="AY67" s="112"/>
      <c r="AZ67" s="112"/>
      <c r="BA67" s="112"/>
      <c r="BB67" s="112"/>
      <c r="BC67" s="112"/>
      <c r="BD67" s="112"/>
      <c r="BE67" s="112"/>
    </row>
    <row r="68" spans="2:57" x14ac:dyDescent="0.35">
      <c r="B68" s="59"/>
      <c r="C68" s="59"/>
      <c r="D68" s="104"/>
      <c r="E68" s="105"/>
      <c r="F68" s="105"/>
      <c r="G68" s="105"/>
      <c r="H68" s="68"/>
      <c r="I68" s="106"/>
      <c r="J68" s="107"/>
      <c r="K68" s="108"/>
      <c r="L68" s="108"/>
      <c r="M68" s="108"/>
      <c r="N68" s="108"/>
      <c r="O68" s="108"/>
      <c r="P68" s="108"/>
      <c r="Q68" s="108"/>
      <c r="R68" s="108"/>
      <c r="S68" s="108"/>
      <c r="T68" s="108"/>
      <c r="U68" s="108"/>
      <c r="V68" s="108"/>
      <c r="W68" s="108"/>
      <c r="X68" s="108"/>
      <c r="Y68" s="108"/>
      <c r="Z68" s="109"/>
      <c r="AA68" s="109"/>
      <c r="AB68" s="109"/>
      <c r="AC68" s="109"/>
      <c r="AD68" s="109"/>
      <c r="AE68" s="109"/>
      <c r="AF68" s="109"/>
      <c r="AG68" s="109"/>
      <c r="AH68" s="109"/>
      <c r="AI68" s="109"/>
      <c r="AJ68" s="109"/>
      <c r="AK68" s="109"/>
      <c r="AL68" s="109"/>
      <c r="AM68" s="109"/>
      <c r="AN68" s="110"/>
      <c r="AO68" s="110"/>
      <c r="AP68" s="111"/>
      <c r="AQ68" s="112"/>
      <c r="AR68" s="112"/>
      <c r="AS68" s="112"/>
      <c r="AT68" s="112"/>
      <c r="AU68" s="112"/>
      <c r="AV68" s="112"/>
      <c r="AW68" s="112"/>
      <c r="AX68" s="112"/>
      <c r="AY68" s="112"/>
      <c r="AZ68" s="112"/>
      <c r="BA68" s="112"/>
      <c r="BB68" s="112"/>
      <c r="BC68" s="112"/>
      <c r="BD68" s="112"/>
      <c r="BE68" s="112"/>
    </row>
    <row r="69" spans="2:57" x14ac:dyDescent="0.35">
      <c r="B69" s="59"/>
      <c r="C69" s="59"/>
      <c r="D69" s="104"/>
      <c r="E69" s="105"/>
      <c r="F69" s="105"/>
      <c r="G69" s="105"/>
      <c r="H69" s="68"/>
      <c r="I69" s="106"/>
      <c r="J69" s="107"/>
      <c r="K69" s="108"/>
      <c r="L69" s="108"/>
      <c r="M69" s="108"/>
      <c r="N69" s="108"/>
      <c r="O69" s="108"/>
      <c r="P69" s="108"/>
      <c r="Q69" s="108"/>
      <c r="R69" s="108"/>
      <c r="S69" s="108"/>
      <c r="T69" s="108"/>
      <c r="U69" s="108"/>
      <c r="V69" s="108"/>
      <c r="W69" s="108"/>
      <c r="X69" s="108"/>
      <c r="Y69" s="108"/>
      <c r="Z69" s="109"/>
      <c r="AA69" s="109"/>
      <c r="AB69" s="109"/>
      <c r="AC69" s="109"/>
      <c r="AD69" s="109"/>
      <c r="AE69" s="109"/>
      <c r="AF69" s="109"/>
      <c r="AG69" s="109"/>
      <c r="AH69" s="109"/>
      <c r="AI69" s="109"/>
      <c r="AJ69" s="109"/>
      <c r="AK69" s="109"/>
      <c r="AL69" s="109"/>
      <c r="AM69" s="109"/>
      <c r="AN69" s="110"/>
      <c r="AO69" s="110"/>
      <c r="AP69" s="111"/>
      <c r="AQ69" s="112"/>
      <c r="AR69" s="112"/>
      <c r="AS69" s="112"/>
      <c r="AT69" s="112"/>
      <c r="AU69" s="112"/>
      <c r="AV69" s="112"/>
      <c r="AW69" s="112"/>
      <c r="AX69" s="112"/>
      <c r="AY69" s="112"/>
      <c r="AZ69" s="112"/>
      <c r="BA69" s="112"/>
      <c r="BB69" s="112"/>
      <c r="BC69" s="112"/>
      <c r="BD69" s="112"/>
      <c r="BE69" s="112"/>
    </row>
    <row r="70" spans="2:57" x14ac:dyDescent="0.35">
      <c r="B70" s="59"/>
      <c r="C70" s="59"/>
      <c r="D70" s="104"/>
      <c r="E70" s="105"/>
      <c r="F70" s="105"/>
      <c r="G70" s="105"/>
      <c r="H70" s="68"/>
      <c r="I70" s="106"/>
      <c r="J70" s="107"/>
      <c r="K70" s="108"/>
      <c r="L70" s="108"/>
      <c r="M70" s="108"/>
      <c r="N70" s="108"/>
      <c r="O70" s="108"/>
      <c r="P70" s="108"/>
      <c r="Q70" s="108"/>
      <c r="R70" s="108"/>
      <c r="S70" s="108"/>
      <c r="T70" s="108"/>
      <c r="U70" s="108"/>
      <c r="V70" s="108"/>
      <c r="W70" s="108"/>
      <c r="X70" s="108"/>
      <c r="Y70" s="108"/>
      <c r="Z70" s="109"/>
      <c r="AA70" s="109"/>
      <c r="AB70" s="109"/>
      <c r="AC70" s="109"/>
      <c r="AD70" s="109"/>
      <c r="AE70" s="109"/>
      <c r="AF70" s="109"/>
      <c r="AG70" s="109"/>
      <c r="AH70" s="109"/>
      <c r="AI70" s="109"/>
      <c r="AJ70" s="109"/>
      <c r="AK70" s="109"/>
      <c r="AL70" s="109"/>
      <c r="AM70" s="109"/>
      <c r="AN70" s="110"/>
      <c r="AO70" s="110"/>
      <c r="AP70" s="111"/>
      <c r="AQ70" s="112"/>
      <c r="AR70" s="112"/>
      <c r="AS70" s="112"/>
      <c r="AT70" s="112"/>
      <c r="AU70" s="112"/>
      <c r="AV70" s="112"/>
      <c r="AW70" s="112"/>
      <c r="AX70" s="112"/>
      <c r="AY70" s="112"/>
      <c r="AZ70" s="112"/>
      <c r="BA70" s="112"/>
      <c r="BB70" s="112"/>
      <c r="BC70" s="112"/>
      <c r="BD70" s="112"/>
      <c r="BE70" s="112"/>
    </row>
    <row r="71" spans="2:57" x14ac:dyDescent="0.35">
      <c r="B71" s="59"/>
      <c r="C71" s="59"/>
      <c r="D71" s="104"/>
      <c r="E71" s="105"/>
      <c r="F71" s="105"/>
      <c r="G71" s="105"/>
      <c r="H71" s="68"/>
      <c r="I71" s="106"/>
      <c r="J71" s="107"/>
      <c r="K71" s="108"/>
      <c r="L71" s="108"/>
      <c r="M71" s="108"/>
      <c r="N71" s="108"/>
      <c r="O71" s="108"/>
      <c r="P71" s="108"/>
      <c r="Q71" s="108"/>
      <c r="R71" s="108"/>
      <c r="S71" s="108"/>
      <c r="T71" s="108"/>
      <c r="U71" s="108"/>
      <c r="V71" s="108"/>
      <c r="W71" s="108"/>
      <c r="X71" s="108"/>
      <c r="Y71" s="108"/>
      <c r="Z71" s="109"/>
      <c r="AA71" s="109"/>
      <c r="AB71" s="109"/>
      <c r="AC71" s="109"/>
      <c r="AD71" s="109"/>
      <c r="AE71" s="109"/>
      <c r="AF71" s="109"/>
      <c r="AG71" s="109"/>
      <c r="AH71" s="109"/>
      <c r="AI71" s="109"/>
      <c r="AJ71" s="109"/>
      <c r="AK71" s="109"/>
      <c r="AL71" s="109"/>
      <c r="AM71" s="109"/>
      <c r="AN71" s="110"/>
      <c r="AO71" s="110"/>
      <c r="AP71" s="111"/>
      <c r="AQ71" s="112"/>
      <c r="AR71" s="112"/>
      <c r="AS71" s="112"/>
      <c r="AT71" s="112"/>
      <c r="AU71" s="112"/>
      <c r="AV71" s="112"/>
      <c r="AW71" s="112"/>
      <c r="AX71" s="112"/>
      <c r="AY71" s="112"/>
      <c r="AZ71" s="112"/>
      <c r="BA71" s="112"/>
      <c r="BB71" s="112"/>
      <c r="BC71" s="112"/>
      <c r="BD71" s="112"/>
      <c r="BE71" s="112"/>
    </row>
    <row r="72" spans="2:57" x14ac:dyDescent="0.35">
      <c r="B72" s="59"/>
      <c r="C72" s="59"/>
      <c r="D72" s="104"/>
      <c r="E72" s="105"/>
      <c r="F72" s="105"/>
      <c r="G72" s="105"/>
      <c r="H72" s="68"/>
      <c r="I72" s="106"/>
      <c r="J72" s="107"/>
      <c r="K72" s="108"/>
      <c r="L72" s="108"/>
      <c r="M72" s="108"/>
      <c r="N72" s="108"/>
      <c r="O72" s="108"/>
      <c r="P72" s="108"/>
      <c r="Q72" s="108"/>
      <c r="R72" s="108"/>
      <c r="S72" s="108"/>
      <c r="T72" s="108"/>
      <c r="U72" s="108"/>
      <c r="V72" s="108"/>
      <c r="W72" s="108"/>
      <c r="X72" s="108"/>
      <c r="Y72" s="108"/>
      <c r="Z72" s="109"/>
      <c r="AA72" s="109"/>
      <c r="AB72" s="109"/>
      <c r="AC72" s="109"/>
      <c r="AD72" s="109"/>
      <c r="AE72" s="109"/>
      <c r="AF72" s="109"/>
      <c r="AG72" s="109"/>
      <c r="AH72" s="109"/>
      <c r="AI72" s="109"/>
      <c r="AJ72" s="109"/>
      <c r="AK72" s="109"/>
      <c r="AL72" s="109"/>
      <c r="AM72" s="109"/>
      <c r="AN72" s="110"/>
      <c r="AO72" s="110"/>
      <c r="AP72" s="111"/>
      <c r="AQ72" s="112"/>
      <c r="AR72" s="112"/>
      <c r="AS72" s="112"/>
      <c r="AT72" s="112"/>
      <c r="AU72" s="112"/>
      <c r="AV72" s="112"/>
      <c r="AW72" s="112"/>
      <c r="AX72" s="112"/>
      <c r="AY72" s="112"/>
      <c r="AZ72" s="112"/>
      <c r="BA72" s="112"/>
      <c r="BB72" s="112"/>
      <c r="BC72" s="112"/>
      <c r="BD72" s="112"/>
      <c r="BE72" s="112"/>
    </row>
    <row r="73" spans="2:57" x14ac:dyDescent="0.35">
      <c r="B73" s="59"/>
      <c r="C73" s="59"/>
      <c r="D73" s="104"/>
      <c r="E73" s="105"/>
      <c r="F73" s="105"/>
      <c r="G73" s="105"/>
      <c r="H73" s="68"/>
      <c r="I73" s="106"/>
      <c r="J73" s="107"/>
      <c r="K73" s="108"/>
      <c r="L73" s="108"/>
      <c r="M73" s="108"/>
      <c r="N73" s="108"/>
      <c r="O73" s="108"/>
      <c r="P73" s="108"/>
      <c r="Q73" s="108"/>
      <c r="R73" s="108"/>
      <c r="S73" s="108"/>
      <c r="T73" s="108"/>
      <c r="U73" s="108"/>
      <c r="V73" s="108"/>
      <c r="W73" s="108"/>
      <c r="X73" s="108"/>
      <c r="Y73" s="108"/>
      <c r="Z73" s="109"/>
      <c r="AA73" s="109"/>
      <c r="AB73" s="109"/>
      <c r="AC73" s="109"/>
      <c r="AD73" s="109"/>
      <c r="AE73" s="109"/>
      <c r="AF73" s="109"/>
      <c r="AG73" s="109"/>
      <c r="AH73" s="109"/>
      <c r="AI73" s="109"/>
      <c r="AJ73" s="109"/>
      <c r="AK73" s="109"/>
      <c r="AL73" s="109"/>
      <c r="AM73" s="109"/>
      <c r="AN73" s="110"/>
      <c r="AO73" s="110"/>
      <c r="AP73" s="111"/>
      <c r="AQ73" s="112"/>
      <c r="AR73" s="112"/>
      <c r="AS73" s="112"/>
      <c r="AT73" s="112"/>
      <c r="AU73" s="112"/>
      <c r="AV73" s="112"/>
      <c r="AW73" s="112"/>
      <c r="AX73" s="112"/>
      <c r="AY73" s="112"/>
      <c r="AZ73" s="112"/>
      <c r="BA73" s="112"/>
      <c r="BB73" s="112"/>
      <c r="BC73" s="112"/>
      <c r="BD73" s="112"/>
      <c r="BE73" s="112"/>
    </row>
    <row r="74" spans="2:57" x14ac:dyDescent="0.35">
      <c r="B74" s="59"/>
      <c r="C74" s="59"/>
      <c r="D74" s="104"/>
      <c r="E74" s="105"/>
      <c r="F74" s="105"/>
      <c r="G74" s="105"/>
      <c r="H74" s="68"/>
      <c r="I74" s="106"/>
      <c r="J74" s="107"/>
      <c r="K74" s="108"/>
      <c r="L74" s="108"/>
      <c r="M74" s="108"/>
      <c r="N74" s="108"/>
      <c r="O74" s="108"/>
      <c r="P74" s="108"/>
      <c r="Q74" s="108"/>
      <c r="R74" s="108"/>
      <c r="S74" s="108"/>
      <c r="T74" s="108"/>
      <c r="U74" s="108"/>
      <c r="V74" s="108"/>
      <c r="W74" s="108"/>
      <c r="X74" s="108"/>
      <c r="Y74" s="108"/>
      <c r="Z74" s="109"/>
      <c r="AA74" s="109"/>
      <c r="AB74" s="109"/>
      <c r="AC74" s="109"/>
      <c r="AD74" s="109"/>
      <c r="AE74" s="109"/>
      <c r="AF74" s="109"/>
      <c r="AG74" s="109"/>
      <c r="AH74" s="109"/>
      <c r="AI74" s="109"/>
      <c r="AJ74" s="109"/>
      <c r="AK74" s="109"/>
      <c r="AL74" s="109"/>
      <c r="AM74" s="109"/>
      <c r="AN74" s="110"/>
      <c r="AO74" s="110"/>
      <c r="AP74" s="111"/>
      <c r="AQ74" s="112"/>
      <c r="AR74" s="112"/>
      <c r="AS74" s="112"/>
      <c r="AT74" s="112"/>
      <c r="AU74" s="112"/>
      <c r="AV74" s="112"/>
      <c r="AW74" s="112"/>
      <c r="AX74" s="112"/>
      <c r="AY74" s="112"/>
      <c r="AZ74" s="112"/>
      <c r="BA74" s="112"/>
      <c r="BB74" s="112"/>
      <c r="BC74" s="112"/>
      <c r="BD74" s="112"/>
      <c r="BE74" s="112"/>
    </row>
    <row r="75" spans="2:57" x14ac:dyDescent="0.35">
      <c r="B75" s="59"/>
      <c r="C75" s="59"/>
      <c r="D75" s="104"/>
      <c r="E75" s="105"/>
      <c r="F75" s="105"/>
      <c r="G75" s="105"/>
      <c r="H75" s="68"/>
      <c r="I75" s="106"/>
      <c r="J75" s="107"/>
      <c r="K75" s="108"/>
      <c r="L75" s="108"/>
      <c r="M75" s="108"/>
      <c r="N75" s="108"/>
      <c r="O75" s="108"/>
      <c r="P75" s="108"/>
      <c r="Q75" s="108"/>
      <c r="R75" s="108"/>
      <c r="S75" s="108"/>
      <c r="T75" s="108"/>
      <c r="U75" s="108"/>
      <c r="V75" s="108"/>
      <c r="W75" s="108"/>
      <c r="X75" s="108"/>
      <c r="Y75" s="108"/>
      <c r="Z75" s="109"/>
      <c r="AA75" s="109"/>
      <c r="AB75" s="109"/>
      <c r="AC75" s="109"/>
      <c r="AD75" s="109"/>
      <c r="AE75" s="109"/>
      <c r="AF75" s="109"/>
      <c r="AG75" s="109"/>
      <c r="AH75" s="109"/>
      <c r="AI75" s="109"/>
      <c r="AJ75" s="109"/>
      <c r="AK75" s="109"/>
      <c r="AL75" s="109"/>
      <c r="AM75" s="109"/>
      <c r="AN75" s="110"/>
      <c r="AO75" s="110"/>
      <c r="AP75" s="111"/>
      <c r="AQ75" s="112"/>
      <c r="AR75" s="112"/>
      <c r="AS75" s="112"/>
      <c r="AT75" s="112"/>
      <c r="AU75" s="112"/>
      <c r="AV75" s="112"/>
      <c r="AW75" s="112"/>
      <c r="AX75" s="112"/>
      <c r="AY75" s="112"/>
      <c r="AZ75" s="112"/>
      <c r="BA75" s="112"/>
      <c r="BB75" s="112"/>
      <c r="BC75" s="112"/>
      <c r="BD75" s="112"/>
      <c r="BE75" s="112"/>
    </row>
    <row r="76" spans="2:57" x14ac:dyDescent="0.35">
      <c r="B76" s="59"/>
      <c r="C76" s="59"/>
      <c r="D76" s="104"/>
      <c r="E76" s="105"/>
      <c r="F76" s="105"/>
      <c r="G76" s="105"/>
      <c r="H76" s="68"/>
      <c r="I76" s="106"/>
      <c r="J76" s="107"/>
      <c r="K76" s="108"/>
      <c r="L76" s="108"/>
      <c r="M76" s="108"/>
      <c r="N76" s="108"/>
      <c r="O76" s="108"/>
      <c r="P76" s="108"/>
      <c r="Q76" s="108"/>
      <c r="R76" s="108"/>
      <c r="S76" s="108"/>
      <c r="T76" s="108"/>
      <c r="U76" s="108"/>
      <c r="V76" s="108"/>
      <c r="W76" s="108"/>
      <c r="X76" s="108"/>
      <c r="Y76" s="108"/>
      <c r="Z76" s="109"/>
      <c r="AA76" s="109"/>
      <c r="AB76" s="109"/>
      <c r="AC76" s="109"/>
      <c r="AD76" s="109"/>
      <c r="AE76" s="109"/>
      <c r="AF76" s="109"/>
      <c r="AG76" s="109"/>
      <c r="AH76" s="109"/>
      <c r="AI76" s="109"/>
      <c r="AJ76" s="109"/>
      <c r="AK76" s="109"/>
      <c r="AL76" s="109"/>
      <c r="AM76" s="109"/>
      <c r="AN76" s="110"/>
      <c r="AO76" s="110"/>
      <c r="AP76" s="111"/>
      <c r="AQ76" s="112"/>
      <c r="AR76" s="112"/>
      <c r="AS76" s="112"/>
      <c r="AT76" s="112"/>
      <c r="AU76" s="112"/>
      <c r="AV76" s="112"/>
      <c r="AW76" s="112"/>
      <c r="AX76" s="112"/>
      <c r="AY76" s="112"/>
      <c r="AZ76" s="112"/>
      <c r="BA76" s="112"/>
      <c r="BB76" s="112"/>
      <c r="BC76" s="112"/>
      <c r="BD76" s="112"/>
      <c r="BE76" s="112"/>
    </row>
    <row r="77" spans="2:57" x14ac:dyDescent="0.35">
      <c r="B77" s="59"/>
      <c r="C77" s="59"/>
      <c r="D77" s="104"/>
      <c r="E77" s="105"/>
      <c r="F77" s="105"/>
      <c r="G77" s="105"/>
      <c r="H77" s="68"/>
      <c r="I77" s="106"/>
      <c r="J77" s="107"/>
      <c r="K77" s="108"/>
      <c r="L77" s="108"/>
      <c r="M77" s="108"/>
      <c r="N77" s="108"/>
      <c r="O77" s="108"/>
      <c r="P77" s="108"/>
      <c r="Q77" s="108"/>
      <c r="R77" s="108"/>
      <c r="S77" s="108"/>
      <c r="T77" s="108"/>
      <c r="U77" s="108"/>
      <c r="V77" s="108"/>
      <c r="W77" s="108"/>
      <c r="X77" s="108"/>
      <c r="Y77" s="108"/>
      <c r="Z77" s="109"/>
      <c r="AA77" s="109"/>
      <c r="AB77" s="109"/>
      <c r="AC77" s="109"/>
      <c r="AD77" s="109"/>
      <c r="AE77" s="109"/>
      <c r="AF77" s="109"/>
      <c r="AG77" s="109"/>
      <c r="AH77" s="109"/>
      <c r="AI77" s="109"/>
      <c r="AJ77" s="109"/>
      <c r="AK77" s="109"/>
      <c r="AL77" s="109"/>
      <c r="AM77" s="109"/>
      <c r="AN77" s="110"/>
      <c r="AO77" s="110"/>
      <c r="AP77" s="111"/>
      <c r="AQ77" s="112"/>
      <c r="AR77" s="112"/>
      <c r="AS77" s="112"/>
      <c r="AT77" s="112"/>
      <c r="AU77" s="112"/>
      <c r="AV77" s="112"/>
      <c r="AW77" s="112"/>
      <c r="AX77" s="112"/>
      <c r="AY77" s="112"/>
      <c r="AZ77" s="112"/>
      <c r="BA77" s="112"/>
      <c r="BB77" s="112"/>
      <c r="BC77" s="112"/>
      <c r="BD77" s="112"/>
      <c r="BE77" s="112"/>
    </row>
    <row r="78" spans="2:57" x14ac:dyDescent="0.35">
      <c r="B78" s="59"/>
      <c r="C78" s="59"/>
      <c r="D78" s="104"/>
      <c r="E78" s="105"/>
      <c r="F78" s="105"/>
      <c r="G78" s="105"/>
      <c r="H78" s="68"/>
      <c r="I78" s="106"/>
      <c r="J78" s="107"/>
      <c r="K78" s="108"/>
      <c r="L78" s="108"/>
      <c r="M78" s="108"/>
      <c r="N78" s="108"/>
      <c r="O78" s="108"/>
      <c r="P78" s="108"/>
      <c r="Q78" s="108"/>
      <c r="R78" s="108"/>
      <c r="S78" s="108"/>
      <c r="T78" s="108"/>
      <c r="U78" s="108"/>
      <c r="V78" s="108"/>
      <c r="W78" s="108"/>
      <c r="X78" s="108"/>
      <c r="Y78" s="108"/>
      <c r="Z78" s="109"/>
      <c r="AA78" s="109"/>
      <c r="AB78" s="109"/>
      <c r="AC78" s="109"/>
      <c r="AD78" s="109"/>
      <c r="AE78" s="109"/>
      <c r="AF78" s="109"/>
      <c r="AG78" s="109"/>
      <c r="AH78" s="109"/>
      <c r="AI78" s="109"/>
      <c r="AJ78" s="109"/>
      <c r="AK78" s="109"/>
      <c r="AL78" s="109"/>
      <c r="AM78" s="109"/>
      <c r="AN78" s="110"/>
      <c r="AO78" s="110"/>
      <c r="AP78" s="111"/>
      <c r="AQ78" s="112"/>
      <c r="AR78" s="112"/>
      <c r="AS78" s="112"/>
      <c r="AT78" s="112"/>
      <c r="AU78" s="112"/>
      <c r="AV78" s="112"/>
      <c r="AW78" s="112"/>
      <c r="AX78" s="112"/>
      <c r="AY78" s="112"/>
      <c r="AZ78" s="112"/>
      <c r="BA78" s="112"/>
      <c r="BB78" s="112"/>
      <c r="BC78" s="112"/>
      <c r="BD78" s="112"/>
      <c r="BE78" s="112"/>
    </row>
    <row r="79" spans="2:57" x14ac:dyDescent="0.35">
      <c r="B79" s="59"/>
      <c r="C79" s="59"/>
      <c r="D79" s="104"/>
      <c r="E79" s="105"/>
      <c r="F79" s="105"/>
      <c r="G79" s="105"/>
      <c r="H79" s="68"/>
      <c r="I79" s="106"/>
      <c r="J79" s="107"/>
      <c r="K79" s="108"/>
      <c r="L79" s="108"/>
      <c r="M79" s="108"/>
      <c r="N79" s="108"/>
      <c r="O79" s="108"/>
      <c r="P79" s="108"/>
      <c r="Q79" s="108"/>
      <c r="R79" s="108"/>
      <c r="S79" s="108"/>
      <c r="T79" s="108"/>
      <c r="U79" s="108"/>
      <c r="V79" s="108"/>
      <c r="W79" s="108"/>
      <c r="X79" s="108"/>
      <c r="Y79" s="108"/>
      <c r="Z79" s="109"/>
      <c r="AA79" s="109"/>
      <c r="AB79" s="109"/>
      <c r="AC79" s="109"/>
      <c r="AD79" s="109"/>
      <c r="AE79" s="109"/>
      <c r="AF79" s="109"/>
      <c r="AG79" s="109"/>
      <c r="AH79" s="109"/>
      <c r="AI79" s="109"/>
      <c r="AJ79" s="109"/>
      <c r="AK79" s="109"/>
      <c r="AL79" s="109"/>
      <c r="AM79" s="109"/>
      <c r="AN79" s="110"/>
      <c r="AO79" s="110"/>
      <c r="AP79" s="111"/>
      <c r="AQ79" s="112"/>
      <c r="AR79" s="112"/>
      <c r="AS79" s="112"/>
      <c r="AT79" s="112"/>
      <c r="AU79" s="112"/>
      <c r="AV79" s="112"/>
      <c r="AW79" s="112"/>
      <c r="AX79" s="112"/>
      <c r="AY79" s="112"/>
      <c r="AZ79" s="112"/>
      <c r="BA79" s="112"/>
      <c r="BB79" s="112"/>
      <c r="BC79" s="112"/>
      <c r="BD79" s="112"/>
      <c r="BE79" s="112"/>
    </row>
    <row r="80" spans="2:57" x14ac:dyDescent="0.35">
      <c r="B80" s="59"/>
      <c r="C80" s="59"/>
      <c r="D80" s="104"/>
      <c r="E80" s="105"/>
      <c r="F80" s="105"/>
      <c r="G80" s="105"/>
      <c r="H80" s="68"/>
      <c r="I80" s="106"/>
      <c r="J80" s="107"/>
      <c r="K80" s="108"/>
      <c r="L80" s="108"/>
      <c r="M80" s="108"/>
      <c r="N80" s="108"/>
      <c r="O80" s="108"/>
      <c r="P80" s="108"/>
      <c r="Q80" s="108"/>
      <c r="R80" s="108"/>
      <c r="S80" s="108"/>
      <c r="T80" s="108"/>
      <c r="U80" s="108"/>
      <c r="V80" s="108"/>
      <c r="W80" s="108"/>
      <c r="X80" s="108"/>
      <c r="Y80" s="108"/>
      <c r="Z80" s="109"/>
      <c r="AA80" s="109"/>
      <c r="AB80" s="109"/>
      <c r="AC80" s="109"/>
      <c r="AD80" s="109"/>
      <c r="AE80" s="109"/>
      <c r="AF80" s="109"/>
      <c r="AG80" s="109"/>
      <c r="AH80" s="109"/>
      <c r="AI80" s="109"/>
      <c r="AJ80" s="109"/>
      <c r="AK80" s="109"/>
      <c r="AL80" s="109"/>
      <c r="AM80" s="109"/>
      <c r="AN80" s="110"/>
      <c r="AO80" s="110"/>
      <c r="AP80" s="111"/>
      <c r="AQ80" s="112"/>
      <c r="AR80" s="112"/>
      <c r="AS80" s="112"/>
      <c r="AT80" s="112"/>
      <c r="AU80" s="112"/>
      <c r="AV80" s="112"/>
      <c r="AW80" s="112"/>
      <c r="AX80" s="112"/>
      <c r="AY80" s="112"/>
      <c r="AZ80" s="112"/>
      <c r="BA80" s="112"/>
      <c r="BB80" s="112"/>
      <c r="BC80" s="112"/>
      <c r="BD80" s="112"/>
      <c r="BE80" s="112"/>
    </row>
    <row r="81" spans="2:57" x14ac:dyDescent="0.35">
      <c r="B81" s="59"/>
      <c r="C81" s="59"/>
      <c r="D81" s="104"/>
      <c r="E81" s="105"/>
      <c r="F81" s="105"/>
      <c r="G81" s="105"/>
      <c r="H81" s="68"/>
      <c r="I81" s="106"/>
      <c r="J81" s="107"/>
      <c r="K81" s="108"/>
      <c r="L81" s="108"/>
      <c r="M81" s="108"/>
      <c r="N81" s="108"/>
      <c r="O81" s="108"/>
      <c r="P81" s="108"/>
      <c r="Q81" s="108"/>
      <c r="R81" s="108"/>
      <c r="S81" s="108"/>
      <c r="T81" s="108"/>
      <c r="U81" s="108"/>
      <c r="V81" s="108"/>
      <c r="W81" s="108"/>
      <c r="X81" s="108"/>
      <c r="Y81" s="108"/>
      <c r="Z81" s="109"/>
      <c r="AA81" s="109"/>
      <c r="AB81" s="109"/>
      <c r="AC81" s="109"/>
      <c r="AD81" s="109"/>
      <c r="AE81" s="109"/>
      <c r="AF81" s="109"/>
      <c r="AG81" s="109"/>
      <c r="AH81" s="109"/>
      <c r="AI81" s="109"/>
      <c r="AJ81" s="109"/>
      <c r="AK81" s="109"/>
      <c r="AL81" s="109"/>
      <c r="AM81" s="109"/>
      <c r="AN81" s="110"/>
      <c r="AO81" s="110"/>
      <c r="AP81" s="111"/>
      <c r="AQ81" s="112"/>
      <c r="AR81" s="112"/>
      <c r="AS81" s="112"/>
      <c r="AT81" s="112"/>
      <c r="AU81" s="112"/>
      <c r="AV81" s="112"/>
      <c r="AW81" s="112"/>
      <c r="AX81" s="112"/>
      <c r="AY81" s="112"/>
      <c r="AZ81" s="112"/>
      <c r="BA81" s="112"/>
      <c r="BB81" s="112"/>
      <c r="BC81" s="112"/>
      <c r="BD81" s="112"/>
      <c r="BE81" s="112"/>
    </row>
    <row r="82" spans="2:57" x14ac:dyDescent="0.35">
      <c r="B82" s="59"/>
      <c r="C82" s="59"/>
      <c r="D82" s="104"/>
      <c r="E82" s="105"/>
      <c r="F82" s="105"/>
      <c r="G82" s="105"/>
      <c r="H82" s="68"/>
      <c r="I82" s="106"/>
      <c r="J82" s="107"/>
      <c r="K82" s="108"/>
      <c r="L82" s="108"/>
      <c r="M82" s="108"/>
      <c r="N82" s="108"/>
      <c r="O82" s="108"/>
      <c r="P82" s="108"/>
      <c r="Q82" s="108"/>
      <c r="R82" s="108"/>
      <c r="S82" s="108"/>
      <c r="T82" s="108"/>
      <c r="U82" s="108"/>
      <c r="V82" s="108"/>
      <c r="W82" s="108"/>
      <c r="X82" s="108"/>
      <c r="Y82" s="108"/>
      <c r="Z82" s="109"/>
      <c r="AA82" s="109"/>
      <c r="AB82" s="109"/>
      <c r="AC82" s="109"/>
      <c r="AD82" s="109"/>
      <c r="AE82" s="109"/>
      <c r="AF82" s="109"/>
      <c r="AG82" s="109"/>
      <c r="AH82" s="109"/>
      <c r="AI82" s="109"/>
      <c r="AJ82" s="109"/>
      <c r="AK82" s="109"/>
      <c r="AL82" s="109"/>
      <c r="AM82" s="109"/>
      <c r="AN82" s="110"/>
      <c r="AO82" s="110"/>
      <c r="AP82" s="111"/>
      <c r="AQ82" s="112"/>
      <c r="AR82" s="112"/>
      <c r="AS82" s="112"/>
      <c r="AT82" s="112"/>
      <c r="AU82" s="112"/>
      <c r="AV82" s="112"/>
      <c r="AW82" s="112"/>
      <c r="AX82" s="112"/>
      <c r="AY82" s="112"/>
      <c r="AZ82" s="112"/>
      <c r="BA82" s="112"/>
      <c r="BB82" s="112"/>
      <c r="BC82" s="112"/>
      <c r="BD82" s="112"/>
      <c r="BE82" s="112"/>
    </row>
    <row r="83" spans="2:57" x14ac:dyDescent="0.35">
      <c r="B83" s="59"/>
      <c r="C83" s="59"/>
      <c r="D83" s="104"/>
      <c r="E83" s="105"/>
      <c r="F83" s="105"/>
      <c r="G83" s="105"/>
      <c r="H83" s="68"/>
      <c r="I83" s="106"/>
      <c r="J83" s="107"/>
      <c r="K83" s="108"/>
      <c r="L83" s="108"/>
      <c r="M83" s="108"/>
      <c r="N83" s="108"/>
      <c r="O83" s="108"/>
      <c r="P83" s="108"/>
      <c r="Q83" s="108"/>
      <c r="R83" s="108"/>
      <c r="S83" s="108"/>
      <c r="T83" s="108"/>
      <c r="U83" s="108"/>
      <c r="V83" s="108"/>
      <c r="W83" s="108"/>
      <c r="X83" s="108"/>
      <c r="Y83" s="108"/>
      <c r="Z83" s="109"/>
      <c r="AA83" s="109"/>
      <c r="AB83" s="109"/>
      <c r="AC83" s="109"/>
      <c r="AD83" s="109"/>
      <c r="AE83" s="109"/>
      <c r="AF83" s="109"/>
      <c r="AG83" s="109"/>
      <c r="AH83" s="109"/>
      <c r="AI83" s="109"/>
      <c r="AJ83" s="109"/>
      <c r="AK83" s="109"/>
      <c r="AL83" s="109"/>
      <c r="AM83" s="109"/>
      <c r="AN83" s="110"/>
      <c r="AO83" s="110"/>
      <c r="AP83" s="111"/>
      <c r="AQ83" s="112"/>
      <c r="AR83" s="112"/>
      <c r="AS83" s="112"/>
      <c r="AT83" s="112"/>
      <c r="AU83" s="112"/>
      <c r="AV83" s="112"/>
      <c r="AW83" s="112"/>
      <c r="AX83" s="112"/>
      <c r="AY83" s="112"/>
      <c r="AZ83" s="112"/>
      <c r="BA83" s="112"/>
      <c r="BB83" s="112"/>
      <c r="BC83" s="112"/>
      <c r="BD83" s="112"/>
      <c r="BE83" s="112"/>
    </row>
    <row r="84" spans="2:57" x14ac:dyDescent="0.35">
      <c r="B84" s="59"/>
      <c r="C84" s="59"/>
      <c r="D84" s="104"/>
      <c r="E84" s="105"/>
      <c r="F84" s="105"/>
      <c r="G84" s="105"/>
      <c r="H84" s="68"/>
      <c r="I84" s="106"/>
      <c r="J84" s="107"/>
      <c r="K84" s="108"/>
      <c r="L84" s="108"/>
      <c r="M84" s="108"/>
      <c r="N84" s="108"/>
      <c r="O84" s="108"/>
      <c r="P84" s="108"/>
      <c r="Q84" s="108"/>
      <c r="R84" s="108"/>
      <c r="S84" s="108"/>
      <c r="T84" s="108"/>
      <c r="U84" s="108"/>
      <c r="V84" s="108"/>
      <c r="W84" s="108"/>
      <c r="X84" s="108"/>
      <c r="Y84" s="108"/>
      <c r="Z84" s="109"/>
      <c r="AA84" s="109"/>
      <c r="AB84" s="109"/>
      <c r="AC84" s="109"/>
      <c r="AD84" s="109"/>
      <c r="AE84" s="109"/>
      <c r="AF84" s="109"/>
      <c r="AG84" s="109"/>
      <c r="AH84" s="109"/>
      <c r="AI84" s="109"/>
      <c r="AJ84" s="109"/>
      <c r="AK84" s="109"/>
      <c r="AL84" s="109"/>
      <c r="AM84" s="109"/>
      <c r="AN84" s="110"/>
      <c r="AO84" s="110"/>
      <c r="AP84" s="111"/>
      <c r="AQ84" s="112"/>
      <c r="AR84" s="112"/>
      <c r="AS84" s="112"/>
      <c r="AT84" s="112"/>
      <c r="AU84" s="112"/>
      <c r="AV84" s="112"/>
      <c r="AW84" s="112"/>
      <c r="AX84" s="112"/>
      <c r="AY84" s="112"/>
      <c r="AZ84" s="112"/>
      <c r="BA84" s="112"/>
      <c r="BB84" s="112"/>
      <c r="BC84" s="112"/>
      <c r="BD84" s="112"/>
      <c r="BE84" s="112"/>
    </row>
    <row r="85" spans="2:57" x14ac:dyDescent="0.35">
      <c r="B85" s="59"/>
      <c r="C85" s="59"/>
      <c r="D85" s="104"/>
      <c r="E85" s="105"/>
      <c r="F85" s="105"/>
      <c r="G85" s="105"/>
      <c r="H85" s="68"/>
      <c r="I85" s="106"/>
      <c r="J85" s="107"/>
      <c r="K85" s="108"/>
      <c r="L85" s="108"/>
      <c r="M85" s="108"/>
      <c r="N85" s="108"/>
      <c r="O85" s="108"/>
      <c r="P85" s="108"/>
      <c r="Q85" s="108"/>
      <c r="R85" s="108"/>
      <c r="S85" s="108"/>
      <c r="T85" s="108"/>
      <c r="U85" s="108"/>
      <c r="V85" s="108"/>
      <c r="W85" s="108"/>
      <c r="X85" s="108"/>
      <c r="Y85" s="108"/>
      <c r="Z85" s="109"/>
      <c r="AA85" s="109"/>
      <c r="AB85" s="109"/>
      <c r="AC85" s="109"/>
      <c r="AD85" s="109"/>
      <c r="AE85" s="109"/>
      <c r="AF85" s="109"/>
      <c r="AG85" s="109"/>
      <c r="AH85" s="109"/>
      <c r="AI85" s="109"/>
      <c r="AJ85" s="109"/>
      <c r="AK85" s="109"/>
      <c r="AL85" s="109"/>
      <c r="AM85" s="109"/>
      <c r="AN85" s="110"/>
      <c r="AO85" s="110"/>
      <c r="AP85" s="111"/>
      <c r="AQ85" s="112"/>
      <c r="AR85" s="112"/>
      <c r="AS85" s="112"/>
      <c r="AT85" s="112"/>
      <c r="AU85" s="112"/>
      <c r="AV85" s="112"/>
      <c r="AW85" s="112"/>
      <c r="AX85" s="112"/>
      <c r="AY85" s="112"/>
      <c r="AZ85" s="112"/>
      <c r="BA85" s="112"/>
      <c r="BB85" s="112"/>
      <c r="BC85" s="112"/>
      <c r="BD85" s="112"/>
      <c r="BE85" s="112"/>
    </row>
    <row r="86" spans="2:57" x14ac:dyDescent="0.35">
      <c r="B86" s="59"/>
      <c r="C86" s="59"/>
      <c r="D86" s="104"/>
      <c r="E86" s="105"/>
      <c r="F86" s="105"/>
      <c r="G86" s="105"/>
      <c r="H86" s="68"/>
      <c r="I86" s="106"/>
      <c r="J86" s="107"/>
      <c r="K86" s="108"/>
      <c r="L86" s="108"/>
      <c r="M86" s="108"/>
      <c r="N86" s="108"/>
      <c r="O86" s="108"/>
      <c r="P86" s="108"/>
      <c r="Q86" s="108"/>
      <c r="R86" s="108"/>
      <c r="S86" s="108"/>
      <c r="T86" s="108"/>
      <c r="U86" s="108"/>
      <c r="V86" s="108"/>
      <c r="W86" s="108"/>
      <c r="X86" s="108"/>
      <c r="Y86" s="108"/>
      <c r="Z86" s="109"/>
      <c r="AA86" s="109"/>
      <c r="AB86" s="109"/>
      <c r="AC86" s="109"/>
      <c r="AD86" s="109"/>
      <c r="AE86" s="109"/>
      <c r="AF86" s="109"/>
      <c r="AG86" s="109"/>
      <c r="AH86" s="109"/>
      <c r="AI86" s="109"/>
      <c r="AJ86" s="109"/>
      <c r="AK86" s="109"/>
      <c r="AL86" s="109"/>
      <c r="AM86" s="109"/>
      <c r="AN86" s="110"/>
      <c r="AO86" s="110"/>
      <c r="AP86" s="111"/>
      <c r="AQ86" s="112"/>
      <c r="AR86" s="112"/>
      <c r="AS86" s="112"/>
      <c r="AT86" s="112"/>
      <c r="AU86" s="112"/>
      <c r="AV86" s="112"/>
      <c r="AW86" s="112"/>
      <c r="AX86" s="112"/>
      <c r="AY86" s="112"/>
      <c r="AZ86" s="112"/>
      <c r="BA86" s="112"/>
      <c r="BB86" s="112"/>
      <c r="BC86" s="112"/>
      <c r="BD86" s="112"/>
      <c r="BE86" s="112"/>
    </row>
    <row r="87" spans="2:57" x14ac:dyDescent="0.35">
      <c r="B87" s="59"/>
      <c r="C87" s="59"/>
      <c r="D87" s="104"/>
      <c r="E87" s="105"/>
      <c r="F87" s="105"/>
      <c r="G87" s="105"/>
      <c r="H87" s="68"/>
      <c r="I87" s="106"/>
      <c r="J87" s="107"/>
      <c r="K87" s="108"/>
      <c r="L87" s="108"/>
      <c r="M87" s="108"/>
      <c r="N87" s="108"/>
      <c r="O87" s="108"/>
      <c r="P87" s="108"/>
      <c r="Q87" s="108"/>
      <c r="R87" s="108"/>
      <c r="S87" s="108"/>
      <c r="T87" s="108"/>
      <c r="U87" s="108"/>
      <c r="V87" s="108"/>
      <c r="W87" s="108"/>
      <c r="X87" s="108"/>
      <c r="Y87" s="108"/>
      <c r="Z87" s="109"/>
      <c r="AA87" s="109"/>
      <c r="AB87" s="109"/>
      <c r="AC87" s="109"/>
      <c r="AD87" s="109"/>
      <c r="AE87" s="109"/>
      <c r="AF87" s="109"/>
      <c r="AG87" s="109"/>
      <c r="AH87" s="109"/>
      <c r="AI87" s="109"/>
      <c r="AJ87" s="109"/>
      <c r="AK87" s="109"/>
      <c r="AL87" s="109"/>
      <c r="AM87" s="109"/>
      <c r="AN87" s="110"/>
      <c r="AO87" s="110"/>
      <c r="AP87" s="111"/>
      <c r="AQ87" s="112"/>
      <c r="AR87" s="112"/>
      <c r="AS87" s="112"/>
      <c r="AT87" s="112"/>
      <c r="AU87" s="112"/>
      <c r="AV87" s="112"/>
      <c r="AW87" s="112"/>
      <c r="AX87" s="112"/>
      <c r="AY87" s="112"/>
      <c r="AZ87" s="112"/>
      <c r="BA87" s="112"/>
      <c r="BB87" s="112"/>
      <c r="BC87" s="112"/>
      <c r="BD87" s="112"/>
      <c r="BE87" s="112"/>
    </row>
    <row r="88" spans="2:57" x14ac:dyDescent="0.35">
      <c r="B88" s="59"/>
      <c r="C88" s="59"/>
      <c r="D88" s="104"/>
      <c r="E88" s="105"/>
      <c r="F88" s="105"/>
      <c r="G88" s="105"/>
      <c r="H88" s="68"/>
      <c r="I88" s="106"/>
      <c r="J88" s="107"/>
      <c r="K88" s="108"/>
      <c r="L88" s="108"/>
      <c r="M88" s="108"/>
      <c r="N88" s="108"/>
      <c r="O88" s="108"/>
      <c r="P88" s="108"/>
      <c r="Q88" s="108"/>
      <c r="R88" s="108"/>
      <c r="S88" s="108"/>
      <c r="T88" s="108"/>
      <c r="U88" s="108"/>
      <c r="V88" s="108"/>
      <c r="W88" s="108"/>
      <c r="X88" s="108"/>
      <c r="Y88" s="108"/>
      <c r="Z88" s="109"/>
      <c r="AA88" s="109"/>
      <c r="AB88" s="109"/>
      <c r="AC88" s="109"/>
      <c r="AD88" s="109"/>
      <c r="AE88" s="109"/>
      <c r="AF88" s="109"/>
      <c r="AG88" s="109"/>
      <c r="AH88" s="109"/>
      <c r="AI88" s="109"/>
      <c r="AJ88" s="109"/>
      <c r="AK88" s="109"/>
      <c r="AL88" s="109"/>
      <c r="AM88" s="109"/>
      <c r="AN88" s="110"/>
      <c r="AO88" s="110"/>
      <c r="AP88" s="111"/>
      <c r="AQ88" s="112"/>
      <c r="AR88" s="112"/>
      <c r="AS88" s="112"/>
      <c r="AT88" s="112"/>
      <c r="AU88" s="112"/>
      <c r="AV88" s="112"/>
      <c r="AW88" s="112"/>
      <c r="AX88" s="112"/>
      <c r="AY88" s="112"/>
      <c r="AZ88" s="112"/>
      <c r="BA88" s="112"/>
      <c r="BB88" s="112"/>
      <c r="BC88" s="112"/>
      <c r="BD88" s="112"/>
      <c r="BE88" s="112"/>
    </row>
    <row r="89" spans="2:57" x14ac:dyDescent="0.35">
      <c r="B89" s="59"/>
      <c r="C89" s="59"/>
      <c r="D89" s="104"/>
      <c r="E89" s="105"/>
      <c r="F89" s="105"/>
      <c r="G89" s="105"/>
      <c r="H89" s="68"/>
      <c r="I89" s="106"/>
      <c r="J89" s="107"/>
      <c r="K89" s="108"/>
      <c r="L89" s="108"/>
      <c r="M89" s="108"/>
      <c r="N89" s="108"/>
      <c r="O89" s="108"/>
      <c r="P89" s="108"/>
      <c r="Q89" s="108"/>
      <c r="R89" s="108"/>
      <c r="S89" s="108"/>
      <c r="T89" s="108"/>
      <c r="U89" s="108"/>
      <c r="V89" s="108"/>
      <c r="W89" s="108"/>
      <c r="X89" s="108"/>
      <c r="Y89" s="108"/>
      <c r="Z89" s="109"/>
      <c r="AA89" s="109"/>
      <c r="AB89" s="109"/>
      <c r="AC89" s="109"/>
      <c r="AD89" s="109"/>
      <c r="AE89" s="109"/>
      <c r="AF89" s="109"/>
      <c r="AG89" s="109"/>
      <c r="AH89" s="109"/>
      <c r="AI89" s="109"/>
      <c r="AJ89" s="109"/>
      <c r="AK89" s="109"/>
      <c r="AL89" s="109"/>
      <c r="AM89" s="109"/>
      <c r="AN89" s="110"/>
      <c r="AO89" s="110"/>
      <c r="AP89" s="111"/>
      <c r="AQ89" s="112"/>
      <c r="AR89" s="112"/>
      <c r="AS89" s="112"/>
      <c r="AT89" s="112"/>
      <c r="AU89" s="112"/>
      <c r="AV89" s="112"/>
      <c r="AW89" s="112"/>
      <c r="AX89" s="112"/>
      <c r="AY89" s="112"/>
      <c r="AZ89" s="112"/>
      <c r="BA89" s="112"/>
      <c r="BB89" s="112"/>
      <c r="BC89" s="112"/>
      <c r="BD89" s="112"/>
      <c r="BE89" s="112"/>
    </row>
    <row r="90" spans="2:57" x14ac:dyDescent="0.35">
      <c r="B90" s="59"/>
      <c r="C90" s="59"/>
      <c r="D90" s="104"/>
      <c r="E90" s="105"/>
      <c r="F90" s="105"/>
      <c r="G90" s="105"/>
      <c r="H90" s="68"/>
      <c r="I90" s="106"/>
      <c r="J90" s="107"/>
      <c r="K90" s="108"/>
      <c r="L90" s="108"/>
      <c r="M90" s="108"/>
      <c r="N90" s="108"/>
      <c r="O90" s="108"/>
      <c r="P90" s="108"/>
      <c r="Q90" s="108"/>
      <c r="R90" s="108"/>
      <c r="S90" s="108"/>
      <c r="T90" s="108"/>
      <c r="U90" s="108"/>
      <c r="V90" s="108"/>
      <c r="W90" s="108"/>
      <c r="X90" s="108"/>
      <c r="Y90" s="108"/>
      <c r="Z90" s="109"/>
      <c r="AA90" s="109"/>
      <c r="AB90" s="109"/>
      <c r="AC90" s="109"/>
      <c r="AD90" s="109"/>
      <c r="AE90" s="109"/>
      <c r="AF90" s="109"/>
      <c r="AG90" s="109"/>
      <c r="AH90" s="109"/>
      <c r="AI90" s="109"/>
      <c r="AJ90" s="109"/>
      <c r="AK90" s="109"/>
      <c r="AL90" s="109"/>
      <c r="AM90" s="109"/>
      <c r="AN90" s="110"/>
      <c r="AO90" s="110"/>
      <c r="AP90" s="111"/>
      <c r="AQ90" s="112"/>
      <c r="AR90" s="112"/>
      <c r="AS90" s="112"/>
      <c r="AT90" s="112"/>
      <c r="AU90" s="112"/>
      <c r="AV90" s="112"/>
      <c r="AW90" s="112"/>
      <c r="AX90" s="112"/>
      <c r="AY90" s="112"/>
      <c r="AZ90" s="112"/>
      <c r="BA90" s="112"/>
      <c r="BB90" s="112"/>
      <c r="BC90" s="112"/>
      <c r="BD90" s="112"/>
      <c r="BE90" s="112"/>
    </row>
    <row r="91" spans="2:57" x14ac:dyDescent="0.35">
      <c r="B91" s="59"/>
      <c r="C91" s="59"/>
      <c r="D91" s="104"/>
      <c r="E91" s="105"/>
      <c r="F91" s="105"/>
      <c r="G91" s="105"/>
      <c r="H91" s="68"/>
      <c r="I91" s="106"/>
      <c r="J91" s="107"/>
      <c r="K91" s="108"/>
      <c r="L91" s="108"/>
      <c r="M91" s="108"/>
      <c r="N91" s="108"/>
      <c r="O91" s="108"/>
      <c r="P91" s="108"/>
      <c r="Q91" s="108"/>
      <c r="R91" s="108"/>
      <c r="S91" s="108"/>
      <c r="T91" s="108"/>
      <c r="U91" s="108"/>
      <c r="V91" s="108"/>
      <c r="W91" s="108"/>
      <c r="X91" s="108"/>
      <c r="Y91" s="108"/>
      <c r="Z91" s="109"/>
      <c r="AA91" s="109"/>
      <c r="AB91" s="109"/>
      <c r="AC91" s="109"/>
      <c r="AD91" s="109"/>
      <c r="AE91" s="109"/>
      <c r="AF91" s="109"/>
      <c r="AG91" s="109"/>
      <c r="AH91" s="109"/>
      <c r="AI91" s="109"/>
      <c r="AJ91" s="109"/>
      <c r="AK91" s="109"/>
      <c r="AL91" s="109"/>
      <c r="AM91" s="109"/>
      <c r="AN91" s="110"/>
      <c r="AO91" s="110"/>
      <c r="AP91" s="111"/>
      <c r="AQ91" s="112"/>
      <c r="AR91" s="112"/>
      <c r="AS91" s="112"/>
      <c r="AT91" s="112"/>
      <c r="AU91" s="112"/>
      <c r="AV91" s="112"/>
      <c r="AW91" s="112"/>
      <c r="AX91" s="112"/>
      <c r="AY91" s="112"/>
      <c r="AZ91" s="112"/>
      <c r="BA91" s="112"/>
      <c r="BB91" s="112"/>
      <c r="BC91" s="112"/>
      <c r="BD91" s="112"/>
      <c r="BE91" s="112"/>
    </row>
    <row r="92" spans="2:57" x14ac:dyDescent="0.35">
      <c r="B92" s="59"/>
      <c r="C92" s="59"/>
      <c r="D92" s="104"/>
      <c r="E92" s="105"/>
      <c r="F92" s="105"/>
      <c r="G92" s="105"/>
      <c r="H92" s="68"/>
      <c r="I92" s="106"/>
      <c r="J92" s="107"/>
      <c r="K92" s="108"/>
      <c r="L92" s="108"/>
      <c r="M92" s="108"/>
      <c r="N92" s="108"/>
      <c r="O92" s="108"/>
      <c r="P92" s="108"/>
      <c r="Q92" s="108"/>
      <c r="R92" s="108"/>
      <c r="S92" s="108"/>
      <c r="T92" s="108"/>
      <c r="U92" s="108"/>
      <c r="V92" s="108"/>
      <c r="W92" s="108"/>
      <c r="X92" s="108"/>
      <c r="Y92" s="108"/>
      <c r="Z92" s="109"/>
      <c r="AA92" s="109"/>
      <c r="AB92" s="109"/>
      <c r="AC92" s="109"/>
      <c r="AD92" s="109"/>
      <c r="AE92" s="109"/>
      <c r="AF92" s="109"/>
      <c r="AG92" s="109"/>
      <c r="AH92" s="109"/>
      <c r="AI92" s="109"/>
      <c r="AJ92" s="109"/>
      <c r="AK92" s="109"/>
      <c r="AL92" s="109"/>
      <c r="AM92" s="109"/>
      <c r="AN92" s="110"/>
      <c r="AO92" s="110"/>
      <c r="AP92" s="111"/>
      <c r="AQ92" s="112"/>
      <c r="AR92" s="112"/>
      <c r="AS92" s="112"/>
      <c r="AT92" s="112"/>
      <c r="AU92" s="112"/>
      <c r="AV92" s="112"/>
      <c r="AW92" s="112"/>
      <c r="AX92" s="112"/>
      <c r="AY92" s="112"/>
      <c r="AZ92" s="112"/>
      <c r="BA92" s="112"/>
      <c r="BB92" s="112"/>
      <c r="BC92" s="112"/>
      <c r="BD92" s="112"/>
      <c r="BE92" s="112"/>
    </row>
    <row r="93" spans="2:57" x14ac:dyDescent="0.35">
      <c r="B93" s="59"/>
      <c r="C93" s="59"/>
      <c r="D93" s="104"/>
      <c r="E93" s="105"/>
      <c r="F93" s="105"/>
      <c r="G93" s="105"/>
      <c r="H93" s="68"/>
      <c r="I93" s="106"/>
      <c r="J93" s="107"/>
      <c r="K93" s="108"/>
      <c r="L93" s="108"/>
      <c r="M93" s="108"/>
      <c r="N93" s="108"/>
      <c r="O93" s="108"/>
      <c r="P93" s="108"/>
      <c r="Q93" s="108"/>
      <c r="R93" s="108"/>
      <c r="S93" s="108"/>
      <c r="T93" s="108"/>
      <c r="U93" s="108"/>
      <c r="V93" s="108"/>
      <c r="W93" s="108"/>
      <c r="X93" s="108"/>
      <c r="Y93" s="108"/>
      <c r="Z93" s="109"/>
      <c r="AA93" s="109"/>
      <c r="AB93" s="109"/>
      <c r="AC93" s="109"/>
      <c r="AD93" s="109"/>
      <c r="AE93" s="109"/>
      <c r="AF93" s="109"/>
      <c r="AG93" s="109"/>
      <c r="AH93" s="109"/>
      <c r="AI93" s="109"/>
      <c r="AJ93" s="109"/>
      <c r="AK93" s="109"/>
      <c r="AL93" s="109"/>
      <c r="AM93" s="109"/>
      <c r="AN93" s="110"/>
      <c r="AO93" s="110"/>
      <c r="AP93" s="111"/>
      <c r="AQ93" s="112"/>
      <c r="AR93" s="112"/>
      <c r="AS93" s="112"/>
      <c r="AT93" s="112"/>
      <c r="AU93" s="112"/>
      <c r="AV93" s="112"/>
      <c r="AW93" s="112"/>
      <c r="AX93" s="112"/>
      <c r="AY93" s="112"/>
      <c r="AZ93" s="112"/>
      <c r="BA93" s="112"/>
      <c r="BB93" s="112"/>
      <c r="BC93" s="112"/>
      <c r="BD93" s="112"/>
      <c r="BE93" s="112"/>
    </row>
    <row r="94" spans="2:57" x14ac:dyDescent="0.35">
      <c r="B94" s="59"/>
      <c r="C94" s="59"/>
      <c r="D94" s="104"/>
      <c r="E94" s="105"/>
      <c r="F94" s="105"/>
      <c r="G94" s="105"/>
      <c r="H94" s="68"/>
      <c r="I94" s="106"/>
      <c r="J94" s="107"/>
      <c r="K94" s="108"/>
      <c r="L94" s="108"/>
      <c r="M94" s="108"/>
      <c r="N94" s="108"/>
      <c r="O94" s="108"/>
      <c r="P94" s="108"/>
      <c r="Q94" s="108"/>
      <c r="R94" s="108"/>
      <c r="S94" s="108"/>
      <c r="T94" s="108"/>
      <c r="U94" s="108"/>
      <c r="V94" s="108"/>
      <c r="W94" s="108"/>
      <c r="X94" s="108"/>
      <c r="Y94" s="108"/>
      <c r="Z94" s="109"/>
      <c r="AA94" s="109"/>
      <c r="AB94" s="109"/>
      <c r="AC94" s="109"/>
      <c r="AD94" s="109"/>
      <c r="AE94" s="109"/>
      <c r="AF94" s="109"/>
      <c r="AG94" s="109"/>
      <c r="AH94" s="109"/>
      <c r="AI94" s="109"/>
      <c r="AJ94" s="109"/>
      <c r="AK94" s="109"/>
      <c r="AL94" s="109"/>
      <c r="AM94" s="109"/>
      <c r="AN94" s="110"/>
      <c r="AO94" s="110"/>
      <c r="AP94" s="111"/>
      <c r="AQ94" s="112"/>
      <c r="AR94" s="112"/>
      <c r="AS94" s="112"/>
      <c r="AT94" s="112"/>
      <c r="AU94" s="112"/>
      <c r="AV94" s="112"/>
      <c r="AW94" s="112"/>
      <c r="AX94" s="112"/>
      <c r="AY94" s="112"/>
      <c r="AZ94" s="112"/>
      <c r="BA94" s="112"/>
      <c r="BB94" s="112"/>
      <c r="BC94" s="112"/>
      <c r="BD94" s="112"/>
      <c r="BE94" s="112"/>
    </row>
    <row r="95" spans="2:57" x14ac:dyDescent="0.35">
      <c r="B95" s="59"/>
      <c r="C95" s="59"/>
      <c r="D95" s="104"/>
      <c r="E95" s="105"/>
      <c r="F95" s="105"/>
      <c r="G95" s="105"/>
      <c r="H95" s="68"/>
      <c r="I95" s="106"/>
      <c r="J95" s="107"/>
      <c r="K95" s="108"/>
      <c r="L95" s="108"/>
      <c r="M95" s="108"/>
      <c r="N95" s="108"/>
      <c r="O95" s="108"/>
      <c r="P95" s="108"/>
      <c r="Q95" s="108"/>
      <c r="R95" s="108"/>
      <c r="S95" s="108"/>
      <c r="T95" s="108"/>
      <c r="U95" s="108"/>
      <c r="V95" s="108"/>
      <c r="W95" s="108"/>
      <c r="X95" s="108"/>
      <c r="Y95" s="108"/>
      <c r="Z95" s="109"/>
      <c r="AA95" s="109"/>
      <c r="AB95" s="109"/>
      <c r="AC95" s="109"/>
      <c r="AD95" s="109"/>
      <c r="AE95" s="109"/>
      <c r="AF95" s="109"/>
      <c r="AG95" s="109"/>
      <c r="AH95" s="109"/>
      <c r="AI95" s="109"/>
      <c r="AJ95" s="109"/>
      <c r="AK95" s="109"/>
      <c r="AL95" s="109"/>
      <c r="AM95" s="109"/>
      <c r="AN95" s="110"/>
      <c r="AO95" s="110"/>
      <c r="AP95" s="111"/>
      <c r="AQ95" s="112"/>
      <c r="AR95" s="112"/>
      <c r="AS95" s="112"/>
      <c r="AT95" s="112"/>
      <c r="AU95" s="112"/>
      <c r="AV95" s="112"/>
      <c r="AW95" s="112"/>
      <c r="AX95" s="112"/>
      <c r="AY95" s="112"/>
      <c r="AZ95" s="112"/>
      <c r="BA95" s="112"/>
      <c r="BB95" s="112"/>
      <c r="BC95" s="112"/>
      <c r="BD95" s="112"/>
      <c r="BE95" s="112"/>
    </row>
    <row r="96" spans="2:57" x14ac:dyDescent="0.35">
      <c r="B96" s="59"/>
      <c r="C96" s="59"/>
      <c r="D96" s="104"/>
      <c r="E96" s="105"/>
      <c r="F96" s="105"/>
      <c r="G96" s="105"/>
      <c r="H96" s="68"/>
      <c r="I96" s="106"/>
      <c r="J96" s="107"/>
      <c r="K96" s="108"/>
      <c r="L96" s="108"/>
      <c r="M96" s="108"/>
      <c r="N96" s="108"/>
      <c r="O96" s="108"/>
      <c r="P96" s="108"/>
      <c r="Q96" s="108"/>
      <c r="R96" s="108"/>
      <c r="S96" s="108"/>
      <c r="T96" s="108"/>
      <c r="U96" s="108"/>
      <c r="V96" s="108"/>
      <c r="W96" s="108"/>
      <c r="X96" s="108"/>
      <c r="Y96" s="108"/>
      <c r="Z96" s="109"/>
      <c r="AA96" s="109"/>
      <c r="AB96" s="109"/>
      <c r="AC96" s="109"/>
      <c r="AD96" s="109"/>
      <c r="AE96" s="109"/>
      <c r="AF96" s="109"/>
      <c r="AG96" s="109"/>
      <c r="AH96" s="109"/>
      <c r="AI96" s="109"/>
      <c r="AJ96" s="109"/>
      <c r="AK96" s="109"/>
      <c r="AL96" s="109"/>
      <c r="AM96" s="109"/>
      <c r="AN96" s="110"/>
      <c r="AO96" s="110"/>
      <c r="AP96" s="111"/>
      <c r="AQ96" s="112"/>
      <c r="AR96" s="112"/>
      <c r="AS96" s="112"/>
      <c r="AT96" s="112"/>
      <c r="AU96" s="112"/>
      <c r="AV96" s="112"/>
      <c r="AW96" s="112"/>
      <c r="AX96" s="112"/>
      <c r="AY96" s="112"/>
      <c r="AZ96" s="112"/>
      <c r="BA96" s="112"/>
      <c r="BB96" s="112"/>
      <c r="BC96" s="112"/>
      <c r="BD96" s="112"/>
      <c r="BE96" s="112"/>
    </row>
    <row r="97" spans="2:57" x14ac:dyDescent="0.35">
      <c r="B97" s="59"/>
      <c r="C97" s="59"/>
      <c r="D97" s="104"/>
      <c r="E97" s="105"/>
      <c r="F97" s="105"/>
      <c r="G97" s="105"/>
      <c r="H97" s="68"/>
      <c r="I97" s="106"/>
      <c r="J97" s="107"/>
      <c r="K97" s="108"/>
      <c r="L97" s="108"/>
      <c r="M97" s="108"/>
      <c r="N97" s="108"/>
      <c r="O97" s="108"/>
      <c r="P97" s="108"/>
      <c r="Q97" s="108"/>
      <c r="R97" s="108"/>
      <c r="S97" s="108"/>
      <c r="T97" s="108"/>
      <c r="U97" s="108"/>
      <c r="V97" s="108"/>
      <c r="W97" s="108"/>
      <c r="X97" s="108"/>
      <c r="Y97" s="108"/>
      <c r="Z97" s="109"/>
      <c r="AA97" s="109"/>
      <c r="AB97" s="109"/>
      <c r="AC97" s="109"/>
      <c r="AD97" s="109"/>
      <c r="AE97" s="109"/>
      <c r="AF97" s="109"/>
      <c r="AG97" s="109"/>
      <c r="AH97" s="109"/>
      <c r="AI97" s="109"/>
      <c r="AJ97" s="109"/>
      <c r="AK97" s="109"/>
      <c r="AL97" s="109"/>
      <c r="AM97" s="109"/>
      <c r="AN97" s="110"/>
      <c r="AO97" s="110"/>
      <c r="AP97" s="111"/>
      <c r="AQ97" s="112"/>
      <c r="AR97" s="112"/>
      <c r="AS97" s="112"/>
      <c r="AT97" s="112"/>
      <c r="AU97" s="112"/>
      <c r="AV97" s="112"/>
      <c r="AW97" s="112"/>
      <c r="AX97" s="112"/>
      <c r="AY97" s="112"/>
      <c r="AZ97" s="112"/>
      <c r="BA97" s="112"/>
      <c r="BB97" s="112"/>
      <c r="BC97" s="112"/>
      <c r="BD97" s="112"/>
      <c r="BE97" s="112"/>
    </row>
    <row r="98" spans="2:57" x14ac:dyDescent="0.35">
      <c r="B98" s="59"/>
      <c r="C98" s="59"/>
      <c r="D98" s="104"/>
      <c r="E98" s="105"/>
      <c r="F98" s="105"/>
      <c r="G98" s="105"/>
      <c r="H98" s="68"/>
      <c r="I98" s="106"/>
      <c r="J98" s="107"/>
      <c r="K98" s="108"/>
      <c r="L98" s="108"/>
      <c r="M98" s="108"/>
      <c r="N98" s="108"/>
      <c r="O98" s="108"/>
      <c r="P98" s="108"/>
      <c r="Q98" s="108"/>
      <c r="R98" s="108"/>
      <c r="S98" s="108"/>
      <c r="T98" s="108"/>
      <c r="U98" s="108"/>
      <c r="V98" s="108"/>
      <c r="W98" s="108"/>
      <c r="X98" s="108"/>
      <c r="Y98" s="108"/>
      <c r="Z98" s="109"/>
      <c r="AA98" s="109"/>
      <c r="AB98" s="109"/>
      <c r="AC98" s="109"/>
      <c r="AD98" s="109"/>
      <c r="AE98" s="109"/>
      <c r="AF98" s="109"/>
      <c r="AG98" s="109"/>
      <c r="AH98" s="109"/>
      <c r="AI98" s="109"/>
      <c r="AJ98" s="109"/>
      <c r="AK98" s="109"/>
      <c r="AL98" s="109"/>
      <c r="AM98" s="109"/>
      <c r="AN98" s="110"/>
      <c r="AO98" s="110"/>
      <c r="AP98" s="111"/>
      <c r="AQ98" s="112"/>
      <c r="AR98" s="112"/>
      <c r="AS98" s="112"/>
      <c r="AT98" s="112"/>
      <c r="AU98" s="112"/>
      <c r="AV98" s="112"/>
      <c r="AW98" s="112"/>
      <c r="AX98" s="112"/>
      <c r="AY98" s="112"/>
      <c r="AZ98" s="112"/>
      <c r="BA98" s="112"/>
      <c r="BB98" s="112"/>
      <c r="BC98" s="112"/>
      <c r="BD98" s="112"/>
      <c r="BE98" s="112"/>
    </row>
    <row r="99" spans="2:57" x14ac:dyDescent="0.35">
      <c r="B99" s="59"/>
      <c r="C99" s="59"/>
      <c r="D99" s="104"/>
      <c r="E99" s="105"/>
      <c r="F99" s="105"/>
      <c r="G99" s="105"/>
      <c r="H99" s="68"/>
      <c r="I99" s="106"/>
      <c r="J99" s="107"/>
      <c r="K99" s="108"/>
      <c r="L99" s="108"/>
      <c r="M99" s="108"/>
      <c r="N99" s="108"/>
      <c r="O99" s="108"/>
      <c r="P99" s="108"/>
      <c r="Q99" s="108"/>
      <c r="R99" s="108"/>
      <c r="S99" s="108"/>
      <c r="T99" s="108"/>
      <c r="U99" s="108"/>
      <c r="V99" s="108"/>
      <c r="W99" s="108"/>
      <c r="X99" s="108"/>
      <c r="Y99" s="108"/>
      <c r="Z99" s="109"/>
      <c r="AA99" s="109"/>
      <c r="AB99" s="109"/>
      <c r="AC99" s="109"/>
      <c r="AD99" s="109"/>
      <c r="AE99" s="109"/>
      <c r="AF99" s="109"/>
      <c r="AG99" s="109"/>
      <c r="AH99" s="109"/>
      <c r="AI99" s="109"/>
      <c r="AJ99" s="109"/>
      <c r="AK99" s="109"/>
      <c r="AL99" s="109"/>
      <c r="AM99" s="109"/>
      <c r="AN99" s="110"/>
      <c r="AO99" s="110"/>
      <c r="AP99" s="111"/>
      <c r="AQ99" s="112"/>
      <c r="AR99" s="112"/>
      <c r="AS99" s="112"/>
      <c r="AT99" s="112"/>
      <c r="AU99" s="112"/>
      <c r="AV99" s="112"/>
      <c r="AW99" s="112"/>
      <c r="AX99" s="112"/>
      <c r="AY99" s="112"/>
      <c r="AZ99" s="112"/>
      <c r="BA99" s="112"/>
      <c r="BB99" s="112"/>
      <c r="BC99" s="112"/>
      <c r="BD99" s="112"/>
      <c r="BE99" s="112"/>
    </row>
    <row r="100" spans="2:57" x14ac:dyDescent="0.35">
      <c r="B100" s="59"/>
      <c r="C100" s="59"/>
      <c r="D100" s="104"/>
      <c r="E100" s="105"/>
      <c r="F100" s="105"/>
      <c r="G100" s="105"/>
      <c r="H100" s="68"/>
      <c r="I100" s="106"/>
      <c r="J100" s="107"/>
      <c r="K100" s="108"/>
      <c r="L100" s="108"/>
      <c r="M100" s="108"/>
      <c r="N100" s="108"/>
      <c r="O100" s="108"/>
      <c r="P100" s="108"/>
      <c r="Q100" s="108"/>
      <c r="R100" s="108"/>
      <c r="S100" s="108"/>
      <c r="T100" s="108"/>
      <c r="U100" s="108"/>
      <c r="V100" s="108"/>
      <c r="W100" s="108"/>
      <c r="X100" s="108"/>
      <c r="Y100" s="108"/>
      <c r="Z100" s="109"/>
      <c r="AA100" s="109"/>
      <c r="AB100" s="109"/>
      <c r="AC100" s="109"/>
      <c r="AD100" s="109"/>
      <c r="AE100" s="109"/>
      <c r="AF100" s="109"/>
      <c r="AG100" s="109"/>
      <c r="AH100" s="109"/>
      <c r="AI100" s="109"/>
      <c r="AJ100" s="109"/>
      <c r="AK100" s="109"/>
      <c r="AL100" s="109"/>
      <c r="AM100" s="109"/>
      <c r="AN100" s="110"/>
      <c r="AO100" s="110"/>
      <c r="AP100" s="111"/>
      <c r="AQ100" s="112"/>
      <c r="AR100" s="112"/>
      <c r="AS100" s="112"/>
      <c r="AT100" s="112"/>
      <c r="AU100" s="112"/>
      <c r="AV100" s="112"/>
      <c r="AW100" s="112"/>
      <c r="AX100" s="112"/>
      <c r="AY100" s="112"/>
      <c r="AZ100" s="112"/>
      <c r="BA100" s="112"/>
      <c r="BB100" s="112"/>
      <c r="BC100" s="112"/>
      <c r="BD100" s="112"/>
      <c r="BE100" s="112"/>
    </row>
    <row r="101" spans="2:57" x14ac:dyDescent="0.35">
      <c r="B101" s="59"/>
      <c r="C101" s="59"/>
      <c r="D101" s="104"/>
      <c r="E101" s="105"/>
      <c r="F101" s="105"/>
      <c r="G101" s="105"/>
      <c r="H101" s="68"/>
      <c r="I101" s="106"/>
      <c r="J101" s="107"/>
      <c r="K101" s="108"/>
      <c r="L101" s="108"/>
      <c r="M101" s="108"/>
      <c r="N101" s="108"/>
      <c r="O101" s="108"/>
      <c r="P101" s="108"/>
      <c r="Q101" s="108"/>
      <c r="R101" s="108"/>
      <c r="S101" s="108"/>
      <c r="T101" s="108"/>
      <c r="U101" s="108"/>
      <c r="V101" s="108"/>
      <c r="W101" s="108"/>
      <c r="X101" s="108"/>
      <c r="Y101" s="108"/>
      <c r="Z101" s="109"/>
      <c r="AA101" s="109"/>
      <c r="AB101" s="109"/>
      <c r="AC101" s="109"/>
      <c r="AD101" s="109"/>
      <c r="AE101" s="109"/>
      <c r="AF101" s="109"/>
      <c r="AG101" s="109"/>
      <c r="AH101" s="109"/>
      <c r="AI101" s="109"/>
      <c r="AJ101" s="109"/>
      <c r="AK101" s="109"/>
      <c r="AL101" s="109"/>
      <c r="AM101" s="109"/>
      <c r="AN101" s="110"/>
      <c r="AO101" s="110"/>
      <c r="AP101" s="111"/>
      <c r="AQ101" s="112"/>
      <c r="AR101" s="112"/>
      <c r="AS101" s="112"/>
      <c r="AT101" s="112"/>
      <c r="AU101" s="112"/>
      <c r="AV101" s="112"/>
      <c r="AW101" s="112"/>
      <c r="AX101" s="112"/>
      <c r="AY101" s="112"/>
      <c r="AZ101" s="112"/>
      <c r="BA101" s="112"/>
      <c r="BB101" s="112"/>
      <c r="BC101" s="112"/>
      <c r="BD101" s="112"/>
      <c r="BE101" s="112"/>
    </row>
    <row r="102" spans="2:57" x14ac:dyDescent="0.35">
      <c r="B102" s="59"/>
      <c r="C102" s="59"/>
      <c r="D102" s="104"/>
      <c r="E102" s="105"/>
      <c r="F102" s="105"/>
      <c r="G102" s="105"/>
      <c r="H102" s="68"/>
      <c r="I102" s="106"/>
      <c r="J102" s="107"/>
      <c r="K102" s="108"/>
      <c r="L102" s="108"/>
      <c r="M102" s="108"/>
      <c r="N102" s="108"/>
      <c r="O102" s="108"/>
      <c r="P102" s="108"/>
      <c r="Q102" s="108"/>
      <c r="R102" s="108"/>
      <c r="S102" s="108"/>
      <c r="T102" s="108"/>
      <c r="U102" s="108"/>
      <c r="V102" s="108"/>
      <c r="W102" s="108"/>
      <c r="X102" s="108"/>
      <c r="Y102" s="108"/>
      <c r="Z102" s="109"/>
      <c r="AA102" s="109"/>
      <c r="AB102" s="109"/>
      <c r="AC102" s="109"/>
      <c r="AD102" s="109"/>
      <c r="AE102" s="109"/>
      <c r="AF102" s="109"/>
      <c r="AG102" s="109"/>
      <c r="AH102" s="109"/>
      <c r="AI102" s="109"/>
      <c r="AJ102" s="109"/>
      <c r="AK102" s="109"/>
      <c r="AL102" s="109"/>
      <c r="AM102" s="109"/>
      <c r="AN102" s="110"/>
      <c r="AO102" s="110"/>
      <c r="AP102" s="111"/>
      <c r="AQ102" s="112"/>
      <c r="AR102" s="112"/>
      <c r="AS102" s="112"/>
      <c r="AT102" s="112"/>
      <c r="AU102" s="112"/>
      <c r="AV102" s="112"/>
      <c r="AW102" s="112"/>
      <c r="AX102" s="112"/>
      <c r="AY102" s="112"/>
      <c r="AZ102" s="112"/>
      <c r="BA102" s="112"/>
      <c r="BB102" s="112"/>
      <c r="BC102" s="112"/>
      <c r="BD102" s="112"/>
      <c r="BE102" s="112"/>
    </row>
    <row r="103" spans="2:57" x14ac:dyDescent="0.35">
      <c r="B103" s="59"/>
      <c r="C103" s="59"/>
      <c r="D103" s="104"/>
      <c r="E103" s="105"/>
      <c r="F103" s="105"/>
      <c r="G103" s="105"/>
      <c r="H103" s="68"/>
      <c r="I103" s="106"/>
      <c r="J103" s="107"/>
      <c r="K103" s="108"/>
      <c r="L103" s="108"/>
      <c r="M103" s="108"/>
      <c r="N103" s="108"/>
      <c r="O103" s="108"/>
      <c r="P103" s="108"/>
      <c r="Q103" s="108"/>
      <c r="R103" s="108"/>
      <c r="S103" s="108"/>
      <c r="T103" s="108"/>
      <c r="U103" s="108"/>
      <c r="V103" s="108"/>
      <c r="W103" s="108"/>
      <c r="X103" s="108"/>
      <c r="Y103" s="108"/>
      <c r="Z103" s="109"/>
      <c r="AA103" s="109"/>
      <c r="AB103" s="109"/>
      <c r="AC103" s="109"/>
      <c r="AD103" s="109"/>
      <c r="AE103" s="109"/>
      <c r="AF103" s="109"/>
      <c r="AG103" s="109"/>
      <c r="AH103" s="109"/>
      <c r="AI103" s="109"/>
      <c r="AJ103" s="109"/>
      <c r="AK103" s="109"/>
      <c r="AL103" s="109"/>
      <c r="AM103" s="109"/>
      <c r="AN103" s="110"/>
      <c r="AO103" s="110"/>
      <c r="AP103" s="111"/>
      <c r="AQ103" s="112"/>
      <c r="AR103" s="112"/>
      <c r="AS103" s="112"/>
      <c r="AT103" s="112"/>
      <c r="AU103" s="112"/>
      <c r="AV103" s="112"/>
      <c r="AW103" s="112"/>
      <c r="AX103" s="112"/>
      <c r="AY103" s="112"/>
      <c r="AZ103" s="112"/>
      <c r="BA103" s="112"/>
      <c r="BB103" s="112"/>
      <c r="BC103" s="112"/>
      <c r="BD103" s="112"/>
      <c r="BE103" s="112"/>
    </row>
    <row r="104" spans="2:57" x14ac:dyDescent="0.35">
      <c r="B104" s="59"/>
      <c r="C104" s="59"/>
      <c r="D104" s="104"/>
      <c r="E104" s="105"/>
      <c r="F104" s="105"/>
      <c r="G104" s="105"/>
      <c r="H104" s="68"/>
      <c r="I104" s="106"/>
      <c r="J104" s="107"/>
      <c r="K104" s="108"/>
      <c r="L104" s="108"/>
      <c r="M104" s="108"/>
      <c r="N104" s="108"/>
      <c r="O104" s="108"/>
      <c r="P104" s="108"/>
      <c r="Q104" s="108"/>
      <c r="R104" s="108"/>
      <c r="S104" s="108"/>
      <c r="T104" s="108"/>
      <c r="U104" s="108"/>
      <c r="V104" s="108"/>
      <c r="W104" s="108"/>
      <c r="X104" s="108"/>
      <c r="Y104" s="108"/>
      <c r="Z104" s="109"/>
      <c r="AA104" s="109"/>
      <c r="AB104" s="109"/>
      <c r="AC104" s="109"/>
      <c r="AD104" s="109"/>
      <c r="AE104" s="109"/>
      <c r="AF104" s="109"/>
      <c r="AG104" s="109"/>
      <c r="AH104" s="109"/>
      <c r="AI104" s="109"/>
      <c r="AJ104" s="109"/>
      <c r="AK104" s="109"/>
      <c r="AL104" s="109"/>
      <c r="AM104" s="109"/>
      <c r="AN104" s="110"/>
      <c r="AO104" s="110"/>
      <c r="AP104" s="111"/>
      <c r="AQ104" s="112"/>
      <c r="AR104" s="112"/>
      <c r="AS104" s="112"/>
      <c r="AT104" s="112"/>
      <c r="AU104" s="112"/>
      <c r="AV104" s="112"/>
      <c r="AW104" s="112"/>
      <c r="AX104" s="112"/>
      <c r="AY104" s="112"/>
      <c r="AZ104" s="112"/>
      <c r="BA104" s="112"/>
      <c r="BB104" s="112"/>
      <c r="BC104" s="112"/>
      <c r="BD104" s="112"/>
      <c r="BE104" s="112"/>
    </row>
    <row r="105" spans="2:57" x14ac:dyDescent="0.35">
      <c r="B105" s="59"/>
      <c r="C105" s="59"/>
      <c r="D105" s="104"/>
      <c r="E105" s="105"/>
      <c r="F105" s="105"/>
      <c r="G105" s="105"/>
      <c r="H105" s="68"/>
      <c r="I105" s="106"/>
      <c r="J105" s="107"/>
      <c r="K105" s="108"/>
      <c r="L105" s="108"/>
      <c r="M105" s="108"/>
      <c r="N105" s="108"/>
      <c r="O105" s="108"/>
      <c r="P105" s="108"/>
      <c r="Q105" s="108"/>
      <c r="R105" s="108"/>
      <c r="S105" s="108"/>
      <c r="T105" s="108"/>
      <c r="U105" s="108"/>
      <c r="V105" s="108"/>
      <c r="W105" s="108"/>
      <c r="X105" s="108"/>
      <c r="Y105" s="108"/>
      <c r="Z105" s="109"/>
      <c r="AA105" s="109"/>
      <c r="AB105" s="109"/>
      <c r="AC105" s="109"/>
      <c r="AD105" s="109"/>
      <c r="AE105" s="109"/>
      <c r="AF105" s="109"/>
      <c r="AG105" s="109"/>
      <c r="AH105" s="109"/>
      <c r="AI105" s="109"/>
      <c r="AJ105" s="109"/>
      <c r="AK105" s="109"/>
      <c r="AL105" s="109"/>
      <c r="AM105" s="109"/>
      <c r="AN105" s="110"/>
      <c r="AO105" s="110"/>
      <c r="AP105" s="111"/>
      <c r="AQ105" s="112"/>
      <c r="AR105" s="112"/>
      <c r="AS105" s="112"/>
      <c r="AT105" s="112"/>
      <c r="AU105" s="112"/>
      <c r="AV105" s="112"/>
      <c r="AW105" s="112"/>
      <c r="AX105" s="112"/>
      <c r="AY105" s="112"/>
      <c r="AZ105" s="112"/>
      <c r="BA105" s="112"/>
      <c r="BB105" s="112"/>
      <c r="BC105" s="112"/>
      <c r="BD105" s="112"/>
      <c r="BE105" s="112"/>
    </row>
    <row r="106" spans="2:57" x14ac:dyDescent="0.35">
      <c r="B106" s="59"/>
      <c r="C106" s="59"/>
      <c r="D106" s="104"/>
      <c r="E106" s="105"/>
      <c r="F106" s="105"/>
      <c r="G106" s="105"/>
      <c r="H106" s="68"/>
      <c r="I106" s="106"/>
      <c r="J106" s="107"/>
      <c r="K106" s="108"/>
      <c r="L106" s="108"/>
      <c r="M106" s="108"/>
      <c r="N106" s="108"/>
      <c r="O106" s="108"/>
      <c r="P106" s="108"/>
      <c r="Q106" s="108"/>
      <c r="R106" s="108"/>
      <c r="S106" s="108"/>
      <c r="T106" s="108"/>
      <c r="U106" s="108"/>
      <c r="V106" s="108"/>
      <c r="W106" s="108"/>
      <c r="X106" s="108"/>
      <c r="Y106" s="108"/>
      <c r="Z106" s="109"/>
      <c r="AA106" s="109"/>
      <c r="AB106" s="109"/>
      <c r="AC106" s="109"/>
      <c r="AD106" s="109"/>
      <c r="AE106" s="109"/>
      <c r="AF106" s="109"/>
      <c r="AG106" s="109"/>
      <c r="AH106" s="109"/>
      <c r="AI106" s="109"/>
      <c r="AJ106" s="109"/>
      <c r="AK106" s="109"/>
      <c r="AL106" s="109"/>
      <c r="AM106" s="109"/>
      <c r="AN106" s="110"/>
      <c r="AO106" s="110"/>
      <c r="AP106" s="111"/>
      <c r="AQ106" s="112"/>
      <c r="AR106" s="112"/>
      <c r="AS106" s="112"/>
      <c r="AT106" s="112"/>
      <c r="AU106" s="112"/>
      <c r="AV106" s="112"/>
      <c r="AW106" s="112"/>
      <c r="AX106" s="112"/>
      <c r="AY106" s="112"/>
      <c r="AZ106" s="112"/>
      <c r="BA106" s="112"/>
      <c r="BB106" s="112"/>
      <c r="BC106" s="112"/>
      <c r="BD106" s="112"/>
      <c r="BE106" s="112"/>
    </row>
    <row r="107" spans="2:57" x14ac:dyDescent="0.35">
      <c r="B107" s="59"/>
      <c r="C107" s="59"/>
      <c r="D107" s="104"/>
      <c r="E107" s="105"/>
      <c r="F107" s="105"/>
      <c r="G107" s="105"/>
      <c r="H107" s="68"/>
      <c r="I107" s="106"/>
      <c r="J107" s="107"/>
      <c r="K107" s="108"/>
      <c r="L107" s="108"/>
      <c r="M107" s="108"/>
      <c r="N107" s="108"/>
      <c r="O107" s="108"/>
      <c r="P107" s="108"/>
      <c r="Q107" s="108"/>
      <c r="R107" s="108"/>
      <c r="S107" s="108"/>
      <c r="T107" s="108"/>
      <c r="U107" s="108"/>
      <c r="V107" s="108"/>
      <c r="W107" s="108"/>
      <c r="X107" s="108"/>
      <c r="Y107" s="108"/>
      <c r="Z107" s="109"/>
      <c r="AA107" s="109"/>
      <c r="AB107" s="109"/>
      <c r="AC107" s="109"/>
      <c r="AD107" s="109"/>
      <c r="AE107" s="109"/>
      <c r="AF107" s="109"/>
      <c r="AG107" s="109"/>
      <c r="AH107" s="109"/>
      <c r="AI107" s="109"/>
      <c r="AJ107" s="109"/>
      <c r="AK107" s="109"/>
      <c r="AL107" s="109"/>
      <c r="AM107" s="109"/>
      <c r="AN107" s="110"/>
      <c r="AO107" s="110"/>
      <c r="AP107" s="111"/>
      <c r="AQ107" s="112"/>
      <c r="AR107" s="112"/>
      <c r="AS107" s="112"/>
      <c r="AT107" s="112"/>
      <c r="AU107" s="112"/>
      <c r="AV107" s="112"/>
      <c r="AW107" s="112"/>
      <c r="AX107" s="112"/>
      <c r="AY107" s="112"/>
      <c r="AZ107" s="112"/>
      <c r="BA107" s="112"/>
      <c r="BB107" s="112"/>
      <c r="BC107" s="112"/>
      <c r="BD107" s="112"/>
      <c r="BE107" s="112"/>
    </row>
    <row r="108" spans="2:57" x14ac:dyDescent="0.35">
      <c r="B108" s="59"/>
      <c r="C108" s="59"/>
      <c r="D108" s="104"/>
      <c r="E108" s="105"/>
      <c r="F108" s="105"/>
      <c r="G108" s="105"/>
      <c r="H108" s="68"/>
      <c r="I108" s="106"/>
      <c r="J108" s="107"/>
      <c r="K108" s="108"/>
      <c r="L108" s="108"/>
      <c r="M108" s="108"/>
      <c r="N108" s="108"/>
      <c r="O108" s="108"/>
      <c r="P108" s="108"/>
      <c r="Q108" s="108"/>
      <c r="R108" s="108"/>
      <c r="S108" s="108"/>
      <c r="T108" s="108"/>
      <c r="U108" s="108"/>
      <c r="V108" s="108"/>
      <c r="W108" s="108"/>
      <c r="X108" s="108"/>
      <c r="Y108" s="108"/>
      <c r="Z108" s="109"/>
      <c r="AA108" s="109"/>
      <c r="AB108" s="109"/>
      <c r="AC108" s="109"/>
      <c r="AD108" s="109"/>
      <c r="AE108" s="109"/>
      <c r="AF108" s="109"/>
      <c r="AG108" s="109"/>
      <c r="AH108" s="109"/>
      <c r="AI108" s="109"/>
      <c r="AJ108" s="109"/>
      <c r="AK108" s="109"/>
      <c r="AL108" s="109"/>
      <c r="AM108" s="109"/>
      <c r="AN108" s="110"/>
      <c r="AO108" s="110"/>
      <c r="AP108" s="111"/>
      <c r="AQ108" s="112"/>
      <c r="AR108" s="112"/>
      <c r="AS108" s="112"/>
      <c r="AT108" s="112"/>
      <c r="AU108" s="112"/>
      <c r="AV108" s="112"/>
      <c r="AW108" s="112"/>
      <c r="AX108" s="112"/>
      <c r="AY108" s="112"/>
      <c r="AZ108" s="112"/>
      <c r="BA108" s="112"/>
      <c r="BB108" s="112"/>
      <c r="BC108" s="112"/>
      <c r="BD108" s="112"/>
      <c r="BE108" s="112"/>
    </row>
    <row r="109" spans="2:57" x14ac:dyDescent="0.35">
      <c r="B109" s="59"/>
      <c r="C109" s="59"/>
      <c r="D109" s="104"/>
      <c r="E109" s="105"/>
      <c r="F109" s="105"/>
      <c r="G109" s="105"/>
      <c r="H109" s="68"/>
      <c r="I109" s="106"/>
      <c r="J109" s="107"/>
      <c r="K109" s="108"/>
      <c r="L109" s="108"/>
      <c r="M109" s="108"/>
      <c r="N109" s="108"/>
      <c r="O109" s="108"/>
      <c r="P109" s="108"/>
      <c r="Q109" s="108"/>
      <c r="R109" s="108"/>
      <c r="S109" s="108"/>
      <c r="T109" s="108"/>
      <c r="U109" s="108"/>
      <c r="V109" s="108"/>
      <c r="W109" s="108"/>
      <c r="X109" s="108"/>
      <c r="Y109" s="108"/>
      <c r="Z109" s="109"/>
      <c r="AA109" s="109"/>
      <c r="AB109" s="109"/>
      <c r="AC109" s="109"/>
      <c r="AD109" s="109"/>
      <c r="AE109" s="109"/>
      <c r="AF109" s="109"/>
      <c r="AG109" s="109"/>
      <c r="AH109" s="109"/>
      <c r="AI109" s="109"/>
      <c r="AJ109" s="109"/>
      <c r="AK109" s="109"/>
      <c r="AL109" s="109"/>
      <c r="AM109" s="109"/>
      <c r="AN109" s="110"/>
      <c r="AO109" s="110"/>
      <c r="AP109" s="111"/>
      <c r="AQ109" s="112"/>
      <c r="AR109" s="112"/>
      <c r="AS109" s="112"/>
      <c r="AT109" s="112"/>
      <c r="AU109" s="112"/>
      <c r="AV109" s="112"/>
      <c r="AW109" s="112"/>
      <c r="AX109" s="112"/>
      <c r="AY109" s="112"/>
      <c r="AZ109" s="112"/>
      <c r="BA109" s="112"/>
      <c r="BB109" s="112"/>
      <c r="BC109" s="112"/>
      <c r="BD109" s="112"/>
      <c r="BE109" s="112"/>
    </row>
    <row r="110" spans="2:57" x14ac:dyDescent="0.35">
      <c r="B110" s="59"/>
      <c r="C110" s="59"/>
      <c r="D110" s="104"/>
      <c r="E110" s="105"/>
      <c r="F110" s="105"/>
      <c r="G110" s="105"/>
      <c r="H110" s="68"/>
      <c r="I110" s="106"/>
      <c r="J110" s="107"/>
      <c r="K110" s="108"/>
      <c r="L110" s="108"/>
      <c r="M110" s="108"/>
      <c r="N110" s="108"/>
      <c r="O110" s="108"/>
      <c r="P110" s="108"/>
      <c r="Q110" s="108"/>
      <c r="R110" s="108"/>
      <c r="S110" s="108"/>
      <c r="T110" s="108"/>
      <c r="U110" s="108"/>
      <c r="V110" s="108"/>
      <c r="W110" s="108"/>
      <c r="X110" s="108"/>
      <c r="Y110" s="108"/>
      <c r="Z110" s="109"/>
      <c r="AA110" s="109"/>
      <c r="AB110" s="109"/>
      <c r="AC110" s="109"/>
      <c r="AD110" s="109"/>
      <c r="AE110" s="109"/>
      <c r="AF110" s="109"/>
      <c r="AG110" s="109"/>
      <c r="AH110" s="109"/>
      <c r="AI110" s="109"/>
      <c r="AJ110" s="109"/>
      <c r="AK110" s="109"/>
      <c r="AL110" s="109"/>
      <c r="AM110" s="109"/>
      <c r="AN110" s="110"/>
      <c r="AO110" s="110"/>
      <c r="AP110" s="111"/>
      <c r="AQ110" s="112"/>
      <c r="AR110" s="112"/>
      <c r="AS110" s="112"/>
      <c r="AT110" s="112"/>
      <c r="AU110" s="112"/>
      <c r="AV110" s="112"/>
      <c r="AW110" s="112"/>
      <c r="AX110" s="112"/>
      <c r="AY110" s="112"/>
      <c r="AZ110" s="112"/>
      <c r="BA110" s="112"/>
      <c r="BB110" s="112"/>
      <c r="BC110" s="112"/>
      <c r="BD110" s="112"/>
      <c r="BE110" s="112"/>
    </row>
    <row r="111" spans="2:57" x14ac:dyDescent="0.35">
      <c r="B111" s="59"/>
      <c r="C111" s="59"/>
      <c r="D111" s="104"/>
      <c r="E111" s="105"/>
      <c r="F111" s="105"/>
      <c r="G111" s="105"/>
      <c r="H111" s="68"/>
      <c r="I111" s="106"/>
      <c r="J111" s="107"/>
      <c r="K111" s="108"/>
      <c r="L111" s="108"/>
      <c r="M111" s="108"/>
      <c r="N111" s="108"/>
      <c r="O111" s="108"/>
      <c r="P111" s="108"/>
      <c r="Q111" s="108"/>
      <c r="R111" s="108"/>
      <c r="S111" s="108"/>
      <c r="T111" s="108"/>
      <c r="U111" s="108"/>
      <c r="V111" s="108"/>
      <c r="W111" s="108"/>
      <c r="X111" s="108"/>
      <c r="Y111" s="108"/>
      <c r="Z111" s="109"/>
      <c r="AA111" s="109"/>
      <c r="AB111" s="109"/>
      <c r="AC111" s="109"/>
      <c r="AD111" s="109"/>
      <c r="AE111" s="109"/>
      <c r="AF111" s="109"/>
      <c r="AG111" s="109"/>
      <c r="AH111" s="109"/>
      <c r="AI111" s="109"/>
      <c r="AJ111" s="109"/>
      <c r="AK111" s="109"/>
      <c r="AL111" s="109"/>
      <c r="AM111" s="109"/>
      <c r="AN111" s="110"/>
      <c r="AO111" s="110"/>
      <c r="AP111" s="111"/>
      <c r="AQ111" s="112"/>
      <c r="AR111" s="112"/>
      <c r="AS111" s="112"/>
      <c r="AT111" s="112"/>
      <c r="AU111" s="112"/>
      <c r="AV111" s="112"/>
      <c r="AW111" s="112"/>
      <c r="AX111" s="112"/>
      <c r="AY111" s="112"/>
      <c r="AZ111" s="112"/>
      <c r="BA111" s="112"/>
      <c r="BB111" s="112"/>
      <c r="BC111" s="112"/>
      <c r="BD111" s="112"/>
      <c r="BE111" s="112"/>
    </row>
    <row r="112" spans="2:57" x14ac:dyDescent="0.35">
      <c r="B112" s="59"/>
      <c r="C112" s="59"/>
      <c r="D112" s="104"/>
      <c r="E112" s="105"/>
      <c r="F112" s="105"/>
      <c r="G112" s="105"/>
      <c r="H112" s="68"/>
      <c r="I112" s="106"/>
      <c r="J112" s="107"/>
      <c r="K112" s="108"/>
      <c r="L112" s="108"/>
      <c r="M112" s="108"/>
      <c r="N112" s="108"/>
      <c r="O112" s="108"/>
      <c r="P112" s="108"/>
      <c r="Q112" s="108"/>
      <c r="R112" s="108"/>
      <c r="S112" s="108"/>
      <c r="T112" s="108"/>
      <c r="U112" s="108"/>
      <c r="V112" s="108"/>
      <c r="W112" s="108"/>
      <c r="X112" s="108"/>
      <c r="Y112" s="108"/>
      <c r="Z112" s="109"/>
      <c r="AA112" s="109"/>
      <c r="AB112" s="109"/>
      <c r="AC112" s="109"/>
      <c r="AD112" s="109"/>
      <c r="AE112" s="109"/>
      <c r="AF112" s="109"/>
      <c r="AG112" s="109"/>
      <c r="AH112" s="109"/>
      <c r="AI112" s="109"/>
      <c r="AJ112" s="109"/>
      <c r="AK112" s="109"/>
      <c r="AL112" s="109"/>
      <c r="AM112" s="109"/>
      <c r="AN112" s="110"/>
      <c r="AO112" s="110"/>
      <c r="AP112" s="111"/>
      <c r="AQ112" s="112"/>
      <c r="AR112" s="112"/>
      <c r="AS112" s="112"/>
      <c r="AT112" s="112"/>
      <c r="AU112" s="112"/>
      <c r="AV112" s="112"/>
      <c r="AW112" s="112"/>
      <c r="AX112" s="112"/>
      <c r="AY112" s="112"/>
      <c r="AZ112" s="112"/>
      <c r="BA112" s="112"/>
      <c r="BB112" s="112"/>
      <c r="BC112" s="112"/>
      <c r="BD112" s="112"/>
      <c r="BE112" s="112"/>
    </row>
    <row r="113" spans="2:57" x14ac:dyDescent="0.35">
      <c r="B113" s="59"/>
      <c r="C113" s="59"/>
      <c r="D113" s="104"/>
      <c r="E113" s="105"/>
      <c r="F113" s="105"/>
      <c r="G113" s="105"/>
      <c r="H113" s="68"/>
      <c r="I113" s="106"/>
      <c r="J113" s="107"/>
      <c r="K113" s="108"/>
      <c r="L113" s="108"/>
      <c r="M113" s="108"/>
      <c r="N113" s="108"/>
      <c r="O113" s="108"/>
      <c r="P113" s="108"/>
      <c r="Q113" s="108"/>
      <c r="R113" s="108"/>
      <c r="S113" s="108"/>
      <c r="T113" s="108"/>
      <c r="U113" s="108"/>
      <c r="V113" s="108"/>
      <c r="W113" s="108"/>
      <c r="X113" s="108"/>
      <c r="Y113" s="108"/>
      <c r="Z113" s="109"/>
      <c r="AA113" s="109"/>
      <c r="AB113" s="109"/>
      <c r="AC113" s="109"/>
      <c r="AD113" s="109"/>
      <c r="AE113" s="109"/>
      <c r="AF113" s="109"/>
      <c r="AG113" s="109"/>
      <c r="AH113" s="109"/>
      <c r="AI113" s="109"/>
      <c r="AJ113" s="109"/>
      <c r="AK113" s="109"/>
      <c r="AL113" s="109"/>
      <c r="AM113" s="109"/>
      <c r="AN113" s="110"/>
      <c r="AO113" s="110"/>
      <c r="AP113" s="111"/>
      <c r="AQ113" s="112"/>
      <c r="AR113" s="112"/>
      <c r="AS113" s="112"/>
      <c r="AT113" s="112"/>
      <c r="AU113" s="112"/>
      <c r="AV113" s="112"/>
      <c r="AW113" s="112"/>
      <c r="AX113" s="112"/>
      <c r="AY113" s="112"/>
      <c r="AZ113" s="112"/>
      <c r="BA113" s="112"/>
      <c r="BB113" s="112"/>
      <c r="BC113" s="112"/>
      <c r="BD113" s="112"/>
      <c r="BE113" s="112"/>
    </row>
    <row r="114" spans="2:57" x14ac:dyDescent="0.35">
      <c r="B114" s="59"/>
      <c r="C114" s="59"/>
      <c r="D114" s="104"/>
      <c r="E114" s="105"/>
      <c r="F114" s="105"/>
      <c r="G114" s="105"/>
      <c r="H114" s="68"/>
      <c r="I114" s="106"/>
      <c r="J114" s="107"/>
      <c r="K114" s="108"/>
      <c r="L114" s="108"/>
      <c r="M114" s="108"/>
      <c r="N114" s="108"/>
      <c r="O114" s="108"/>
      <c r="P114" s="108"/>
      <c r="Q114" s="108"/>
      <c r="R114" s="108"/>
      <c r="S114" s="108"/>
      <c r="T114" s="108"/>
      <c r="U114" s="108"/>
      <c r="V114" s="108"/>
      <c r="W114" s="108"/>
      <c r="X114" s="108"/>
      <c r="Y114" s="108"/>
      <c r="Z114" s="109"/>
      <c r="AA114" s="109"/>
      <c r="AB114" s="109"/>
      <c r="AC114" s="109"/>
      <c r="AD114" s="109"/>
      <c r="AE114" s="109"/>
      <c r="AF114" s="109"/>
      <c r="AG114" s="109"/>
      <c r="AH114" s="109"/>
      <c r="AI114" s="109"/>
      <c r="AJ114" s="109"/>
      <c r="AK114" s="109"/>
      <c r="AL114" s="109"/>
      <c r="AM114" s="109"/>
      <c r="AN114" s="110"/>
      <c r="AO114" s="110"/>
      <c r="AP114" s="111"/>
      <c r="AQ114" s="112"/>
      <c r="AR114" s="112"/>
      <c r="AS114" s="112"/>
      <c r="AT114" s="112"/>
      <c r="AU114" s="112"/>
      <c r="AV114" s="112"/>
      <c r="AW114" s="112"/>
      <c r="AX114" s="112"/>
      <c r="AY114" s="112"/>
      <c r="AZ114" s="112"/>
      <c r="BA114" s="112"/>
      <c r="BB114" s="112"/>
      <c r="BC114" s="112"/>
      <c r="BD114" s="112"/>
      <c r="BE114" s="112"/>
    </row>
    <row r="115" spans="2:57" x14ac:dyDescent="0.35">
      <c r="B115" s="59"/>
      <c r="C115" s="59"/>
      <c r="D115" s="104"/>
      <c r="E115" s="105"/>
      <c r="F115" s="105"/>
      <c r="G115" s="105"/>
      <c r="H115" s="68"/>
      <c r="I115" s="106"/>
      <c r="J115" s="107"/>
      <c r="K115" s="108"/>
      <c r="L115" s="108"/>
      <c r="M115" s="108"/>
      <c r="N115" s="108"/>
      <c r="O115" s="108"/>
      <c r="P115" s="108"/>
      <c r="Q115" s="108"/>
      <c r="R115" s="108"/>
      <c r="S115" s="108"/>
      <c r="T115" s="108"/>
      <c r="U115" s="108"/>
      <c r="V115" s="108"/>
      <c r="W115" s="108"/>
      <c r="X115" s="108"/>
      <c r="Y115" s="108"/>
      <c r="Z115" s="109"/>
      <c r="AA115" s="109"/>
      <c r="AB115" s="109"/>
      <c r="AC115" s="109"/>
      <c r="AD115" s="109"/>
      <c r="AE115" s="109"/>
      <c r="AF115" s="109"/>
      <c r="AG115" s="109"/>
      <c r="AH115" s="109"/>
      <c r="AI115" s="109"/>
      <c r="AJ115" s="109"/>
      <c r="AK115" s="109"/>
      <c r="AL115" s="109"/>
      <c r="AM115" s="109"/>
      <c r="AN115" s="110"/>
      <c r="AO115" s="110"/>
      <c r="AP115" s="111"/>
      <c r="AQ115" s="112"/>
      <c r="AR115" s="112"/>
      <c r="AS115" s="112"/>
      <c r="AT115" s="112"/>
      <c r="AU115" s="112"/>
      <c r="AV115" s="112"/>
      <c r="AW115" s="112"/>
      <c r="AX115" s="112"/>
      <c r="AY115" s="112"/>
      <c r="AZ115" s="112"/>
      <c r="BA115" s="112"/>
      <c r="BB115" s="112"/>
      <c r="BC115" s="112"/>
      <c r="BD115" s="112"/>
      <c r="BE115" s="112"/>
    </row>
    <row r="116" spans="2:57" x14ac:dyDescent="0.35">
      <c r="B116" s="59"/>
      <c r="C116" s="59"/>
      <c r="D116" s="104"/>
      <c r="E116" s="105"/>
      <c r="F116" s="105"/>
      <c r="G116" s="105"/>
      <c r="H116" s="68"/>
      <c r="I116" s="106"/>
      <c r="J116" s="107"/>
      <c r="K116" s="108"/>
      <c r="L116" s="108"/>
      <c r="M116" s="108"/>
      <c r="N116" s="108"/>
      <c r="O116" s="108"/>
      <c r="P116" s="108"/>
      <c r="Q116" s="108"/>
      <c r="R116" s="108"/>
      <c r="S116" s="108"/>
      <c r="T116" s="108"/>
      <c r="U116" s="108"/>
      <c r="V116" s="108"/>
      <c r="W116" s="108"/>
      <c r="X116" s="108"/>
      <c r="Y116" s="108"/>
      <c r="Z116" s="109"/>
      <c r="AA116" s="109"/>
      <c r="AB116" s="109"/>
      <c r="AC116" s="109"/>
      <c r="AD116" s="109"/>
      <c r="AE116" s="109"/>
      <c r="AF116" s="109"/>
      <c r="AG116" s="109"/>
      <c r="AH116" s="109"/>
      <c r="AI116" s="109"/>
      <c r="AJ116" s="109"/>
      <c r="AK116" s="109"/>
      <c r="AL116" s="109"/>
      <c r="AM116" s="109"/>
      <c r="AN116" s="110"/>
      <c r="AO116" s="110"/>
      <c r="AP116" s="111"/>
      <c r="AQ116" s="112"/>
      <c r="AR116" s="112"/>
      <c r="AS116" s="112"/>
      <c r="AT116" s="112"/>
      <c r="AU116" s="112"/>
      <c r="AV116" s="112"/>
      <c r="AW116" s="112"/>
      <c r="AX116" s="112"/>
      <c r="AY116" s="112"/>
      <c r="AZ116" s="112"/>
      <c r="BA116" s="112"/>
      <c r="BB116" s="112"/>
      <c r="BC116" s="112"/>
      <c r="BD116" s="112"/>
      <c r="BE116" s="112"/>
    </row>
    <row r="117" spans="2:57" x14ac:dyDescent="0.35">
      <c r="B117" s="59"/>
      <c r="C117" s="59"/>
      <c r="D117" s="104"/>
      <c r="E117" s="105"/>
      <c r="F117" s="105"/>
      <c r="G117" s="105"/>
      <c r="H117" s="68"/>
      <c r="I117" s="106"/>
      <c r="J117" s="107"/>
      <c r="K117" s="108"/>
      <c r="L117" s="108"/>
      <c r="M117" s="108"/>
      <c r="N117" s="108"/>
      <c r="O117" s="108"/>
      <c r="P117" s="108"/>
      <c r="Q117" s="108"/>
      <c r="R117" s="108"/>
      <c r="S117" s="108"/>
      <c r="T117" s="108"/>
      <c r="U117" s="108"/>
      <c r="V117" s="108"/>
      <c r="W117" s="108"/>
      <c r="X117" s="108"/>
      <c r="Y117" s="108"/>
      <c r="Z117" s="109"/>
      <c r="AA117" s="109"/>
      <c r="AB117" s="109"/>
      <c r="AC117" s="109"/>
      <c r="AD117" s="109"/>
      <c r="AE117" s="109"/>
      <c r="AF117" s="109"/>
      <c r="AG117" s="109"/>
      <c r="AH117" s="109"/>
      <c r="AI117" s="109"/>
      <c r="AJ117" s="109"/>
      <c r="AK117" s="109"/>
      <c r="AL117" s="109"/>
      <c r="AM117" s="109"/>
      <c r="AN117" s="110"/>
      <c r="AO117" s="110"/>
      <c r="AP117" s="111"/>
      <c r="AQ117" s="112"/>
      <c r="AR117" s="112"/>
      <c r="AS117" s="112"/>
      <c r="AT117" s="112"/>
      <c r="AU117" s="112"/>
      <c r="AV117" s="112"/>
      <c r="AW117" s="112"/>
      <c r="AX117" s="112"/>
      <c r="AY117" s="112"/>
      <c r="AZ117" s="112"/>
      <c r="BA117" s="112"/>
      <c r="BB117" s="112"/>
      <c r="BC117" s="112"/>
      <c r="BD117" s="112"/>
      <c r="BE117" s="112"/>
    </row>
    <row r="118" spans="2:57" x14ac:dyDescent="0.35">
      <c r="B118" s="59"/>
      <c r="C118" s="59"/>
      <c r="D118" s="104"/>
      <c r="E118" s="105"/>
      <c r="F118" s="105"/>
      <c r="G118" s="105"/>
      <c r="H118" s="68"/>
      <c r="I118" s="106"/>
      <c r="J118" s="107"/>
      <c r="K118" s="108"/>
      <c r="L118" s="108"/>
      <c r="M118" s="108"/>
      <c r="N118" s="108"/>
      <c r="O118" s="108"/>
      <c r="P118" s="108"/>
      <c r="Q118" s="108"/>
      <c r="R118" s="108"/>
      <c r="S118" s="108"/>
      <c r="T118" s="108"/>
      <c r="U118" s="108"/>
      <c r="V118" s="108"/>
      <c r="W118" s="108"/>
      <c r="X118" s="108"/>
      <c r="Y118" s="108"/>
      <c r="Z118" s="109"/>
      <c r="AA118" s="109"/>
      <c r="AB118" s="109"/>
      <c r="AC118" s="109"/>
      <c r="AD118" s="109"/>
      <c r="AE118" s="109"/>
      <c r="AF118" s="109"/>
      <c r="AG118" s="109"/>
      <c r="AH118" s="109"/>
      <c r="AI118" s="109"/>
      <c r="AJ118" s="109"/>
      <c r="AK118" s="109"/>
      <c r="AL118" s="109"/>
      <c r="AM118" s="109"/>
      <c r="AN118" s="110"/>
      <c r="AO118" s="110"/>
      <c r="AP118" s="111"/>
      <c r="AQ118" s="112"/>
      <c r="AR118" s="112"/>
      <c r="AS118" s="112"/>
      <c r="AT118" s="112"/>
      <c r="AU118" s="112"/>
      <c r="AV118" s="112"/>
      <c r="AW118" s="112"/>
      <c r="AX118" s="112"/>
      <c r="AY118" s="112"/>
      <c r="AZ118" s="112"/>
      <c r="BA118" s="112"/>
      <c r="BB118" s="112"/>
      <c r="BC118" s="112"/>
      <c r="BD118" s="112"/>
      <c r="BE118" s="112"/>
    </row>
    <row r="119" spans="2:57" x14ac:dyDescent="0.35">
      <c r="B119" s="59"/>
      <c r="C119" s="59"/>
      <c r="D119" s="104"/>
      <c r="E119" s="105"/>
      <c r="F119" s="105"/>
      <c r="G119" s="105"/>
      <c r="H119" s="68"/>
      <c r="I119" s="106"/>
      <c r="J119" s="107"/>
      <c r="K119" s="108"/>
      <c r="L119" s="108"/>
      <c r="M119" s="108"/>
      <c r="N119" s="108"/>
      <c r="O119" s="108"/>
      <c r="P119" s="108"/>
      <c r="Q119" s="108"/>
      <c r="R119" s="108"/>
      <c r="S119" s="108"/>
      <c r="T119" s="108"/>
      <c r="U119" s="108"/>
      <c r="V119" s="108"/>
      <c r="W119" s="108"/>
      <c r="X119" s="108"/>
      <c r="Y119" s="108"/>
      <c r="Z119" s="109"/>
      <c r="AA119" s="109"/>
      <c r="AB119" s="109"/>
      <c r="AC119" s="109"/>
      <c r="AD119" s="109"/>
      <c r="AE119" s="109"/>
      <c r="AF119" s="109"/>
      <c r="AG119" s="109"/>
      <c r="AH119" s="109"/>
      <c r="AI119" s="109"/>
      <c r="AJ119" s="109"/>
      <c r="AK119" s="109"/>
      <c r="AL119" s="109"/>
      <c r="AM119" s="109"/>
      <c r="AN119" s="110"/>
      <c r="AO119" s="110"/>
      <c r="AP119" s="111"/>
      <c r="AQ119" s="112"/>
      <c r="AR119" s="112"/>
      <c r="AS119" s="112"/>
      <c r="AT119" s="112"/>
      <c r="AU119" s="112"/>
      <c r="AV119" s="112"/>
      <c r="AW119" s="112"/>
      <c r="AX119" s="112"/>
      <c r="AY119" s="112"/>
      <c r="AZ119" s="112"/>
      <c r="BA119" s="112"/>
      <c r="BB119" s="112"/>
      <c r="BC119" s="112"/>
      <c r="BD119" s="112"/>
      <c r="BE119" s="112"/>
    </row>
    <row r="120" spans="2:57" x14ac:dyDescent="0.35">
      <c r="B120" s="59"/>
      <c r="C120" s="59"/>
      <c r="D120" s="104"/>
      <c r="E120" s="105"/>
      <c r="F120" s="105"/>
      <c r="G120" s="105"/>
      <c r="H120" s="68"/>
      <c r="I120" s="106"/>
      <c r="J120" s="107"/>
      <c r="K120" s="108"/>
      <c r="L120" s="108"/>
      <c r="M120" s="108"/>
      <c r="N120" s="108"/>
      <c r="O120" s="108"/>
      <c r="P120" s="108"/>
      <c r="Q120" s="108"/>
      <c r="R120" s="108"/>
      <c r="S120" s="108"/>
      <c r="T120" s="108"/>
      <c r="U120" s="108"/>
      <c r="V120" s="108"/>
      <c r="W120" s="108"/>
      <c r="X120" s="108"/>
      <c r="Y120" s="108"/>
      <c r="Z120" s="109"/>
      <c r="AA120" s="109"/>
      <c r="AB120" s="109"/>
      <c r="AC120" s="109"/>
      <c r="AD120" s="109"/>
      <c r="AE120" s="109"/>
      <c r="AF120" s="109"/>
      <c r="AG120" s="109"/>
      <c r="AH120" s="109"/>
      <c r="AI120" s="109"/>
      <c r="AJ120" s="109"/>
      <c r="AK120" s="109"/>
      <c r="AL120" s="109"/>
      <c r="AM120" s="109"/>
      <c r="AN120" s="110"/>
      <c r="AO120" s="110"/>
      <c r="AP120" s="111"/>
      <c r="AQ120" s="112"/>
      <c r="AR120" s="112"/>
      <c r="AS120" s="112"/>
      <c r="AT120" s="112"/>
      <c r="AU120" s="112"/>
      <c r="AV120" s="112"/>
      <c r="AW120" s="112"/>
      <c r="AX120" s="112"/>
      <c r="AY120" s="112"/>
      <c r="AZ120" s="112"/>
      <c r="BA120" s="112"/>
      <c r="BB120" s="112"/>
      <c r="BC120" s="112"/>
      <c r="BD120" s="112"/>
      <c r="BE120" s="112"/>
    </row>
    <row r="121" spans="2:57" x14ac:dyDescent="0.35">
      <c r="B121" s="59"/>
      <c r="C121" s="59"/>
      <c r="D121" s="104"/>
      <c r="E121" s="105"/>
      <c r="F121" s="105"/>
      <c r="G121" s="105"/>
      <c r="H121" s="68"/>
      <c r="I121" s="106"/>
      <c r="J121" s="107"/>
      <c r="K121" s="108"/>
      <c r="L121" s="108"/>
      <c r="M121" s="108"/>
      <c r="N121" s="108"/>
      <c r="O121" s="108"/>
      <c r="P121" s="108"/>
      <c r="Q121" s="108"/>
      <c r="R121" s="108"/>
      <c r="S121" s="108"/>
      <c r="T121" s="108"/>
      <c r="U121" s="108"/>
      <c r="V121" s="108"/>
      <c r="W121" s="108"/>
      <c r="X121" s="108"/>
      <c r="Y121" s="108"/>
      <c r="Z121" s="109"/>
      <c r="AA121" s="109"/>
      <c r="AB121" s="109"/>
      <c r="AC121" s="109"/>
      <c r="AD121" s="109"/>
      <c r="AE121" s="109"/>
      <c r="AF121" s="109"/>
      <c r="AG121" s="109"/>
      <c r="AH121" s="109"/>
      <c r="AI121" s="109"/>
      <c r="AJ121" s="109"/>
      <c r="AK121" s="109"/>
      <c r="AL121" s="109"/>
      <c r="AM121" s="109"/>
      <c r="AN121" s="110"/>
      <c r="AO121" s="110"/>
      <c r="AP121" s="111"/>
      <c r="AQ121" s="112"/>
      <c r="AR121" s="112"/>
      <c r="AS121" s="112"/>
      <c r="AT121" s="112"/>
      <c r="AU121" s="112"/>
      <c r="AV121" s="112"/>
      <c r="AW121" s="112"/>
      <c r="AX121" s="112"/>
      <c r="AY121" s="112"/>
      <c r="AZ121" s="112"/>
      <c r="BA121" s="112"/>
      <c r="BB121" s="112"/>
      <c r="BC121" s="112"/>
      <c r="BD121" s="112"/>
      <c r="BE121" s="112"/>
    </row>
    <row r="122" spans="2:57" x14ac:dyDescent="0.35">
      <c r="B122" s="59"/>
      <c r="C122" s="59"/>
      <c r="D122" s="104"/>
      <c r="E122" s="105"/>
      <c r="F122" s="105"/>
      <c r="G122" s="105"/>
      <c r="H122" s="68"/>
      <c r="I122" s="106"/>
      <c r="J122" s="107"/>
      <c r="K122" s="108"/>
      <c r="L122" s="108"/>
      <c r="M122" s="108"/>
      <c r="N122" s="108"/>
      <c r="O122" s="108"/>
      <c r="P122" s="108"/>
      <c r="Q122" s="108"/>
      <c r="R122" s="108"/>
      <c r="S122" s="108"/>
      <c r="T122" s="108"/>
      <c r="U122" s="108"/>
      <c r="V122" s="108"/>
      <c r="W122" s="108"/>
      <c r="X122" s="108"/>
      <c r="Y122" s="108"/>
      <c r="Z122" s="109"/>
      <c r="AA122" s="109"/>
      <c r="AB122" s="109"/>
      <c r="AC122" s="109"/>
      <c r="AD122" s="109"/>
      <c r="AE122" s="109"/>
      <c r="AF122" s="109"/>
      <c r="AG122" s="109"/>
      <c r="AH122" s="109"/>
      <c r="AI122" s="109"/>
      <c r="AJ122" s="109"/>
      <c r="AK122" s="109"/>
      <c r="AL122" s="109"/>
      <c r="AM122" s="109"/>
      <c r="AN122" s="110"/>
      <c r="AO122" s="110"/>
      <c r="AP122" s="111"/>
      <c r="AQ122" s="112"/>
      <c r="AR122" s="112"/>
      <c r="AS122" s="112"/>
      <c r="AT122" s="112"/>
      <c r="AU122" s="112"/>
      <c r="AV122" s="112"/>
      <c r="AW122" s="112"/>
      <c r="AX122" s="112"/>
      <c r="AY122" s="112"/>
      <c r="AZ122" s="112"/>
      <c r="BA122" s="112"/>
      <c r="BB122" s="112"/>
      <c r="BC122" s="112"/>
      <c r="BD122" s="112"/>
      <c r="BE122" s="112"/>
    </row>
    <row r="123" spans="2:57" x14ac:dyDescent="0.35">
      <c r="B123" s="59"/>
      <c r="C123" s="59"/>
      <c r="D123" s="104"/>
      <c r="E123" s="105"/>
      <c r="F123" s="105"/>
      <c r="G123" s="105"/>
      <c r="H123" s="68"/>
      <c r="I123" s="106"/>
      <c r="J123" s="107"/>
      <c r="K123" s="108"/>
      <c r="L123" s="108"/>
      <c r="M123" s="108"/>
      <c r="N123" s="108"/>
      <c r="O123" s="108"/>
      <c r="P123" s="108"/>
      <c r="Q123" s="108"/>
      <c r="R123" s="108"/>
      <c r="S123" s="108"/>
      <c r="T123" s="108"/>
      <c r="U123" s="108"/>
      <c r="V123" s="108"/>
      <c r="W123" s="108"/>
      <c r="X123" s="108"/>
      <c r="Y123" s="108"/>
      <c r="Z123" s="109"/>
      <c r="AA123" s="109"/>
      <c r="AB123" s="109"/>
      <c r="AC123" s="109"/>
      <c r="AD123" s="109"/>
      <c r="AE123" s="109"/>
      <c r="AF123" s="109"/>
      <c r="AG123" s="109"/>
      <c r="AH123" s="109"/>
      <c r="AI123" s="109"/>
      <c r="AJ123" s="109"/>
      <c r="AK123" s="109"/>
      <c r="AL123" s="109"/>
      <c r="AM123" s="109"/>
      <c r="AN123" s="110"/>
      <c r="AO123" s="110"/>
      <c r="AP123" s="111"/>
      <c r="AQ123" s="112"/>
      <c r="AR123" s="112"/>
      <c r="AS123" s="112"/>
      <c r="AT123" s="112"/>
      <c r="AU123" s="112"/>
      <c r="AV123" s="112"/>
      <c r="AW123" s="112"/>
      <c r="AX123" s="112"/>
      <c r="AY123" s="112"/>
      <c r="AZ123" s="112"/>
      <c r="BA123" s="112"/>
      <c r="BB123" s="112"/>
      <c r="BC123" s="112"/>
      <c r="BD123" s="112"/>
      <c r="BE123" s="112"/>
    </row>
    <row r="124" spans="2:57" x14ac:dyDescent="0.35">
      <c r="B124" s="59"/>
      <c r="C124" s="59"/>
      <c r="D124" s="104"/>
      <c r="E124" s="105"/>
      <c r="F124" s="105"/>
      <c r="G124" s="105"/>
      <c r="H124" s="68"/>
      <c r="I124" s="106"/>
      <c r="J124" s="107"/>
      <c r="K124" s="108"/>
      <c r="L124" s="108"/>
      <c r="M124" s="108"/>
      <c r="N124" s="108"/>
      <c r="O124" s="108"/>
      <c r="P124" s="108"/>
      <c r="Q124" s="108"/>
      <c r="R124" s="108"/>
      <c r="S124" s="108"/>
      <c r="T124" s="108"/>
      <c r="U124" s="108"/>
      <c r="V124" s="108"/>
      <c r="W124" s="108"/>
      <c r="X124" s="108"/>
      <c r="Y124" s="108"/>
      <c r="Z124" s="109"/>
      <c r="AA124" s="109"/>
      <c r="AB124" s="109"/>
      <c r="AC124" s="109"/>
      <c r="AD124" s="109"/>
      <c r="AE124" s="109"/>
      <c r="AF124" s="109"/>
      <c r="AG124" s="109"/>
      <c r="AH124" s="109"/>
      <c r="AI124" s="109"/>
      <c r="AJ124" s="109"/>
      <c r="AK124" s="109"/>
      <c r="AL124" s="109"/>
      <c r="AM124" s="109"/>
      <c r="AN124" s="110"/>
      <c r="AO124" s="110"/>
      <c r="AP124" s="111"/>
      <c r="AQ124" s="112"/>
      <c r="AR124" s="112"/>
      <c r="AS124" s="112"/>
      <c r="AT124" s="112"/>
      <c r="AU124" s="112"/>
      <c r="AV124" s="112"/>
      <c r="AW124" s="112"/>
      <c r="AX124" s="112"/>
      <c r="AY124" s="112"/>
      <c r="AZ124" s="112"/>
      <c r="BA124" s="112"/>
      <c r="BB124" s="112"/>
      <c r="BC124" s="112"/>
      <c r="BD124" s="112"/>
      <c r="BE124" s="112"/>
    </row>
    <row r="125" spans="2:57" x14ac:dyDescent="0.35">
      <c r="B125" s="59"/>
      <c r="C125" s="59"/>
      <c r="D125" s="104"/>
      <c r="E125" s="105"/>
      <c r="F125" s="105"/>
      <c r="G125" s="105"/>
      <c r="H125" s="68"/>
      <c r="I125" s="106"/>
      <c r="J125" s="107"/>
      <c r="K125" s="108"/>
      <c r="L125" s="108"/>
      <c r="M125" s="108"/>
      <c r="N125" s="108"/>
      <c r="O125" s="108"/>
      <c r="P125" s="108"/>
      <c r="Q125" s="108"/>
      <c r="R125" s="108"/>
      <c r="S125" s="108"/>
      <c r="T125" s="108"/>
      <c r="U125" s="108"/>
      <c r="V125" s="108"/>
      <c r="W125" s="108"/>
      <c r="X125" s="108"/>
      <c r="Y125" s="108"/>
      <c r="Z125" s="109"/>
      <c r="AA125" s="109"/>
      <c r="AB125" s="109"/>
      <c r="AC125" s="109"/>
      <c r="AD125" s="109"/>
      <c r="AE125" s="109"/>
      <c r="AF125" s="109"/>
      <c r="AG125" s="109"/>
      <c r="AH125" s="109"/>
      <c r="AI125" s="109"/>
      <c r="AJ125" s="109"/>
      <c r="AK125" s="109"/>
      <c r="AL125" s="109"/>
      <c r="AM125" s="109"/>
      <c r="AN125" s="110"/>
      <c r="AO125" s="110"/>
      <c r="AP125" s="111"/>
      <c r="AQ125" s="112"/>
      <c r="AR125" s="112"/>
      <c r="AS125" s="112"/>
      <c r="AT125" s="112"/>
      <c r="AU125" s="112"/>
      <c r="AV125" s="112"/>
      <c r="AW125" s="112"/>
      <c r="AX125" s="112"/>
      <c r="AY125" s="112"/>
      <c r="AZ125" s="112"/>
      <c r="BA125" s="112"/>
      <c r="BB125" s="112"/>
      <c r="BC125" s="112"/>
      <c r="BD125" s="112"/>
      <c r="BE125" s="112"/>
    </row>
    <row r="126" spans="2:57" x14ac:dyDescent="0.35">
      <c r="B126" s="59"/>
      <c r="C126" s="59"/>
      <c r="D126" s="104"/>
      <c r="E126" s="105"/>
      <c r="F126" s="105"/>
      <c r="G126" s="105"/>
      <c r="H126" s="68"/>
      <c r="I126" s="106"/>
      <c r="J126" s="107"/>
      <c r="K126" s="108"/>
      <c r="L126" s="108"/>
      <c r="M126" s="108"/>
      <c r="N126" s="108"/>
      <c r="O126" s="108"/>
      <c r="P126" s="108"/>
      <c r="Q126" s="108"/>
      <c r="R126" s="108"/>
      <c r="S126" s="108"/>
      <c r="T126" s="108"/>
      <c r="U126" s="108"/>
      <c r="V126" s="108"/>
      <c r="W126" s="108"/>
      <c r="X126" s="108"/>
      <c r="Y126" s="108"/>
      <c r="Z126" s="109"/>
      <c r="AA126" s="109"/>
      <c r="AB126" s="109"/>
      <c r="AC126" s="109"/>
      <c r="AD126" s="109"/>
      <c r="AE126" s="109"/>
      <c r="AF126" s="109"/>
      <c r="AG126" s="109"/>
      <c r="AH126" s="109"/>
      <c r="AI126" s="109"/>
      <c r="AJ126" s="109"/>
      <c r="AK126" s="109"/>
      <c r="AL126" s="109"/>
      <c r="AM126" s="109"/>
      <c r="AN126" s="110"/>
      <c r="AO126" s="110"/>
      <c r="AP126" s="111"/>
      <c r="AQ126" s="112"/>
      <c r="AR126" s="112"/>
      <c r="AS126" s="112"/>
      <c r="AT126" s="112"/>
      <c r="AU126" s="112"/>
      <c r="AV126" s="112"/>
      <c r="AW126" s="112"/>
      <c r="AX126" s="112"/>
      <c r="AY126" s="112"/>
      <c r="AZ126" s="112"/>
      <c r="BA126" s="112"/>
      <c r="BB126" s="112"/>
      <c r="BC126" s="112"/>
      <c r="BD126" s="112"/>
      <c r="BE126" s="112"/>
    </row>
    <row r="127" spans="2:57" x14ac:dyDescent="0.35">
      <c r="B127" s="59"/>
      <c r="C127" s="59"/>
      <c r="D127" s="104"/>
      <c r="E127" s="105"/>
      <c r="F127" s="105"/>
      <c r="G127" s="105"/>
      <c r="H127" s="68"/>
      <c r="I127" s="106"/>
      <c r="J127" s="107"/>
      <c r="K127" s="108"/>
      <c r="L127" s="108"/>
      <c r="M127" s="108"/>
      <c r="N127" s="108"/>
      <c r="O127" s="108"/>
      <c r="P127" s="108"/>
      <c r="Q127" s="108"/>
      <c r="R127" s="108"/>
      <c r="S127" s="108"/>
      <c r="T127" s="108"/>
      <c r="U127" s="108"/>
      <c r="V127" s="108"/>
      <c r="W127" s="108"/>
      <c r="X127" s="108"/>
      <c r="Y127" s="108"/>
      <c r="Z127" s="109"/>
      <c r="AA127" s="109"/>
      <c r="AB127" s="109"/>
      <c r="AC127" s="109"/>
      <c r="AD127" s="109"/>
      <c r="AE127" s="109"/>
      <c r="AF127" s="109"/>
      <c r="AG127" s="109"/>
      <c r="AH127" s="109"/>
      <c r="AI127" s="109"/>
      <c r="AJ127" s="109"/>
      <c r="AK127" s="109"/>
      <c r="AL127" s="109"/>
      <c r="AM127" s="109"/>
      <c r="AN127" s="110"/>
      <c r="AO127" s="110"/>
      <c r="AP127" s="111"/>
      <c r="AQ127" s="112"/>
      <c r="AR127" s="112"/>
      <c r="AS127" s="112"/>
      <c r="AT127" s="112"/>
      <c r="AU127" s="112"/>
      <c r="AV127" s="112"/>
      <c r="AW127" s="112"/>
      <c r="AX127" s="112"/>
      <c r="AY127" s="112"/>
      <c r="AZ127" s="112"/>
      <c r="BA127" s="112"/>
      <c r="BB127" s="112"/>
      <c r="BC127" s="112"/>
      <c r="BD127" s="112"/>
      <c r="BE127" s="112"/>
    </row>
    <row r="128" spans="2:57" x14ac:dyDescent="0.35">
      <c r="B128" s="59"/>
      <c r="C128" s="59"/>
      <c r="D128" s="104"/>
      <c r="E128" s="105"/>
      <c r="F128" s="105"/>
      <c r="G128" s="105"/>
      <c r="H128" s="68"/>
      <c r="I128" s="106"/>
      <c r="J128" s="107"/>
      <c r="K128" s="108"/>
      <c r="L128" s="108"/>
      <c r="M128" s="108"/>
      <c r="N128" s="108"/>
      <c r="O128" s="108"/>
      <c r="P128" s="108"/>
      <c r="Q128" s="108"/>
      <c r="R128" s="108"/>
      <c r="S128" s="108"/>
      <c r="T128" s="108"/>
      <c r="U128" s="108"/>
      <c r="V128" s="108"/>
      <c r="W128" s="108"/>
      <c r="X128" s="108"/>
      <c r="Y128" s="108"/>
      <c r="Z128" s="109"/>
      <c r="AA128" s="109"/>
      <c r="AB128" s="109"/>
      <c r="AC128" s="109"/>
      <c r="AD128" s="109"/>
      <c r="AE128" s="109"/>
      <c r="AF128" s="109"/>
      <c r="AG128" s="109"/>
      <c r="AH128" s="109"/>
      <c r="AI128" s="109"/>
      <c r="AJ128" s="109"/>
      <c r="AK128" s="109"/>
      <c r="AL128" s="109"/>
      <c r="AM128" s="109"/>
      <c r="AN128" s="110"/>
      <c r="AO128" s="110"/>
      <c r="AP128" s="111"/>
      <c r="AQ128" s="112"/>
      <c r="AR128" s="112"/>
      <c r="AS128" s="112"/>
      <c r="AT128" s="112"/>
      <c r="AU128" s="112"/>
      <c r="AV128" s="112"/>
      <c r="AW128" s="112"/>
      <c r="AX128" s="112"/>
      <c r="AY128" s="112"/>
      <c r="AZ128" s="112"/>
      <c r="BA128" s="112"/>
      <c r="BB128" s="112"/>
      <c r="BC128" s="112"/>
      <c r="BD128" s="112"/>
      <c r="BE128" s="112"/>
    </row>
    <row r="129" spans="2:57" x14ac:dyDescent="0.35">
      <c r="B129" s="59"/>
      <c r="C129" s="59"/>
      <c r="D129" s="104"/>
      <c r="E129" s="105"/>
      <c r="F129" s="105"/>
      <c r="G129" s="105"/>
      <c r="H129" s="68"/>
      <c r="I129" s="106"/>
      <c r="J129" s="107"/>
      <c r="K129" s="108"/>
      <c r="L129" s="108"/>
      <c r="M129" s="108"/>
      <c r="N129" s="108"/>
      <c r="O129" s="108"/>
      <c r="P129" s="108"/>
      <c r="Q129" s="108"/>
      <c r="R129" s="108"/>
      <c r="S129" s="108"/>
      <c r="T129" s="108"/>
      <c r="U129" s="108"/>
      <c r="V129" s="108"/>
      <c r="W129" s="108"/>
      <c r="X129" s="108"/>
      <c r="Y129" s="108"/>
      <c r="Z129" s="109"/>
      <c r="AA129" s="109"/>
      <c r="AB129" s="109"/>
      <c r="AC129" s="109"/>
      <c r="AD129" s="109"/>
      <c r="AE129" s="109"/>
      <c r="AF129" s="109"/>
      <c r="AG129" s="109"/>
      <c r="AH129" s="109"/>
      <c r="AI129" s="109"/>
      <c r="AJ129" s="109"/>
      <c r="AK129" s="109"/>
      <c r="AL129" s="109"/>
      <c r="AM129" s="109"/>
      <c r="AN129" s="110"/>
      <c r="AO129" s="110"/>
      <c r="AP129" s="111"/>
      <c r="AQ129" s="112"/>
      <c r="AR129" s="112"/>
      <c r="AS129" s="112"/>
      <c r="AT129" s="112"/>
      <c r="AU129" s="112"/>
      <c r="AV129" s="112"/>
      <c r="AW129" s="112"/>
      <c r="AX129" s="112"/>
      <c r="AY129" s="112"/>
      <c r="AZ129" s="112"/>
      <c r="BA129" s="112"/>
      <c r="BB129" s="112"/>
      <c r="BC129" s="112"/>
      <c r="BD129" s="112"/>
      <c r="BE129" s="112"/>
    </row>
    <row r="130" spans="2:57" x14ac:dyDescent="0.35">
      <c r="B130" s="59"/>
      <c r="C130" s="59"/>
      <c r="D130" s="104"/>
      <c r="E130" s="105"/>
      <c r="F130" s="105"/>
      <c r="G130" s="105"/>
      <c r="H130" s="68"/>
      <c r="I130" s="106"/>
      <c r="J130" s="107"/>
      <c r="K130" s="108"/>
      <c r="L130" s="108"/>
      <c r="M130" s="108"/>
      <c r="N130" s="108"/>
      <c r="O130" s="108"/>
      <c r="P130" s="108"/>
      <c r="Q130" s="108"/>
      <c r="R130" s="108"/>
      <c r="S130" s="108"/>
      <c r="T130" s="108"/>
      <c r="U130" s="108"/>
      <c r="V130" s="108"/>
      <c r="W130" s="108"/>
      <c r="X130" s="108"/>
      <c r="Y130" s="108"/>
      <c r="Z130" s="109"/>
      <c r="AA130" s="109"/>
      <c r="AB130" s="109"/>
      <c r="AC130" s="109"/>
      <c r="AD130" s="109"/>
      <c r="AE130" s="109"/>
      <c r="AF130" s="109"/>
      <c r="AG130" s="109"/>
      <c r="AH130" s="109"/>
      <c r="AI130" s="109"/>
      <c r="AJ130" s="109"/>
      <c r="AK130" s="109"/>
      <c r="AL130" s="109"/>
      <c r="AM130" s="109"/>
      <c r="AN130" s="110"/>
      <c r="AO130" s="110"/>
      <c r="AP130" s="111"/>
      <c r="AQ130" s="112"/>
      <c r="AR130" s="112"/>
      <c r="AS130" s="112"/>
      <c r="AT130" s="112"/>
      <c r="AU130" s="112"/>
      <c r="AV130" s="112"/>
      <c r="AW130" s="112"/>
      <c r="AX130" s="112"/>
      <c r="AY130" s="112"/>
      <c r="AZ130" s="112"/>
      <c r="BA130" s="112"/>
      <c r="BB130" s="112"/>
      <c r="BC130" s="112"/>
      <c r="BD130" s="112"/>
      <c r="BE130" s="112"/>
    </row>
    <row r="131" spans="2:57" x14ac:dyDescent="0.35">
      <c r="B131" s="59"/>
      <c r="C131" s="59"/>
      <c r="D131" s="104"/>
      <c r="E131" s="105"/>
      <c r="F131" s="105"/>
      <c r="G131" s="105"/>
      <c r="H131" s="68"/>
      <c r="I131" s="106"/>
      <c r="J131" s="107"/>
      <c r="K131" s="108"/>
      <c r="L131" s="108"/>
      <c r="M131" s="108"/>
      <c r="N131" s="108"/>
      <c r="O131" s="108"/>
      <c r="P131" s="108"/>
      <c r="Q131" s="108"/>
      <c r="R131" s="108"/>
      <c r="S131" s="108"/>
      <c r="T131" s="108"/>
      <c r="U131" s="108"/>
      <c r="V131" s="108"/>
      <c r="W131" s="108"/>
      <c r="X131" s="108"/>
      <c r="Y131" s="108"/>
      <c r="Z131" s="109"/>
      <c r="AA131" s="109"/>
      <c r="AB131" s="109"/>
      <c r="AC131" s="109"/>
      <c r="AD131" s="109"/>
      <c r="AE131" s="109"/>
      <c r="AF131" s="109"/>
      <c r="AG131" s="109"/>
      <c r="AH131" s="109"/>
      <c r="AI131" s="109"/>
      <c r="AJ131" s="109"/>
      <c r="AK131" s="109"/>
      <c r="AL131" s="109"/>
      <c r="AM131" s="109"/>
      <c r="AN131" s="110"/>
      <c r="AO131" s="110"/>
      <c r="AP131" s="111"/>
      <c r="AQ131" s="112"/>
      <c r="AR131" s="112"/>
      <c r="AS131" s="112"/>
      <c r="AT131" s="112"/>
      <c r="AU131" s="112"/>
      <c r="AV131" s="112"/>
      <c r="AW131" s="112"/>
      <c r="AX131" s="112"/>
      <c r="AY131" s="112"/>
      <c r="AZ131" s="112"/>
      <c r="BA131" s="112"/>
      <c r="BB131" s="112"/>
      <c r="BC131" s="112"/>
      <c r="BD131" s="112"/>
      <c r="BE131" s="112"/>
    </row>
    <row r="132" spans="2:57" x14ac:dyDescent="0.35">
      <c r="B132" s="59"/>
      <c r="C132" s="59"/>
      <c r="D132" s="104"/>
      <c r="E132" s="105"/>
      <c r="F132" s="105"/>
      <c r="G132" s="105"/>
      <c r="H132" s="68"/>
      <c r="I132" s="106"/>
      <c r="J132" s="107"/>
      <c r="K132" s="108"/>
      <c r="L132" s="108"/>
      <c r="M132" s="108"/>
      <c r="N132" s="108"/>
      <c r="O132" s="108"/>
      <c r="P132" s="108"/>
      <c r="Q132" s="108"/>
      <c r="R132" s="108"/>
      <c r="S132" s="108"/>
      <c r="T132" s="108"/>
      <c r="U132" s="108"/>
      <c r="V132" s="108"/>
      <c r="W132" s="108"/>
      <c r="X132" s="108"/>
      <c r="Y132" s="108"/>
      <c r="Z132" s="109"/>
      <c r="AA132" s="109"/>
      <c r="AB132" s="109"/>
      <c r="AC132" s="109"/>
      <c r="AD132" s="109"/>
      <c r="AE132" s="109"/>
      <c r="AF132" s="109"/>
      <c r="AG132" s="109"/>
      <c r="AH132" s="109"/>
      <c r="AI132" s="109"/>
      <c r="AJ132" s="109"/>
      <c r="AK132" s="109"/>
      <c r="AL132" s="109"/>
      <c r="AM132" s="109"/>
      <c r="AN132" s="110"/>
      <c r="AO132" s="110"/>
      <c r="AP132" s="111"/>
      <c r="AQ132" s="112"/>
      <c r="AR132" s="112"/>
      <c r="AS132" s="112"/>
      <c r="AT132" s="112"/>
      <c r="AU132" s="112"/>
      <c r="AV132" s="112"/>
      <c r="AW132" s="112"/>
      <c r="AX132" s="112"/>
      <c r="AY132" s="112"/>
      <c r="AZ132" s="112"/>
      <c r="BA132" s="112"/>
      <c r="BB132" s="112"/>
      <c r="BC132" s="112"/>
      <c r="BD132" s="112"/>
      <c r="BE132" s="112"/>
    </row>
    <row r="133" spans="2:57" x14ac:dyDescent="0.35">
      <c r="B133" s="59"/>
      <c r="C133" s="59"/>
      <c r="D133" s="104"/>
      <c r="E133" s="105"/>
      <c r="F133" s="105"/>
      <c r="G133" s="105"/>
      <c r="H133" s="68"/>
      <c r="I133" s="106"/>
      <c r="J133" s="107"/>
      <c r="K133" s="108"/>
      <c r="L133" s="108"/>
      <c r="M133" s="108"/>
      <c r="N133" s="108"/>
      <c r="O133" s="108"/>
      <c r="P133" s="108"/>
      <c r="Q133" s="108"/>
      <c r="R133" s="108"/>
      <c r="S133" s="108"/>
      <c r="T133" s="108"/>
      <c r="U133" s="108"/>
      <c r="V133" s="108"/>
      <c r="W133" s="108"/>
      <c r="X133" s="108"/>
      <c r="Y133" s="108"/>
      <c r="Z133" s="109"/>
      <c r="AA133" s="109"/>
      <c r="AB133" s="109"/>
      <c r="AC133" s="109"/>
      <c r="AD133" s="109"/>
      <c r="AE133" s="109"/>
      <c r="AF133" s="109"/>
      <c r="AG133" s="109"/>
      <c r="AH133" s="109"/>
      <c r="AI133" s="109"/>
      <c r="AJ133" s="109"/>
      <c r="AK133" s="109"/>
      <c r="AL133" s="109"/>
      <c r="AM133" s="109"/>
      <c r="AN133" s="110"/>
      <c r="AO133" s="110"/>
      <c r="AP133" s="111"/>
      <c r="AQ133" s="112"/>
      <c r="AR133" s="112"/>
      <c r="AS133" s="112"/>
      <c r="AT133" s="112"/>
      <c r="AU133" s="112"/>
      <c r="AV133" s="112"/>
      <c r="AW133" s="112"/>
      <c r="AX133" s="112"/>
      <c r="AY133" s="112"/>
      <c r="AZ133" s="112"/>
      <c r="BA133" s="112"/>
      <c r="BB133" s="112"/>
      <c r="BC133" s="112"/>
      <c r="BD133" s="112"/>
      <c r="BE133" s="112"/>
    </row>
    <row r="134" spans="2:57" x14ac:dyDescent="0.35">
      <c r="B134" s="59"/>
      <c r="C134" s="59"/>
      <c r="D134" s="104"/>
      <c r="E134" s="105"/>
      <c r="F134" s="105"/>
      <c r="G134" s="105"/>
      <c r="H134" s="68"/>
      <c r="I134" s="106"/>
      <c r="J134" s="107"/>
      <c r="K134" s="108"/>
      <c r="L134" s="108"/>
      <c r="M134" s="108"/>
      <c r="N134" s="108"/>
      <c r="O134" s="108"/>
      <c r="P134" s="108"/>
      <c r="Q134" s="108"/>
      <c r="R134" s="108"/>
      <c r="S134" s="108"/>
      <c r="T134" s="108"/>
      <c r="U134" s="108"/>
      <c r="V134" s="108"/>
      <c r="W134" s="108"/>
      <c r="X134" s="108"/>
      <c r="Y134" s="108"/>
      <c r="Z134" s="109"/>
      <c r="AA134" s="109"/>
      <c r="AB134" s="109"/>
      <c r="AC134" s="109"/>
      <c r="AD134" s="109"/>
      <c r="AE134" s="109"/>
      <c r="AF134" s="109"/>
      <c r="AG134" s="109"/>
      <c r="AH134" s="109"/>
      <c r="AI134" s="109"/>
      <c r="AJ134" s="109"/>
      <c r="AK134" s="109"/>
      <c r="AL134" s="109"/>
      <c r="AM134" s="109"/>
      <c r="AN134" s="110"/>
      <c r="AO134" s="110"/>
      <c r="AP134" s="111"/>
      <c r="AQ134" s="112"/>
      <c r="AR134" s="112"/>
      <c r="AS134" s="112"/>
      <c r="AT134" s="112"/>
      <c r="AU134" s="112"/>
      <c r="AV134" s="112"/>
      <c r="AW134" s="112"/>
      <c r="AX134" s="112"/>
      <c r="AY134" s="112"/>
      <c r="AZ134" s="112"/>
      <c r="BA134" s="112"/>
      <c r="BB134" s="112"/>
      <c r="BC134" s="112"/>
      <c r="BD134" s="112"/>
      <c r="BE134" s="112"/>
    </row>
    <row r="135" spans="2:57" x14ac:dyDescent="0.35">
      <c r="B135" s="59"/>
      <c r="C135" s="59"/>
      <c r="D135" s="104"/>
      <c r="E135" s="105"/>
      <c r="F135" s="105"/>
      <c r="G135" s="105"/>
      <c r="H135" s="68"/>
      <c r="I135" s="106"/>
      <c r="J135" s="107"/>
      <c r="K135" s="108"/>
      <c r="L135" s="108"/>
      <c r="M135" s="108"/>
      <c r="N135" s="108"/>
      <c r="O135" s="108"/>
      <c r="P135" s="108"/>
      <c r="Q135" s="108"/>
      <c r="R135" s="108"/>
      <c r="S135" s="108"/>
      <c r="T135" s="108"/>
      <c r="U135" s="108"/>
      <c r="V135" s="108"/>
      <c r="W135" s="108"/>
      <c r="X135" s="108"/>
      <c r="Y135" s="108"/>
      <c r="Z135" s="109"/>
      <c r="AA135" s="109"/>
      <c r="AB135" s="109"/>
      <c r="AC135" s="109"/>
      <c r="AD135" s="109"/>
      <c r="AE135" s="109"/>
      <c r="AF135" s="109"/>
      <c r="AG135" s="109"/>
      <c r="AH135" s="109"/>
      <c r="AI135" s="109"/>
      <c r="AJ135" s="109"/>
      <c r="AK135" s="109"/>
      <c r="AL135" s="109"/>
      <c r="AM135" s="109"/>
      <c r="AN135" s="110"/>
      <c r="AO135" s="110"/>
      <c r="AP135" s="111"/>
      <c r="AQ135" s="112"/>
      <c r="AR135" s="112"/>
      <c r="AS135" s="112"/>
      <c r="AT135" s="112"/>
      <c r="AU135" s="112"/>
      <c r="AV135" s="112"/>
      <c r="AW135" s="112"/>
      <c r="AX135" s="112"/>
      <c r="AY135" s="112"/>
      <c r="AZ135" s="112"/>
      <c r="BA135" s="112"/>
      <c r="BB135" s="112"/>
      <c r="BC135" s="112"/>
      <c r="BD135" s="112"/>
      <c r="BE135" s="112"/>
    </row>
    <row r="136" spans="2:57" x14ac:dyDescent="0.35">
      <c r="B136" s="59"/>
      <c r="C136" s="59"/>
      <c r="D136" s="104"/>
      <c r="E136" s="105"/>
      <c r="F136" s="105"/>
      <c r="G136" s="105"/>
      <c r="H136" s="68"/>
      <c r="I136" s="106"/>
      <c r="J136" s="107"/>
      <c r="K136" s="108"/>
      <c r="L136" s="108"/>
      <c r="M136" s="108"/>
      <c r="N136" s="108"/>
      <c r="O136" s="108"/>
      <c r="P136" s="108"/>
      <c r="Q136" s="108"/>
      <c r="R136" s="108"/>
      <c r="S136" s="108"/>
      <c r="T136" s="108"/>
      <c r="U136" s="108"/>
      <c r="V136" s="108"/>
      <c r="W136" s="108"/>
      <c r="X136" s="108"/>
      <c r="Y136" s="108"/>
      <c r="Z136" s="109"/>
      <c r="AA136" s="109"/>
      <c r="AB136" s="109"/>
      <c r="AC136" s="109"/>
      <c r="AD136" s="109"/>
      <c r="AE136" s="109"/>
      <c r="AF136" s="109"/>
      <c r="AG136" s="109"/>
      <c r="AH136" s="109"/>
      <c r="AI136" s="109"/>
      <c r="AJ136" s="109"/>
      <c r="AK136" s="109"/>
      <c r="AL136" s="109"/>
      <c r="AM136" s="109"/>
      <c r="AN136" s="110"/>
      <c r="AO136" s="110"/>
      <c r="AP136" s="111"/>
      <c r="AQ136" s="112"/>
      <c r="AR136" s="112"/>
      <c r="AS136" s="112"/>
      <c r="AT136" s="112"/>
      <c r="AU136" s="112"/>
      <c r="AV136" s="112"/>
      <c r="AW136" s="112"/>
      <c r="AX136" s="112"/>
      <c r="AY136" s="112"/>
      <c r="AZ136" s="112"/>
      <c r="BA136" s="112"/>
      <c r="BB136" s="112"/>
      <c r="BC136" s="112"/>
      <c r="BD136" s="112"/>
      <c r="BE136" s="112"/>
    </row>
    <row r="137" spans="2:57" x14ac:dyDescent="0.35">
      <c r="B137" s="59"/>
      <c r="C137" s="59"/>
      <c r="D137" s="104"/>
      <c r="E137" s="105"/>
      <c r="F137" s="105"/>
      <c r="G137" s="105"/>
      <c r="H137" s="68"/>
      <c r="I137" s="106"/>
      <c r="J137" s="107"/>
      <c r="K137" s="108"/>
      <c r="L137" s="108"/>
      <c r="M137" s="108"/>
      <c r="N137" s="108"/>
      <c r="O137" s="108"/>
      <c r="P137" s="108"/>
      <c r="Q137" s="108"/>
      <c r="R137" s="108"/>
      <c r="S137" s="108"/>
      <c r="T137" s="108"/>
      <c r="U137" s="108"/>
      <c r="V137" s="108"/>
      <c r="W137" s="108"/>
      <c r="X137" s="108"/>
      <c r="Y137" s="108"/>
      <c r="Z137" s="109"/>
      <c r="AA137" s="109"/>
      <c r="AB137" s="109"/>
      <c r="AC137" s="109"/>
      <c r="AD137" s="109"/>
      <c r="AE137" s="109"/>
      <c r="AF137" s="109"/>
      <c r="AG137" s="109"/>
      <c r="AH137" s="109"/>
      <c r="AI137" s="109"/>
      <c r="AJ137" s="109"/>
      <c r="AK137" s="109"/>
      <c r="AL137" s="109"/>
      <c r="AM137" s="109"/>
      <c r="AN137" s="110"/>
      <c r="AO137" s="110"/>
      <c r="AP137" s="111"/>
      <c r="AQ137" s="112"/>
      <c r="AR137" s="112"/>
      <c r="AS137" s="112"/>
      <c r="AT137" s="112"/>
      <c r="AU137" s="112"/>
      <c r="AV137" s="112"/>
      <c r="AW137" s="112"/>
      <c r="AX137" s="112"/>
      <c r="AY137" s="112"/>
      <c r="AZ137" s="112"/>
      <c r="BA137" s="112"/>
      <c r="BB137" s="112"/>
      <c r="BC137" s="112"/>
      <c r="BD137" s="112"/>
      <c r="BE137" s="112"/>
    </row>
    <row r="138" spans="2:57" x14ac:dyDescent="0.35">
      <c r="B138" s="59"/>
      <c r="C138" s="59"/>
      <c r="D138" s="104"/>
      <c r="E138" s="105"/>
      <c r="F138" s="105"/>
      <c r="G138" s="105"/>
      <c r="H138" s="68"/>
      <c r="I138" s="106"/>
      <c r="J138" s="107"/>
      <c r="K138" s="108"/>
      <c r="L138" s="108"/>
      <c r="M138" s="108"/>
      <c r="N138" s="108"/>
      <c r="O138" s="108"/>
      <c r="P138" s="108"/>
      <c r="Q138" s="108"/>
      <c r="R138" s="108"/>
      <c r="S138" s="108"/>
      <c r="T138" s="108"/>
      <c r="U138" s="108"/>
      <c r="V138" s="108"/>
      <c r="W138" s="108"/>
      <c r="X138" s="108"/>
      <c r="Y138" s="108"/>
      <c r="Z138" s="109"/>
      <c r="AA138" s="109"/>
      <c r="AB138" s="109"/>
      <c r="AC138" s="109"/>
      <c r="AD138" s="109"/>
      <c r="AE138" s="109"/>
      <c r="AF138" s="109"/>
      <c r="AG138" s="109"/>
      <c r="AH138" s="109"/>
      <c r="AI138" s="109"/>
      <c r="AJ138" s="109"/>
      <c r="AK138" s="109"/>
      <c r="AL138" s="109"/>
      <c r="AM138" s="109"/>
      <c r="AN138" s="110"/>
      <c r="AO138" s="110"/>
      <c r="AP138" s="111"/>
      <c r="AQ138" s="112"/>
      <c r="AR138" s="112"/>
      <c r="AS138" s="112"/>
      <c r="AT138" s="112"/>
      <c r="AU138" s="112"/>
      <c r="AV138" s="112"/>
      <c r="AW138" s="112"/>
      <c r="AX138" s="112"/>
      <c r="AY138" s="112"/>
      <c r="AZ138" s="112"/>
      <c r="BA138" s="112"/>
      <c r="BB138" s="112"/>
      <c r="BC138" s="112"/>
      <c r="BD138" s="112"/>
      <c r="BE138" s="112"/>
    </row>
    <row r="139" spans="2:57" x14ac:dyDescent="0.35">
      <c r="B139" s="59"/>
      <c r="C139" s="59"/>
      <c r="D139" s="104"/>
      <c r="E139" s="105"/>
      <c r="F139" s="105"/>
      <c r="G139" s="105"/>
      <c r="H139" s="68"/>
      <c r="I139" s="106"/>
      <c r="J139" s="107"/>
      <c r="K139" s="108"/>
      <c r="L139" s="108"/>
      <c r="M139" s="108"/>
      <c r="N139" s="108"/>
      <c r="O139" s="108"/>
      <c r="P139" s="108"/>
      <c r="Q139" s="108"/>
      <c r="R139" s="108"/>
      <c r="S139" s="108"/>
      <c r="T139" s="108"/>
      <c r="U139" s="108"/>
      <c r="V139" s="108"/>
      <c r="W139" s="108"/>
      <c r="X139" s="108"/>
      <c r="Y139" s="108"/>
      <c r="Z139" s="109"/>
      <c r="AA139" s="109"/>
      <c r="AB139" s="109"/>
      <c r="AC139" s="109"/>
      <c r="AD139" s="109"/>
      <c r="AE139" s="109"/>
      <c r="AF139" s="109"/>
      <c r="AG139" s="109"/>
      <c r="AH139" s="109"/>
      <c r="AI139" s="109"/>
      <c r="AJ139" s="109"/>
      <c r="AK139" s="109"/>
      <c r="AL139" s="109"/>
      <c r="AM139" s="109"/>
      <c r="AN139" s="110"/>
      <c r="AO139" s="110"/>
      <c r="AP139" s="111"/>
      <c r="AQ139" s="112"/>
      <c r="AR139" s="112"/>
      <c r="AS139" s="112"/>
      <c r="AT139" s="112"/>
      <c r="AU139" s="112"/>
      <c r="AV139" s="112"/>
      <c r="AW139" s="112"/>
      <c r="AX139" s="112"/>
      <c r="AY139" s="112"/>
      <c r="AZ139" s="112"/>
      <c r="BA139" s="112"/>
      <c r="BB139" s="112"/>
      <c r="BC139" s="112"/>
      <c r="BD139" s="112"/>
      <c r="BE139" s="112"/>
    </row>
    <row r="140" spans="2:57" x14ac:dyDescent="0.35">
      <c r="B140" s="59"/>
      <c r="C140" s="59"/>
      <c r="D140" s="104"/>
      <c r="E140" s="105"/>
      <c r="F140" s="105"/>
      <c r="G140" s="105"/>
      <c r="H140" s="68"/>
      <c r="I140" s="106"/>
      <c r="J140" s="107"/>
      <c r="K140" s="108"/>
      <c r="L140" s="108"/>
      <c r="M140" s="108"/>
      <c r="N140" s="108"/>
      <c r="O140" s="108"/>
      <c r="P140" s="108"/>
      <c r="Q140" s="108"/>
      <c r="R140" s="108"/>
      <c r="S140" s="108"/>
      <c r="T140" s="108"/>
      <c r="U140" s="108"/>
      <c r="V140" s="108"/>
      <c r="W140" s="108"/>
      <c r="X140" s="108"/>
      <c r="Y140" s="108"/>
      <c r="Z140" s="109"/>
      <c r="AA140" s="109"/>
      <c r="AB140" s="109"/>
      <c r="AC140" s="109"/>
      <c r="AD140" s="109"/>
      <c r="AE140" s="109"/>
      <c r="AF140" s="109"/>
      <c r="AG140" s="109"/>
      <c r="AH140" s="109"/>
      <c r="AI140" s="109"/>
      <c r="AJ140" s="109"/>
      <c r="AK140" s="109"/>
      <c r="AL140" s="109"/>
      <c r="AM140" s="109"/>
      <c r="AN140" s="110"/>
      <c r="AO140" s="110"/>
      <c r="AP140" s="111"/>
      <c r="AQ140" s="112"/>
      <c r="AR140" s="112"/>
      <c r="AS140" s="112"/>
      <c r="AT140" s="112"/>
      <c r="AU140" s="112"/>
      <c r="AV140" s="112"/>
      <c r="AW140" s="112"/>
      <c r="AX140" s="112"/>
      <c r="AY140" s="112"/>
      <c r="AZ140" s="112"/>
      <c r="BA140" s="112"/>
      <c r="BB140" s="112"/>
      <c r="BC140" s="112"/>
      <c r="BD140" s="112"/>
      <c r="BE140" s="112"/>
    </row>
    <row r="141" spans="2:57" x14ac:dyDescent="0.35">
      <c r="B141" s="59"/>
      <c r="C141" s="59"/>
      <c r="D141" s="104"/>
      <c r="E141" s="105"/>
      <c r="F141" s="105"/>
      <c r="G141" s="105"/>
      <c r="H141" s="68"/>
      <c r="I141" s="106"/>
      <c r="J141" s="107"/>
      <c r="K141" s="108"/>
      <c r="L141" s="108"/>
      <c r="M141" s="108"/>
      <c r="N141" s="108"/>
      <c r="O141" s="108"/>
      <c r="P141" s="108"/>
      <c r="Q141" s="108"/>
      <c r="R141" s="108"/>
      <c r="S141" s="108"/>
      <c r="T141" s="108"/>
      <c r="U141" s="108"/>
      <c r="V141" s="108"/>
      <c r="W141" s="108"/>
      <c r="X141" s="108"/>
      <c r="Y141" s="108"/>
      <c r="Z141" s="109"/>
      <c r="AA141" s="109"/>
      <c r="AB141" s="109"/>
      <c r="AC141" s="109"/>
      <c r="AD141" s="109"/>
      <c r="AE141" s="109"/>
      <c r="AF141" s="109"/>
      <c r="AG141" s="109"/>
      <c r="AH141" s="109"/>
      <c r="AI141" s="109"/>
      <c r="AJ141" s="109"/>
      <c r="AK141" s="109"/>
      <c r="AL141" s="109"/>
      <c r="AM141" s="109"/>
      <c r="AN141" s="110"/>
      <c r="AO141" s="110"/>
      <c r="AP141" s="111"/>
      <c r="AQ141" s="112"/>
      <c r="AR141" s="112"/>
      <c r="AS141" s="112"/>
      <c r="AT141" s="112"/>
      <c r="AU141" s="112"/>
      <c r="AV141" s="112"/>
      <c r="AW141" s="112"/>
      <c r="AX141" s="112"/>
      <c r="AY141" s="112"/>
      <c r="AZ141" s="112"/>
      <c r="BA141" s="112"/>
      <c r="BB141" s="112"/>
      <c r="BC141" s="112"/>
      <c r="BD141" s="112"/>
      <c r="BE141" s="112"/>
    </row>
    <row r="142" spans="2:57" x14ac:dyDescent="0.35">
      <c r="B142" s="59"/>
      <c r="C142" s="59"/>
      <c r="D142" s="104"/>
      <c r="E142" s="105"/>
      <c r="F142" s="105"/>
      <c r="G142" s="105"/>
      <c r="H142" s="68"/>
      <c r="I142" s="106"/>
      <c r="J142" s="107"/>
      <c r="K142" s="108"/>
      <c r="L142" s="108"/>
      <c r="M142" s="108"/>
      <c r="N142" s="108"/>
      <c r="O142" s="108"/>
      <c r="P142" s="108"/>
      <c r="Q142" s="108"/>
      <c r="R142" s="108"/>
      <c r="S142" s="108"/>
      <c r="T142" s="108"/>
      <c r="U142" s="108"/>
      <c r="V142" s="108"/>
      <c r="W142" s="108"/>
      <c r="X142" s="108"/>
      <c r="Y142" s="108"/>
      <c r="Z142" s="109"/>
      <c r="AA142" s="109"/>
      <c r="AB142" s="109"/>
      <c r="AC142" s="109"/>
      <c r="AD142" s="109"/>
      <c r="AE142" s="109"/>
      <c r="AF142" s="109"/>
      <c r="AG142" s="109"/>
      <c r="AH142" s="109"/>
      <c r="AI142" s="109"/>
      <c r="AJ142" s="109"/>
      <c r="AK142" s="109"/>
      <c r="AL142" s="109"/>
      <c r="AM142" s="109"/>
      <c r="AN142" s="110"/>
      <c r="AO142" s="110"/>
      <c r="AP142" s="111"/>
      <c r="AQ142" s="112"/>
      <c r="AR142" s="112"/>
      <c r="AS142" s="112"/>
      <c r="AT142" s="112"/>
      <c r="AU142" s="112"/>
      <c r="AV142" s="112"/>
      <c r="AW142" s="112"/>
      <c r="AX142" s="112"/>
      <c r="AY142" s="112"/>
      <c r="AZ142" s="112"/>
      <c r="BA142" s="112"/>
      <c r="BB142" s="112"/>
      <c r="BC142" s="112"/>
      <c r="BD142" s="112"/>
      <c r="BE142" s="112"/>
    </row>
    <row r="143" spans="2:57" x14ac:dyDescent="0.35">
      <c r="B143" s="59"/>
      <c r="C143" s="59"/>
      <c r="D143" s="104"/>
      <c r="E143" s="105"/>
      <c r="F143" s="105"/>
      <c r="G143" s="105"/>
      <c r="H143" s="68"/>
      <c r="I143" s="106"/>
      <c r="J143" s="107"/>
      <c r="K143" s="108"/>
      <c r="L143" s="108"/>
      <c r="M143" s="108"/>
      <c r="N143" s="108"/>
      <c r="O143" s="108"/>
      <c r="P143" s="108"/>
      <c r="Q143" s="108"/>
      <c r="R143" s="108"/>
      <c r="S143" s="108"/>
      <c r="T143" s="108"/>
      <c r="U143" s="108"/>
      <c r="V143" s="108"/>
      <c r="W143" s="108"/>
      <c r="X143" s="108"/>
      <c r="Y143" s="108"/>
      <c r="Z143" s="109"/>
      <c r="AA143" s="109"/>
      <c r="AB143" s="109"/>
      <c r="AC143" s="109"/>
      <c r="AD143" s="109"/>
      <c r="AE143" s="109"/>
      <c r="AF143" s="109"/>
      <c r="AG143" s="109"/>
      <c r="AH143" s="109"/>
      <c r="AI143" s="109"/>
      <c r="AJ143" s="109"/>
      <c r="AK143" s="109"/>
      <c r="AL143" s="109"/>
      <c r="AM143" s="109"/>
      <c r="AN143" s="110"/>
      <c r="AO143" s="110"/>
      <c r="AP143" s="111"/>
      <c r="AQ143" s="112"/>
      <c r="AR143" s="112"/>
      <c r="AS143" s="112"/>
      <c r="AT143" s="112"/>
      <c r="AU143" s="112"/>
      <c r="AV143" s="112"/>
      <c r="AW143" s="112"/>
      <c r="AX143" s="112"/>
      <c r="AY143" s="112"/>
      <c r="AZ143" s="112"/>
      <c r="BA143" s="112"/>
      <c r="BB143" s="112"/>
      <c r="BC143" s="112"/>
      <c r="BD143" s="112"/>
      <c r="BE143" s="112"/>
    </row>
    <row r="144" spans="2:57" x14ac:dyDescent="0.35">
      <c r="B144" s="59"/>
      <c r="C144" s="59"/>
      <c r="D144" s="104"/>
      <c r="E144" s="105"/>
      <c r="F144" s="105"/>
      <c r="G144" s="105"/>
      <c r="H144" s="68"/>
      <c r="I144" s="106"/>
      <c r="J144" s="107"/>
      <c r="K144" s="108"/>
      <c r="L144" s="108"/>
      <c r="M144" s="108"/>
      <c r="N144" s="108"/>
      <c r="O144" s="108"/>
      <c r="P144" s="108"/>
      <c r="Q144" s="108"/>
      <c r="R144" s="108"/>
      <c r="S144" s="108"/>
      <c r="T144" s="108"/>
      <c r="U144" s="108"/>
      <c r="V144" s="108"/>
      <c r="W144" s="108"/>
      <c r="X144" s="108"/>
      <c r="Y144" s="108"/>
      <c r="Z144" s="109"/>
      <c r="AA144" s="109"/>
      <c r="AB144" s="109"/>
      <c r="AC144" s="109"/>
      <c r="AD144" s="109"/>
      <c r="AE144" s="109"/>
      <c r="AF144" s="109"/>
      <c r="AG144" s="109"/>
      <c r="AH144" s="109"/>
      <c r="AI144" s="109"/>
      <c r="AJ144" s="109"/>
      <c r="AK144" s="109"/>
      <c r="AL144" s="109"/>
      <c r="AM144" s="109"/>
      <c r="AN144" s="110"/>
      <c r="AO144" s="110"/>
      <c r="AP144" s="111"/>
      <c r="AQ144" s="112"/>
      <c r="AR144" s="112"/>
      <c r="AS144" s="112"/>
      <c r="AT144" s="112"/>
      <c r="AU144" s="112"/>
      <c r="AV144" s="112"/>
      <c r="AW144" s="112"/>
      <c r="AX144" s="112"/>
      <c r="AY144" s="112"/>
      <c r="AZ144" s="112"/>
      <c r="BA144" s="112"/>
      <c r="BB144" s="112"/>
      <c r="BC144" s="112"/>
      <c r="BD144" s="112"/>
      <c r="BE144" s="112"/>
    </row>
    <row r="145" spans="2:57" x14ac:dyDescent="0.35">
      <c r="B145" s="59"/>
      <c r="C145" s="59"/>
      <c r="D145" s="104"/>
      <c r="E145" s="105"/>
      <c r="F145" s="105"/>
      <c r="G145" s="105"/>
      <c r="H145" s="68"/>
      <c r="I145" s="106"/>
      <c r="J145" s="107"/>
      <c r="K145" s="108"/>
      <c r="L145" s="108"/>
      <c r="M145" s="108"/>
      <c r="N145" s="108"/>
      <c r="O145" s="108"/>
      <c r="P145" s="108"/>
      <c r="Q145" s="108"/>
      <c r="R145" s="108"/>
      <c r="S145" s="108"/>
      <c r="T145" s="108"/>
      <c r="U145" s="108"/>
      <c r="V145" s="108"/>
      <c r="W145" s="108"/>
      <c r="X145" s="108"/>
      <c r="Y145" s="108"/>
      <c r="Z145" s="109"/>
      <c r="AA145" s="109"/>
      <c r="AB145" s="109"/>
      <c r="AC145" s="109"/>
      <c r="AD145" s="109"/>
      <c r="AE145" s="109"/>
      <c r="AF145" s="109"/>
      <c r="AG145" s="109"/>
      <c r="AH145" s="109"/>
      <c r="AI145" s="109"/>
      <c r="AJ145" s="109"/>
      <c r="AK145" s="109"/>
      <c r="AL145" s="109"/>
      <c r="AM145" s="109"/>
      <c r="AN145" s="110"/>
      <c r="AO145" s="110"/>
      <c r="AP145" s="111"/>
      <c r="AQ145" s="112"/>
      <c r="AR145" s="112"/>
      <c r="AS145" s="112"/>
      <c r="AT145" s="112"/>
      <c r="AU145" s="112"/>
      <c r="AV145" s="112"/>
      <c r="AW145" s="112"/>
      <c r="AX145" s="112"/>
      <c r="AY145" s="112"/>
      <c r="AZ145" s="112"/>
      <c r="BA145" s="112"/>
      <c r="BB145" s="112"/>
      <c r="BC145" s="112"/>
      <c r="BD145" s="112"/>
      <c r="BE145" s="112"/>
    </row>
    <row r="146" spans="2:57" x14ac:dyDescent="0.35">
      <c r="B146" s="59"/>
      <c r="C146" s="59"/>
      <c r="D146" s="104"/>
      <c r="E146" s="105"/>
      <c r="F146" s="105"/>
      <c r="G146" s="105"/>
      <c r="H146" s="68"/>
      <c r="I146" s="106"/>
      <c r="J146" s="107"/>
      <c r="K146" s="108"/>
      <c r="L146" s="108"/>
      <c r="M146" s="108"/>
      <c r="N146" s="108"/>
      <c r="O146" s="108"/>
      <c r="P146" s="108"/>
      <c r="Q146" s="108"/>
      <c r="R146" s="108"/>
      <c r="S146" s="108"/>
      <c r="T146" s="108"/>
      <c r="U146" s="108"/>
      <c r="V146" s="108"/>
      <c r="W146" s="108"/>
      <c r="X146" s="108"/>
      <c r="Y146" s="108"/>
      <c r="Z146" s="109"/>
      <c r="AA146" s="109"/>
      <c r="AB146" s="109"/>
      <c r="AC146" s="109"/>
      <c r="AD146" s="109"/>
      <c r="AE146" s="109"/>
      <c r="AF146" s="109"/>
      <c r="AG146" s="109"/>
      <c r="AH146" s="109"/>
      <c r="AI146" s="109"/>
      <c r="AJ146" s="109"/>
      <c r="AK146" s="109"/>
      <c r="AL146" s="109"/>
      <c r="AM146" s="109"/>
      <c r="AN146" s="110"/>
      <c r="AO146" s="110"/>
      <c r="AP146" s="111"/>
      <c r="AQ146" s="112"/>
      <c r="AR146" s="112"/>
      <c r="AS146" s="112"/>
      <c r="AT146" s="112"/>
      <c r="AU146" s="112"/>
      <c r="AV146" s="112"/>
      <c r="AW146" s="112"/>
      <c r="AX146" s="112"/>
      <c r="AY146" s="112"/>
      <c r="AZ146" s="112"/>
      <c r="BA146" s="112"/>
      <c r="BB146" s="112"/>
      <c r="BC146" s="112"/>
      <c r="BD146" s="112"/>
      <c r="BE146" s="112"/>
    </row>
    <row r="147" spans="2:57" x14ac:dyDescent="0.35">
      <c r="B147" s="59"/>
      <c r="C147" s="59"/>
      <c r="D147" s="104"/>
      <c r="E147" s="105"/>
      <c r="F147" s="105"/>
      <c r="G147" s="105"/>
      <c r="H147" s="68"/>
      <c r="I147" s="106"/>
      <c r="J147" s="107"/>
      <c r="K147" s="108"/>
      <c r="L147" s="108"/>
      <c r="M147" s="108"/>
      <c r="N147" s="108"/>
      <c r="O147" s="108"/>
      <c r="P147" s="108"/>
      <c r="Q147" s="108"/>
      <c r="R147" s="108"/>
      <c r="S147" s="108"/>
      <c r="T147" s="108"/>
      <c r="U147" s="108"/>
      <c r="V147" s="108"/>
      <c r="W147" s="108"/>
      <c r="X147" s="108"/>
      <c r="Y147" s="108"/>
      <c r="Z147" s="109"/>
      <c r="AA147" s="109"/>
      <c r="AB147" s="109"/>
      <c r="AC147" s="109"/>
      <c r="AD147" s="109"/>
      <c r="AE147" s="109"/>
      <c r="AF147" s="109"/>
      <c r="AG147" s="109"/>
      <c r="AH147" s="109"/>
      <c r="AI147" s="109"/>
      <c r="AJ147" s="109"/>
      <c r="AK147" s="109"/>
      <c r="AL147" s="109"/>
      <c r="AM147" s="109"/>
      <c r="AN147" s="110"/>
      <c r="AO147" s="110"/>
      <c r="AP147" s="111"/>
      <c r="AQ147" s="112"/>
      <c r="AR147" s="112"/>
      <c r="AS147" s="112"/>
      <c r="AT147" s="112"/>
      <c r="AU147" s="112"/>
      <c r="AV147" s="112"/>
      <c r="AW147" s="112"/>
      <c r="AX147" s="112"/>
      <c r="AY147" s="112"/>
      <c r="AZ147" s="112"/>
      <c r="BA147" s="112"/>
      <c r="BB147" s="112"/>
      <c r="BC147" s="112"/>
      <c r="BD147" s="112"/>
      <c r="BE147" s="112"/>
    </row>
    <row r="148" spans="2:57" x14ac:dyDescent="0.35">
      <c r="B148" s="59"/>
      <c r="C148" s="59"/>
      <c r="D148" s="104"/>
      <c r="E148" s="105"/>
      <c r="F148" s="105"/>
      <c r="G148" s="105"/>
      <c r="H148" s="68"/>
      <c r="I148" s="106"/>
      <c r="J148" s="107"/>
      <c r="K148" s="108"/>
      <c r="L148" s="108"/>
      <c r="M148" s="108"/>
      <c r="N148" s="108"/>
      <c r="O148" s="108"/>
      <c r="P148" s="108"/>
      <c r="Q148" s="108"/>
      <c r="R148" s="108"/>
      <c r="S148" s="108"/>
      <c r="T148" s="108"/>
      <c r="U148" s="108"/>
      <c r="V148" s="108"/>
      <c r="W148" s="108"/>
      <c r="X148" s="108"/>
      <c r="Y148" s="108"/>
      <c r="Z148" s="109"/>
      <c r="AA148" s="109"/>
      <c r="AB148" s="109"/>
      <c r="AC148" s="109"/>
      <c r="AD148" s="109"/>
      <c r="AE148" s="109"/>
      <c r="AF148" s="109"/>
      <c r="AG148" s="109"/>
      <c r="AH148" s="109"/>
      <c r="AI148" s="109"/>
      <c r="AJ148" s="109"/>
      <c r="AK148" s="109"/>
      <c r="AL148" s="109"/>
      <c r="AM148" s="109"/>
      <c r="AN148" s="110"/>
      <c r="AO148" s="110"/>
      <c r="AP148" s="111"/>
      <c r="AQ148" s="112"/>
      <c r="AR148" s="112"/>
      <c r="AS148" s="112"/>
      <c r="AT148" s="112"/>
      <c r="AU148" s="112"/>
      <c r="AV148" s="112"/>
      <c r="AW148" s="112"/>
      <c r="AX148" s="112"/>
      <c r="AY148" s="112"/>
      <c r="AZ148" s="112"/>
      <c r="BA148" s="112"/>
      <c r="BB148" s="112"/>
      <c r="BC148" s="112"/>
      <c r="BD148" s="112"/>
      <c r="BE148" s="112"/>
    </row>
    <row r="149" spans="2:57" x14ac:dyDescent="0.35">
      <c r="B149" s="59"/>
      <c r="C149" s="59"/>
      <c r="D149" s="104"/>
      <c r="E149" s="105"/>
      <c r="F149" s="105"/>
      <c r="G149" s="105"/>
      <c r="H149" s="68"/>
      <c r="I149" s="106"/>
      <c r="J149" s="107"/>
      <c r="K149" s="108"/>
      <c r="L149" s="108"/>
      <c r="M149" s="108"/>
      <c r="N149" s="108"/>
      <c r="O149" s="108"/>
      <c r="P149" s="108"/>
      <c r="Q149" s="108"/>
      <c r="R149" s="108"/>
      <c r="S149" s="108"/>
      <c r="T149" s="108"/>
      <c r="U149" s="108"/>
      <c r="V149" s="108"/>
      <c r="W149" s="108"/>
      <c r="X149" s="108"/>
      <c r="Y149" s="108"/>
      <c r="Z149" s="109"/>
      <c r="AA149" s="109"/>
      <c r="AB149" s="109"/>
      <c r="AC149" s="109"/>
      <c r="AD149" s="109"/>
      <c r="AE149" s="109"/>
      <c r="AF149" s="109"/>
      <c r="AG149" s="109"/>
      <c r="AH149" s="109"/>
      <c r="AI149" s="109"/>
      <c r="AJ149" s="109"/>
      <c r="AK149" s="109"/>
      <c r="AL149" s="109"/>
      <c r="AM149" s="109"/>
      <c r="AN149" s="110"/>
      <c r="AO149" s="110"/>
      <c r="AP149" s="111"/>
      <c r="AQ149" s="112"/>
      <c r="AR149" s="112"/>
      <c r="AS149" s="112"/>
      <c r="AT149" s="112"/>
      <c r="AU149" s="112"/>
      <c r="AV149" s="112"/>
      <c r="AW149" s="112"/>
      <c r="AX149" s="112"/>
      <c r="AY149" s="112"/>
      <c r="AZ149" s="112"/>
      <c r="BA149" s="112"/>
      <c r="BB149" s="112"/>
      <c r="BC149" s="112"/>
      <c r="BD149" s="112"/>
      <c r="BE149" s="112"/>
    </row>
    <row r="150" spans="2:57" x14ac:dyDescent="0.35">
      <c r="B150" s="59"/>
      <c r="C150" s="59"/>
      <c r="D150" s="104"/>
      <c r="E150" s="105"/>
      <c r="F150" s="105"/>
      <c r="G150" s="105"/>
      <c r="H150" s="68"/>
      <c r="I150" s="106"/>
      <c r="J150" s="107"/>
      <c r="K150" s="108"/>
      <c r="L150" s="108"/>
      <c r="M150" s="108"/>
      <c r="N150" s="108"/>
      <c r="O150" s="108"/>
      <c r="P150" s="108"/>
      <c r="Q150" s="108"/>
      <c r="R150" s="108"/>
      <c r="S150" s="108"/>
      <c r="T150" s="108"/>
      <c r="U150" s="108"/>
      <c r="V150" s="108"/>
      <c r="W150" s="108"/>
      <c r="X150" s="108"/>
      <c r="Y150" s="108"/>
      <c r="Z150" s="109"/>
      <c r="AA150" s="109"/>
      <c r="AB150" s="109"/>
      <c r="AC150" s="109"/>
      <c r="AD150" s="109"/>
      <c r="AE150" s="109"/>
      <c r="AF150" s="109"/>
      <c r="AG150" s="109"/>
      <c r="AH150" s="109"/>
      <c r="AI150" s="109"/>
      <c r="AJ150" s="109"/>
      <c r="AK150" s="109"/>
      <c r="AL150" s="109"/>
      <c r="AM150" s="109"/>
      <c r="AN150" s="110"/>
      <c r="AO150" s="110"/>
      <c r="AP150" s="111"/>
      <c r="AQ150" s="112"/>
      <c r="AR150" s="112"/>
      <c r="AS150" s="112"/>
      <c r="AT150" s="112"/>
      <c r="AU150" s="112"/>
      <c r="AV150" s="112"/>
      <c r="AW150" s="112"/>
      <c r="AX150" s="112"/>
      <c r="AY150" s="112"/>
      <c r="AZ150" s="112"/>
      <c r="BA150" s="112"/>
      <c r="BB150" s="112"/>
      <c r="BC150" s="112"/>
      <c r="BD150" s="112"/>
      <c r="BE150" s="112"/>
    </row>
    <row r="151" spans="2:57" x14ac:dyDescent="0.35">
      <c r="B151" s="59"/>
      <c r="C151" s="59"/>
      <c r="D151" s="104"/>
      <c r="E151" s="105"/>
      <c r="F151" s="105"/>
      <c r="G151" s="105"/>
      <c r="H151" s="68"/>
      <c r="I151" s="106"/>
      <c r="J151" s="107"/>
      <c r="K151" s="108"/>
      <c r="L151" s="108"/>
      <c r="M151" s="108"/>
      <c r="N151" s="108"/>
      <c r="O151" s="108"/>
      <c r="P151" s="108"/>
      <c r="Q151" s="108"/>
      <c r="R151" s="108"/>
      <c r="S151" s="108"/>
      <c r="T151" s="108"/>
      <c r="U151" s="108"/>
      <c r="V151" s="108"/>
      <c r="W151" s="108"/>
      <c r="X151" s="108"/>
      <c r="Y151" s="108"/>
      <c r="Z151" s="109"/>
      <c r="AA151" s="109"/>
      <c r="AB151" s="109"/>
      <c r="AC151" s="109"/>
      <c r="AD151" s="109"/>
      <c r="AE151" s="109"/>
      <c r="AF151" s="109"/>
      <c r="AG151" s="109"/>
      <c r="AH151" s="109"/>
      <c r="AI151" s="109"/>
      <c r="AJ151" s="109"/>
      <c r="AK151" s="109"/>
      <c r="AL151" s="109"/>
      <c r="AM151" s="109"/>
      <c r="AN151" s="110"/>
      <c r="AO151" s="110"/>
      <c r="AP151" s="111"/>
      <c r="AQ151" s="112"/>
      <c r="AR151" s="112"/>
      <c r="AS151" s="112"/>
      <c r="AT151" s="112"/>
      <c r="AU151" s="112"/>
      <c r="AV151" s="112"/>
      <c r="AW151" s="112"/>
      <c r="AX151" s="112"/>
      <c r="AY151" s="112"/>
      <c r="AZ151" s="112"/>
      <c r="BA151" s="112"/>
      <c r="BB151" s="112"/>
      <c r="BC151" s="112"/>
      <c r="BD151" s="112"/>
      <c r="BE151" s="112"/>
    </row>
    <row r="152" spans="2:57" x14ac:dyDescent="0.35">
      <c r="B152" s="59"/>
      <c r="C152" s="59"/>
      <c r="D152" s="104"/>
      <c r="E152" s="105"/>
      <c r="F152" s="105"/>
      <c r="G152" s="105"/>
      <c r="H152" s="68"/>
      <c r="I152" s="106"/>
      <c r="J152" s="107"/>
      <c r="K152" s="108"/>
      <c r="L152" s="108"/>
      <c r="M152" s="108"/>
      <c r="N152" s="108"/>
      <c r="O152" s="108"/>
      <c r="P152" s="108"/>
      <c r="Q152" s="108"/>
      <c r="R152" s="108"/>
      <c r="S152" s="108"/>
      <c r="T152" s="108"/>
      <c r="U152" s="108"/>
      <c r="V152" s="108"/>
      <c r="W152" s="108"/>
      <c r="X152" s="108"/>
      <c r="Y152" s="108"/>
      <c r="Z152" s="109"/>
      <c r="AA152" s="109"/>
      <c r="AB152" s="109"/>
      <c r="AC152" s="109"/>
      <c r="AD152" s="109"/>
      <c r="AE152" s="109"/>
      <c r="AF152" s="109"/>
      <c r="AG152" s="109"/>
      <c r="AH152" s="109"/>
      <c r="AI152" s="109"/>
      <c r="AJ152" s="109"/>
      <c r="AK152" s="109"/>
      <c r="AL152" s="109"/>
      <c r="AM152" s="109"/>
      <c r="AN152" s="110"/>
      <c r="AO152" s="110"/>
      <c r="AP152" s="111"/>
      <c r="AQ152" s="112"/>
      <c r="AR152" s="112"/>
      <c r="AS152" s="112"/>
      <c r="AT152" s="112"/>
      <c r="AU152" s="112"/>
      <c r="AV152" s="112"/>
      <c r="AW152" s="112"/>
      <c r="AX152" s="112"/>
      <c r="AY152" s="112"/>
      <c r="AZ152" s="112"/>
      <c r="BA152" s="112"/>
      <c r="BB152" s="112"/>
      <c r="BC152" s="112"/>
      <c r="BD152" s="112"/>
      <c r="BE152" s="112"/>
    </row>
    <row r="153" spans="2:57" x14ac:dyDescent="0.35">
      <c r="B153" s="59"/>
      <c r="C153" s="59"/>
      <c r="D153" s="104"/>
      <c r="E153" s="105"/>
      <c r="F153" s="105"/>
      <c r="G153" s="105"/>
      <c r="H153" s="68"/>
      <c r="I153" s="106"/>
      <c r="J153" s="107"/>
      <c r="K153" s="108"/>
      <c r="L153" s="108"/>
      <c r="M153" s="108"/>
      <c r="N153" s="108"/>
      <c r="O153" s="108"/>
      <c r="P153" s="108"/>
      <c r="Q153" s="108"/>
      <c r="R153" s="108"/>
      <c r="S153" s="108"/>
      <c r="T153" s="108"/>
      <c r="U153" s="108"/>
      <c r="V153" s="108"/>
      <c r="W153" s="108"/>
      <c r="X153" s="108"/>
      <c r="Y153" s="108"/>
      <c r="Z153" s="109"/>
      <c r="AA153" s="109"/>
      <c r="AB153" s="109"/>
      <c r="AC153" s="109"/>
      <c r="AD153" s="109"/>
      <c r="AE153" s="109"/>
      <c r="AF153" s="109"/>
      <c r="AG153" s="109"/>
      <c r="AH153" s="109"/>
      <c r="AI153" s="109"/>
      <c r="AJ153" s="109"/>
      <c r="AK153" s="109"/>
      <c r="AL153" s="109"/>
      <c r="AM153" s="109"/>
      <c r="AN153" s="110"/>
      <c r="AO153" s="110"/>
      <c r="AP153" s="111"/>
      <c r="AQ153" s="112"/>
      <c r="AR153" s="112"/>
      <c r="AS153" s="112"/>
      <c r="AT153" s="112"/>
      <c r="AU153" s="112"/>
      <c r="AV153" s="112"/>
      <c r="AW153" s="112"/>
      <c r="AX153" s="112"/>
      <c r="AY153" s="112"/>
      <c r="AZ153" s="112"/>
      <c r="BA153" s="112"/>
      <c r="BB153" s="112"/>
      <c r="BC153" s="112"/>
      <c r="BD153" s="112"/>
      <c r="BE153" s="112"/>
    </row>
    <row r="154" spans="2:57" x14ac:dyDescent="0.35">
      <c r="B154" s="59"/>
      <c r="C154" s="59"/>
      <c r="D154" s="104"/>
      <c r="E154" s="105"/>
      <c r="F154" s="105"/>
      <c r="G154" s="105"/>
      <c r="H154" s="68"/>
      <c r="I154" s="106"/>
      <c r="J154" s="107"/>
      <c r="K154" s="108"/>
      <c r="L154" s="108"/>
      <c r="M154" s="108"/>
      <c r="N154" s="108"/>
      <c r="O154" s="108"/>
      <c r="P154" s="108"/>
      <c r="Q154" s="108"/>
      <c r="R154" s="108"/>
      <c r="S154" s="108"/>
      <c r="T154" s="108"/>
      <c r="U154" s="108"/>
      <c r="V154" s="108"/>
      <c r="W154" s="108"/>
      <c r="X154" s="108"/>
      <c r="Y154" s="108"/>
      <c r="Z154" s="109"/>
      <c r="AA154" s="109"/>
      <c r="AB154" s="109"/>
      <c r="AC154" s="109"/>
      <c r="AD154" s="109"/>
      <c r="AE154" s="109"/>
      <c r="AF154" s="109"/>
      <c r="AG154" s="109"/>
      <c r="AH154" s="109"/>
      <c r="AI154" s="109"/>
      <c r="AJ154" s="109"/>
      <c r="AK154" s="109"/>
      <c r="AL154" s="109"/>
      <c r="AM154" s="109"/>
      <c r="AN154" s="110"/>
      <c r="AO154" s="110"/>
      <c r="AP154" s="111"/>
      <c r="AQ154" s="112"/>
      <c r="AR154" s="112"/>
      <c r="AS154" s="112"/>
      <c r="AT154" s="112"/>
      <c r="AU154" s="112"/>
      <c r="AV154" s="112"/>
      <c r="AW154" s="112"/>
      <c r="AX154" s="112"/>
      <c r="AY154" s="112"/>
      <c r="AZ154" s="112"/>
      <c r="BA154" s="112"/>
      <c r="BB154" s="112"/>
      <c r="BC154" s="112"/>
      <c r="BD154" s="112"/>
      <c r="BE154" s="112"/>
    </row>
    <row r="155" spans="2:57" x14ac:dyDescent="0.35">
      <c r="B155" s="59"/>
      <c r="C155" s="59"/>
      <c r="D155" s="104"/>
      <c r="E155" s="105"/>
      <c r="F155" s="105"/>
      <c r="G155" s="105"/>
      <c r="H155" s="68"/>
      <c r="I155" s="106"/>
      <c r="J155" s="107"/>
      <c r="K155" s="108"/>
      <c r="L155" s="108"/>
      <c r="M155" s="108"/>
      <c r="N155" s="108"/>
      <c r="O155" s="108"/>
      <c r="P155" s="108"/>
      <c r="Q155" s="108"/>
      <c r="R155" s="108"/>
      <c r="S155" s="108"/>
      <c r="T155" s="108"/>
      <c r="U155" s="108"/>
      <c r="V155" s="108"/>
      <c r="W155" s="108"/>
      <c r="X155" s="108"/>
      <c r="Y155" s="108"/>
      <c r="Z155" s="109"/>
      <c r="AA155" s="109"/>
      <c r="AB155" s="109"/>
      <c r="AC155" s="109"/>
      <c r="AD155" s="109"/>
      <c r="AE155" s="109"/>
      <c r="AF155" s="109"/>
      <c r="AG155" s="109"/>
      <c r="AH155" s="109"/>
      <c r="AI155" s="109"/>
      <c r="AJ155" s="109"/>
      <c r="AK155" s="109"/>
      <c r="AL155" s="109"/>
      <c r="AM155" s="109"/>
      <c r="AN155" s="110"/>
      <c r="AO155" s="110"/>
      <c r="AP155" s="111"/>
      <c r="AQ155" s="112"/>
      <c r="AR155" s="112"/>
      <c r="AS155" s="112"/>
      <c r="AT155" s="112"/>
      <c r="AU155" s="112"/>
      <c r="AV155" s="112"/>
      <c r="AW155" s="112"/>
      <c r="AX155" s="112"/>
      <c r="AY155" s="112"/>
      <c r="AZ155" s="112"/>
      <c r="BA155" s="112"/>
      <c r="BB155" s="112"/>
      <c r="BC155" s="112"/>
      <c r="BD155" s="112"/>
      <c r="BE155" s="112"/>
    </row>
    <row r="156" spans="2:57" x14ac:dyDescent="0.35">
      <c r="B156" s="59"/>
      <c r="C156" s="59"/>
      <c r="D156" s="104"/>
      <c r="E156" s="105"/>
      <c r="F156" s="105"/>
      <c r="G156" s="105"/>
      <c r="H156" s="68"/>
      <c r="I156" s="106"/>
      <c r="J156" s="107"/>
      <c r="K156" s="108"/>
      <c r="L156" s="108"/>
      <c r="M156" s="108"/>
      <c r="N156" s="108"/>
      <c r="O156" s="108"/>
      <c r="P156" s="108"/>
      <c r="Q156" s="108"/>
      <c r="R156" s="108"/>
      <c r="S156" s="108"/>
      <c r="T156" s="108"/>
      <c r="U156" s="108"/>
      <c r="V156" s="108"/>
      <c r="W156" s="108"/>
      <c r="X156" s="108"/>
      <c r="Y156" s="108"/>
      <c r="Z156" s="109"/>
      <c r="AA156" s="109"/>
      <c r="AB156" s="109"/>
      <c r="AC156" s="109"/>
      <c r="AD156" s="109"/>
      <c r="AE156" s="109"/>
      <c r="AF156" s="109"/>
      <c r="AG156" s="109"/>
      <c r="AH156" s="109"/>
      <c r="AI156" s="109"/>
      <c r="AJ156" s="109"/>
      <c r="AK156" s="109"/>
      <c r="AL156" s="109"/>
      <c r="AM156" s="109"/>
      <c r="AN156" s="110"/>
      <c r="AO156" s="110"/>
      <c r="AP156" s="111"/>
      <c r="AQ156" s="112"/>
      <c r="AR156" s="112"/>
      <c r="AS156" s="112"/>
      <c r="AT156" s="112"/>
      <c r="AU156" s="112"/>
      <c r="AV156" s="112"/>
      <c r="AW156" s="112"/>
      <c r="AX156" s="112"/>
      <c r="AY156" s="112"/>
      <c r="AZ156" s="112"/>
      <c r="BA156" s="112"/>
      <c r="BB156" s="112"/>
      <c r="BC156" s="112"/>
      <c r="BD156" s="112"/>
      <c r="BE156" s="112"/>
    </row>
    <row r="157" spans="2:57" x14ac:dyDescent="0.35">
      <c r="B157" s="59"/>
      <c r="C157" s="59"/>
      <c r="D157" s="104"/>
      <c r="E157" s="105"/>
      <c r="F157" s="105"/>
      <c r="G157" s="105"/>
      <c r="H157" s="68"/>
      <c r="I157" s="106"/>
      <c r="J157" s="107"/>
      <c r="K157" s="108"/>
      <c r="L157" s="108"/>
      <c r="M157" s="108"/>
      <c r="N157" s="108"/>
      <c r="O157" s="108"/>
      <c r="P157" s="108"/>
      <c r="Q157" s="108"/>
      <c r="R157" s="108"/>
      <c r="S157" s="108"/>
      <c r="T157" s="108"/>
      <c r="U157" s="108"/>
      <c r="V157" s="108"/>
      <c r="W157" s="108"/>
      <c r="X157" s="108"/>
      <c r="Y157" s="108"/>
      <c r="Z157" s="109"/>
      <c r="AA157" s="109"/>
      <c r="AB157" s="109"/>
      <c r="AC157" s="109"/>
      <c r="AD157" s="109"/>
      <c r="AE157" s="109"/>
      <c r="AF157" s="109"/>
      <c r="AG157" s="109"/>
      <c r="AH157" s="109"/>
      <c r="AI157" s="109"/>
      <c r="AJ157" s="109"/>
      <c r="AK157" s="109"/>
      <c r="AL157" s="109"/>
      <c r="AM157" s="109"/>
      <c r="AN157" s="110"/>
      <c r="AO157" s="110"/>
      <c r="AP157" s="111"/>
      <c r="AQ157" s="112"/>
      <c r="AR157" s="112"/>
      <c r="AS157" s="112"/>
      <c r="AT157" s="112"/>
      <c r="AU157" s="112"/>
      <c r="AV157" s="112"/>
      <c r="AW157" s="112"/>
      <c r="AX157" s="112"/>
      <c r="AY157" s="112"/>
      <c r="AZ157" s="112"/>
      <c r="BA157" s="112"/>
      <c r="BB157" s="112"/>
      <c r="BC157" s="112"/>
      <c r="BD157" s="112"/>
      <c r="BE157" s="112"/>
    </row>
    <row r="158" spans="2:57" x14ac:dyDescent="0.35">
      <c r="B158" s="59"/>
      <c r="C158" s="59"/>
      <c r="D158" s="104"/>
      <c r="E158" s="105"/>
      <c r="F158" s="105"/>
      <c r="G158" s="105"/>
      <c r="H158" s="68"/>
      <c r="I158" s="106"/>
      <c r="J158" s="107"/>
      <c r="K158" s="108"/>
      <c r="L158" s="108"/>
      <c r="M158" s="108"/>
      <c r="N158" s="108"/>
      <c r="O158" s="108"/>
      <c r="P158" s="108"/>
      <c r="Q158" s="108"/>
      <c r="R158" s="108"/>
      <c r="S158" s="108"/>
      <c r="T158" s="108"/>
      <c r="U158" s="108"/>
      <c r="V158" s="108"/>
      <c r="W158" s="108"/>
      <c r="X158" s="108"/>
      <c r="Y158" s="108"/>
      <c r="Z158" s="109"/>
      <c r="AA158" s="109"/>
      <c r="AB158" s="109"/>
      <c r="AC158" s="109"/>
      <c r="AD158" s="109"/>
      <c r="AE158" s="109"/>
      <c r="AF158" s="109"/>
      <c r="AG158" s="109"/>
      <c r="AH158" s="109"/>
      <c r="AI158" s="109"/>
      <c r="AJ158" s="109"/>
      <c r="AK158" s="109"/>
      <c r="AL158" s="109"/>
      <c r="AM158" s="109"/>
      <c r="AN158" s="110"/>
      <c r="AO158" s="110"/>
      <c r="AP158" s="111"/>
      <c r="AQ158" s="112"/>
      <c r="AR158" s="112"/>
      <c r="AS158" s="112"/>
      <c r="AT158" s="112"/>
      <c r="AU158" s="112"/>
      <c r="AV158" s="112"/>
      <c r="AW158" s="112"/>
      <c r="AX158" s="112"/>
      <c r="AY158" s="112"/>
      <c r="AZ158" s="112"/>
      <c r="BA158" s="112"/>
      <c r="BB158" s="112"/>
      <c r="BC158" s="112"/>
      <c r="BD158" s="112"/>
      <c r="BE158" s="112"/>
    </row>
    <row r="159" spans="2:57" x14ac:dyDescent="0.35">
      <c r="B159" s="59"/>
      <c r="C159" s="59"/>
      <c r="D159" s="104"/>
      <c r="E159" s="105"/>
      <c r="F159" s="105"/>
      <c r="G159" s="105"/>
      <c r="H159" s="68"/>
      <c r="I159" s="106"/>
      <c r="J159" s="107"/>
      <c r="K159" s="108"/>
      <c r="L159" s="108"/>
      <c r="M159" s="108"/>
      <c r="N159" s="108"/>
      <c r="O159" s="108"/>
      <c r="P159" s="108"/>
      <c r="Q159" s="108"/>
      <c r="R159" s="108"/>
      <c r="S159" s="108"/>
      <c r="T159" s="108"/>
      <c r="U159" s="108"/>
      <c r="V159" s="108"/>
      <c r="W159" s="108"/>
      <c r="X159" s="108"/>
      <c r="Y159" s="108"/>
      <c r="Z159" s="109"/>
      <c r="AA159" s="109"/>
      <c r="AB159" s="109"/>
      <c r="AC159" s="109"/>
      <c r="AD159" s="109"/>
      <c r="AE159" s="109"/>
      <c r="AF159" s="109"/>
      <c r="AG159" s="109"/>
      <c r="AH159" s="109"/>
      <c r="AI159" s="109"/>
      <c r="AJ159" s="109"/>
      <c r="AK159" s="109"/>
      <c r="AL159" s="109"/>
      <c r="AM159" s="109"/>
      <c r="AN159" s="110"/>
      <c r="AO159" s="110"/>
      <c r="AP159" s="111"/>
      <c r="AQ159" s="112"/>
      <c r="AR159" s="112"/>
      <c r="AS159" s="112"/>
      <c r="AT159" s="112"/>
      <c r="AU159" s="112"/>
      <c r="AV159" s="112"/>
      <c r="AW159" s="112"/>
      <c r="AX159" s="112"/>
      <c r="AY159" s="112"/>
      <c r="AZ159" s="112"/>
      <c r="BA159" s="112"/>
      <c r="BB159" s="112"/>
      <c r="BC159" s="112"/>
      <c r="BD159" s="112"/>
      <c r="BE159" s="112"/>
    </row>
    <row r="160" spans="2:57" x14ac:dyDescent="0.35">
      <c r="B160" s="59"/>
      <c r="C160" s="59"/>
      <c r="D160" s="104"/>
      <c r="E160" s="105"/>
      <c r="F160" s="105"/>
      <c r="G160" s="105"/>
      <c r="H160" s="68"/>
      <c r="I160" s="106"/>
      <c r="J160" s="107"/>
      <c r="K160" s="108"/>
      <c r="L160" s="108"/>
      <c r="M160" s="108"/>
      <c r="N160" s="108"/>
      <c r="O160" s="108"/>
      <c r="P160" s="108"/>
      <c r="Q160" s="108"/>
      <c r="R160" s="108"/>
      <c r="S160" s="108"/>
      <c r="T160" s="108"/>
      <c r="U160" s="108"/>
      <c r="V160" s="108"/>
      <c r="W160" s="108"/>
      <c r="X160" s="108"/>
      <c r="Y160" s="108"/>
      <c r="Z160" s="109"/>
      <c r="AA160" s="109"/>
      <c r="AB160" s="109"/>
      <c r="AC160" s="109"/>
      <c r="AD160" s="109"/>
      <c r="AE160" s="109"/>
      <c r="AF160" s="109"/>
      <c r="AG160" s="109"/>
      <c r="AH160" s="109"/>
      <c r="AI160" s="109"/>
      <c r="AJ160" s="109"/>
      <c r="AK160" s="109"/>
      <c r="AL160" s="109"/>
      <c r="AM160" s="109"/>
      <c r="AN160" s="110"/>
      <c r="AO160" s="110"/>
      <c r="AP160" s="111"/>
      <c r="AQ160" s="112"/>
      <c r="AR160" s="112"/>
      <c r="AS160" s="112"/>
      <c r="AT160" s="112"/>
      <c r="AU160" s="112"/>
      <c r="AV160" s="112"/>
      <c r="AW160" s="112"/>
      <c r="AX160" s="112"/>
      <c r="AY160" s="112"/>
      <c r="AZ160" s="112"/>
      <c r="BA160" s="112"/>
      <c r="BB160" s="112"/>
      <c r="BC160" s="112"/>
      <c r="BD160" s="112"/>
      <c r="BE160" s="112"/>
    </row>
    <row r="161" spans="2:57" x14ac:dyDescent="0.35">
      <c r="B161" s="59"/>
      <c r="C161" s="59"/>
      <c r="D161" s="104"/>
      <c r="E161" s="105"/>
      <c r="F161" s="105"/>
      <c r="G161" s="105"/>
      <c r="H161" s="68"/>
      <c r="I161" s="106"/>
      <c r="J161" s="107"/>
      <c r="K161" s="108"/>
      <c r="L161" s="108"/>
      <c r="M161" s="108"/>
      <c r="N161" s="108"/>
      <c r="O161" s="108"/>
      <c r="P161" s="108"/>
      <c r="Q161" s="108"/>
      <c r="R161" s="108"/>
      <c r="S161" s="108"/>
      <c r="T161" s="108"/>
      <c r="U161" s="108"/>
      <c r="V161" s="108"/>
      <c r="W161" s="108"/>
      <c r="X161" s="108"/>
      <c r="Y161" s="108"/>
      <c r="Z161" s="109"/>
      <c r="AA161" s="109"/>
      <c r="AB161" s="109"/>
      <c r="AC161" s="109"/>
      <c r="AD161" s="109"/>
      <c r="AE161" s="109"/>
      <c r="AF161" s="109"/>
      <c r="AG161" s="109"/>
      <c r="AH161" s="109"/>
      <c r="AI161" s="109"/>
      <c r="AJ161" s="109"/>
      <c r="AK161" s="109"/>
      <c r="AL161" s="109"/>
      <c r="AM161" s="109"/>
      <c r="AN161" s="110"/>
      <c r="AO161" s="110"/>
      <c r="AP161" s="111"/>
      <c r="AQ161" s="112"/>
      <c r="AR161" s="112"/>
      <c r="AS161" s="112"/>
      <c r="AT161" s="112"/>
      <c r="AU161" s="112"/>
      <c r="AV161" s="112"/>
      <c r="AW161" s="112"/>
      <c r="AX161" s="112"/>
      <c r="AY161" s="112"/>
      <c r="AZ161" s="112"/>
      <c r="BA161" s="112"/>
      <c r="BB161" s="112"/>
      <c r="BC161" s="112"/>
      <c r="BD161" s="112"/>
      <c r="BE161" s="112"/>
    </row>
    <row r="162" spans="2:57" x14ac:dyDescent="0.35">
      <c r="B162" s="59"/>
      <c r="C162" s="59"/>
      <c r="D162" s="104"/>
      <c r="E162" s="105"/>
      <c r="F162" s="105"/>
      <c r="G162" s="105"/>
      <c r="H162" s="68"/>
      <c r="I162" s="106"/>
      <c r="J162" s="107"/>
      <c r="K162" s="108"/>
      <c r="L162" s="108"/>
      <c r="M162" s="108"/>
      <c r="N162" s="108"/>
      <c r="O162" s="108"/>
      <c r="P162" s="108"/>
      <c r="Q162" s="108"/>
      <c r="R162" s="108"/>
      <c r="S162" s="108"/>
      <c r="T162" s="108"/>
      <c r="U162" s="108"/>
      <c r="V162" s="108"/>
      <c r="W162" s="108"/>
      <c r="X162" s="108"/>
      <c r="Y162" s="108"/>
      <c r="Z162" s="109"/>
      <c r="AA162" s="109"/>
      <c r="AB162" s="109"/>
      <c r="AC162" s="109"/>
      <c r="AD162" s="109"/>
      <c r="AE162" s="109"/>
      <c r="AF162" s="109"/>
      <c r="AG162" s="109"/>
      <c r="AH162" s="109"/>
      <c r="AI162" s="109"/>
      <c r="AJ162" s="109"/>
      <c r="AK162" s="109"/>
      <c r="AL162" s="109"/>
      <c r="AM162" s="109"/>
      <c r="AN162" s="110"/>
      <c r="AO162" s="110"/>
      <c r="AP162" s="111"/>
      <c r="AQ162" s="112"/>
      <c r="AR162" s="112"/>
      <c r="AS162" s="112"/>
      <c r="AT162" s="112"/>
      <c r="AU162" s="112"/>
      <c r="AV162" s="112"/>
      <c r="AW162" s="112"/>
      <c r="AX162" s="112"/>
      <c r="AY162" s="112"/>
      <c r="AZ162" s="112"/>
      <c r="BA162" s="112"/>
      <c r="BB162" s="112"/>
      <c r="BC162" s="112"/>
      <c r="BD162" s="112"/>
      <c r="BE162" s="112"/>
    </row>
    <row r="163" spans="2:57" x14ac:dyDescent="0.35">
      <c r="B163" s="59"/>
      <c r="C163" s="59"/>
      <c r="D163" s="104"/>
      <c r="E163" s="105"/>
      <c r="F163" s="105"/>
      <c r="G163" s="105"/>
      <c r="H163" s="68"/>
      <c r="I163" s="106"/>
      <c r="J163" s="107"/>
      <c r="K163" s="108"/>
      <c r="L163" s="108"/>
      <c r="M163" s="108"/>
      <c r="N163" s="108"/>
      <c r="O163" s="108"/>
      <c r="P163" s="108"/>
      <c r="Q163" s="108"/>
      <c r="R163" s="108"/>
      <c r="S163" s="108"/>
      <c r="T163" s="108"/>
      <c r="U163" s="108"/>
      <c r="V163" s="108"/>
      <c r="W163" s="108"/>
      <c r="X163" s="108"/>
      <c r="Y163" s="108"/>
      <c r="Z163" s="109"/>
      <c r="AA163" s="109"/>
      <c r="AB163" s="109"/>
      <c r="AC163" s="109"/>
      <c r="AD163" s="109"/>
      <c r="AE163" s="109"/>
      <c r="AF163" s="109"/>
      <c r="AG163" s="109"/>
      <c r="AH163" s="109"/>
      <c r="AI163" s="109"/>
      <c r="AJ163" s="109"/>
      <c r="AK163" s="109"/>
      <c r="AL163" s="109"/>
      <c r="AM163" s="109"/>
      <c r="AN163" s="110"/>
      <c r="AO163" s="110"/>
      <c r="AP163" s="111"/>
      <c r="AQ163" s="112"/>
      <c r="AR163" s="112"/>
      <c r="AS163" s="112"/>
      <c r="AT163" s="112"/>
      <c r="AU163" s="112"/>
      <c r="AV163" s="112"/>
      <c r="AW163" s="112"/>
      <c r="AX163" s="112"/>
      <c r="AY163" s="112"/>
      <c r="AZ163" s="112"/>
      <c r="BA163" s="112"/>
      <c r="BB163" s="112"/>
      <c r="BC163" s="112"/>
      <c r="BD163" s="112"/>
      <c r="BE163" s="112"/>
    </row>
    <row r="164" spans="2:57" x14ac:dyDescent="0.35">
      <c r="B164" s="59"/>
      <c r="C164" s="59"/>
      <c r="D164" s="104"/>
      <c r="E164" s="105"/>
      <c r="F164" s="105"/>
      <c r="G164" s="105"/>
      <c r="H164" s="68"/>
      <c r="I164" s="106"/>
      <c r="J164" s="107"/>
      <c r="K164" s="108"/>
      <c r="L164" s="108"/>
      <c r="M164" s="108"/>
      <c r="N164" s="108"/>
      <c r="O164" s="108"/>
      <c r="P164" s="108"/>
      <c r="Q164" s="108"/>
      <c r="R164" s="108"/>
      <c r="S164" s="108"/>
      <c r="T164" s="108"/>
      <c r="U164" s="108"/>
      <c r="V164" s="108"/>
      <c r="W164" s="108"/>
      <c r="X164" s="108"/>
      <c r="Y164" s="108"/>
      <c r="Z164" s="109"/>
      <c r="AA164" s="109"/>
      <c r="AB164" s="109"/>
      <c r="AC164" s="109"/>
      <c r="AD164" s="109"/>
      <c r="AE164" s="109"/>
      <c r="AF164" s="109"/>
      <c r="AG164" s="109"/>
      <c r="AH164" s="109"/>
      <c r="AI164" s="109"/>
      <c r="AJ164" s="109"/>
      <c r="AK164" s="109"/>
      <c r="AL164" s="109"/>
      <c r="AM164" s="109"/>
      <c r="AN164" s="110"/>
      <c r="AO164" s="110"/>
      <c r="AP164" s="111"/>
      <c r="AQ164" s="112"/>
      <c r="AR164" s="112"/>
      <c r="AS164" s="112"/>
      <c r="AT164" s="112"/>
      <c r="AU164" s="112"/>
      <c r="AV164" s="112"/>
      <c r="AW164" s="112"/>
      <c r="AX164" s="112"/>
      <c r="AY164" s="112"/>
      <c r="AZ164" s="112"/>
      <c r="BA164" s="112"/>
      <c r="BB164" s="112"/>
      <c r="BC164" s="112"/>
      <c r="BD164" s="112"/>
      <c r="BE164" s="112"/>
    </row>
    <row r="165" spans="2:57" x14ac:dyDescent="0.35">
      <c r="B165" s="59"/>
      <c r="C165" s="59"/>
      <c r="D165" s="104"/>
      <c r="E165" s="105"/>
      <c r="F165" s="105"/>
      <c r="G165" s="105"/>
      <c r="H165" s="68"/>
      <c r="I165" s="106"/>
      <c r="J165" s="107"/>
      <c r="K165" s="108"/>
      <c r="L165" s="108"/>
      <c r="M165" s="108"/>
      <c r="N165" s="108"/>
      <c r="O165" s="108"/>
      <c r="P165" s="108"/>
      <c r="Q165" s="108"/>
      <c r="R165" s="108"/>
      <c r="S165" s="108"/>
      <c r="T165" s="108"/>
      <c r="U165" s="108"/>
      <c r="V165" s="108"/>
      <c r="W165" s="108"/>
      <c r="X165" s="108"/>
      <c r="Y165" s="108"/>
      <c r="Z165" s="109"/>
      <c r="AA165" s="109"/>
      <c r="AB165" s="109"/>
      <c r="AC165" s="109"/>
      <c r="AD165" s="109"/>
      <c r="AE165" s="109"/>
      <c r="AF165" s="109"/>
      <c r="AG165" s="109"/>
      <c r="AH165" s="109"/>
      <c r="AI165" s="109"/>
      <c r="AJ165" s="109"/>
      <c r="AK165" s="109"/>
      <c r="AL165" s="109"/>
      <c r="AM165" s="109"/>
      <c r="AN165" s="110"/>
      <c r="AO165" s="110"/>
      <c r="AP165" s="111"/>
      <c r="AQ165" s="112"/>
      <c r="AR165" s="112"/>
      <c r="AS165" s="112"/>
      <c r="AT165" s="112"/>
      <c r="AU165" s="112"/>
      <c r="AV165" s="112"/>
      <c r="AW165" s="112"/>
      <c r="AX165" s="112"/>
      <c r="AY165" s="112"/>
      <c r="AZ165" s="112"/>
      <c r="BA165" s="112"/>
      <c r="BB165" s="112"/>
      <c r="BC165" s="112"/>
      <c r="BD165" s="112"/>
      <c r="BE165" s="112"/>
    </row>
    <row r="166" spans="2:57" x14ac:dyDescent="0.35">
      <c r="B166" s="59"/>
      <c r="C166" s="59"/>
      <c r="D166" s="104"/>
      <c r="E166" s="105"/>
      <c r="F166" s="105"/>
      <c r="G166" s="105"/>
      <c r="H166" s="68"/>
      <c r="I166" s="106"/>
      <c r="J166" s="107"/>
      <c r="K166" s="108"/>
      <c r="L166" s="108"/>
      <c r="M166" s="108"/>
      <c r="N166" s="108"/>
      <c r="O166" s="108"/>
      <c r="P166" s="108"/>
      <c r="Q166" s="108"/>
      <c r="R166" s="108"/>
      <c r="S166" s="108"/>
      <c r="T166" s="108"/>
      <c r="U166" s="108"/>
      <c r="V166" s="108"/>
      <c r="W166" s="108"/>
      <c r="X166" s="108"/>
      <c r="Y166" s="108"/>
      <c r="Z166" s="109"/>
      <c r="AA166" s="109"/>
      <c r="AB166" s="109"/>
      <c r="AC166" s="109"/>
      <c r="AD166" s="109"/>
      <c r="AE166" s="109"/>
      <c r="AF166" s="109"/>
      <c r="AG166" s="109"/>
      <c r="AH166" s="109"/>
      <c r="AI166" s="109"/>
      <c r="AJ166" s="109"/>
      <c r="AK166" s="109"/>
      <c r="AL166" s="109"/>
      <c r="AM166" s="109"/>
      <c r="AN166" s="110"/>
      <c r="AO166" s="110"/>
      <c r="AP166" s="111"/>
      <c r="AQ166" s="112"/>
      <c r="AR166" s="112"/>
      <c r="AS166" s="112"/>
      <c r="AT166" s="112"/>
      <c r="AU166" s="112"/>
      <c r="AV166" s="112"/>
      <c r="AW166" s="112"/>
      <c r="AX166" s="112"/>
      <c r="AY166" s="112"/>
      <c r="AZ166" s="112"/>
      <c r="BA166" s="112"/>
      <c r="BB166" s="112"/>
      <c r="BC166" s="112"/>
      <c r="BD166" s="112"/>
      <c r="BE166" s="112"/>
    </row>
    <row r="167" spans="2:57" x14ac:dyDescent="0.35">
      <c r="B167" s="59"/>
      <c r="C167" s="59"/>
      <c r="D167" s="104"/>
      <c r="E167" s="105"/>
      <c r="F167" s="105"/>
      <c r="G167" s="105"/>
      <c r="H167" s="68"/>
      <c r="I167" s="106"/>
      <c r="J167" s="107"/>
      <c r="K167" s="108"/>
      <c r="L167" s="108"/>
      <c r="M167" s="108"/>
      <c r="N167" s="108"/>
      <c r="O167" s="108"/>
      <c r="P167" s="108"/>
      <c r="Q167" s="108"/>
      <c r="R167" s="108"/>
      <c r="S167" s="108"/>
      <c r="T167" s="108"/>
      <c r="U167" s="108"/>
      <c r="V167" s="108"/>
      <c r="W167" s="108"/>
      <c r="X167" s="108"/>
      <c r="Y167" s="108"/>
      <c r="Z167" s="109"/>
      <c r="AA167" s="109"/>
      <c r="AB167" s="109"/>
      <c r="AC167" s="109"/>
      <c r="AD167" s="109"/>
      <c r="AE167" s="109"/>
      <c r="AF167" s="109"/>
      <c r="AG167" s="109"/>
      <c r="AH167" s="109"/>
      <c r="AI167" s="109"/>
      <c r="AJ167" s="109"/>
      <c r="AK167" s="109"/>
      <c r="AL167" s="109"/>
      <c r="AM167" s="109"/>
      <c r="AN167" s="110"/>
      <c r="AO167" s="110"/>
      <c r="AP167" s="111"/>
      <c r="AQ167" s="112"/>
      <c r="AR167" s="112"/>
      <c r="AS167" s="112"/>
      <c r="AT167" s="112"/>
      <c r="AU167" s="112"/>
      <c r="AV167" s="112"/>
      <c r="AW167" s="112"/>
      <c r="AX167" s="112"/>
      <c r="AY167" s="112"/>
      <c r="AZ167" s="112"/>
      <c r="BA167" s="112"/>
      <c r="BB167" s="112"/>
      <c r="BC167" s="112"/>
      <c r="BD167" s="112"/>
      <c r="BE167" s="112"/>
    </row>
    <row r="168" spans="2:57" x14ac:dyDescent="0.35">
      <c r="B168" s="59"/>
      <c r="C168" s="59"/>
      <c r="D168" s="104"/>
      <c r="E168" s="105"/>
      <c r="F168" s="105"/>
      <c r="G168" s="105"/>
      <c r="H168" s="68"/>
      <c r="I168" s="106"/>
      <c r="J168" s="107"/>
      <c r="K168" s="108"/>
      <c r="L168" s="108"/>
      <c r="M168" s="108"/>
      <c r="N168" s="108"/>
      <c r="O168" s="108"/>
      <c r="P168" s="108"/>
      <c r="Q168" s="108"/>
      <c r="R168" s="108"/>
      <c r="S168" s="108"/>
      <c r="T168" s="108"/>
      <c r="U168" s="108"/>
      <c r="V168" s="108"/>
      <c r="W168" s="108"/>
      <c r="X168" s="108"/>
      <c r="Y168" s="108"/>
      <c r="Z168" s="109"/>
      <c r="AA168" s="109"/>
      <c r="AB168" s="109"/>
      <c r="AC168" s="109"/>
      <c r="AD168" s="109"/>
      <c r="AE168" s="109"/>
      <c r="AF168" s="109"/>
      <c r="AG168" s="109"/>
      <c r="AH168" s="109"/>
      <c r="AI168" s="109"/>
      <c r="AJ168" s="109"/>
      <c r="AK168" s="109"/>
      <c r="AL168" s="109"/>
      <c r="AM168" s="109"/>
      <c r="AN168" s="110"/>
      <c r="AO168" s="110"/>
      <c r="AP168" s="111"/>
      <c r="AQ168" s="112"/>
      <c r="AR168" s="112"/>
      <c r="AS168" s="112"/>
      <c r="AT168" s="112"/>
      <c r="AU168" s="112"/>
      <c r="AV168" s="112"/>
      <c r="AW168" s="112"/>
      <c r="AX168" s="112"/>
      <c r="AY168" s="112"/>
      <c r="AZ168" s="112"/>
      <c r="BA168" s="112"/>
      <c r="BB168" s="112"/>
      <c r="BC168" s="112"/>
      <c r="BD168" s="112"/>
      <c r="BE168" s="112"/>
    </row>
    <row r="169" spans="2:57" x14ac:dyDescent="0.35">
      <c r="B169" s="59"/>
      <c r="C169" s="59"/>
      <c r="D169" s="104"/>
      <c r="E169" s="105"/>
      <c r="F169" s="105"/>
      <c r="G169" s="105"/>
      <c r="H169" s="68"/>
      <c r="I169" s="106"/>
      <c r="J169" s="107"/>
      <c r="K169" s="108"/>
      <c r="L169" s="108"/>
      <c r="M169" s="108"/>
      <c r="N169" s="108"/>
      <c r="O169" s="108"/>
      <c r="P169" s="108"/>
      <c r="Q169" s="108"/>
      <c r="R169" s="108"/>
      <c r="S169" s="108"/>
      <c r="T169" s="108"/>
      <c r="U169" s="108"/>
      <c r="V169" s="108"/>
      <c r="W169" s="108"/>
      <c r="X169" s="108"/>
      <c r="Y169" s="108"/>
      <c r="Z169" s="109"/>
      <c r="AA169" s="109"/>
      <c r="AB169" s="109"/>
      <c r="AC169" s="109"/>
      <c r="AD169" s="109"/>
      <c r="AE169" s="109"/>
      <c r="AF169" s="109"/>
      <c r="AG169" s="109"/>
      <c r="AH169" s="109"/>
      <c r="AI169" s="109"/>
      <c r="AJ169" s="109"/>
      <c r="AK169" s="109"/>
      <c r="AL169" s="109"/>
      <c r="AM169" s="109"/>
      <c r="AN169" s="110"/>
      <c r="AO169" s="110"/>
      <c r="AP169" s="111"/>
      <c r="AQ169" s="112"/>
      <c r="AR169" s="112"/>
      <c r="AS169" s="112"/>
      <c r="AT169" s="112"/>
      <c r="AU169" s="112"/>
      <c r="AV169" s="112"/>
      <c r="AW169" s="112"/>
      <c r="AX169" s="112"/>
      <c r="AY169" s="112"/>
      <c r="AZ169" s="112"/>
      <c r="BA169" s="112"/>
      <c r="BB169" s="112"/>
      <c r="BC169" s="112"/>
      <c r="BD169" s="112"/>
      <c r="BE169" s="112"/>
    </row>
    <row r="170" spans="2:57" x14ac:dyDescent="0.35">
      <c r="B170" s="59"/>
      <c r="C170" s="59"/>
      <c r="D170" s="104"/>
      <c r="E170" s="105"/>
      <c r="F170" s="105"/>
      <c r="G170" s="105"/>
      <c r="H170" s="68"/>
      <c r="I170" s="106"/>
      <c r="J170" s="107"/>
      <c r="K170" s="108"/>
      <c r="L170" s="108"/>
      <c r="M170" s="108"/>
      <c r="N170" s="108"/>
      <c r="O170" s="108"/>
      <c r="P170" s="108"/>
      <c r="Q170" s="108"/>
      <c r="R170" s="108"/>
      <c r="S170" s="108"/>
      <c r="T170" s="108"/>
      <c r="U170" s="108"/>
      <c r="V170" s="108"/>
      <c r="W170" s="108"/>
      <c r="X170" s="108"/>
      <c r="Y170" s="108"/>
      <c r="Z170" s="109"/>
      <c r="AA170" s="109"/>
      <c r="AB170" s="109"/>
      <c r="AC170" s="109"/>
      <c r="AD170" s="109"/>
      <c r="AE170" s="109"/>
      <c r="AF170" s="109"/>
      <c r="AG170" s="109"/>
      <c r="AH170" s="109"/>
      <c r="AI170" s="109"/>
      <c r="AJ170" s="109"/>
      <c r="AK170" s="109"/>
      <c r="AL170" s="109"/>
      <c r="AM170" s="109"/>
      <c r="AN170" s="110"/>
      <c r="AO170" s="110"/>
      <c r="AP170" s="111"/>
      <c r="AQ170" s="112"/>
      <c r="AR170" s="112"/>
      <c r="AS170" s="112"/>
      <c r="AT170" s="112"/>
      <c r="AU170" s="112"/>
      <c r="AV170" s="112"/>
      <c r="AW170" s="112"/>
      <c r="AX170" s="112"/>
      <c r="AY170" s="112"/>
      <c r="AZ170" s="112"/>
      <c r="BA170" s="112"/>
      <c r="BB170" s="112"/>
      <c r="BC170" s="112"/>
      <c r="BD170" s="112"/>
      <c r="BE170" s="112"/>
    </row>
    <row r="171" spans="2:57" x14ac:dyDescent="0.35">
      <c r="B171" s="59"/>
      <c r="C171" s="59"/>
      <c r="D171" s="104"/>
      <c r="E171" s="105"/>
      <c r="F171" s="105"/>
      <c r="G171" s="105"/>
      <c r="H171" s="68"/>
      <c r="I171" s="106"/>
      <c r="J171" s="107"/>
      <c r="K171" s="108"/>
      <c r="L171" s="108"/>
      <c r="M171" s="108"/>
      <c r="N171" s="108"/>
      <c r="O171" s="108"/>
      <c r="P171" s="108"/>
      <c r="Q171" s="108"/>
      <c r="R171" s="108"/>
      <c r="S171" s="108"/>
      <c r="T171" s="108"/>
      <c r="U171" s="108"/>
      <c r="V171" s="108"/>
      <c r="W171" s="108"/>
      <c r="X171" s="108"/>
      <c r="Y171" s="108"/>
      <c r="Z171" s="109"/>
      <c r="AA171" s="109"/>
      <c r="AB171" s="109"/>
      <c r="AC171" s="109"/>
      <c r="AD171" s="109"/>
      <c r="AE171" s="109"/>
      <c r="AF171" s="109"/>
      <c r="AG171" s="109"/>
      <c r="AH171" s="109"/>
      <c r="AI171" s="109"/>
      <c r="AJ171" s="109"/>
      <c r="AK171" s="109"/>
      <c r="AL171" s="109"/>
      <c r="AM171" s="109"/>
      <c r="AN171" s="110"/>
      <c r="AO171" s="110"/>
      <c r="AP171" s="111"/>
      <c r="AQ171" s="112"/>
      <c r="AR171" s="112"/>
      <c r="AS171" s="112"/>
      <c r="AT171" s="112"/>
      <c r="AU171" s="112"/>
      <c r="AV171" s="112"/>
      <c r="AW171" s="112"/>
      <c r="AX171" s="112"/>
      <c r="AY171" s="112"/>
      <c r="AZ171" s="112"/>
      <c r="BA171" s="112"/>
      <c r="BB171" s="112"/>
      <c r="BC171" s="112"/>
      <c r="BD171" s="112"/>
      <c r="BE171" s="112"/>
    </row>
    <row r="172" spans="2:57" x14ac:dyDescent="0.35">
      <c r="B172" s="59"/>
      <c r="C172" s="59"/>
      <c r="D172" s="104"/>
      <c r="E172" s="105"/>
      <c r="F172" s="105"/>
      <c r="G172" s="105"/>
      <c r="H172" s="68"/>
      <c r="I172" s="106"/>
      <c r="J172" s="107"/>
      <c r="K172" s="108"/>
      <c r="L172" s="108"/>
      <c r="M172" s="108"/>
      <c r="N172" s="108"/>
      <c r="O172" s="108"/>
      <c r="P172" s="108"/>
      <c r="Q172" s="108"/>
      <c r="R172" s="108"/>
      <c r="S172" s="108"/>
      <c r="T172" s="108"/>
      <c r="U172" s="108"/>
      <c r="V172" s="108"/>
      <c r="W172" s="108"/>
      <c r="X172" s="108"/>
      <c r="Y172" s="108"/>
      <c r="Z172" s="109"/>
      <c r="AA172" s="109"/>
      <c r="AB172" s="109"/>
      <c r="AC172" s="109"/>
      <c r="AD172" s="109"/>
      <c r="AE172" s="109"/>
      <c r="AF172" s="109"/>
      <c r="AG172" s="109"/>
      <c r="AH172" s="109"/>
      <c r="AI172" s="109"/>
      <c r="AJ172" s="109"/>
      <c r="AK172" s="109"/>
      <c r="AL172" s="109"/>
      <c r="AM172" s="109"/>
      <c r="AN172" s="110"/>
      <c r="AO172" s="110"/>
      <c r="AP172" s="111"/>
      <c r="AQ172" s="112"/>
      <c r="AR172" s="112"/>
      <c r="AS172" s="112"/>
      <c r="AT172" s="112"/>
      <c r="AU172" s="112"/>
      <c r="AV172" s="112"/>
      <c r="AW172" s="112"/>
      <c r="AX172" s="112"/>
      <c r="AY172" s="112"/>
      <c r="AZ172" s="112"/>
      <c r="BA172" s="112"/>
      <c r="BB172" s="112"/>
      <c r="BC172" s="112"/>
      <c r="BD172" s="112"/>
      <c r="BE172" s="112"/>
    </row>
    <row r="173" spans="2:57" x14ac:dyDescent="0.35">
      <c r="B173" s="59"/>
      <c r="C173" s="59"/>
      <c r="D173" s="104"/>
      <c r="E173" s="105"/>
      <c r="F173" s="105"/>
      <c r="G173" s="105"/>
      <c r="H173" s="68"/>
      <c r="I173" s="106"/>
      <c r="J173" s="107"/>
      <c r="K173" s="108"/>
      <c r="L173" s="108"/>
      <c r="M173" s="108"/>
      <c r="N173" s="108"/>
      <c r="O173" s="108"/>
      <c r="P173" s="108"/>
      <c r="Q173" s="108"/>
      <c r="R173" s="108"/>
      <c r="S173" s="108"/>
      <c r="T173" s="108"/>
      <c r="U173" s="108"/>
      <c r="V173" s="108"/>
      <c r="W173" s="108"/>
      <c r="X173" s="108"/>
      <c r="Y173" s="108"/>
      <c r="Z173" s="109"/>
      <c r="AA173" s="109"/>
      <c r="AB173" s="109"/>
      <c r="AC173" s="109"/>
      <c r="AD173" s="109"/>
      <c r="AE173" s="109"/>
      <c r="AF173" s="109"/>
      <c r="AG173" s="109"/>
      <c r="AH173" s="109"/>
      <c r="AI173" s="109"/>
      <c r="AJ173" s="109"/>
      <c r="AK173" s="109"/>
      <c r="AL173" s="109"/>
      <c r="AM173" s="109"/>
      <c r="AN173" s="110"/>
      <c r="AO173" s="110"/>
      <c r="AP173" s="111"/>
      <c r="AQ173" s="112"/>
      <c r="AR173" s="112"/>
      <c r="AS173" s="112"/>
      <c r="AT173" s="112"/>
      <c r="AU173" s="112"/>
      <c r="AV173" s="112"/>
      <c r="AW173" s="112"/>
      <c r="AX173" s="112"/>
      <c r="AY173" s="112"/>
      <c r="AZ173" s="112"/>
      <c r="BA173" s="112"/>
      <c r="BB173" s="112"/>
      <c r="BC173" s="112"/>
      <c r="BD173" s="112"/>
      <c r="BE173" s="112"/>
    </row>
    <row r="174" spans="2:57" x14ac:dyDescent="0.35">
      <c r="B174" s="59"/>
      <c r="C174" s="59"/>
      <c r="D174" s="104"/>
      <c r="E174" s="105"/>
      <c r="F174" s="105"/>
      <c r="G174" s="105"/>
      <c r="H174" s="68"/>
      <c r="I174" s="106"/>
      <c r="J174" s="107"/>
      <c r="K174" s="108"/>
      <c r="L174" s="108"/>
      <c r="M174" s="108"/>
      <c r="N174" s="108"/>
      <c r="O174" s="108"/>
      <c r="P174" s="108"/>
      <c r="Q174" s="108"/>
      <c r="R174" s="108"/>
      <c r="S174" s="108"/>
      <c r="T174" s="108"/>
      <c r="U174" s="108"/>
      <c r="V174" s="108"/>
      <c r="W174" s="108"/>
      <c r="X174" s="108"/>
      <c r="Y174" s="108"/>
      <c r="Z174" s="109"/>
      <c r="AA174" s="109"/>
      <c r="AB174" s="109"/>
      <c r="AC174" s="109"/>
      <c r="AD174" s="109"/>
      <c r="AE174" s="109"/>
      <c r="AF174" s="109"/>
      <c r="AG174" s="109"/>
      <c r="AH174" s="109"/>
      <c r="AI174" s="109"/>
      <c r="AJ174" s="109"/>
      <c r="AK174" s="109"/>
      <c r="AL174" s="109"/>
      <c r="AM174" s="109"/>
      <c r="AN174" s="110"/>
      <c r="AO174" s="110"/>
      <c r="AP174" s="111"/>
      <c r="AQ174" s="112"/>
      <c r="AR174" s="112"/>
      <c r="AS174" s="112"/>
      <c r="AT174" s="112"/>
      <c r="AU174" s="112"/>
      <c r="AV174" s="112"/>
      <c r="AW174" s="112"/>
      <c r="AX174" s="112"/>
      <c r="AY174" s="112"/>
      <c r="AZ174" s="112"/>
      <c r="BA174" s="112"/>
      <c r="BB174" s="112"/>
      <c r="BC174" s="112"/>
      <c r="BD174" s="112"/>
      <c r="BE174" s="112"/>
    </row>
    <row r="175" spans="2:57" x14ac:dyDescent="0.35">
      <c r="B175" s="59"/>
      <c r="C175" s="59"/>
      <c r="D175" s="104"/>
      <c r="E175" s="105"/>
      <c r="F175" s="105"/>
      <c r="G175" s="105"/>
      <c r="H175" s="68"/>
      <c r="I175" s="106"/>
      <c r="J175" s="107"/>
      <c r="K175" s="108"/>
      <c r="L175" s="108"/>
      <c r="M175" s="108"/>
      <c r="N175" s="108"/>
      <c r="O175" s="108"/>
      <c r="P175" s="108"/>
      <c r="Q175" s="108"/>
      <c r="R175" s="108"/>
      <c r="S175" s="108"/>
      <c r="T175" s="108"/>
      <c r="U175" s="108"/>
      <c r="V175" s="108"/>
      <c r="W175" s="108"/>
      <c r="X175" s="108"/>
      <c r="Y175" s="108"/>
      <c r="Z175" s="109"/>
      <c r="AA175" s="109"/>
      <c r="AB175" s="109"/>
      <c r="AC175" s="109"/>
      <c r="AD175" s="109"/>
      <c r="AE175" s="109"/>
      <c r="AF175" s="109"/>
      <c r="AG175" s="109"/>
      <c r="AH175" s="109"/>
      <c r="AI175" s="109"/>
      <c r="AJ175" s="109"/>
      <c r="AK175" s="109"/>
      <c r="AL175" s="109"/>
      <c r="AM175" s="109"/>
      <c r="AN175" s="110"/>
      <c r="AO175" s="110"/>
      <c r="AP175" s="111"/>
      <c r="AQ175" s="112"/>
      <c r="AR175" s="112"/>
      <c r="AS175" s="112"/>
      <c r="AT175" s="112"/>
      <c r="AU175" s="112"/>
      <c r="AV175" s="112"/>
      <c r="AW175" s="112"/>
      <c r="AX175" s="112"/>
      <c r="AY175" s="112"/>
      <c r="AZ175" s="112"/>
      <c r="BA175" s="112"/>
      <c r="BB175" s="112"/>
      <c r="BC175" s="112"/>
      <c r="BD175" s="112"/>
      <c r="BE175" s="112"/>
    </row>
    <row r="176" spans="2:57" x14ac:dyDescent="0.35">
      <c r="B176" s="59"/>
      <c r="C176" s="59"/>
      <c r="D176" s="104"/>
      <c r="E176" s="105"/>
      <c r="F176" s="105"/>
      <c r="G176" s="105"/>
      <c r="H176" s="68"/>
      <c r="I176" s="106"/>
      <c r="J176" s="107"/>
      <c r="K176" s="108"/>
      <c r="L176" s="108"/>
      <c r="M176" s="108"/>
      <c r="N176" s="108"/>
      <c r="O176" s="108"/>
      <c r="P176" s="108"/>
      <c r="Q176" s="108"/>
      <c r="R176" s="108"/>
      <c r="S176" s="108"/>
      <c r="T176" s="108"/>
      <c r="U176" s="108"/>
      <c r="V176" s="108"/>
      <c r="W176" s="108"/>
      <c r="X176" s="108"/>
      <c r="Y176" s="108"/>
      <c r="Z176" s="109"/>
      <c r="AA176" s="109"/>
      <c r="AB176" s="109"/>
      <c r="AC176" s="109"/>
      <c r="AD176" s="109"/>
      <c r="AE176" s="109"/>
      <c r="AF176" s="109"/>
      <c r="AG176" s="109"/>
      <c r="AH176" s="109"/>
      <c r="AI176" s="109"/>
      <c r="AJ176" s="109"/>
      <c r="AK176" s="109"/>
      <c r="AL176" s="109"/>
      <c r="AM176" s="109"/>
      <c r="AN176" s="110"/>
      <c r="AO176" s="110"/>
      <c r="AP176" s="111"/>
      <c r="AQ176" s="112"/>
      <c r="AR176" s="112"/>
      <c r="AS176" s="112"/>
      <c r="AT176" s="112"/>
      <c r="AU176" s="112"/>
      <c r="AV176" s="112"/>
      <c r="AW176" s="112"/>
      <c r="AX176" s="112"/>
      <c r="AY176" s="112"/>
      <c r="AZ176" s="112"/>
      <c r="BA176" s="112"/>
      <c r="BB176" s="112"/>
      <c r="BC176" s="112"/>
      <c r="BD176" s="112"/>
      <c r="BE176" s="112"/>
    </row>
    <row r="177" spans="2:57" x14ac:dyDescent="0.35">
      <c r="B177" s="59"/>
      <c r="C177" s="59"/>
      <c r="D177" s="104"/>
      <c r="E177" s="105"/>
      <c r="F177" s="105"/>
      <c r="G177" s="105"/>
      <c r="H177" s="68"/>
      <c r="I177" s="106"/>
      <c r="J177" s="107"/>
      <c r="K177" s="108"/>
      <c r="L177" s="108"/>
      <c r="M177" s="108"/>
      <c r="N177" s="108"/>
      <c r="O177" s="108"/>
      <c r="P177" s="108"/>
      <c r="Q177" s="108"/>
      <c r="R177" s="108"/>
      <c r="S177" s="108"/>
      <c r="T177" s="108"/>
      <c r="U177" s="108"/>
      <c r="V177" s="108"/>
      <c r="W177" s="108"/>
      <c r="X177" s="108"/>
      <c r="Y177" s="108"/>
      <c r="Z177" s="109"/>
      <c r="AA177" s="109"/>
      <c r="AB177" s="109"/>
      <c r="AC177" s="109"/>
      <c r="AD177" s="109"/>
      <c r="AE177" s="109"/>
      <c r="AF177" s="109"/>
      <c r="AG177" s="109"/>
      <c r="AH177" s="109"/>
      <c r="AI177" s="109"/>
      <c r="AJ177" s="109"/>
      <c r="AK177" s="109"/>
      <c r="AL177" s="109"/>
      <c r="AM177" s="109"/>
      <c r="AN177" s="110"/>
      <c r="AO177" s="110"/>
      <c r="AP177" s="111"/>
      <c r="AQ177" s="112"/>
      <c r="AR177" s="112"/>
      <c r="AS177" s="112"/>
      <c r="AT177" s="112"/>
      <c r="AU177" s="112"/>
      <c r="AV177" s="112"/>
      <c r="AW177" s="112"/>
      <c r="AX177" s="112"/>
      <c r="AY177" s="112"/>
      <c r="AZ177" s="112"/>
      <c r="BA177" s="112"/>
      <c r="BB177" s="112"/>
      <c r="BC177" s="112"/>
      <c r="BD177" s="112"/>
      <c r="BE177" s="112"/>
    </row>
    <row r="178" spans="2:57" x14ac:dyDescent="0.35">
      <c r="B178" s="59"/>
      <c r="C178" s="59"/>
      <c r="D178" s="104"/>
      <c r="E178" s="105"/>
      <c r="F178" s="105"/>
      <c r="G178" s="105"/>
      <c r="H178" s="68"/>
      <c r="I178" s="106"/>
      <c r="J178" s="107"/>
      <c r="K178" s="108"/>
      <c r="L178" s="108"/>
      <c r="M178" s="108"/>
      <c r="N178" s="108"/>
      <c r="O178" s="108"/>
      <c r="P178" s="108"/>
      <c r="Q178" s="108"/>
      <c r="R178" s="108"/>
      <c r="S178" s="108"/>
      <c r="T178" s="108"/>
      <c r="U178" s="108"/>
      <c r="V178" s="108"/>
      <c r="W178" s="108"/>
      <c r="X178" s="108"/>
      <c r="Y178" s="108"/>
      <c r="Z178" s="109"/>
      <c r="AA178" s="109"/>
      <c r="AB178" s="109"/>
      <c r="AC178" s="109"/>
      <c r="AD178" s="109"/>
      <c r="AE178" s="109"/>
      <c r="AF178" s="109"/>
      <c r="AG178" s="109"/>
      <c r="AH178" s="109"/>
      <c r="AI178" s="109"/>
      <c r="AJ178" s="109"/>
      <c r="AK178" s="109"/>
      <c r="AL178" s="109"/>
      <c r="AM178" s="109"/>
      <c r="AN178" s="110"/>
      <c r="AO178" s="110"/>
      <c r="AP178" s="111"/>
      <c r="AQ178" s="112"/>
      <c r="AR178" s="112"/>
      <c r="AS178" s="112"/>
      <c r="AT178" s="112"/>
      <c r="AU178" s="112"/>
      <c r="AV178" s="112"/>
      <c r="AW178" s="112"/>
      <c r="AX178" s="112"/>
      <c r="AY178" s="112"/>
      <c r="AZ178" s="112"/>
      <c r="BA178" s="112"/>
      <c r="BB178" s="112"/>
      <c r="BC178" s="112"/>
      <c r="BD178" s="112"/>
      <c r="BE178" s="112"/>
    </row>
    <row r="179" spans="2:57" x14ac:dyDescent="0.35">
      <c r="B179" s="59"/>
      <c r="C179" s="59"/>
      <c r="D179" s="104"/>
      <c r="E179" s="105"/>
      <c r="F179" s="105"/>
      <c r="G179" s="105"/>
      <c r="H179" s="68"/>
      <c r="I179" s="106"/>
      <c r="J179" s="107"/>
      <c r="K179" s="108"/>
      <c r="L179" s="108"/>
      <c r="M179" s="108"/>
      <c r="N179" s="108"/>
      <c r="O179" s="108"/>
      <c r="P179" s="108"/>
      <c r="Q179" s="108"/>
      <c r="R179" s="108"/>
      <c r="S179" s="108"/>
      <c r="T179" s="108"/>
      <c r="U179" s="108"/>
      <c r="V179" s="108"/>
      <c r="W179" s="108"/>
      <c r="X179" s="108"/>
      <c r="Y179" s="108"/>
      <c r="Z179" s="109"/>
      <c r="AA179" s="109"/>
      <c r="AB179" s="109"/>
      <c r="AC179" s="109"/>
      <c r="AD179" s="109"/>
      <c r="AE179" s="109"/>
      <c r="AF179" s="109"/>
      <c r="AG179" s="109"/>
      <c r="AH179" s="109"/>
      <c r="AI179" s="109"/>
      <c r="AJ179" s="109"/>
      <c r="AK179" s="109"/>
      <c r="AL179" s="109"/>
      <c r="AM179" s="109"/>
      <c r="AN179" s="110"/>
      <c r="AO179" s="110"/>
      <c r="AP179" s="111"/>
      <c r="AQ179" s="112"/>
      <c r="AR179" s="112"/>
      <c r="AS179" s="112"/>
      <c r="AT179" s="112"/>
      <c r="AU179" s="112"/>
      <c r="AV179" s="112"/>
      <c r="AW179" s="112"/>
      <c r="AX179" s="112"/>
      <c r="AY179" s="112"/>
      <c r="AZ179" s="112"/>
      <c r="BA179" s="112"/>
      <c r="BB179" s="112"/>
      <c r="BC179" s="112"/>
      <c r="BD179" s="112"/>
      <c r="BE179" s="112"/>
    </row>
    <row r="180" spans="2:57" x14ac:dyDescent="0.35">
      <c r="B180" s="59"/>
      <c r="C180" s="59"/>
      <c r="D180" s="104"/>
      <c r="E180" s="105"/>
      <c r="F180" s="105"/>
      <c r="G180" s="105"/>
      <c r="H180" s="68"/>
      <c r="I180" s="106"/>
      <c r="J180" s="107"/>
      <c r="K180" s="108"/>
      <c r="L180" s="108"/>
      <c r="M180" s="108"/>
      <c r="N180" s="108"/>
      <c r="O180" s="108"/>
      <c r="P180" s="108"/>
      <c r="Q180" s="108"/>
      <c r="R180" s="108"/>
      <c r="S180" s="108"/>
      <c r="T180" s="108"/>
      <c r="U180" s="108"/>
      <c r="V180" s="108"/>
      <c r="W180" s="108"/>
      <c r="X180" s="108"/>
      <c r="Y180" s="108"/>
      <c r="Z180" s="109"/>
      <c r="AA180" s="109"/>
      <c r="AB180" s="109"/>
      <c r="AC180" s="109"/>
      <c r="AD180" s="109"/>
      <c r="AE180" s="109"/>
      <c r="AF180" s="109"/>
      <c r="AG180" s="109"/>
      <c r="AH180" s="109"/>
      <c r="AI180" s="109"/>
      <c r="AJ180" s="109"/>
      <c r="AK180" s="109"/>
      <c r="AL180" s="109"/>
      <c r="AM180" s="109"/>
      <c r="AN180" s="110"/>
      <c r="AO180" s="110"/>
      <c r="AP180" s="111"/>
      <c r="AQ180" s="112"/>
      <c r="AR180" s="112"/>
      <c r="AS180" s="112"/>
      <c r="AT180" s="112"/>
      <c r="AU180" s="112"/>
      <c r="AV180" s="112"/>
      <c r="AW180" s="112"/>
      <c r="AX180" s="112"/>
      <c r="AY180" s="112"/>
      <c r="AZ180" s="112"/>
      <c r="BA180" s="112"/>
      <c r="BB180" s="112"/>
      <c r="BC180" s="112"/>
      <c r="BD180" s="112"/>
      <c r="BE180" s="112"/>
    </row>
    <row r="181" spans="2:57" x14ac:dyDescent="0.35">
      <c r="B181" s="59"/>
      <c r="C181" s="59"/>
      <c r="D181" s="104"/>
      <c r="E181" s="105"/>
      <c r="F181" s="105"/>
      <c r="G181" s="105"/>
      <c r="H181" s="68"/>
      <c r="I181" s="106"/>
      <c r="J181" s="107"/>
      <c r="K181" s="108"/>
      <c r="L181" s="108"/>
      <c r="M181" s="108"/>
      <c r="N181" s="108"/>
      <c r="O181" s="108"/>
      <c r="P181" s="108"/>
      <c r="Q181" s="108"/>
      <c r="R181" s="108"/>
      <c r="S181" s="108"/>
      <c r="T181" s="108"/>
      <c r="U181" s="108"/>
      <c r="V181" s="108"/>
      <c r="W181" s="108"/>
      <c r="X181" s="108"/>
      <c r="Y181" s="108"/>
      <c r="Z181" s="109"/>
      <c r="AA181" s="109"/>
      <c r="AB181" s="109"/>
      <c r="AC181" s="109"/>
      <c r="AD181" s="109"/>
      <c r="AE181" s="109"/>
      <c r="AF181" s="109"/>
      <c r="AG181" s="109"/>
      <c r="AH181" s="109"/>
      <c r="AI181" s="109"/>
      <c r="AJ181" s="109"/>
      <c r="AK181" s="109"/>
      <c r="AL181" s="109"/>
      <c r="AM181" s="109"/>
      <c r="AN181" s="110"/>
      <c r="AO181" s="110"/>
      <c r="AP181" s="111"/>
      <c r="AQ181" s="112"/>
      <c r="AR181" s="112"/>
      <c r="AS181" s="112"/>
      <c r="AT181" s="112"/>
      <c r="AU181" s="112"/>
      <c r="AV181" s="112"/>
      <c r="AW181" s="112"/>
      <c r="AX181" s="112"/>
      <c r="AY181" s="112"/>
      <c r="AZ181" s="112"/>
      <c r="BA181" s="112"/>
      <c r="BB181" s="112"/>
      <c r="BC181" s="112"/>
      <c r="BD181" s="112"/>
      <c r="BE181" s="112"/>
    </row>
    <row r="182" spans="2:57" x14ac:dyDescent="0.35">
      <c r="B182" s="59"/>
      <c r="C182" s="59"/>
      <c r="D182" s="104"/>
      <c r="E182" s="105"/>
      <c r="F182" s="105"/>
      <c r="G182" s="105"/>
      <c r="H182" s="68"/>
      <c r="I182" s="106"/>
      <c r="J182" s="107"/>
      <c r="K182" s="108"/>
      <c r="L182" s="108"/>
      <c r="M182" s="108"/>
      <c r="N182" s="108"/>
      <c r="O182" s="108"/>
      <c r="P182" s="108"/>
      <c r="Q182" s="108"/>
      <c r="R182" s="108"/>
      <c r="S182" s="108"/>
      <c r="T182" s="108"/>
      <c r="U182" s="108"/>
      <c r="V182" s="108"/>
      <c r="W182" s="108"/>
      <c r="X182" s="108"/>
      <c r="Y182" s="108"/>
      <c r="Z182" s="109"/>
      <c r="AA182" s="109"/>
      <c r="AB182" s="109"/>
      <c r="AC182" s="109"/>
      <c r="AD182" s="109"/>
      <c r="AE182" s="109"/>
      <c r="AF182" s="109"/>
      <c r="AG182" s="109"/>
      <c r="AH182" s="109"/>
      <c r="AI182" s="109"/>
      <c r="AJ182" s="109"/>
      <c r="AK182" s="109"/>
      <c r="AL182" s="109"/>
      <c r="AM182" s="109"/>
      <c r="AN182" s="110"/>
      <c r="AO182" s="110"/>
      <c r="AP182" s="111"/>
      <c r="AQ182" s="112"/>
      <c r="AR182" s="112"/>
      <c r="AS182" s="112"/>
      <c r="AT182" s="112"/>
      <c r="AU182" s="112"/>
      <c r="AV182" s="112"/>
      <c r="AW182" s="112"/>
      <c r="AX182" s="112"/>
      <c r="AY182" s="112"/>
      <c r="AZ182" s="112"/>
      <c r="BA182" s="112"/>
      <c r="BB182" s="112"/>
      <c r="BC182" s="112"/>
      <c r="BD182" s="112"/>
      <c r="BE182" s="112"/>
    </row>
    <row r="183" spans="2:57" x14ac:dyDescent="0.35">
      <c r="B183" s="59"/>
      <c r="C183" s="59"/>
      <c r="D183" s="104"/>
      <c r="E183" s="105"/>
      <c r="F183" s="105"/>
      <c r="G183" s="105"/>
      <c r="H183" s="68"/>
      <c r="I183" s="106"/>
      <c r="J183" s="107"/>
      <c r="K183" s="108"/>
      <c r="L183" s="108"/>
      <c r="M183" s="108"/>
      <c r="N183" s="108"/>
      <c r="O183" s="108"/>
      <c r="P183" s="108"/>
      <c r="Q183" s="108"/>
      <c r="R183" s="108"/>
      <c r="S183" s="108"/>
      <c r="T183" s="108"/>
      <c r="U183" s="108"/>
      <c r="V183" s="108"/>
      <c r="W183" s="108"/>
      <c r="X183" s="108"/>
      <c r="Y183" s="108"/>
      <c r="Z183" s="109"/>
      <c r="AA183" s="109"/>
      <c r="AB183" s="109"/>
      <c r="AC183" s="109"/>
      <c r="AD183" s="109"/>
      <c r="AE183" s="109"/>
      <c r="AF183" s="109"/>
      <c r="AG183" s="109"/>
      <c r="AH183" s="109"/>
      <c r="AI183" s="109"/>
      <c r="AJ183" s="109"/>
      <c r="AK183" s="109"/>
      <c r="AL183" s="109"/>
      <c r="AM183" s="109"/>
      <c r="AN183" s="110"/>
      <c r="AO183" s="110"/>
      <c r="AP183" s="111"/>
      <c r="AQ183" s="112"/>
      <c r="AR183" s="112"/>
      <c r="AS183" s="112"/>
      <c r="AT183" s="112"/>
      <c r="AU183" s="112"/>
      <c r="AV183" s="112"/>
      <c r="AW183" s="112"/>
      <c r="AX183" s="112"/>
      <c r="AY183" s="112"/>
      <c r="AZ183" s="112"/>
      <c r="BA183" s="112"/>
      <c r="BB183" s="112"/>
      <c r="BC183" s="112"/>
      <c r="BD183" s="112"/>
      <c r="BE183" s="112"/>
    </row>
    <row r="184" spans="2:57" x14ac:dyDescent="0.35">
      <c r="B184" s="59"/>
      <c r="C184" s="59"/>
      <c r="D184" s="104"/>
      <c r="E184" s="105"/>
      <c r="F184" s="105"/>
      <c r="G184" s="105"/>
      <c r="H184" s="68"/>
      <c r="I184" s="106"/>
      <c r="J184" s="107"/>
      <c r="K184" s="108"/>
      <c r="L184" s="108"/>
      <c r="M184" s="108"/>
      <c r="N184" s="108"/>
      <c r="O184" s="108"/>
      <c r="P184" s="108"/>
      <c r="Q184" s="108"/>
      <c r="R184" s="108"/>
      <c r="S184" s="108"/>
      <c r="T184" s="108"/>
      <c r="U184" s="108"/>
      <c r="V184" s="108"/>
      <c r="W184" s="108"/>
      <c r="X184" s="108"/>
      <c r="Y184" s="108"/>
      <c r="Z184" s="109"/>
      <c r="AA184" s="109"/>
      <c r="AB184" s="109"/>
      <c r="AC184" s="109"/>
      <c r="AD184" s="109"/>
      <c r="AE184" s="109"/>
      <c r="AF184" s="109"/>
      <c r="AG184" s="109"/>
      <c r="AH184" s="109"/>
      <c r="AI184" s="109"/>
      <c r="AJ184" s="109"/>
      <c r="AK184" s="109"/>
      <c r="AL184" s="109"/>
      <c r="AM184" s="109"/>
      <c r="AN184" s="110"/>
      <c r="AO184" s="110"/>
      <c r="AP184" s="111"/>
      <c r="AQ184" s="112"/>
      <c r="AR184" s="112"/>
      <c r="AS184" s="112"/>
      <c r="AT184" s="112"/>
      <c r="AU184" s="112"/>
      <c r="AV184" s="112"/>
      <c r="AW184" s="112"/>
      <c r="AX184" s="112"/>
      <c r="AY184" s="112"/>
      <c r="AZ184" s="112"/>
      <c r="BA184" s="112"/>
      <c r="BB184" s="112"/>
      <c r="BC184" s="112"/>
      <c r="BD184" s="112"/>
      <c r="BE184" s="112"/>
    </row>
    <row r="185" spans="2:57" x14ac:dyDescent="0.35">
      <c r="B185" s="59"/>
      <c r="C185" s="59"/>
      <c r="D185" s="104"/>
      <c r="E185" s="105"/>
      <c r="F185" s="105"/>
      <c r="G185" s="105"/>
      <c r="H185" s="68"/>
      <c r="I185" s="106"/>
      <c r="J185" s="107"/>
      <c r="K185" s="108"/>
      <c r="L185" s="108"/>
      <c r="M185" s="108"/>
      <c r="N185" s="108"/>
      <c r="O185" s="108"/>
      <c r="P185" s="108"/>
      <c r="Q185" s="108"/>
      <c r="R185" s="108"/>
      <c r="S185" s="108"/>
      <c r="T185" s="108"/>
      <c r="U185" s="108"/>
      <c r="V185" s="108"/>
      <c r="W185" s="108"/>
      <c r="X185" s="108"/>
      <c r="Y185" s="108"/>
      <c r="Z185" s="109"/>
      <c r="AA185" s="109"/>
      <c r="AB185" s="109"/>
      <c r="AC185" s="109"/>
      <c r="AD185" s="109"/>
      <c r="AE185" s="109"/>
      <c r="AF185" s="109"/>
      <c r="AG185" s="109"/>
      <c r="AH185" s="109"/>
      <c r="AI185" s="109"/>
      <c r="AJ185" s="109"/>
      <c r="AK185" s="109"/>
      <c r="AL185" s="109"/>
      <c r="AM185" s="109"/>
      <c r="AN185" s="110"/>
      <c r="AO185" s="110"/>
      <c r="AP185" s="111"/>
      <c r="AQ185" s="112"/>
      <c r="AR185" s="112"/>
      <c r="AS185" s="112"/>
      <c r="AT185" s="112"/>
      <c r="AU185" s="112"/>
      <c r="AV185" s="112"/>
      <c r="AW185" s="112"/>
      <c r="AX185" s="112"/>
      <c r="AY185" s="112"/>
      <c r="AZ185" s="112"/>
      <c r="BA185" s="112"/>
      <c r="BB185" s="112"/>
      <c r="BC185" s="112"/>
      <c r="BD185" s="112"/>
      <c r="BE185" s="112"/>
    </row>
    <row r="186" spans="2:57" x14ac:dyDescent="0.35">
      <c r="B186" s="59"/>
      <c r="C186" s="59"/>
      <c r="D186" s="104"/>
      <c r="E186" s="105"/>
      <c r="F186" s="105"/>
      <c r="G186" s="105"/>
      <c r="H186" s="68"/>
      <c r="I186" s="106"/>
      <c r="J186" s="107"/>
      <c r="K186" s="108"/>
      <c r="L186" s="108"/>
      <c r="M186" s="108"/>
      <c r="N186" s="108"/>
      <c r="O186" s="108"/>
      <c r="P186" s="108"/>
      <c r="Q186" s="108"/>
      <c r="R186" s="108"/>
      <c r="S186" s="108"/>
      <c r="T186" s="108"/>
      <c r="U186" s="108"/>
      <c r="V186" s="108"/>
      <c r="W186" s="108"/>
      <c r="X186" s="108"/>
      <c r="Y186" s="108"/>
      <c r="Z186" s="109"/>
      <c r="AA186" s="109"/>
      <c r="AB186" s="109"/>
      <c r="AC186" s="109"/>
      <c r="AD186" s="109"/>
      <c r="AE186" s="109"/>
      <c r="AF186" s="109"/>
      <c r="AG186" s="109"/>
      <c r="AH186" s="109"/>
      <c r="AI186" s="109"/>
      <c r="AJ186" s="109"/>
      <c r="AK186" s="109"/>
      <c r="AL186" s="109"/>
      <c r="AM186" s="109"/>
      <c r="AN186" s="110"/>
      <c r="AO186" s="110"/>
      <c r="AP186" s="111"/>
      <c r="AQ186" s="112"/>
      <c r="AR186" s="112"/>
      <c r="AS186" s="112"/>
      <c r="AT186" s="112"/>
      <c r="AU186" s="112"/>
      <c r="AV186" s="112"/>
      <c r="AW186" s="112"/>
      <c r="AX186" s="112"/>
      <c r="AY186" s="112"/>
      <c r="AZ186" s="112"/>
      <c r="BA186" s="112"/>
      <c r="BB186" s="112"/>
      <c r="BC186" s="112"/>
      <c r="BD186" s="112"/>
      <c r="BE186" s="112"/>
    </row>
    <row r="187" spans="2:57" x14ac:dyDescent="0.35">
      <c r="B187" s="59"/>
      <c r="C187" s="59"/>
      <c r="D187" s="104"/>
      <c r="E187" s="105"/>
      <c r="F187" s="105"/>
      <c r="G187" s="105"/>
      <c r="H187" s="68"/>
      <c r="I187" s="106"/>
      <c r="J187" s="107"/>
      <c r="K187" s="108"/>
      <c r="L187" s="108"/>
      <c r="M187" s="108"/>
      <c r="N187" s="108"/>
      <c r="O187" s="108"/>
      <c r="P187" s="108"/>
      <c r="Q187" s="108"/>
      <c r="R187" s="108"/>
      <c r="S187" s="108"/>
      <c r="T187" s="108"/>
      <c r="U187" s="108"/>
      <c r="V187" s="108"/>
      <c r="W187" s="108"/>
      <c r="X187" s="108"/>
      <c r="Y187" s="108"/>
      <c r="Z187" s="109"/>
      <c r="AA187" s="109"/>
      <c r="AB187" s="109"/>
      <c r="AC187" s="109"/>
      <c r="AD187" s="109"/>
      <c r="AE187" s="109"/>
      <c r="AF187" s="109"/>
      <c r="AG187" s="109"/>
      <c r="AH187" s="109"/>
      <c r="AI187" s="109"/>
      <c r="AJ187" s="109"/>
      <c r="AK187" s="109"/>
      <c r="AL187" s="109"/>
      <c r="AM187" s="109"/>
      <c r="AN187" s="110"/>
      <c r="AO187" s="110"/>
      <c r="AP187" s="111"/>
      <c r="AQ187" s="112"/>
      <c r="AR187" s="112"/>
      <c r="AS187" s="112"/>
      <c r="AT187" s="112"/>
      <c r="AU187" s="112"/>
      <c r="AV187" s="112"/>
      <c r="AW187" s="112"/>
      <c r="AX187" s="112"/>
      <c r="AY187" s="112"/>
      <c r="AZ187" s="112"/>
      <c r="BA187" s="112"/>
      <c r="BB187" s="112"/>
      <c r="BC187" s="112"/>
      <c r="BD187" s="112"/>
      <c r="BE187" s="112"/>
    </row>
    <row r="188" spans="2:57" x14ac:dyDescent="0.35">
      <c r="B188" s="59"/>
      <c r="C188" s="59"/>
      <c r="D188" s="104"/>
      <c r="E188" s="105"/>
      <c r="F188" s="105"/>
      <c r="G188" s="105"/>
      <c r="H188" s="68"/>
      <c r="I188" s="106"/>
      <c r="J188" s="107"/>
      <c r="K188" s="108"/>
      <c r="L188" s="108"/>
      <c r="M188" s="108"/>
      <c r="N188" s="108"/>
      <c r="O188" s="108"/>
      <c r="P188" s="108"/>
      <c r="Q188" s="108"/>
      <c r="R188" s="108"/>
      <c r="S188" s="108"/>
      <c r="T188" s="108"/>
      <c r="U188" s="108"/>
      <c r="V188" s="108"/>
      <c r="W188" s="108"/>
      <c r="X188" s="108"/>
      <c r="Y188" s="108"/>
      <c r="Z188" s="109"/>
      <c r="AA188" s="109"/>
      <c r="AB188" s="109"/>
      <c r="AC188" s="109"/>
      <c r="AD188" s="109"/>
      <c r="AE188" s="109"/>
      <c r="AF188" s="109"/>
      <c r="AG188" s="109"/>
      <c r="AH188" s="109"/>
      <c r="AI188" s="109"/>
      <c r="AJ188" s="109"/>
      <c r="AK188" s="109"/>
      <c r="AL188" s="109"/>
      <c r="AM188" s="109"/>
      <c r="AN188" s="110"/>
      <c r="AO188" s="110"/>
      <c r="AP188" s="111"/>
      <c r="AQ188" s="112"/>
      <c r="AR188" s="112"/>
      <c r="AS188" s="112"/>
      <c r="AT188" s="112"/>
      <c r="AU188" s="112"/>
      <c r="AV188" s="112"/>
      <c r="AW188" s="112"/>
      <c r="AX188" s="112"/>
      <c r="AY188" s="112"/>
      <c r="AZ188" s="112"/>
      <c r="BA188" s="112"/>
      <c r="BB188" s="112"/>
      <c r="BC188" s="112"/>
      <c r="BD188" s="112"/>
      <c r="BE188" s="112"/>
    </row>
    <row r="189" spans="2:57" x14ac:dyDescent="0.35">
      <c r="B189" s="59"/>
      <c r="C189" s="59"/>
      <c r="D189" s="104"/>
      <c r="E189" s="105"/>
      <c r="F189" s="105"/>
      <c r="G189" s="105"/>
      <c r="H189" s="68"/>
      <c r="I189" s="106"/>
      <c r="J189" s="107"/>
      <c r="K189" s="108"/>
      <c r="L189" s="108"/>
      <c r="M189" s="108"/>
      <c r="N189" s="108"/>
      <c r="O189" s="108"/>
      <c r="P189" s="108"/>
      <c r="Q189" s="108"/>
      <c r="R189" s="108"/>
      <c r="S189" s="108"/>
      <c r="T189" s="108"/>
      <c r="U189" s="108"/>
      <c r="V189" s="108"/>
      <c r="W189" s="108"/>
      <c r="X189" s="108"/>
      <c r="Y189" s="108"/>
      <c r="Z189" s="109"/>
      <c r="AA189" s="109"/>
      <c r="AB189" s="109"/>
      <c r="AC189" s="109"/>
      <c r="AD189" s="109"/>
      <c r="AE189" s="109"/>
      <c r="AF189" s="109"/>
      <c r="AG189" s="109"/>
      <c r="AH189" s="109"/>
      <c r="AI189" s="109"/>
      <c r="AJ189" s="109"/>
      <c r="AK189" s="109"/>
      <c r="AL189" s="109"/>
      <c r="AM189" s="109"/>
      <c r="AN189" s="110"/>
      <c r="AO189" s="110"/>
      <c r="AP189" s="111"/>
      <c r="AQ189" s="112"/>
      <c r="AR189" s="112"/>
      <c r="AS189" s="112"/>
      <c r="AT189" s="112"/>
      <c r="AU189" s="112"/>
      <c r="AV189" s="112"/>
      <c r="AW189" s="112"/>
      <c r="AX189" s="112"/>
      <c r="AY189" s="112"/>
      <c r="AZ189" s="112"/>
      <c r="BA189" s="112"/>
      <c r="BB189" s="112"/>
      <c r="BC189" s="112"/>
      <c r="BD189" s="112"/>
      <c r="BE189" s="112"/>
    </row>
    <row r="190" spans="2:57" x14ac:dyDescent="0.35">
      <c r="B190" s="59"/>
      <c r="C190" s="59"/>
      <c r="D190" s="104"/>
      <c r="E190" s="105"/>
      <c r="F190" s="105"/>
      <c r="G190" s="105"/>
      <c r="H190" s="68"/>
      <c r="I190" s="106"/>
      <c r="J190" s="107"/>
      <c r="K190" s="108"/>
      <c r="L190" s="108"/>
      <c r="M190" s="108"/>
      <c r="N190" s="108"/>
      <c r="O190" s="108"/>
      <c r="P190" s="108"/>
      <c r="Q190" s="108"/>
      <c r="R190" s="108"/>
      <c r="S190" s="108"/>
      <c r="T190" s="108"/>
      <c r="U190" s="108"/>
      <c r="V190" s="108"/>
      <c r="W190" s="108"/>
      <c r="X190" s="108"/>
      <c r="Y190" s="108"/>
      <c r="Z190" s="109"/>
      <c r="AA190" s="109"/>
      <c r="AB190" s="109"/>
      <c r="AC190" s="109"/>
      <c r="AD190" s="109"/>
      <c r="AE190" s="109"/>
      <c r="AF190" s="109"/>
      <c r="AG190" s="109"/>
      <c r="AH190" s="109"/>
      <c r="AI190" s="109"/>
      <c r="AJ190" s="109"/>
      <c r="AK190" s="109"/>
      <c r="AL190" s="109"/>
      <c r="AM190" s="109"/>
      <c r="AN190" s="110"/>
      <c r="AO190" s="110"/>
      <c r="AP190" s="111"/>
      <c r="AQ190" s="112"/>
      <c r="AR190" s="112"/>
      <c r="AS190" s="112"/>
      <c r="AT190" s="112"/>
      <c r="AU190" s="112"/>
      <c r="AV190" s="112"/>
      <c r="AW190" s="112"/>
      <c r="AX190" s="112"/>
      <c r="AY190" s="112"/>
      <c r="AZ190" s="112"/>
      <c r="BA190" s="112"/>
      <c r="BB190" s="112"/>
      <c r="BC190" s="112"/>
      <c r="BD190" s="112"/>
      <c r="BE190" s="112"/>
    </row>
    <row r="191" spans="2:57" x14ac:dyDescent="0.35">
      <c r="B191" s="59"/>
      <c r="C191" s="59"/>
      <c r="D191" s="104"/>
      <c r="E191" s="105"/>
      <c r="F191" s="105"/>
      <c r="G191" s="105"/>
      <c r="H191" s="68"/>
      <c r="I191" s="106"/>
      <c r="J191" s="107"/>
      <c r="K191" s="108"/>
      <c r="L191" s="108"/>
      <c r="M191" s="108"/>
      <c r="N191" s="108"/>
      <c r="O191" s="108"/>
      <c r="P191" s="108"/>
      <c r="Q191" s="108"/>
      <c r="R191" s="108"/>
      <c r="S191" s="108"/>
      <c r="T191" s="108"/>
      <c r="U191" s="108"/>
      <c r="V191" s="108"/>
      <c r="W191" s="108"/>
      <c r="X191" s="108"/>
      <c r="Y191" s="108"/>
      <c r="Z191" s="109"/>
      <c r="AA191" s="109"/>
      <c r="AB191" s="109"/>
      <c r="AC191" s="109"/>
      <c r="AD191" s="109"/>
      <c r="AE191" s="109"/>
      <c r="AF191" s="109"/>
      <c r="AG191" s="109"/>
      <c r="AH191" s="109"/>
      <c r="AI191" s="109"/>
      <c r="AJ191" s="109"/>
      <c r="AK191" s="109"/>
      <c r="AL191" s="109"/>
      <c r="AM191" s="109"/>
      <c r="AN191" s="110"/>
      <c r="AO191" s="110"/>
      <c r="AP191" s="111"/>
      <c r="AQ191" s="112"/>
      <c r="AR191" s="112"/>
      <c r="AS191" s="112"/>
      <c r="AT191" s="112"/>
      <c r="AU191" s="112"/>
      <c r="AV191" s="112"/>
      <c r="AW191" s="112"/>
      <c r="AX191" s="112"/>
      <c r="AY191" s="112"/>
      <c r="AZ191" s="112"/>
      <c r="BA191" s="112"/>
      <c r="BB191" s="112"/>
      <c r="BC191" s="112"/>
      <c r="BD191" s="112"/>
      <c r="BE191" s="112"/>
    </row>
    <row r="192" spans="2:57" x14ac:dyDescent="0.35">
      <c r="B192" s="59"/>
      <c r="C192" s="59"/>
      <c r="D192" s="104"/>
      <c r="E192" s="105"/>
      <c r="F192" s="105"/>
      <c r="G192" s="105"/>
      <c r="H192" s="68"/>
      <c r="I192" s="106"/>
      <c r="J192" s="107"/>
      <c r="K192" s="108"/>
      <c r="L192" s="108"/>
      <c r="M192" s="108"/>
      <c r="N192" s="108"/>
      <c r="O192" s="108"/>
      <c r="P192" s="108"/>
      <c r="Q192" s="108"/>
      <c r="R192" s="108"/>
      <c r="S192" s="108"/>
      <c r="T192" s="108"/>
      <c r="U192" s="108"/>
      <c r="V192" s="108"/>
      <c r="W192" s="108"/>
      <c r="X192" s="108"/>
      <c r="Y192" s="108"/>
      <c r="Z192" s="109"/>
      <c r="AA192" s="109"/>
      <c r="AB192" s="109"/>
      <c r="AC192" s="109"/>
      <c r="AD192" s="109"/>
      <c r="AE192" s="109"/>
      <c r="AF192" s="109"/>
      <c r="AG192" s="109"/>
      <c r="AH192" s="109"/>
      <c r="AI192" s="109"/>
      <c r="AJ192" s="109"/>
      <c r="AK192" s="109"/>
      <c r="AL192" s="109"/>
      <c r="AM192" s="109"/>
      <c r="AN192" s="110"/>
      <c r="AO192" s="110"/>
      <c r="AP192" s="111"/>
      <c r="AQ192" s="112"/>
      <c r="AR192" s="112"/>
      <c r="AS192" s="112"/>
      <c r="AT192" s="112"/>
      <c r="AU192" s="112"/>
      <c r="AV192" s="112"/>
      <c r="AW192" s="112"/>
      <c r="AX192" s="112"/>
      <c r="AY192" s="112"/>
      <c r="AZ192" s="112"/>
      <c r="BA192" s="112"/>
      <c r="BB192" s="112"/>
      <c r="BC192" s="112"/>
      <c r="BD192" s="112"/>
      <c r="BE192" s="112"/>
    </row>
    <row r="193" spans="2:57" x14ac:dyDescent="0.35">
      <c r="B193" s="59"/>
      <c r="C193" s="59"/>
      <c r="D193" s="104"/>
      <c r="E193" s="105"/>
      <c r="F193" s="105"/>
      <c r="G193" s="105"/>
      <c r="H193" s="68"/>
      <c r="I193" s="106"/>
      <c r="J193" s="107"/>
      <c r="K193" s="108"/>
      <c r="L193" s="108"/>
      <c r="M193" s="108"/>
      <c r="N193" s="108"/>
      <c r="O193" s="108"/>
      <c r="P193" s="108"/>
      <c r="Q193" s="108"/>
      <c r="R193" s="108"/>
      <c r="S193" s="108"/>
      <c r="T193" s="108"/>
      <c r="U193" s="108"/>
      <c r="V193" s="108"/>
      <c r="W193" s="108"/>
      <c r="X193" s="108"/>
      <c r="Y193" s="108"/>
      <c r="Z193" s="109"/>
      <c r="AA193" s="109"/>
      <c r="AB193" s="109"/>
      <c r="AC193" s="109"/>
      <c r="AD193" s="109"/>
      <c r="AE193" s="109"/>
      <c r="AF193" s="109"/>
      <c r="AG193" s="109"/>
      <c r="AH193" s="109"/>
      <c r="AI193" s="109"/>
      <c r="AJ193" s="109"/>
      <c r="AK193" s="109"/>
      <c r="AL193" s="109"/>
      <c r="AM193" s="109"/>
      <c r="AN193" s="110"/>
      <c r="AO193" s="110"/>
      <c r="AP193" s="111"/>
      <c r="AQ193" s="112"/>
      <c r="AR193" s="112"/>
      <c r="AS193" s="112"/>
      <c r="AT193" s="112"/>
      <c r="AU193" s="112"/>
      <c r="AV193" s="112"/>
      <c r="AW193" s="112"/>
      <c r="AX193" s="112"/>
      <c r="AY193" s="112"/>
      <c r="AZ193" s="112"/>
      <c r="BA193" s="112"/>
      <c r="BB193" s="112"/>
      <c r="BC193" s="112"/>
      <c r="BD193" s="112"/>
      <c r="BE193" s="112"/>
    </row>
    <row r="194" spans="2:57" x14ac:dyDescent="0.35">
      <c r="B194" s="59"/>
      <c r="C194" s="59"/>
      <c r="D194" s="104"/>
      <c r="E194" s="105"/>
      <c r="F194" s="105"/>
      <c r="G194" s="105"/>
      <c r="H194" s="68"/>
      <c r="I194" s="106"/>
      <c r="J194" s="107"/>
      <c r="K194" s="108"/>
      <c r="L194" s="108"/>
      <c r="M194" s="108"/>
      <c r="N194" s="108"/>
      <c r="O194" s="108"/>
      <c r="P194" s="108"/>
      <c r="Q194" s="108"/>
      <c r="R194" s="108"/>
      <c r="S194" s="108"/>
      <c r="T194" s="108"/>
      <c r="U194" s="108"/>
      <c r="V194" s="108"/>
      <c r="W194" s="108"/>
      <c r="X194" s="108"/>
      <c r="Y194" s="108"/>
      <c r="Z194" s="109"/>
      <c r="AA194" s="109"/>
      <c r="AB194" s="109"/>
      <c r="AC194" s="109"/>
      <c r="AD194" s="109"/>
      <c r="AE194" s="109"/>
      <c r="AF194" s="109"/>
      <c r="AG194" s="109"/>
      <c r="AH194" s="109"/>
      <c r="AI194" s="109"/>
      <c r="AJ194" s="109"/>
      <c r="AK194" s="109"/>
      <c r="AL194" s="109"/>
      <c r="AM194" s="109"/>
      <c r="AN194" s="110"/>
      <c r="AO194" s="110"/>
      <c r="AP194" s="111"/>
      <c r="AQ194" s="112"/>
      <c r="AR194" s="112"/>
      <c r="AS194" s="112"/>
      <c r="AT194" s="112"/>
      <c r="AU194" s="112"/>
      <c r="AV194" s="112"/>
      <c r="AW194" s="112"/>
      <c r="AX194" s="112"/>
      <c r="AY194" s="112"/>
      <c r="AZ194" s="112"/>
      <c r="BA194" s="112"/>
      <c r="BB194" s="112"/>
      <c r="BC194" s="112"/>
      <c r="BD194" s="112"/>
      <c r="BE194" s="112"/>
    </row>
    <row r="195" spans="2:57" x14ac:dyDescent="0.35">
      <c r="B195" s="59"/>
      <c r="C195" s="59"/>
      <c r="D195" s="104"/>
      <c r="E195" s="105"/>
      <c r="F195" s="105"/>
      <c r="G195" s="105"/>
      <c r="H195" s="68"/>
      <c r="I195" s="106"/>
      <c r="J195" s="107"/>
      <c r="K195" s="108"/>
      <c r="L195" s="108"/>
      <c r="M195" s="108"/>
      <c r="N195" s="108"/>
      <c r="O195" s="108"/>
      <c r="P195" s="108"/>
      <c r="Q195" s="108"/>
      <c r="R195" s="108"/>
      <c r="S195" s="108"/>
      <c r="T195" s="108"/>
      <c r="U195" s="108"/>
      <c r="V195" s="108"/>
      <c r="W195" s="108"/>
      <c r="X195" s="108"/>
      <c r="Y195" s="108"/>
      <c r="Z195" s="109"/>
      <c r="AA195" s="109"/>
      <c r="AB195" s="109"/>
      <c r="AC195" s="109"/>
      <c r="AD195" s="109"/>
      <c r="AE195" s="109"/>
      <c r="AF195" s="109"/>
      <c r="AG195" s="109"/>
      <c r="AH195" s="109"/>
      <c r="AI195" s="109"/>
      <c r="AJ195" s="109"/>
      <c r="AK195" s="109"/>
      <c r="AL195" s="109"/>
      <c r="AM195" s="109"/>
      <c r="AN195" s="110"/>
      <c r="AO195" s="110"/>
      <c r="AP195" s="111"/>
      <c r="AQ195" s="112"/>
      <c r="AR195" s="112"/>
      <c r="AS195" s="112"/>
      <c r="AT195" s="112"/>
      <c r="AU195" s="112"/>
      <c r="AV195" s="112"/>
      <c r="AW195" s="112"/>
      <c r="AX195" s="112"/>
      <c r="AY195" s="112"/>
      <c r="AZ195" s="112"/>
      <c r="BA195" s="112"/>
      <c r="BB195" s="112"/>
      <c r="BC195" s="112"/>
      <c r="BD195" s="112"/>
      <c r="BE195" s="112"/>
    </row>
    <row r="196" spans="2:57" x14ac:dyDescent="0.35">
      <c r="B196" s="59"/>
      <c r="C196" s="59"/>
      <c r="D196" s="104"/>
      <c r="E196" s="105"/>
      <c r="F196" s="105"/>
      <c r="G196" s="105"/>
      <c r="H196" s="68"/>
      <c r="I196" s="106"/>
      <c r="J196" s="107"/>
      <c r="K196" s="108"/>
      <c r="L196" s="108"/>
      <c r="M196" s="108"/>
      <c r="N196" s="108"/>
      <c r="O196" s="108"/>
      <c r="P196" s="108"/>
      <c r="Q196" s="108"/>
      <c r="R196" s="108"/>
      <c r="S196" s="108"/>
      <c r="T196" s="108"/>
      <c r="U196" s="108"/>
      <c r="V196" s="108"/>
      <c r="W196" s="108"/>
      <c r="X196" s="108"/>
      <c r="Y196" s="108"/>
      <c r="Z196" s="109"/>
      <c r="AA196" s="109"/>
      <c r="AB196" s="109"/>
      <c r="AC196" s="109"/>
      <c r="AD196" s="109"/>
      <c r="AE196" s="109"/>
      <c r="AF196" s="109"/>
      <c r="AG196" s="109"/>
      <c r="AH196" s="109"/>
      <c r="AI196" s="109"/>
      <c r="AJ196" s="109"/>
      <c r="AK196" s="109"/>
      <c r="AL196" s="109"/>
      <c r="AM196" s="109"/>
      <c r="AN196" s="110"/>
      <c r="AO196" s="110"/>
      <c r="AP196" s="111"/>
      <c r="AQ196" s="112"/>
      <c r="AR196" s="112"/>
      <c r="AS196" s="112"/>
      <c r="AT196" s="112"/>
      <c r="AU196" s="112"/>
      <c r="AV196" s="112"/>
      <c r="AW196" s="112"/>
      <c r="AX196" s="112"/>
      <c r="AY196" s="112"/>
      <c r="AZ196" s="112"/>
      <c r="BA196" s="112"/>
      <c r="BB196" s="112"/>
      <c r="BC196" s="112"/>
      <c r="BD196" s="112"/>
      <c r="BE196" s="112"/>
    </row>
    <row r="197" spans="2:57" x14ac:dyDescent="0.35">
      <c r="B197" s="59"/>
      <c r="C197" s="59"/>
      <c r="D197" s="104"/>
      <c r="E197" s="105"/>
      <c r="F197" s="105"/>
      <c r="G197" s="105"/>
      <c r="H197" s="68"/>
      <c r="I197" s="106"/>
      <c r="J197" s="107"/>
      <c r="K197" s="108"/>
      <c r="L197" s="108"/>
      <c r="M197" s="108"/>
      <c r="N197" s="108"/>
      <c r="O197" s="108"/>
      <c r="P197" s="108"/>
      <c r="Q197" s="108"/>
      <c r="R197" s="108"/>
      <c r="S197" s="108"/>
      <c r="T197" s="108"/>
      <c r="U197" s="108"/>
      <c r="V197" s="108"/>
      <c r="W197" s="108"/>
      <c r="X197" s="108"/>
      <c r="Y197" s="108"/>
      <c r="Z197" s="109"/>
      <c r="AA197" s="109"/>
      <c r="AB197" s="109"/>
      <c r="AC197" s="109"/>
      <c r="AD197" s="109"/>
      <c r="AE197" s="109"/>
      <c r="AF197" s="109"/>
      <c r="AG197" s="109"/>
      <c r="AH197" s="109"/>
      <c r="AI197" s="109"/>
      <c r="AJ197" s="109"/>
      <c r="AK197" s="109"/>
      <c r="AL197" s="109"/>
      <c r="AM197" s="109"/>
      <c r="AN197" s="110"/>
      <c r="AO197" s="110"/>
      <c r="AP197" s="111"/>
      <c r="AQ197" s="112"/>
      <c r="AR197" s="112"/>
      <c r="AS197" s="112"/>
      <c r="AT197" s="112"/>
      <c r="AU197" s="112"/>
      <c r="AV197" s="112"/>
      <c r="AW197" s="112"/>
      <c r="AX197" s="112"/>
      <c r="AY197" s="112"/>
      <c r="AZ197" s="112"/>
      <c r="BA197" s="112"/>
      <c r="BB197" s="112"/>
      <c r="BC197" s="112"/>
      <c r="BD197" s="112"/>
      <c r="BE197" s="112"/>
    </row>
    <row r="198" spans="2:57" x14ac:dyDescent="0.35">
      <c r="B198" s="59"/>
      <c r="C198" s="59"/>
      <c r="D198" s="104"/>
      <c r="E198" s="105"/>
      <c r="F198" s="105"/>
      <c r="G198" s="105"/>
      <c r="H198" s="68"/>
      <c r="I198" s="106"/>
      <c r="J198" s="107"/>
      <c r="K198" s="108"/>
      <c r="L198" s="108"/>
      <c r="M198" s="108"/>
      <c r="N198" s="108"/>
      <c r="O198" s="108"/>
      <c r="P198" s="108"/>
      <c r="Q198" s="108"/>
      <c r="R198" s="108"/>
      <c r="S198" s="108"/>
      <c r="T198" s="108"/>
      <c r="U198" s="108"/>
      <c r="V198" s="108"/>
      <c r="W198" s="108"/>
      <c r="X198" s="108"/>
      <c r="Y198" s="108"/>
      <c r="Z198" s="109"/>
      <c r="AA198" s="109"/>
      <c r="AB198" s="109"/>
      <c r="AC198" s="109"/>
      <c r="AD198" s="109"/>
      <c r="AE198" s="109"/>
      <c r="AF198" s="109"/>
      <c r="AG198" s="109"/>
      <c r="AH198" s="109"/>
      <c r="AI198" s="109"/>
      <c r="AJ198" s="109"/>
      <c r="AK198" s="109"/>
      <c r="AL198" s="109"/>
      <c r="AM198" s="109"/>
      <c r="AN198" s="110"/>
      <c r="AO198" s="110"/>
      <c r="AP198" s="111"/>
      <c r="AQ198" s="112"/>
      <c r="AR198" s="112"/>
      <c r="AS198" s="112"/>
      <c r="AT198" s="112"/>
      <c r="AU198" s="112"/>
      <c r="AV198" s="112"/>
      <c r="AW198" s="112"/>
      <c r="AX198" s="112"/>
      <c r="AY198" s="112"/>
      <c r="AZ198" s="112"/>
      <c r="BA198" s="112"/>
      <c r="BB198" s="112"/>
      <c r="BC198" s="112"/>
      <c r="BD198" s="112"/>
      <c r="BE198" s="112"/>
    </row>
    <row r="199" spans="2:57" x14ac:dyDescent="0.35">
      <c r="B199" s="59"/>
      <c r="C199" s="59"/>
      <c r="D199" s="104"/>
      <c r="E199" s="105"/>
      <c r="F199" s="105"/>
      <c r="G199" s="105"/>
      <c r="H199" s="68"/>
      <c r="I199" s="106"/>
      <c r="J199" s="107"/>
      <c r="K199" s="108"/>
      <c r="L199" s="108"/>
      <c r="M199" s="108"/>
      <c r="N199" s="108"/>
      <c r="O199" s="108"/>
      <c r="P199" s="108"/>
      <c r="Q199" s="108"/>
      <c r="R199" s="108"/>
      <c r="S199" s="108"/>
      <c r="T199" s="108"/>
      <c r="U199" s="108"/>
      <c r="V199" s="108"/>
      <c r="W199" s="108"/>
      <c r="X199" s="108"/>
      <c r="Y199" s="108"/>
      <c r="Z199" s="109"/>
      <c r="AA199" s="109"/>
      <c r="AB199" s="109"/>
      <c r="AC199" s="109"/>
      <c r="AD199" s="109"/>
      <c r="AE199" s="109"/>
      <c r="AF199" s="109"/>
      <c r="AG199" s="109"/>
      <c r="AH199" s="109"/>
      <c r="AI199" s="109"/>
      <c r="AJ199" s="109"/>
      <c r="AK199" s="109"/>
      <c r="AL199" s="109"/>
      <c r="AM199" s="109"/>
      <c r="AN199" s="110"/>
      <c r="AO199" s="110"/>
      <c r="AP199" s="111"/>
      <c r="AQ199" s="112"/>
      <c r="AR199" s="112"/>
      <c r="AS199" s="112"/>
      <c r="AT199" s="112"/>
      <c r="AU199" s="112"/>
      <c r="AV199" s="112"/>
      <c r="AW199" s="112"/>
      <c r="AX199" s="112"/>
      <c r="AY199" s="112"/>
      <c r="AZ199" s="112"/>
      <c r="BA199" s="112"/>
      <c r="BB199" s="112"/>
      <c r="BC199" s="112"/>
      <c r="BD199" s="112"/>
      <c r="BE199" s="112"/>
    </row>
    <row r="200" spans="2:57" x14ac:dyDescent="0.35">
      <c r="B200" s="59"/>
      <c r="C200" s="59"/>
      <c r="D200" s="104"/>
      <c r="E200" s="105"/>
      <c r="F200" s="105"/>
      <c r="G200" s="105"/>
      <c r="H200" s="68"/>
      <c r="I200" s="106"/>
      <c r="J200" s="107"/>
      <c r="K200" s="108"/>
      <c r="L200" s="108"/>
      <c r="M200" s="108"/>
      <c r="N200" s="108"/>
      <c r="O200" s="108"/>
      <c r="P200" s="108"/>
      <c r="Q200" s="108"/>
      <c r="R200" s="108"/>
      <c r="S200" s="108"/>
      <c r="T200" s="108"/>
      <c r="U200" s="108"/>
      <c r="V200" s="108"/>
      <c r="W200" s="108"/>
      <c r="X200" s="108"/>
      <c r="Y200" s="108"/>
      <c r="Z200" s="109"/>
      <c r="AA200" s="109"/>
      <c r="AB200" s="109"/>
      <c r="AC200" s="109"/>
      <c r="AD200" s="109"/>
      <c r="AE200" s="109"/>
      <c r="AF200" s="109"/>
      <c r="AG200" s="109"/>
      <c r="AH200" s="109"/>
      <c r="AI200" s="109"/>
      <c r="AJ200" s="109"/>
      <c r="AK200" s="109"/>
      <c r="AL200" s="109"/>
      <c r="AM200" s="109"/>
      <c r="AN200" s="110"/>
      <c r="AO200" s="110"/>
      <c r="AP200" s="111"/>
      <c r="AQ200" s="112"/>
      <c r="AR200" s="112"/>
      <c r="AS200" s="112"/>
      <c r="AT200" s="112"/>
      <c r="AU200" s="112"/>
      <c r="AV200" s="112"/>
      <c r="AW200" s="112"/>
      <c r="AX200" s="112"/>
      <c r="AY200" s="112"/>
      <c r="AZ200" s="112"/>
      <c r="BA200" s="112"/>
      <c r="BB200" s="112"/>
      <c r="BC200" s="112"/>
      <c r="BD200" s="112"/>
      <c r="BE200" s="112"/>
    </row>
    <row r="201" spans="2:57" x14ac:dyDescent="0.35">
      <c r="B201" s="59"/>
      <c r="C201" s="59"/>
      <c r="D201" s="104"/>
      <c r="E201" s="105"/>
      <c r="F201" s="105"/>
      <c r="G201" s="105"/>
      <c r="H201" s="68"/>
      <c r="I201" s="106"/>
      <c r="J201" s="107"/>
      <c r="K201" s="108"/>
      <c r="L201" s="108"/>
      <c r="M201" s="108"/>
      <c r="N201" s="108"/>
      <c r="O201" s="108"/>
      <c r="P201" s="108"/>
      <c r="Q201" s="108"/>
      <c r="R201" s="108"/>
      <c r="S201" s="108"/>
      <c r="T201" s="108"/>
      <c r="U201" s="108"/>
      <c r="V201" s="108"/>
      <c r="W201" s="108"/>
      <c r="X201" s="108"/>
      <c r="Y201" s="108"/>
      <c r="Z201" s="109"/>
      <c r="AA201" s="109"/>
      <c r="AB201" s="109"/>
      <c r="AC201" s="109"/>
      <c r="AD201" s="109"/>
      <c r="AE201" s="109"/>
      <c r="AF201" s="109"/>
      <c r="AG201" s="109"/>
      <c r="AH201" s="109"/>
      <c r="AI201" s="109"/>
      <c r="AJ201" s="109"/>
      <c r="AK201" s="109"/>
      <c r="AL201" s="109"/>
      <c r="AM201" s="109"/>
      <c r="AN201" s="110"/>
      <c r="AO201" s="110"/>
      <c r="AP201" s="111"/>
      <c r="AQ201" s="112"/>
      <c r="AR201" s="112"/>
      <c r="AS201" s="112"/>
      <c r="AT201" s="112"/>
      <c r="AU201" s="112"/>
      <c r="AV201" s="112"/>
      <c r="AW201" s="112"/>
      <c r="AX201" s="112"/>
      <c r="AY201" s="112"/>
      <c r="AZ201" s="112"/>
      <c r="BA201" s="112"/>
      <c r="BB201" s="112"/>
      <c r="BC201" s="112"/>
      <c r="BD201" s="112"/>
      <c r="BE201" s="112"/>
    </row>
    <row r="202" spans="2:57" x14ac:dyDescent="0.35">
      <c r="B202" s="59"/>
      <c r="C202" s="59"/>
      <c r="D202" s="104"/>
      <c r="E202" s="105"/>
      <c r="F202" s="105"/>
      <c r="G202" s="105"/>
      <c r="H202" s="68"/>
      <c r="I202" s="106"/>
      <c r="J202" s="107"/>
      <c r="K202" s="108"/>
      <c r="L202" s="108"/>
      <c r="M202" s="108"/>
      <c r="N202" s="108"/>
      <c r="O202" s="108"/>
      <c r="P202" s="108"/>
      <c r="Q202" s="108"/>
      <c r="R202" s="108"/>
      <c r="S202" s="108"/>
      <c r="T202" s="108"/>
      <c r="U202" s="108"/>
      <c r="V202" s="108"/>
      <c r="W202" s="108"/>
      <c r="X202" s="108"/>
      <c r="Y202" s="108"/>
      <c r="Z202" s="109"/>
      <c r="AA202" s="109"/>
      <c r="AB202" s="109"/>
      <c r="AC202" s="109"/>
      <c r="AD202" s="109"/>
      <c r="AE202" s="109"/>
      <c r="AF202" s="109"/>
      <c r="AG202" s="109"/>
      <c r="AH202" s="109"/>
      <c r="AI202" s="109"/>
      <c r="AJ202" s="109"/>
      <c r="AK202" s="109"/>
      <c r="AL202" s="109"/>
      <c r="AM202" s="109"/>
      <c r="AN202" s="110"/>
      <c r="AO202" s="110"/>
      <c r="AP202" s="111"/>
      <c r="AQ202" s="112"/>
      <c r="AR202" s="112"/>
      <c r="AS202" s="112"/>
      <c r="AT202" s="112"/>
      <c r="AU202" s="112"/>
      <c r="AV202" s="112"/>
      <c r="AW202" s="112"/>
      <c r="AX202" s="112"/>
      <c r="AY202" s="112"/>
      <c r="AZ202" s="112"/>
      <c r="BA202" s="112"/>
      <c r="BB202" s="112"/>
      <c r="BC202" s="112"/>
      <c r="BD202" s="112"/>
      <c r="BE202" s="112"/>
    </row>
    <row r="203" spans="2:57" x14ac:dyDescent="0.35">
      <c r="B203" s="59"/>
      <c r="C203" s="59"/>
      <c r="D203" s="104"/>
      <c r="E203" s="105"/>
      <c r="F203" s="105"/>
      <c r="G203" s="105"/>
      <c r="H203" s="68"/>
      <c r="I203" s="106"/>
      <c r="J203" s="107"/>
      <c r="K203" s="108"/>
      <c r="L203" s="108"/>
      <c r="M203" s="108"/>
      <c r="N203" s="108"/>
      <c r="O203" s="108"/>
      <c r="P203" s="108"/>
      <c r="Q203" s="108"/>
      <c r="R203" s="108"/>
      <c r="S203" s="108"/>
      <c r="T203" s="108"/>
      <c r="U203" s="108"/>
      <c r="V203" s="108"/>
      <c r="W203" s="108"/>
      <c r="X203" s="108"/>
      <c r="Y203" s="108"/>
      <c r="Z203" s="109"/>
      <c r="AA203" s="109"/>
      <c r="AB203" s="109"/>
      <c r="AC203" s="109"/>
      <c r="AD203" s="109"/>
      <c r="AE203" s="109"/>
      <c r="AF203" s="109"/>
      <c r="AG203" s="109"/>
      <c r="AH203" s="109"/>
      <c r="AI203" s="109"/>
      <c r="AJ203" s="109"/>
      <c r="AK203" s="109"/>
      <c r="AL203" s="109"/>
      <c r="AM203" s="109"/>
      <c r="AN203" s="110"/>
      <c r="AO203" s="110"/>
      <c r="AP203" s="111"/>
      <c r="AQ203" s="112"/>
      <c r="AR203" s="112"/>
      <c r="AS203" s="112"/>
      <c r="AT203" s="112"/>
      <c r="AU203" s="112"/>
      <c r="AV203" s="112"/>
      <c r="AW203" s="112"/>
      <c r="AX203" s="112"/>
      <c r="AY203" s="112"/>
      <c r="AZ203" s="112"/>
      <c r="BA203" s="112"/>
      <c r="BB203" s="112"/>
      <c r="BC203" s="112"/>
      <c r="BD203" s="112"/>
      <c r="BE203" s="112"/>
    </row>
    <row r="204" spans="2:57" x14ac:dyDescent="0.35">
      <c r="B204" s="59"/>
      <c r="C204" s="59"/>
      <c r="D204" s="104"/>
      <c r="E204" s="105"/>
      <c r="F204" s="105"/>
      <c r="G204" s="105"/>
      <c r="H204" s="68"/>
      <c r="I204" s="106"/>
      <c r="J204" s="107"/>
      <c r="K204" s="108"/>
      <c r="L204" s="108"/>
      <c r="M204" s="108"/>
      <c r="N204" s="108"/>
      <c r="O204" s="108"/>
      <c r="P204" s="108"/>
      <c r="Q204" s="108"/>
      <c r="R204" s="108"/>
      <c r="S204" s="108"/>
      <c r="T204" s="108"/>
      <c r="U204" s="108"/>
      <c r="V204" s="108"/>
      <c r="W204" s="108"/>
      <c r="X204" s="108"/>
      <c r="Y204" s="108"/>
      <c r="Z204" s="109"/>
      <c r="AA204" s="109"/>
      <c r="AB204" s="109"/>
      <c r="AC204" s="109"/>
      <c r="AD204" s="109"/>
      <c r="AE204" s="109"/>
      <c r="AF204" s="109"/>
      <c r="AG204" s="109"/>
      <c r="AH204" s="109"/>
      <c r="AI204" s="109"/>
      <c r="AJ204" s="109"/>
      <c r="AK204" s="109"/>
      <c r="AL204" s="109"/>
      <c r="AM204" s="109"/>
      <c r="AN204" s="110"/>
      <c r="AO204" s="110"/>
      <c r="AP204" s="111"/>
      <c r="AQ204" s="112"/>
      <c r="AR204" s="112"/>
      <c r="AS204" s="112"/>
      <c r="AT204" s="112"/>
      <c r="AU204" s="112"/>
      <c r="AV204" s="112"/>
      <c r="AW204" s="112"/>
      <c r="AX204" s="112"/>
      <c r="AY204" s="112"/>
      <c r="AZ204" s="112"/>
      <c r="BA204" s="112"/>
      <c r="BB204" s="112"/>
      <c r="BC204" s="112"/>
      <c r="BD204" s="112"/>
      <c r="BE204" s="112"/>
    </row>
    <row r="205" spans="2:57" x14ac:dyDescent="0.35">
      <c r="B205" s="59"/>
      <c r="C205" s="59"/>
      <c r="D205" s="104"/>
      <c r="E205" s="105"/>
      <c r="F205" s="105"/>
      <c r="G205" s="105"/>
      <c r="H205" s="68"/>
      <c r="I205" s="106"/>
      <c r="J205" s="107"/>
      <c r="K205" s="108"/>
      <c r="L205" s="108"/>
      <c r="M205" s="108"/>
      <c r="N205" s="108"/>
      <c r="O205" s="108"/>
      <c r="P205" s="108"/>
      <c r="Q205" s="108"/>
      <c r="R205" s="108"/>
      <c r="S205" s="108"/>
      <c r="T205" s="108"/>
      <c r="U205" s="108"/>
      <c r="V205" s="108"/>
      <c r="W205" s="108"/>
      <c r="X205" s="108"/>
      <c r="Y205" s="108"/>
      <c r="Z205" s="109"/>
      <c r="AA205" s="109"/>
      <c r="AB205" s="109"/>
      <c r="AC205" s="109"/>
      <c r="AD205" s="109"/>
      <c r="AE205" s="109"/>
      <c r="AF205" s="109"/>
      <c r="AG205" s="109"/>
      <c r="AH205" s="109"/>
      <c r="AI205" s="109"/>
      <c r="AJ205" s="109"/>
      <c r="AK205" s="109"/>
      <c r="AL205" s="109"/>
      <c r="AM205" s="109"/>
      <c r="AN205" s="110"/>
      <c r="AO205" s="110"/>
      <c r="AP205" s="111"/>
      <c r="AQ205" s="112"/>
      <c r="AR205" s="112"/>
      <c r="AS205" s="112"/>
      <c r="AT205" s="112"/>
      <c r="AU205" s="112"/>
      <c r="AV205" s="112"/>
      <c r="AW205" s="112"/>
      <c r="AX205" s="112"/>
      <c r="AY205" s="112"/>
      <c r="AZ205" s="112"/>
      <c r="BA205" s="112"/>
      <c r="BB205" s="112"/>
      <c r="BC205" s="112"/>
      <c r="BD205" s="112"/>
      <c r="BE205" s="112"/>
    </row>
    <row r="206" spans="2:57" x14ac:dyDescent="0.35">
      <c r="B206" s="59"/>
      <c r="C206" s="59"/>
      <c r="D206" s="104"/>
      <c r="E206" s="105"/>
      <c r="F206" s="105"/>
      <c r="G206" s="105"/>
      <c r="H206" s="68"/>
      <c r="I206" s="106"/>
      <c r="J206" s="107"/>
      <c r="K206" s="108"/>
      <c r="L206" s="108"/>
      <c r="M206" s="108"/>
      <c r="N206" s="108"/>
      <c r="O206" s="108"/>
      <c r="P206" s="108"/>
      <c r="Q206" s="108"/>
      <c r="R206" s="108"/>
      <c r="S206" s="108"/>
      <c r="T206" s="108"/>
      <c r="U206" s="108"/>
      <c r="V206" s="108"/>
      <c r="W206" s="108"/>
      <c r="X206" s="108"/>
      <c r="Y206" s="108"/>
      <c r="Z206" s="109"/>
      <c r="AA206" s="109"/>
      <c r="AB206" s="109"/>
      <c r="AC206" s="109"/>
      <c r="AD206" s="109"/>
      <c r="AE206" s="109"/>
      <c r="AF206" s="109"/>
      <c r="AG206" s="109"/>
      <c r="AH206" s="109"/>
      <c r="AI206" s="109"/>
      <c r="AJ206" s="109"/>
      <c r="AK206" s="109"/>
      <c r="AL206" s="109"/>
      <c r="AM206" s="109"/>
      <c r="AN206" s="110"/>
      <c r="AO206" s="110"/>
      <c r="AP206" s="111"/>
      <c r="AQ206" s="112"/>
      <c r="AR206" s="112"/>
      <c r="AS206" s="112"/>
      <c r="AT206" s="112"/>
      <c r="AU206" s="112"/>
      <c r="AV206" s="112"/>
      <c r="AW206" s="112"/>
      <c r="AX206" s="112"/>
      <c r="AY206" s="112"/>
      <c r="AZ206" s="112"/>
      <c r="BA206" s="112"/>
      <c r="BB206" s="112"/>
      <c r="BC206" s="112"/>
      <c r="BD206" s="112"/>
      <c r="BE206" s="112"/>
    </row>
    <row r="207" spans="2:57" x14ac:dyDescent="0.35">
      <c r="B207" s="59"/>
      <c r="C207" s="59"/>
      <c r="D207" s="104"/>
      <c r="E207" s="105"/>
      <c r="F207" s="105"/>
      <c r="G207" s="105"/>
      <c r="H207" s="68"/>
      <c r="I207" s="106"/>
      <c r="J207" s="107"/>
      <c r="K207" s="108"/>
      <c r="L207" s="108"/>
      <c r="M207" s="108"/>
      <c r="N207" s="108"/>
      <c r="O207" s="108"/>
      <c r="P207" s="108"/>
      <c r="Q207" s="108"/>
      <c r="R207" s="108"/>
      <c r="S207" s="108"/>
      <c r="T207" s="108"/>
      <c r="U207" s="108"/>
      <c r="V207" s="108"/>
      <c r="W207" s="108"/>
      <c r="X207" s="108"/>
      <c r="Y207" s="108"/>
      <c r="Z207" s="109"/>
      <c r="AA207" s="109"/>
      <c r="AB207" s="109"/>
      <c r="AC207" s="109"/>
      <c r="AD207" s="109"/>
      <c r="AE207" s="109"/>
      <c r="AF207" s="109"/>
      <c r="AG207" s="109"/>
      <c r="AH207" s="109"/>
      <c r="AI207" s="109"/>
      <c r="AJ207" s="109"/>
      <c r="AK207" s="109"/>
      <c r="AL207" s="109"/>
      <c r="AM207" s="109"/>
      <c r="AN207" s="110"/>
      <c r="AO207" s="110"/>
      <c r="AP207" s="111"/>
      <c r="AQ207" s="112"/>
      <c r="AR207" s="112"/>
      <c r="AS207" s="112"/>
      <c r="AT207" s="112"/>
      <c r="AU207" s="112"/>
      <c r="AV207" s="112"/>
      <c r="AW207" s="112"/>
      <c r="AX207" s="112"/>
      <c r="AY207" s="112"/>
      <c r="AZ207" s="112"/>
      <c r="BA207" s="112"/>
      <c r="BB207" s="112"/>
      <c r="BC207" s="112"/>
      <c r="BD207" s="112"/>
      <c r="BE207" s="112"/>
    </row>
    <row r="208" spans="2:57" x14ac:dyDescent="0.35">
      <c r="B208" s="59"/>
      <c r="C208" s="59"/>
      <c r="D208" s="104"/>
      <c r="E208" s="105"/>
      <c r="F208" s="105"/>
      <c r="G208" s="105"/>
      <c r="H208" s="68"/>
      <c r="I208" s="106"/>
      <c r="J208" s="107"/>
      <c r="K208" s="108"/>
      <c r="L208" s="108"/>
      <c r="M208" s="108"/>
      <c r="N208" s="108"/>
      <c r="O208" s="108"/>
      <c r="P208" s="108"/>
      <c r="Q208" s="108"/>
      <c r="R208" s="108"/>
      <c r="S208" s="108"/>
      <c r="T208" s="108"/>
      <c r="U208" s="108"/>
      <c r="V208" s="108"/>
      <c r="W208" s="108"/>
      <c r="X208" s="108"/>
      <c r="Y208" s="108"/>
      <c r="Z208" s="109"/>
      <c r="AA208" s="109"/>
      <c r="AB208" s="109"/>
      <c r="AC208" s="109"/>
      <c r="AD208" s="109"/>
      <c r="AE208" s="109"/>
      <c r="AF208" s="109"/>
      <c r="AG208" s="109"/>
      <c r="AH208" s="109"/>
      <c r="AI208" s="109"/>
      <c r="AJ208" s="109"/>
      <c r="AK208" s="109"/>
      <c r="AL208" s="109"/>
      <c r="AM208" s="109"/>
      <c r="AN208" s="110"/>
      <c r="AO208" s="110"/>
      <c r="AP208" s="111"/>
      <c r="AQ208" s="112"/>
      <c r="AR208" s="112"/>
      <c r="AS208" s="112"/>
      <c r="AT208" s="112"/>
      <c r="AU208" s="112"/>
      <c r="AV208" s="112"/>
      <c r="AW208" s="112"/>
      <c r="AX208" s="112"/>
      <c r="AY208" s="112"/>
      <c r="AZ208" s="112"/>
      <c r="BA208" s="112"/>
      <c r="BB208" s="112"/>
      <c r="BC208" s="112"/>
      <c r="BD208" s="112"/>
      <c r="BE208" s="112"/>
    </row>
    <row r="209" spans="2:57" x14ac:dyDescent="0.35">
      <c r="B209" s="59"/>
      <c r="C209" s="59"/>
      <c r="D209" s="104"/>
      <c r="E209" s="105"/>
      <c r="F209" s="105"/>
      <c r="G209" s="105"/>
      <c r="H209" s="68"/>
      <c r="I209" s="106"/>
      <c r="J209" s="107"/>
      <c r="K209" s="108"/>
      <c r="L209" s="108"/>
      <c r="M209" s="108"/>
      <c r="N209" s="108"/>
      <c r="O209" s="108"/>
      <c r="P209" s="108"/>
      <c r="Q209" s="108"/>
      <c r="R209" s="108"/>
      <c r="S209" s="108"/>
      <c r="T209" s="108"/>
      <c r="U209" s="108"/>
      <c r="V209" s="108"/>
      <c r="W209" s="108"/>
      <c r="X209" s="108"/>
      <c r="Y209" s="108"/>
      <c r="Z209" s="109"/>
      <c r="AA209" s="109"/>
      <c r="AB209" s="109"/>
      <c r="AC209" s="109"/>
      <c r="AD209" s="109"/>
      <c r="AE209" s="109"/>
      <c r="AF209" s="109"/>
      <c r="AG209" s="109"/>
      <c r="AH209" s="109"/>
      <c r="AI209" s="109"/>
      <c r="AJ209" s="109"/>
      <c r="AK209" s="109"/>
      <c r="AL209" s="109"/>
      <c r="AM209" s="109"/>
      <c r="AN209" s="110"/>
      <c r="AO209" s="110"/>
      <c r="AP209" s="111"/>
      <c r="AQ209" s="112"/>
      <c r="AR209" s="112"/>
      <c r="AS209" s="112"/>
      <c r="AT209" s="112"/>
      <c r="AU209" s="112"/>
      <c r="AV209" s="112"/>
      <c r="AW209" s="112"/>
      <c r="AX209" s="112"/>
      <c r="AY209" s="112"/>
      <c r="AZ209" s="112"/>
      <c r="BA209" s="112"/>
      <c r="BB209" s="112"/>
      <c r="BC209" s="112"/>
      <c r="BD209" s="112"/>
      <c r="BE209" s="112"/>
    </row>
    <row r="210" spans="2:57" x14ac:dyDescent="0.35">
      <c r="B210" s="59"/>
      <c r="C210" s="59"/>
      <c r="D210" s="104"/>
      <c r="E210" s="105"/>
      <c r="F210" s="105"/>
      <c r="G210" s="105"/>
      <c r="H210" s="68"/>
      <c r="I210" s="106"/>
      <c r="J210" s="107"/>
      <c r="K210" s="108"/>
      <c r="L210" s="108"/>
      <c r="M210" s="108"/>
      <c r="N210" s="108"/>
      <c r="O210" s="108"/>
      <c r="P210" s="108"/>
      <c r="Q210" s="108"/>
      <c r="R210" s="108"/>
      <c r="S210" s="108"/>
      <c r="T210" s="108"/>
      <c r="U210" s="108"/>
      <c r="V210" s="108"/>
      <c r="W210" s="108"/>
      <c r="X210" s="108"/>
      <c r="Y210" s="108"/>
      <c r="Z210" s="109"/>
      <c r="AA210" s="109"/>
      <c r="AB210" s="109"/>
      <c r="AC210" s="109"/>
      <c r="AD210" s="109"/>
      <c r="AE210" s="109"/>
      <c r="AF210" s="109"/>
      <c r="AG210" s="109"/>
      <c r="AH210" s="109"/>
      <c r="AI210" s="109"/>
      <c r="AJ210" s="109"/>
      <c r="AK210" s="109"/>
      <c r="AL210" s="109"/>
      <c r="AM210" s="109"/>
      <c r="AN210" s="110"/>
      <c r="AO210" s="110"/>
      <c r="AP210" s="111"/>
      <c r="AQ210" s="112"/>
      <c r="AR210" s="112"/>
      <c r="AS210" s="112"/>
      <c r="AT210" s="112"/>
      <c r="AU210" s="112"/>
      <c r="AV210" s="112"/>
      <c r="AW210" s="112"/>
      <c r="AX210" s="112"/>
      <c r="AY210" s="112"/>
      <c r="AZ210" s="112"/>
      <c r="BA210" s="112"/>
      <c r="BB210" s="112"/>
      <c r="BC210" s="112"/>
      <c r="BD210" s="112"/>
      <c r="BE210" s="112"/>
    </row>
    <row r="211" spans="2:57" x14ac:dyDescent="0.35">
      <c r="B211" s="59"/>
      <c r="C211" s="59"/>
      <c r="D211" s="104"/>
      <c r="E211" s="105"/>
      <c r="F211" s="105"/>
      <c r="G211" s="105"/>
      <c r="H211" s="68"/>
      <c r="I211" s="106"/>
      <c r="J211" s="107"/>
      <c r="K211" s="108"/>
      <c r="L211" s="108"/>
      <c r="M211" s="108"/>
      <c r="N211" s="108"/>
      <c r="O211" s="108"/>
      <c r="P211" s="108"/>
      <c r="Q211" s="108"/>
      <c r="R211" s="108"/>
      <c r="S211" s="108"/>
      <c r="T211" s="108"/>
      <c r="U211" s="108"/>
      <c r="V211" s="108"/>
      <c r="W211" s="108"/>
      <c r="X211" s="108"/>
      <c r="Y211" s="108"/>
      <c r="Z211" s="109"/>
      <c r="AA211" s="109"/>
      <c r="AB211" s="109"/>
      <c r="AC211" s="109"/>
      <c r="AD211" s="109"/>
      <c r="AE211" s="109"/>
      <c r="AF211" s="109"/>
      <c r="AG211" s="109"/>
      <c r="AH211" s="109"/>
      <c r="AI211" s="109"/>
      <c r="AJ211" s="109"/>
      <c r="AK211" s="109"/>
      <c r="AL211" s="109"/>
      <c r="AM211" s="109"/>
      <c r="AN211" s="110"/>
      <c r="AO211" s="110"/>
      <c r="AP211" s="111"/>
      <c r="AQ211" s="112"/>
      <c r="AR211" s="112"/>
      <c r="AS211" s="112"/>
      <c r="AT211" s="112"/>
      <c r="AU211" s="112"/>
      <c r="AV211" s="112"/>
      <c r="AW211" s="112"/>
      <c r="AX211" s="112"/>
      <c r="AY211" s="112"/>
      <c r="AZ211" s="112"/>
      <c r="BA211" s="112"/>
      <c r="BB211" s="112"/>
      <c r="BC211" s="112"/>
      <c r="BD211" s="112"/>
      <c r="BE211" s="112"/>
    </row>
    <row r="212" spans="2:57" x14ac:dyDescent="0.35">
      <c r="B212" s="59"/>
      <c r="C212" s="59"/>
      <c r="D212" s="104"/>
      <c r="E212" s="105"/>
      <c r="F212" s="105"/>
      <c r="G212" s="105"/>
      <c r="H212" s="68"/>
      <c r="I212" s="106"/>
      <c r="J212" s="107"/>
      <c r="K212" s="108"/>
      <c r="L212" s="108"/>
      <c r="M212" s="108"/>
      <c r="N212" s="108"/>
      <c r="O212" s="108"/>
      <c r="P212" s="108"/>
      <c r="Q212" s="108"/>
      <c r="R212" s="108"/>
      <c r="S212" s="108"/>
      <c r="T212" s="108"/>
      <c r="U212" s="108"/>
      <c r="V212" s="108"/>
      <c r="W212" s="108"/>
      <c r="X212" s="108"/>
      <c r="Y212" s="108"/>
      <c r="Z212" s="109"/>
      <c r="AA212" s="109"/>
      <c r="AB212" s="109"/>
      <c r="AC212" s="109"/>
      <c r="AD212" s="109"/>
      <c r="AE212" s="109"/>
      <c r="AF212" s="109"/>
      <c r="AG212" s="109"/>
      <c r="AH212" s="109"/>
      <c r="AI212" s="109"/>
      <c r="AJ212" s="109"/>
      <c r="AK212" s="109"/>
      <c r="AL212" s="109"/>
      <c r="AM212" s="109"/>
      <c r="AN212" s="110"/>
      <c r="AO212" s="110"/>
      <c r="AP212" s="111"/>
      <c r="AQ212" s="112"/>
      <c r="AR212" s="112"/>
      <c r="AS212" s="112"/>
      <c r="AT212" s="112"/>
      <c r="AU212" s="112"/>
      <c r="AV212" s="112"/>
      <c r="AW212" s="112"/>
      <c r="AX212" s="112"/>
      <c r="AY212" s="112"/>
      <c r="AZ212" s="112"/>
      <c r="BA212" s="112"/>
      <c r="BB212" s="112"/>
      <c r="BC212" s="112"/>
      <c r="BD212" s="112"/>
      <c r="BE212" s="112"/>
    </row>
    <row r="213" spans="2:57" x14ac:dyDescent="0.35">
      <c r="B213" s="59"/>
      <c r="C213" s="59"/>
      <c r="D213" s="104"/>
      <c r="E213" s="105"/>
      <c r="F213" s="105"/>
      <c r="G213" s="105"/>
      <c r="H213" s="68"/>
      <c r="I213" s="106"/>
      <c r="J213" s="107"/>
      <c r="K213" s="108"/>
      <c r="L213" s="108"/>
      <c r="M213" s="108"/>
      <c r="N213" s="108"/>
      <c r="O213" s="108"/>
      <c r="P213" s="108"/>
      <c r="Q213" s="108"/>
      <c r="R213" s="108"/>
      <c r="S213" s="108"/>
      <c r="T213" s="108"/>
      <c r="U213" s="108"/>
      <c r="V213" s="108"/>
      <c r="W213" s="108"/>
      <c r="X213" s="108"/>
      <c r="Y213" s="108"/>
      <c r="Z213" s="109"/>
      <c r="AA213" s="109"/>
      <c r="AB213" s="109"/>
      <c r="AC213" s="109"/>
      <c r="AD213" s="109"/>
      <c r="AE213" s="109"/>
      <c r="AF213" s="109"/>
      <c r="AG213" s="109"/>
      <c r="AH213" s="109"/>
      <c r="AI213" s="109"/>
      <c r="AJ213" s="109"/>
      <c r="AK213" s="109"/>
      <c r="AL213" s="109"/>
      <c r="AM213" s="109"/>
      <c r="AN213" s="110"/>
      <c r="AO213" s="110"/>
      <c r="AP213" s="111"/>
      <c r="AQ213" s="112"/>
      <c r="AR213" s="112"/>
      <c r="AS213" s="112"/>
      <c r="AT213" s="112"/>
      <c r="AU213" s="112"/>
      <c r="AV213" s="112"/>
      <c r="AW213" s="112"/>
      <c r="AX213" s="112"/>
      <c r="AY213" s="112"/>
      <c r="AZ213" s="112"/>
      <c r="BA213" s="112"/>
      <c r="BB213" s="112"/>
      <c r="BC213" s="112"/>
      <c r="BD213" s="112"/>
      <c r="BE213" s="112"/>
    </row>
    <row r="214" spans="2:57" x14ac:dyDescent="0.35">
      <c r="B214" s="59"/>
      <c r="C214" s="59"/>
      <c r="D214" s="104"/>
      <c r="E214" s="105"/>
      <c r="F214" s="105"/>
      <c r="G214" s="105"/>
      <c r="H214" s="68"/>
      <c r="I214" s="106"/>
      <c r="J214" s="107"/>
      <c r="K214" s="108"/>
      <c r="L214" s="108"/>
      <c r="M214" s="108"/>
      <c r="N214" s="108"/>
      <c r="O214" s="108"/>
      <c r="P214" s="108"/>
      <c r="Q214" s="108"/>
      <c r="R214" s="108"/>
      <c r="S214" s="108"/>
      <c r="T214" s="108"/>
      <c r="U214" s="108"/>
      <c r="V214" s="108"/>
      <c r="W214" s="108"/>
      <c r="X214" s="108"/>
      <c r="Y214" s="108"/>
      <c r="Z214" s="109"/>
      <c r="AA214" s="109"/>
      <c r="AB214" s="109"/>
      <c r="AC214" s="109"/>
      <c r="AD214" s="109"/>
      <c r="AE214" s="109"/>
      <c r="AF214" s="109"/>
      <c r="AG214" s="109"/>
      <c r="AH214" s="109"/>
      <c r="AI214" s="109"/>
      <c r="AJ214" s="109"/>
      <c r="AK214" s="109"/>
      <c r="AL214" s="109"/>
      <c r="AM214" s="109"/>
      <c r="AN214" s="110"/>
      <c r="AO214" s="110"/>
      <c r="AP214" s="111"/>
      <c r="AQ214" s="112"/>
      <c r="AR214" s="112"/>
      <c r="AS214" s="112"/>
      <c r="AT214" s="112"/>
      <c r="AU214" s="112"/>
      <c r="AV214" s="112"/>
      <c r="AW214" s="112"/>
      <c r="AX214" s="112"/>
      <c r="AY214" s="112"/>
      <c r="AZ214" s="112"/>
      <c r="BA214" s="112"/>
      <c r="BB214" s="112"/>
      <c r="BC214" s="112"/>
      <c r="BD214" s="112"/>
      <c r="BE214" s="112"/>
    </row>
    <row r="215" spans="2:57" x14ac:dyDescent="0.35">
      <c r="B215" s="59"/>
      <c r="C215" s="59"/>
      <c r="D215" s="104"/>
      <c r="E215" s="105"/>
      <c r="F215" s="105"/>
      <c r="G215" s="105"/>
      <c r="H215" s="68"/>
      <c r="I215" s="106"/>
      <c r="J215" s="107"/>
      <c r="K215" s="108"/>
      <c r="L215" s="108"/>
      <c r="M215" s="108"/>
      <c r="N215" s="108"/>
      <c r="O215" s="108"/>
      <c r="P215" s="108"/>
      <c r="Q215" s="108"/>
      <c r="R215" s="108"/>
      <c r="S215" s="108"/>
      <c r="T215" s="108"/>
      <c r="U215" s="108"/>
      <c r="V215" s="108"/>
      <c r="W215" s="108"/>
      <c r="X215" s="108"/>
      <c r="Y215" s="108"/>
      <c r="Z215" s="109"/>
      <c r="AA215" s="109"/>
      <c r="AB215" s="109"/>
      <c r="AC215" s="109"/>
      <c r="AD215" s="109"/>
      <c r="AE215" s="109"/>
      <c r="AF215" s="109"/>
      <c r="AG215" s="109"/>
      <c r="AH215" s="109"/>
      <c r="AI215" s="109"/>
      <c r="AJ215" s="109"/>
      <c r="AK215" s="109"/>
      <c r="AL215" s="109"/>
      <c r="AM215" s="109"/>
      <c r="AN215" s="110"/>
      <c r="AO215" s="110"/>
      <c r="AP215" s="111"/>
      <c r="AQ215" s="112"/>
      <c r="AR215" s="112"/>
      <c r="AS215" s="112"/>
      <c r="AT215" s="112"/>
      <c r="AU215" s="112"/>
      <c r="AV215" s="112"/>
      <c r="AW215" s="112"/>
      <c r="AX215" s="112"/>
      <c r="AY215" s="112"/>
      <c r="AZ215" s="112"/>
      <c r="BA215" s="112"/>
      <c r="BB215" s="112"/>
      <c r="BC215" s="112"/>
      <c r="BD215" s="112"/>
      <c r="BE215" s="112"/>
    </row>
    <row r="216" spans="2:57" x14ac:dyDescent="0.35">
      <c r="B216" s="59"/>
      <c r="C216" s="59"/>
      <c r="D216" s="104"/>
      <c r="E216" s="105"/>
      <c r="F216" s="105"/>
      <c r="G216" s="105"/>
      <c r="H216" s="68"/>
      <c r="I216" s="106"/>
      <c r="J216" s="107"/>
      <c r="K216" s="108"/>
      <c r="L216" s="108"/>
      <c r="M216" s="108"/>
      <c r="N216" s="108"/>
      <c r="O216" s="108"/>
      <c r="P216" s="108"/>
      <c r="Q216" s="108"/>
      <c r="R216" s="108"/>
      <c r="S216" s="108"/>
      <c r="T216" s="108"/>
      <c r="U216" s="108"/>
      <c r="V216" s="108"/>
      <c r="W216" s="108"/>
      <c r="X216" s="108"/>
      <c r="Y216" s="108"/>
      <c r="Z216" s="109"/>
      <c r="AA216" s="109"/>
      <c r="AB216" s="109"/>
      <c r="AC216" s="109"/>
      <c r="AD216" s="109"/>
      <c r="AE216" s="109"/>
      <c r="AF216" s="109"/>
      <c r="AG216" s="109"/>
      <c r="AH216" s="109"/>
      <c r="AI216" s="109"/>
      <c r="AJ216" s="109"/>
      <c r="AK216" s="109"/>
      <c r="AL216" s="109"/>
      <c r="AM216" s="109"/>
      <c r="AN216" s="110"/>
      <c r="AO216" s="110"/>
      <c r="AP216" s="111"/>
      <c r="AQ216" s="112"/>
      <c r="AR216" s="112"/>
      <c r="AS216" s="112"/>
      <c r="AT216" s="112"/>
      <c r="AU216" s="112"/>
      <c r="AV216" s="112"/>
      <c r="AW216" s="112"/>
      <c r="AX216" s="112"/>
      <c r="AY216" s="112"/>
      <c r="AZ216" s="112"/>
      <c r="BA216" s="112"/>
      <c r="BB216" s="112"/>
      <c r="BC216" s="112"/>
      <c r="BD216" s="112"/>
      <c r="BE216" s="112"/>
    </row>
    <row r="217" spans="2:57" x14ac:dyDescent="0.35">
      <c r="B217" s="59"/>
      <c r="C217" s="59"/>
      <c r="D217" s="104"/>
      <c r="E217" s="105"/>
      <c r="F217" s="105"/>
      <c r="G217" s="105"/>
      <c r="H217" s="68"/>
      <c r="I217" s="106"/>
      <c r="J217" s="107"/>
      <c r="K217" s="108"/>
      <c r="L217" s="108"/>
      <c r="M217" s="108"/>
      <c r="N217" s="108"/>
      <c r="O217" s="108"/>
      <c r="P217" s="108"/>
      <c r="Q217" s="108"/>
      <c r="R217" s="108"/>
      <c r="S217" s="108"/>
      <c r="T217" s="108"/>
      <c r="U217" s="108"/>
      <c r="V217" s="108"/>
      <c r="W217" s="108"/>
      <c r="X217" s="108"/>
      <c r="Y217" s="108"/>
      <c r="Z217" s="109"/>
      <c r="AA217" s="109"/>
      <c r="AB217" s="109"/>
      <c r="AC217" s="109"/>
      <c r="AD217" s="109"/>
      <c r="AE217" s="109"/>
      <c r="AF217" s="109"/>
      <c r="AG217" s="109"/>
      <c r="AH217" s="109"/>
      <c r="AI217" s="109"/>
      <c r="AJ217" s="109"/>
      <c r="AK217" s="109"/>
      <c r="AL217" s="109"/>
      <c r="AM217" s="109"/>
      <c r="AN217" s="110"/>
      <c r="AO217" s="110"/>
      <c r="AP217" s="111"/>
      <c r="AQ217" s="112"/>
      <c r="AR217" s="112"/>
      <c r="AS217" s="112"/>
      <c r="AT217" s="112"/>
      <c r="AU217" s="112"/>
      <c r="AV217" s="112"/>
      <c r="AW217" s="112"/>
      <c r="AX217" s="112"/>
      <c r="AY217" s="112"/>
      <c r="AZ217" s="112"/>
      <c r="BA217" s="112"/>
      <c r="BB217" s="112"/>
      <c r="BC217" s="112"/>
      <c r="BD217" s="112"/>
      <c r="BE217" s="112"/>
    </row>
    <row r="218" spans="2:57" x14ac:dyDescent="0.35">
      <c r="B218" s="59"/>
      <c r="C218" s="59"/>
      <c r="D218" s="104"/>
      <c r="E218" s="105"/>
      <c r="F218" s="105"/>
      <c r="G218" s="105"/>
      <c r="H218" s="68"/>
      <c r="I218" s="106"/>
      <c r="J218" s="107"/>
      <c r="K218" s="108"/>
      <c r="L218" s="108"/>
      <c r="M218" s="108"/>
      <c r="N218" s="108"/>
      <c r="O218" s="108"/>
      <c r="P218" s="108"/>
      <c r="Q218" s="108"/>
      <c r="R218" s="108"/>
      <c r="S218" s="108"/>
      <c r="T218" s="108"/>
      <c r="U218" s="108"/>
      <c r="V218" s="108"/>
      <c r="W218" s="108"/>
      <c r="X218" s="108"/>
      <c r="Y218" s="108"/>
      <c r="Z218" s="109"/>
      <c r="AA218" s="109"/>
      <c r="AB218" s="109"/>
      <c r="AC218" s="109"/>
      <c r="AD218" s="109"/>
      <c r="AE218" s="109"/>
      <c r="AF218" s="109"/>
      <c r="AG218" s="109"/>
      <c r="AH218" s="109"/>
      <c r="AI218" s="109"/>
      <c r="AJ218" s="109"/>
      <c r="AK218" s="109"/>
      <c r="AL218" s="109"/>
      <c r="AM218" s="109"/>
      <c r="AN218" s="110"/>
      <c r="AO218" s="110"/>
      <c r="AP218" s="111"/>
      <c r="AQ218" s="112"/>
      <c r="AR218" s="112"/>
      <c r="AS218" s="112"/>
      <c r="AT218" s="112"/>
      <c r="AU218" s="112"/>
      <c r="AV218" s="112"/>
      <c r="AW218" s="112"/>
      <c r="AX218" s="112"/>
      <c r="AY218" s="112"/>
      <c r="AZ218" s="112"/>
      <c r="BA218" s="112"/>
      <c r="BB218" s="112"/>
      <c r="BC218" s="112"/>
      <c r="BD218" s="112"/>
      <c r="BE218" s="112"/>
    </row>
    <row r="219" spans="2:57" x14ac:dyDescent="0.35">
      <c r="B219" s="59"/>
      <c r="C219" s="59"/>
      <c r="D219" s="104"/>
      <c r="E219" s="105"/>
      <c r="F219" s="105"/>
      <c r="G219" s="105"/>
      <c r="H219" s="68"/>
      <c r="I219" s="106"/>
      <c r="J219" s="107"/>
      <c r="K219" s="108"/>
      <c r="L219" s="108"/>
      <c r="M219" s="108"/>
      <c r="N219" s="108"/>
      <c r="O219" s="108"/>
      <c r="P219" s="108"/>
      <c r="Q219" s="108"/>
      <c r="R219" s="108"/>
      <c r="S219" s="108"/>
      <c r="T219" s="108"/>
      <c r="U219" s="108"/>
      <c r="V219" s="108"/>
      <c r="W219" s="108"/>
      <c r="X219" s="108"/>
      <c r="Y219" s="108"/>
      <c r="Z219" s="109"/>
      <c r="AA219" s="109"/>
      <c r="AB219" s="109"/>
      <c r="AC219" s="109"/>
      <c r="AD219" s="109"/>
      <c r="AE219" s="109"/>
      <c r="AF219" s="109"/>
      <c r="AG219" s="109"/>
      <c r="AH219" s="109"/>
      <c r="AI219" s="109"/>
      <c r="AJ219" s="109"/>
      <c r="AK219" s="109"/>
      <c r="AL219" s="109"/>
      <c r="AM219" s="109"/>
      <c r="AN219" s="110"/>
      <c r="AO219" s="110"/>
      <c r="AP219" s="111"/>
      <c r="AQ219" s="112"/>
      <c r="AR219" s="112"/>
      <c r="AS219" s="112"/>
      <c r="AT219" s="112"/>
      <c r="AU219" s="112"/>
      <c r="AV219" s="112"/>
      <c r="AW219" s="112"/>
      <c r="AX219" s="112"/>
      <c r="AY219" s="112"/>
      <c r="AZ219" s="112"/>
      <c r="BA219" s="112"/>
      <c r="BB219" s="112"/>
      <c r="BC219" s="112"/>
      <c r="BD219" s="112"/>
      <c r="BE219" s="112"/>
    </row>
    <row r="220" spans="2:57" x14ac:dyDescent="0.35">
      <c r="B220" s="59"/>
      <c r="C220" s="59"/>
      <c r="D220" s="104"/>
      <c r="E220" s="105"/>
      <c r="F220" s="105"/>
      <c r="G220" s="105"/>
      <c r="H220" s="68"/>
      <c r="I220" s="106"/>
      <c r="J220" s="107"/>
      <c r="K220" s="108"/>
      <c r="L220" s="108"/>
      <c r="M220" s="108"/>
      <c r="N220" s="108"/>
      <c r="O220" s="108"/>
      <c r="P220" s="108"/>
      <c r="Q220" s="108"/>
      <c r="R220" s="108"/>
      <c r="S220" s="108"/>
      <c r="T220" s="108"/>
      <c r="U220" s="108"/>
      <c r="V220" s="108"/>
      <c r="W220" s="108"/>
      <c r="X220" s="108"/>
      <c r="Y220" s="108"/>
      <c r="Z220" s="109"/>
      <c r="AA220" s="109"/>
      <c r="AB220" s="109"/>
      <c r="AC220" s="109"/>
      <c r="AD220" s="109"/>
      <c r="AE220" s="109"/>
      <c r="AF220" s="109"/>
      <c r="AG220" s="109"/>
      <c r="AH220" s="109"/>
      <c r="AI220" s="109"/>
      <c r="AJ220" s="109"/>
      <c r="AK220" s="109"/>
      <c r="AL220" s="109"/>
      <c r="AM220" s="109"/>
      <c r="AN220" s="110"/>
      <c r="AO220" s="110"/>
      <c r="AP220" s="111"/>
      <c r="AQ220" s="112"/>
      <c r="AR220" s="112"/>
      <c r="AS220" s="112"/>
      <c r="AT220" s="112"/>
      <c r="AU220" s="112"/>
      <c r="AV220" s="112"/>
      <c r="AW220" s="112"/>
      <c r="AX220" s="112"/>
      <c r="AY220" s="112"/>
      <c r="AZ220" s="112"/>
      <c r="BA220" s="112"/>
      <c r="BB220" s="112"/>
      <c r="BC220" s="112"/>
      <c r="BD220" s="112"/>
      <c r="BE220" s="112"/>
    </row>
    <row r="221" spans="2:57" x14ac:dyDescent="0.35">
      <c r="B221" s="59"/>
      <c r="C221" s="59"/>
      <c r="D221" s="104"/>
      <c r="E221" s="105"/>
      <c r="F221" s="105"/>
      <c r="G221" s="105"/>
      <c r="H221" s="68"/>
      <c r="I221" s="106"/>
      <c r="J221" s="107"/>
      <c r="K221" s="108"/>
      <c r="L221" s="108"/>
      <c r="M221" s="108"/>
      <c r="N221" s="108"/>
      <c r="O221" s="108"/>
      <c r="P221" s="108"/>
      <c r="Q221" s="108"/>
      <c r="R221" s="108"/>
      <c r="S221" s="108"/>
      <c r="T221" s="108"/>
      <c r="U221" s="108"/>
      <c r="V221" s="108"/>
      <c r="W221" s="108"/>
      <c r="X221" s="108"/>
      <c r="Y221" s="108"/>
      <c r="Z221" s="109"/>
      <c r="AA221" s="109"/>
      <c r="AB221" s="109"/>
      <c r="AC221" s="109"/>
      <c r="AD221" s="109"/>
      <c r="AE221" s="109"/>
      <c r="AF221" s="109"/>
      <c r="AG221" s="109"/>
      <c r="AH221" s="109"/>
      <c r="AI221" s="109"/>
      <c r="AJ221" s="109"/>
      <c r="AK221" s="109"/>
      <c r="AL221" s="109"/>
      <c r="AM221" s="109"/>
      <c r="AN221" s="110"/>
      <c r="AO221" s="110"/>
      <c r="AP221" s="111"/>
      <c r="AQ221" s="112"/>
      <c r="AR221" s="112"/>
      <c r="AS221" s="112"/>
      <c r="AT221" s="112"/>
      <c r="AU221" s="112"/>
      <c r="AV221" s="112"/>
      <c r="AW221" s="112"/>
      <c r="AX221" s="112"/>
      <c r="AY221" s="112"/>
      <c r="AZ221" s="112"/>
      <c r="BA221" s="112"/>
      <c r="BB221" s="112"/>
      <c r="BC221" s="112"/>
      <c r="BD221" s="112"/>
      <c r="BE221" s="112"/>
    </row>
    <row r="222" spans="2:57" x14ac:dyDescent="0.35">
      <c r="B222" s="59"/>
      <c r="C222" s="59"/>
      <c r="D222" s="104"/>
      <c r="E222" s="105"/>
      <c r="F222" s="105"/>
      <c r="G222" s="105"/>
      <c r="H222" s="68"/>
      <c r="I222" s="106"/>
      <c r="J222" s="107"/>
      <c r="K222" s="108"/>
      <c r="L222" s="108"/>
      <c r="M222" s="108"/>
      <c r="N222" s="108"/>
      <c r="O222" s="108"/>
      <c r="P222" s="108"/>
      <c r="Q222" s="108"/>
      <c r="R222" s="108"/>
      <c r="S222" s="108"/>
      <c r="T222" s="108"/>
      <c r="U222" s="108"/>
      <c r="V222" s="108"/>
      <c r="W222" s="108"/>
      <c r="X222" s="108"/>
      <c r="Y222" s="108"/>
      <c r="Z222" s="109"/>
      <c r="AA222" s="109"/>
      <c r="AB222" s="109"/>
      <c r="AC222" s="109"/>
      <c r="AD222" s="109"/>
      <c r="AE222" s="109"/>
      <c r="AF222" s="109"/>
      <c r="AG222" s="109"/>
      <c r="AH222" s="109"/>
      <c r="AI222" s="109"/>
      <c r="AJ222" s="109"/>
      <c r="AK222" s="109"/>
      <c r="AL222" s="109"/>
      <c r="AM222" s="109"/>
      <c r="AN222" s="110"/>
      <c r="AO222" s="110"/>
      <c r="AP222" s="111"/>
      <c r="AQ222" s="112"/>
      <c r="AR222" s="112"/>
      <c r="AS222" s="112"/>
      <c r="AT222" s="112"/>
      <c r="AU222" s="112"/>
      <c r="AV222" s="112"/>
      <c r="AW222" s="112"/>
      <c r="AX222" s="112"/>
      <c r="AY222" s="112"/>
      <c r="AZ222" s="112"/>
      <c r="BA222" s="112"/>
      <c r="BB222" s="112"/>
      <c r="BC222" s="112"/>
      <c r="BD222" s="112"/>
      <c r="BE222" s="112"/>
    </row>
    <row r="223" spans="2:57" x14ac:dyDescent="0.35">
      <c r="B223" s="59"/>
      <c r="C223" s="59"/>
      <c r="D223" s="104"/>
      <c r="E223" s="105"/>
      <c r="F223" s="105"/>
      <c r="G223" s="105"/>
      <c r="H223" s="68"/>
      <c r="I223" s="106"/>
      <c r="J223" s="107"/>
      <c r="K223" s="108"/>
      <c r="L223" s="108"/>
      <c r="M223" s="108"/>
      <c r="N223" s="108"/>
      <c r="O223" s="108"/>
      <c r="P223" s="108"/>
      <c r="Q223" s="108"/>
      <c r="R223" s="108"/>
      <c r="S223" s="108"/>
      <c r="T223" s="108"/>
      <c r="U223" s="108"/>
      <c r="V223" s="108"/>
      <c r="W223" s="108"/>
      <c r="X223" s="108"/>
      <c r="Y223" s="108"/>
      <c r="Z223" s="109"/>
      <c r="AA223" s="109"/>
      <c r="AB223" s="109"/>
      <c r="AC223" s="109"/>
      <c r="AD223" s="109"/>
      <c r="AE223" s="109"/>
      <c r="AF223" s="109"/>
      <c r="AG223" s="109"/>
      <c r="AH223" s="109"/>
      <c r="AI223" s="109"/>
      <c r="AJ223" s="109"/>
      <c r="AK223" s="109"/>
      <c r="AL223" s="109"/>
      <c r="AM223" s="109"/>
      <c r="AN223" s="110"/>
      <c r="AO223" s="110"/>
      <c r="AP223" s="111"/>
      <c r="AQ223" s="112"/>
      <c r="AR223" s="112"/>
      <c r="AS223" s="112"/>
      <c r="AT223" s="112"/>
      <c r="AU223" s="112"/>
      <c r="AV223" s="112"/>
      <c r="AW223" s="112"/>
      <c r="AX223" s="112"/>
      <c r="AY223" s="112"/>
      <c r="AZ223" s="112"/>
      <c r="BA223" s="112"/>
      <c r="BB223" s="112"/>
      <c r="BC223" s="112"/>
      <c r="BD223" s="112"/>
      <c r="BE223" s="112"/>
    </row>
    <row r="224" spans="2:57" x14ac:dyDescent="0.35">
      <c r="B224" s="59"/>
      <c r="C224" s="59"/>
      <c r="D224" s="104"/>
      <c r="E224" s="105"/>
      <c r="F224" s="105"/>
      <c r="G224" s="105"/>
      <c r="H224" s="68"/>
      <c r="I224" s="106"/>
      <c r="J224" s="107"/>
      <c r="K224" s="108"/>
      <c r="L224" s="108"/>
      <c r="M224" s="108"/>
      <c r="N224" s="108"/>
      <c r="O224" s="108"/>
      <c r="P224" s="108"/>
      <c r="Q224" s="108"/>
      <c r="R224" s="108"/>
      <c r="S224" s="108"/>
      <c r="T224" s="108"/>
      <c r="U224" s="108"/>
      <c r="V224" s="108"/>
      <c r="W224" s="108"/>
      <c r="X224" s="108"/>
      <c r="Y224" s="108"/>
      <c r="Z224" s="109"/>
      <c r="AA224" s="109"/>
      <c r="AB224" s="109"/>
      <c r="AC224" s="109"/>
      <c r="AD224" s="109"/>
      <c r="AE224" s="109"/>
      <c r="AF224" s="109"/>
      <c r="AG224" s="109"/>
      <c r="AH224" s="109"/>
      <c r="AI224" s="109"/>
      <c r="AJ224" s="109"/>
      <c r="AK224" s="109"/>
      <c r="AL224" s="109"/>
      <c r="AM224" s="109"/>
      <c r="AN224" s="110"/>
      <c r="AO224" s="110"/>
      <c r="AP224" s="111"/>
      <c r="AQ224" s="112"/>
      <c r="AR224" s="112"/>
      <c r="AS224" s="112"/>
      <c r="AT224" s="112"/>
      <c r="AU224" s="112"/>
      <c r="AV224" s="112"/>
      <c r="AW224" s="112"/>
      <c r="AX224" s="112"/>
      <c r="AY224" s="112"/>
      <c r="AZ224" s="112"/>
      <c r="BA224" s="112"/>
      <c r="BB224" s="112"/>
      <c r="BC224" s="112"/>
      <c r="BD224" s="112"/>
      <c r="BE224" s="112"/>
    </row>
    <row r="225" spans="2:57" x14ac:dyDescent="0.35">
      <c r="B225" s="59"/>
      <c r="C225" s="59"/>
      <c r="D225" s="104"/>
      <c r="E225" s="105"/>
      <c r="F225" s="105"/>
      <c r="G225" s="105"/>
      <c r="H225" s="68"/>
      <c r="I225" s="106"/>
      <c r="J225" s="107"/>
      <c r="K225" s="108"/>
      <c r="L225" s="108"/>
      <c r="M225" s="108"/>
      <c r="N225" s="108"/>
      <c r="O225" s="108"/>
      <c r="P225" s="108"/>
      <c r="Q225" s="108"/>
      <c r="R225" s="108"/>
      <c r="S225" s="108"/>
      <c r="T225" s="108"/>
      <c r="U225" s="108"/>
      <c r="V225" s="108"/>
      <c r="W225" s="108"/>
      <c r="X225" s="108"/>
      <c r="Y225" s="108"/>
      <c r="Z225" s="109"/>
      <c r="AA225" s="109"/>
      <c r="AB225" s="109"/>
      <c r="AC225" s="109"/>
      <c r="AD225" s="109"/>
      <c r="AE225" s="109"/>
      <c r="AF225" s="109"/>
      <c r="AG225" s="109"/>
      <c r="AH225" s="109"/>
      <c r="AI225" s="109"/>
      <c r="AJ225" s="109"/>
      <c r="AK225" s="109"/>
      <c r="AL225" s="109"/>
      <c r="AM225" s="109"/>
      <c r="AN225" s="110"/>
      <c r="AO225" s="110"/>
      <c r="AP225" s="111"/>
      <c r="AQ225" s="112"/>
      <c r="AR225" s="112"/>
      <c r="AS225" s="112"/>
      <c r="AT225" s="112"/>
      <c r="AU225" s="112"/>
      <c r="AV225" s="112"/>
      <c r="AW225" s="112"/>
      <c r="AX225" s="112"/>
      <c r="AY225" s="112"/>
      <c r="AZ225" s="112"/>
      <c r="BA225" s="112"/>
      <c r="BB225" s="112"/>
      <c r="BC225" s="112"/>
      <c r="BD225" s="112"/>
      <c r="BE225" s="112"/>
    </row>
    <row r="226" spans="2:57" x14ac:dyDescent="0.35">
      <c r="B226" s="59"/>
      <c r="C226" s="59"/>
      <c r="D226" s="104"/>
      <c r="E226" s="105"/>
      <c r="F226" s="105"/>
      <c r="G226" s="105"/>
      <c r="H226" s="68"/>
      <c r="I226" s="106"/>
      <c r="J226" s="107"/>
      <c r="K226" s="108"/>
      <c r="L226" s="108"/>
      <c r="M226" s="108"/>
      <c r="N226" s="108"/>
      <c r="O226" s="108"/>
      <c r="P226" s="108"/>
      <c r="Q226" s="108"/>
      <c r="R226" s="108"/>
      <c r="S226" s="108"/>
      <c r="T226" s="108"/>
      <c r="U226" s="108"/>
      <c r="V226" s="108"/>
      <c r="W226" s="108"/>
      <c r="X226" s="108"/>
      <c r="Y226" s="108"/>
      <c r="Z226" s="109"/>
      <c r="AA226" s="109"/>
      <c r="AB226" s="109"/>
      <c r="AC226" s="109"/>
      <c r="AD226" s="109"/>
      <c r="AE226" s="109"/>
      <c r="AF226" s="109"/>
      <c r="AG226" s="109"/>
      <c r="AH226" s="109"/>
      <c r="AI226" s="109"/>
      <c r="AJ226" s="109"/>
      <c r="AK226" s="109"/>
      <c r="AL226" s="109"/>
      <c r="AM226" s="109"/>
      <c r="AN226" s="110"/>
      <c r="AO226" s="110"/>
      <c r="AP226" s="111"/>
      <c r="AQ226" s="112"/>
      <c r="AR226" s="112"/>
      <c r="AS226" s="112"/>
      <c r="AT226" s="112"/>
      <c r="AU226" s="112"/>
      <c r="AV226" s="112"/>
      <c r="AW226" s="112"/>
      <c r="AX226" s="112"/>
      <c r="AY226" s="112"/>
      <c r="AZ226" s="112"/>
      <c r="BA226" s="112"/>
      <c r="BB226" s="112"/>
      <c r="BC226" s="112"/>
      <c r="BD226" s="112"/>
      <c r="BE226" s="112"/>
    </row>
    <row r="227" spans="2:57" x14ac:dyDescent="0.35">
      <c r="B227" s="59"/>
      <c r="C227" s="59"/>
      <c r="D227" s="104"/>
      <c r="E227" s="105"/>
      <c r="F227" s="105"/>
      <c r="G227" s="105"/>
      <c r="H227" s="68"/>
      <c r="I227" s="106"/>
      <c r="J227" s="107"/>
      <c r="K227" s="108"/>
      <c r="L227" s="108"/>
      <c r="M227" s="108"/>
      <c r="N227" s="108"/>
      <c r="O227" s="108"/>
      <c r="P227" s="108"/>
      <c r="Q227" s="108"/>
      <c r="R227" s="108"/>
      <c r="S227" s="108"/>
      <c r="T227" s="108"/>
      <c r="U227" s="108"/>
      <c r="V227" s="108"/>
      <c r="W227" s="108"/>
      <c r="X227" s="108"/>
      <c r="Y227" s="108"/>
      <c r="Z227" s="109"/>
      <c r="AA227" s="109"/>
      <c r="AB227" s="109"/>
      <c r="AC227" s="109"/>
      <c r="AD227" s="109"/>
      <c r="AE227" s="109"/>
      <c r="AF227" s="109"/>
      <c r="AG227" s="109"/>
      <c r="AH227" s="109"/>
      <c r="AI227" s="109"/>
      <c r="AJ227" s="109"/>
      <c r="AK227" s="109"/>
      <c r="AL227" s="109"/>
      <c r="AM227" s="109"/>
      <c r="AN227" s="110"/>
      <c r="AO227" s="110"/>
      <c r="AP227" s="111"/>
      <c r="AQ227" s="112"/>
      <c r="AR227" s="112"/>
      <c r="AS227" s="112"/>
      <c r="AT227" s="112"/>
      <c r="AU227" s="112"/>
      <c r="AV227" s="112"/>
      <c r="AW227" s="112"/>
      <c r="AX227" s="112"/>
      <c r="AY227" s="112"/>
      <c r="AZ227" s="112"/>
      <c r="BA227" s="112"/>
      <c r="BB227" s="112"/>
      <c r="BC227" s="112"/>
      <c r="BD227" s="112"/>
      <c r="BE227" s="112"/>
    </row>
    <row r="228" spans="2:57" x14ac:dyDescent="0.35">
      <c r="B228" s="59"/>
      <c r="C228" s="59"/>
      <c r="D228" s="104"/>
      <c r="E228" s="105"/>
      <c r="F228" s="105"/>
      <c r="G228" s="105"/>
      <c r="H228" s="68"/>
      <c r="I228" s="106"/>
      <c r="J228" s="107"/>
      <c r="K228" s="108"/>
      <c r="L228" s="108"/>
      <c r="M228" s="108"/>
      <c r="N228" s="108"/>
      <c r="O228" s="108"/>
      <c r="P228" s="108"/>
      <c r="Q228" s="108"/>
      <c r="R228" s="108"/>
      <c r="S228" s="108"/>
      <c r="T228" s="108"/>
      <c r="U228" s="108"/>
      <c r="V228" s="108"/>
      <c r="W228" s="108"/>
      <c r="X228" s="108"/>
      <c r="Y228" s="108"/>
      <c r="Z228" s="109"/>
      <c r="AA228" s="109"/>
      <c r="AB228" s="109"/>
      <c r="AC228" s="109"/>
      <c r="AD228" s="109"/>
      <c r="AE228" s="109"/>
      <c r="AF228" s="109"/>
      <c r="AG228" s="109"/>
      <c r="AH228" s="109"/>
      <c r="AI228" s="109"/>
      <c r="AJ228" s="109"/>
      <c r="AK228" s="109"/>
      <c r="AL228" s="109"/>
      <c r="AM228" s="109"/>
      <c r="AN228" s="110"/>
      <c r="AO228" s="110"/>
      <c r="AP228" s="111"/>
      <c r="AQ228" s="112"/>
      <c r="AR228" s="112"/>
      <c r="AS228" s="112"/>
      <c r="AT228" s="112"/>
      <c r="AU228" s="112"/>
      <c r="AV228" s="112"/>
      <c r="AW228" s="112"/>
      <c r="AX228" s="112"/>
      <c r="AY228" s="112"/>
      <c r="AZ228" s="112"/>
      <c r="BA228" s="112"/>
      <c r="BB228" s="112"/>
      <c r="BC228" s="112"/>
      <c r="BD228" s="112"/>
      <c r="BE228" s="112"/>
    </row>
    <row r="229" spans="2:57" x14ac:dyDescent="0.35">
      <c r="B229" s="59"/>
      <c r="C229" s="59"/>
      <c r="D229" s="104"/>
      <c r="E229" s="105"/>
      <c r="F229" s="105"/>
      <c r="G229" s="105"/>
      <c r="H229" s="68"/>
      <c r="I229" s="106"/>
      <c r="J229" s="107"/>
      <c r="K229" s="108"/>
      <c r="L229" s="108"/>
      <c r="M229" s="108"/>
      <c r="N229" s="108"/>
      <c r="O229" s="108"/>
      <c r="P229" s="108"/>
      <c r="Q229" s="108"/>
      <c r="R229" s="108"/>
      <c r="S229" s="108"/>
      <c r="T229" s="108"/>
      <c r="U229" s="108"/>
      <c r="V229" s="108"/>
      <c r="W229" s="108"/>
      <c r="X229" s="108"/>
      <c r="Y229" s="108"/>
      <c r="Z229" s="109"/>
      <c r="AA229" s="109"/>
      <c r="AB229" s="109"/>
      <c r="AC229" s="109"/>
      <c r="AD229" s="109"/>
      <c r="AE229" s="109"/>
      <c r="AF229" s="109"/>
      <c r="AG229" s="109"/>
      <c r="AH229" s="109"/>
      <c r="AI229" s="109"/>
      <c r="AJ229" s="109"/>
      <c r="AK229" s="109"/>
      <c r="AL229" s="109"/>
      <c r="AM229" s="109"/>
      <c r="AN229" s="110"/>
      <c r="AO229" s="110"/>
      <c r="AP229" s="111"/>
      <c r="AQ229" s="112"/>
      <c r="AR229" s="112"/>
      <c r="AS229" s="112"/>
      <c r="AT229" s="112"/>
      <c r="AU229" s="112"/>
      <c r="AV229" s="112"/>
      <c r="AW229" s="112"/>
      <c r="AX229" s="112"/>
      <c r="AY229" s="112"/>
      <c r="AZ229" s="112"/>
      <c r="BA229" s="112"/>
      <c r="BB229" s="112"/>
      <c r="BC229" s="112"/>
      <c r="BD229" s="112"/>
      <c r="BE229" s="112"/>
    </row>
    <row r="230" spans="2:57" x14ac:dyDescent="0.35">
      <c r="B230" s="59"/>
      <c r="C230" s="59"/>
      <c r="D230" s="104"/>
      <c r="E230" s="105"/>
      <c r="F230" s="105"/>
      <c r="G230" s="105"/>
      <c r="H230" s="68"/>
      <c r="I230" s="106"/>
      <c r="J230" s="107"/>
      <c r="K230" s="108"/>
      <c r="L230" s="108"/>
      <c r="M230" s="108"/>
      <c r="N230" s="108"/>
      <c r="O230" s="108"/>
      <c r="P230" s="108"/>
      <c r="Q230" s="108"/>
      <c r="R230" s="108"/>
      <c r="S230" s="108"/>
      <c r="T230" s="108"/>
      <c r="U230" s="108"/>
      <c r="V230" s="108"/>
      <c r="W230" s="108"/>
      <c r="X230" s="108"/>
      <c r="Y230" s="108"/>
      <c r="Z230" s="109"/>
      <c r="AA230" s="109"/>
      <c r="AB230" s="109"/>
      <c r="AC230" s="109"/>
      <c r="AD230" s="109"/>
      <c r="AE230" s="109"/>
      <c r="AF230" s="109"/>
      <c r="AG230" s="109"/>
      <c r="AH230" s="109"/>
      <c r="AI230" s="109"/>
      <c r="AJ230" s="109"/>
      <c r="AK230" s="109"/>
      <c r="AL230" s="109"/>
      <c r="AM230" s="109"/>
      <c r="AN230" s="110"/>
      <c r="AO230" s="110"/>
      <c r="AP230" s="111"/>
      <c r="AQ230" s="112"/>
      <c r="AR230" s="112"/>
      <c r="AS230" s="112"/>
      <c r="AT230" s="112"/>
      <c r="AU230" s="112"/>
      <c r="AV230" s="112"/>
      <c r="AW230" s="112"/>
      <c r="AX230" s="112"/>
      <c r="AY230" s="112"/>
      <c r="AZ230" s="112"/>
      <c r="BA230" s="112"/>
      <c r="BB230" s="112"/>
      <c r="BC230" s="112"/>
      <c r="BD230" s="112"/>
      <c r="BE230" s="112"/>
    </row>
    <row r="231" spans="2:57" x14ac:dyDescent="0.35">
      <c r="B231" s="59"/>
      <c r="C231" s="59"/>
      <c r="D231" s="104"/>
      <c r="E231" s="105"/>
      <c r="F231" s="105"/>
      <c r="G231" s="105"/>
      <c r="H231" s="68"/>
      <c r="I231" s="106"/>
      <c r="J231" s="107"/>
      <c r="K231" s="108"/>
      <c r="L231" s="108"/>
      <c r="M231" s="108"/>
      <c r="N231" s="108"/>
      <c r="O231" s="108"/>
      <c r="P231" s="108"/>
      <c r="Q231" s="108"/>
      <c r="R231" s="108"/>
      <c r="S231" s="108"/>
      <c r="T231" s="108"/>
      <c r="U231" s="108"/>
      <c r="V231" s="108"/>
      <c r="W231" s="108"/>
      <c r="X231" s="108"/>
      <c r="Y231" s="108"/>
      <c r="Z231" s="109"/>
      <c r="AA231" s="109"/>
      <c r="AB231" s="109"/>
      <c r="AC231" s="109"/>
      <c r="AD231" s="109"/>
      <c r="AE231" s="109"/>
      <c r="AF231" s="109"/>
      <c r="AG231" s="109"/>
      <c r="AH231" s="109"/>
      <c r="AI231" s="109"/>
      <c r="AJ231" s="109"/>
      <c r="AK231" s="109"/>
      <c r="AL231" s="109"/>
      <c r="AM231" s="109"/>
      <c r="AN231" s="110"/>
      <c r="AO231" s="110"/>
      <c r="AP231" s="111"/>
      <c r="AQ231" s="112"/>
      <c r="AR231" s="112"/>
      <c r="AS231" s="112"/>
      <c r="AT231" s="112"/>
      <c r="AU231" s="112"/>
      <c r="AV231" s="112"/>
      <c r="AW231" s="112"/>
      <c r="AX231" s="112"/>
      <c r="AY231" s="112"/>
      <c r="AZ231" s="112"/>
      <c r="BA231" s="112"/>
      <c r="BB231" s="112"/>
      <c r="BC231" s="112"/>
      <c r="BD231" s="112"/>
      <c r="BE231" s="112"/>
    </row>
    <row r="232" spans="2:57" x14ac:dyDescent="0.35">
      <c r="B232" s="59"/>
      <c r="C232" s="59"/>
      <c r="D232" s="104"/>
      <c r="E232" s="105"/>
      <c r="F232" s="105"/>
      <c r="G232" s="105"/>
      <c r="H232" s="68"/>
      <c r="I232" s="106"/>
      <c r="J232" s="107"/>
      <c r="K232" s="108"/>
      <c r="L232" s="108"/>
      <c r="M232" s="108"/>
      <c r="N232" s="108"/>
      <c r="O232" s="108"/>
      <c r="P232" s="108"/>
      <c r="Q232" s="108"/>
      <c r="R232" s="108"/>
      <c r="S232" s="108"/>
      <c r="T232" s="108"/>
      <c r="U232" s="108"/>
      <c r="V232" s="108"/>
      <c r="W232" s="108"/>
      <c r="X232" s="108"/>
      <c r="Y232" s="108"/>
      <c r="Z232" s="109"/>
      <c r="AA232" s="109"/>
      <c r="AB232" s="109"/>
      <c r="AC232" s="109"/>
      <c r="AD232" s="109"/>
      <c r="AE232" s="109"/>
      <c r="AF232" s="109"/>
      <c r="AG232" s="109"/>
      <c r="AH232" s="109"/>
      <c r="AI232" s="109"/>
      <c r="AJ232" s="109"/>
      <c r="AK232" s="109"/>
      <c r="AL232" s="109"/>
      <c r="AM232" s="109"/>
      <c r="AN232" s="110"/>
      <c r="AO232" s="110"/>
      <c r="AP232" s="111"/>
      <c r="AQ232" s="112"/>
      <c r="AR232" s="112"/>
      <c r="AS232" s="112"/>
      <c r="AT232" s="112"/>
      <c r="AU232" s="112"/>
      <c r="AV232" s="112"/>
      <c r="AW232" s="112"/>
      <c r="AX232" s="112"/>
      <c r="AY232" s="112"/>
      <c r="AZ232" s="112"/>
      <c r="BA232" s="112"/>
      <c r="BB232" s="112"/>
      <c r="BC232" s="112"/>
      <c r="BD232" s="112"/>
      <c r="BE232" s="112"/>
    </row>
    <row r="233" spans="2:57" x14ac:dyDescent="0.35">
      <c r="B233" s="59"/>
      <c r="C233" s="59"/>
      <c r="D233" s="104"/>
      <c r="E233" s="105"/>
      <c r="F233" s="105"/>
      <c r="G233" s="105"/>
      <c r="H233" s="68"/>
      <c r="I233" s="106"/>
      <c r="J233" s="107"/>
      <c r="K233" s="108"/>
      <c r="L233" s="108"/>
      <c r="M233" s="108"/>
      <c r="N233" s="108"/>
      <c r="O233" s="108"/>
      <c r="P233" s="108"/>
      <c r="Q233" s="108"/>
      <c r="R233" s="108"/>
      <c r="S233" s="108"/>
      <c r="T233" s="108"/>
      <c r="U233" s="108"/>
      <c r="V233" s="108"/>
      <c r="W233" s="108"/>
      <c r="X233" s="108"/>
      <c r="Y233" s="108"/>
      <c r="Z233" s="109"/>
      <c r="AA233" s="109"/>
      <c r="AB233" s="109"/>
      <c r="AC233" s="109"/>
      <c r="AD233" s="109"/>
      <c r="AE233" s="109"/>
      <c r="AF233" s="109"/>
      <c r="AG233" s="109"/>
      <c r="AH233" s="109"/>
      <c r="AI233" s="109"/>
      <c r="AJ233" s="109"/>
      <c r="AK233" s="109"/>
      <c r="AL233" s="109"/>
      <c r="AM233" s="109"/>
      <c r="AN233" s="110"/>
      <c r="AO233" s="110"/>
      <c r="AP233" s="111"/>
      <c r="AQ233" s="112"/>
      <c r="AR233" s="112"/>
      <c r="AS233" s="112"/>
      <c r="AT233" s="112"/>
      <c r="AU233" s="112"/>
      <c r="AV233" s="112"/>
      <c r="AW233" s="112"/>
      <c r="AX233" s="112"/>
      <c r="AY233" s="112"/>
      <c r="AZ233" s="112"/>
      <c r="BA233" s="112"/>
      <c r="BB233" s="112"/>
      <c r="BC233" s="112"/>
      <c r="BD233" s="112"/>
      <c r="BE233" s="112"/>
    </row>
    <row r="234" spans="2:57" x14ac:dyDescent="0.35">
      <c r="B234" s="59"/>
      <c r="C234" s="59"/>
      <c r="D234" s="104"/>
      <c r="E234" s="105"/>
      <c r="F234" s="105"/>
      <c r="G234" s="105"/>
      <c r="H234" s="68"/>
      <c r="I234" s="106"/>
      <c r="J234" s="107"/>
      <c r="K234" s="108"/>
      <c r="L234" s="108"/>
      <c r="M234" s="108"/>
      <c r="N234" s="108"/>
      <c r="O234" s="108"/>
      <c r="P234" s="108"/>
      <c r="Q234" s="108"/>
      <c r="R234" s="108"/>
      <c r="S234" s="108"/>
      <c r="T234" s="108"/>
      <c r="U234" s="108"/>
      <c r="V234" s="108"/>
      <c r="W234" s="108"/>
      <c r="X234" s="108"/>
      <c r="Y234" s="108"/>
      <c r="Z234" s="109"/>
      <c r="AA234" s="109"/>
      <c r="AB234" s="109"/>
      <c r="AC234" s="109"/>
      <c r="AD234" s="109"/>
      <c r="AE234" s="109"/>
      <c r="AF234" s="109"/>
      <c r="AG234" s="109"/>
      <c r="AH234" s="109"/>
      <c r="AI234" s="109"/>
      <c r="AJ234" s="109"/>
      <c r="AK234" s="109"/>
      <c r="AL234" s="109"/>
      <c r="AM234" s="109"/>
      <c r="AN234" s="110"/>
      <c r="AO234" s="110"/>
      <c r="AP234" s="111"/>
      <c r="AQ234" s="112"/>
      <c r="AR234" s="112"/>
      <c r="AS234" s="112"/>
      <c r="AT234" s="112"/>
      <c r="AU234" s="112"/>
      <c r="AV234" s="112"/>
      <c r="AW234" s="112"/>
      <c r="AX234" s="112"/>
      <c r="AY234" s="112"/>
      <c r="AZ234" s="112"/>
      <c r="BA234" s="112"/>
      <c r="BB234" s="112"/>
      <c r="BC234" s="112"/>
      <c r="BD234" s="112"/>
      <c r="BE234" s="112"/>
    </row>
    <row r="235" spans="2:57" x14ac:dyDescent="0.35">
      <c r="B235" s="59"/>
      <c r="C235" s="59"/>
      <c r="D235" s="104"/>
      <c r="E235" s="105"/>
      <c r="F235" s="105"/>
      <c r="G235" s="105"/>
      <c r="H235" s="68"/>
      <c r="I235" s="106"/>
      <c r="J235" s="107"/>
      <c r="K235" s="108"/>
      <c r="L235" s="108"/>
      <c r="M235" s="108"/>
      <c r="N235" s="108"/>
      <c r="O235" s="108"/>
      <c r="P235" s="108"/>
      <c r="Q235" s="108"/>
      <c r="R235" s="108"/>
      <c r="S235" s="108"/>
      <c r="T235" s="108"/>
      <c r="U235" s="108"/>
      <c r="V235" s="108"/>
      <c r="W235" s="108"/>
      <c r="X235" s="108"/>
      <c r="Y235" s="108"/>
      <c r="Z235" s="109"/>
      <c r="AA235" s="109"/>
      <c r="AB235" s="109"/>
      <c r="AC235" s="109"/>
      <c r="AD235" s="109"/>
      <c r="AE235" s="109"/>
      <c r="AF235" s="109"/>
      <c r="AG235" s="109"/>
      <c r="AH235" s="109"/>
      <c r="AI235" s="109"/>
      <c r="AJ235" s="109"/>
      <c r="AK235" s="109"/>
      <c r="AL235" s="109"/>
      <c r="AM235" s="109"/>
      <c r="AN235" s="110"/>
      <c r="AO235" s="110"/>
      <c r="AP235" s="111"/>
      <c r="AQ235" s="112"/>
      <c r="AR235" s="112"/>
      <c r="AS235" s="112"/>
      <c r="AT235" s="112"/>
      <c r="AU235" s="112"/>
      <c r="AV235" s="112"/>
      <c r="AW235" s="112"/>
      <c r="AX235" s="112"/>
      <c r="AY235" s="112"/>
      <c r="AZ235" s="112"/>
      <c r="BA235" s="112"/>
      <c r="BB235" s="112"/>
      <c r="BC235" s="112"/>
      <c r="BD235" s="112"/>
      <c r="BE235" s="112"/>
    </row>
    <row r="236" spans="2:57" x14ac:dyDescent="0.35">
      <c r="B236" s="59"/>
      <c r="C236" s="59"/>
      <c r="D236" s="104"/>
      <c r="E236" s="105"/>
      <c r="F236" s="105"/>
      <c r="G236" s="105"/>
      <c r="H236" s="68"/>
      <c r="I236" s="106"/>
      <c r="J236" s="107"/>
      <c r="K236" s="108"/>
      <c r="L236" s="108"/>
      <c r="M236" s="108"/>
      <c r="N236" s="108"/>
      <c r="O236" s="108"/>
      <c r="P236" s="108"/>
      <c r="Q236" s="108"/>
      <c r="R236" s="108"/>
      <c r="S236" s="108"/>
      <c r="T236" s="108"/>
      <c r="U236" s="108"/>
      <c r="V236" s="108"/>
      <c r="W236" s="108"/>
      <c r="X236" s="108"/>
      <c r="Y236" s="108"/>
      <c r="Z236" s="109"/>
      <c r="AA236" s="109"/>
      <c r="AB236" s="109"/>
      <c r="AC236" s="109"/>
      <c r="AD236" s="109"/>
      <c r="AE236" s="109"/>
      <c r="AF236" s="109"/>
      <c r="AG236" s="109"/>
      <c r="AH236" s="109"/>
      <c r="AI236" s="109"/>
      <c r="AJ236" s="109"/>
      <c r="AK236" s="109"/>
      <c r="AL236" s="109"/>
      <c r="AM236" s="109"/>
      <c r="AN236" s="110"/>
      <c r="AO236" s="110"/>
      <c r="AP236" s="111"/>
      <c r="AQ236" s="112"/>
      <c r="AR236" s="112"/>
      <c r="AS236" s="112"/>
      <c r="AT236" s="112"/>
      <c r="AU236" s="112"/>
      <c r="AV236" s="112"/>
      <c r="AW236" s="112"/>
      <c r="AX236" s="112"/>
      <c r="AY236" s="112"/>
      <c r="AZ236" s="112"/>
      <c r="BA236" s="112"/>
      <c r="BB236" s="112"/>
      <c r="BC236" s="112"/>
      <c r="BD236" s="112"/>
      <c r="BE236" s="112"/>
    </row>
    <row r="237" spans="2:57" x14ac:dyDescent="0.35">
      <c r="B237" s="59"/>
      <c r="C237" s="59"/>
      <c r="D237" s="104"/>
      <c r="E237" s="105"/>
      <c r="F237" s="105"/>
      <c r="G237" s="105"/>
      <c r="H237" s="68"/>
      <c r="I237" s="106"/>
      <c r="J237" s="107"/>
      <c r="K237" s="108"/>
      <c r="L237" s="108"/>
      <c r="M237" s="108"/>
      <c r="N237" s="108"/>
      <c r="O237" s="108"/>
      <c r="P237" s="108"/>
      <c r="Q237" s="108"/>
      <c r="R237" s="108"/>
      <c r="S237" s="108"/>
      <c r="T237" s="108"/>
      <c r="U237" s="108"/>
      <c r="V237" s="108"/>
      <c r="W237" s="108"/>
      <c r="X237" s="108"/>
      <c r="Y237" s="108"/>
      <c r="Z237" s="109"/>
      <c r="AA237" s="109"/>
      <c r="AB237" s="109"/>
      <c r="AC237" s="109"/>
      <c r="AD237" s="109"/>
      <c r="AE237" s="109"/>
      <c r="AF237" s="109"/>
      <c r="AG237" s="109"/>
      <c r="AH237" s="109"/>
      <c r="AI237" s="109"/>
      <c r="AJ237" s="109"/>
      <c r="AK237" s="109"/>
      <c r="AL237" s="109"/>
      <c r="AM237" s="109"/>
      <c r="AN237" s="110"/>
      <c r="AO237" s="110"/>
      <c r="AP237" s="111"/>
      <c r="AQ237" s="112"/>
      <c r="AR237" s="112"/>
      <c r="AS237" s="112"/>
      <c r="AT237" s="112"/>
      <c r="AU237" s="112"/>
      <c r="AV237" s="112"/>
      <c r="AW237" s="112"/>
      <c r="AX237" s="112"/>
      <c r="AY237" s="112"/>
      <c r="AZ237" s="112"/>
      <c r="BA237" s="112"/>
      <c r="BB237" s="112"/>
      <c r="BC237" s="112"/>
      <c r="BD237" s="112"/>
      <c r="BE237" s="112"/>
    </row>
    <row r="238" spans="2:57" x14ac:dyDescent="0.35">
      <c r="B238" s="59"/>
      <c r="C238" s="59"/>
      <c r="D238" s="104"/>
      <c r="E238" s="105"/>
      <c r="F238" s="105"/>
      <c r="G238" s="105"/>
      <c r="H238" s="68"/>
      <c r="I238" s="106"/>
      <c r="J238" s="107"/>
      <c r="K238" s="108"/>
      <c r="L238" s="108"/>
      <c r="M238" s="108"/>
      <c r="N238" s="108"/>
      <c r="O238" s="108"/>
      <c r="P238" s="108"/>
      <c r="Q238" s="108"/>
      <c r="R238" s="108"/>
      <c r="S238" s="108"/>
      <c r="T238" s="108"/>
      <c r="U238" s="108"/>
      <c r="V238" s="108"/>
      <c r="W238" s="108"/>
      <c r="X238" s="108"/>
      <c r="Y238" s="108"/>
      <c r="Z238" s="109"/>
      <c r="AA238" s="109"/>
      <c r="AB238" s="109"/>
      <c r="AC238" s="109"/>
      <c r="AD238" s="109"/>
      <c r="AE238" s="109"/>
      <c r="AF238" s="109"/>
      <c r="AG238" s="109"/>
      <c r="AH238" s="109"/>
      <c r="AI238" s="109"/>
      <c r="AJ238" s="109"/>
      <c r="AK238" s="109"/>
      <c r="AL238" s="109"/>
      <c r="AM238" s="109"/>
      <c r="AN238" s="110"/>
      <c r="AO238" s="110"/>
      <c r="AP238" s="111"/>
      <c r="AQ238" s="112"/>
      <c r="AR238" s="112"/>
      <c r="AS238" s="112"/>
      <c r="AT238" s="112"/>
      <c r="AU238" s="112"/>
      <c r="AV238" s="112"/>
      <c r="AW238" s="112"/>
      <c r="AX238" s="112"/>
      <c r="AY238" s="112"/>
      <c r="AZ238" s="112"/>
      <c r="BA238" s="112"/>
      <c r="BB238" s="112"/>
      <c r="BC238" s="112"/>
      <c r="BD238" s="112"/>
      <c r="BE238" s="112"/>
    </row>
    <row r="239" spans="2:57" x14ac:dyDescent="0.35">
      <c r="B239" s="59"/>
      <c r="C239" s="59"/>
      <c r="D239" s="104"/>
      <c r="E239" s="105"/>
      <c r="F239" s="105"/>
      <c r="G239" s="105"/>
      <c r="H239" s="68"/>
      <c r="I239" s="106"/>
      <c r="J239" s="107"/>
      <c r="K239" s="108"/>
      <c r="L239" s="108"/>
      <c r="M239" s="108"/>
      <c r="N239" s="108"/>
      <c r="O239" s="108"/>
      <c r="P239" s="108"/>
      <c r="Q239" s="108"/>
      <c r="R239" s="108"/>
      <c r="S239" s="108"/>
      <c r="T239" s="108"/>
      <c r="U239" s="108"/>
      <c r="V239" s="108"/>
      <c r="W239" s="108"/>
      <c r="X239" s="108"/>
      <c r="Y239" s="108"/>
      <c r="Z239" s="109"/>
      <c r="AA239" s="109"/>
      <c r="AB239" s="109"/>
      <c r="AC239" s="109"/>
      <c r="AD239" s="109"/>
      <c r="AE239" s="109"/>
      <c r="AF239" s="109"/>
      <c r="AG239" s="109"/>
      <c r="AH239" s="109"/>
      <c r="AI239" s="109"/>
      <c r="AJ239" s="109"/>
      <c r="AK239" s="109"/>
      <c r="AL239" s="109"/>
      <c r="AM239" s="109"/>
      <c r="AN239" s="110"/>
      <c r="AO239" s="110"/>
      <c r="AP239" s="111"/>
      <c r="AQ239" s="112"/>
      <c r="AR239" s="112"/>
      <c r="AS239" s="112"/>
      <c r="AT239" s="112"/>
      <c r="AU239" s="112"/>
      <c r="AV239" s="112"/>
      <c r="AW239" s="112"/>
      <c r="AX239" s="112"/>
      <c r="AY239" s="112"/>
      <c r="AZ239" s="112"/>
      <c r="BA239" s="112"/>
      <c r="BB239" s="112"/>
      <c r="BC239" s="112"/>
      <c r="BD239" s="112"/>
      <c r="BE239" s="112"/>
    </row>
    <row r="240" spans="2:57" x14ac:dyDescent="0.35">
      <c r="B240" s="59"/>
      <c r="C240" s="59"/>
      <c r="D240" s="104"/>
      <c r="E240" s="105"/>
      <c r="F240" s="105"/>
      <c r="G240" s="105"/>
      <c r="H240" s="68"/>
      <c r="I240" s="106"/>
      <c r="J240" s="107"/>
      <c r="K240" s="108"/>
      <c r="L240" s="108"/>
      <c r="M240" s="108"/>
      <c r="N240" s="108"/>
      <c r="O240" s="108"/>
      <c r="P240" s="108"/>
      <c r="Q240" s="108"/>
      <c r="R240" s="108"/>
      <c r="S240" s="108"/>
      <c r="T240" s="108"/>
      <c r="U240" s="108"/>
      <c r="V240" s="108"/>
      <c r="W240" s="108"/>
      <c r="X240" s="108"/>
      <c r="Y240" s="108"/>
      <c r="Z240" s="109"/>
      <c r="AA240" s="109"/>
      <c r="AB240" s="109"/>
      <c r="AC240" s="109"/>
      <c r="AD240" s="109"/>
      <c r="AE240" s="109"/>
      <c r="AF240" s="109"/>
      <c r="AG240" s="109"/>
      <c r="AH240" s="109"/>
      <c r="AI240" s="109"/>
      <c r="AJ240" s="109"/>
      <c r="AK240" s="109"/>
      <c r="AL240" s="109"/>
      <c r="AM240" s="109"/>
      <c r="AN240" s="110"/>
      <c r="AO240" s="110"/>
      <c r="AP240" s="111"/>
      <c r="AQ240" s="112"/>
      <c r="AR240" s="112"/>
      <c r="AS240" s="112"/>
      <c r="AT240" s="112"/>
      <c r="AU240" s="112"/>
      <c r="AV240" s="112"/>
      <c r="AW240" s="112"/>
      <c r="AX240" s="112"/>
      <c r="AY240" s="112"/>
      <c r="AZ240" s="112"/>
      <c r="BA240" s="112"/>
      <c r="BB240" s="112"/>
      <c r="BC240" s="112"/>
      <c r="BD240" s="112"/>
      <c r="BE240" s="112"/>
    </row>
    <row r="241" spans="2:57" x14ac:dyDescent="0.35">
      <c r="B241" s="59"/>
      <c r="C241" s="59"/>
      <c r="D241" s="104"/>
      <c r="E241" s="105"/>
      <c r="F241" s="105"/>
      <c r="G241" s="105"/>
      <c r="H241" s="68"/>
      <c r="I241" s="106"/>
      <c r="J241" s="107"/>
      <c r="K241" s="108"/>
      <c r="L241" s="108"/>
      <c r="M241" s="108"/>
      <c r="N241" s="108"/>
      <c r="O241" s="108"/>
      <c r="P241" s="108"/>
      <c r="Q241" s="108"/>
      <c r="R241" s="108"/>
      <c r="S241" s="108"/>
      <c r="T241" s="108"/>
      <c r="U241" s="108"/>
      <c r="V241" s="108"/>
      <c r="W241" s="108"/>
      <c r="X241" s="108"/>
      <c r="Y241" s="108"/>
      <c r="Z241" s="109"/>
      <c r="AA241" s="109"/>
      <c r="AB241" s="109"/>
      <c r="AC241" s="109"/>
      <c r="AD241" s="109"/>
      <c r="AE241" s="109"/>
      <c r="AF241" s="109"/>
      <c r="AG241" s="109"/>
      <c r="AH241" s="109"/>
      <c r="AI241" s="109"/>
      <c r="AJ241" s="109"/>
      <c r="AK241" s="109"/>
      <c r="AL241" s="109"/>
      <c r="AM241" s="109"/>
      <c r="AN241" s="110"/>
      <c r="AO241" s="110"/>
      <c r="AP241" s="111"/>
      <c r="AQ241" s="112"/>
      <c r="AR241" s="112"/>
      <c r="AS241" s="112"/>
      <c r="AT241" s="112"/>
      <c r="AU241" s="112"/>
      <c r="AV241" s="112"/>
      <c r="AW241" s="112"/>
      <c r="AX241" s="112"/>
      <c r="AY241" s="112"/>
      <c r="AZ241" s="112"/>
      <c r="BA241" s="112"/>
      <c r="BB241" s="112"/>
      <c r="BC241" s="112"/>
      <c r="BD241" s="112"/>
      <c r="BE241" s="112"/>
    </row>
    <row r="242" spans="2:57" x14ac:dyDescent="0.35">
      <c r="B242" s="59"/>
      <c r="C242" s="59"/>
      <c r="D242" s="104"/>
      <c r="E242" s="105"/>
      <c r="F242" s="105"/>
      <c r="G242" s="105"/>
      <c r="H242" s="68"/>
      <c r="I242" s="106"/>
      <c r="J242" s="107"/>
      <c r="K242" s="108"/>
      <c r="L242" s="108"/>
      <c r="M242" s="108"/>
      <c r="N242" s="108"/>
      <c r="O242" s="108"/>
      <c r="P242" s="108"/>
      <c r="Q242" s="108"/>
      <c r="R242" s="108"/>
      <c r="S242" s="108"/>
      <c r="T242" s="108"/>
      <c r="U242" s="108"/>
      <c r="V242" s="108"/>
      <c r="W242" s="108"/>
      <c r="X242" s="108"/>
      <c r="Y242" s="108"/>
      <c r="Z242" s="109"/>
      <c r="AA242" s="109"/>
      <c r="AB242" s="109"/>
      <c r="AC242" s="109"/>
      <c r="AD242" s="109"/>
      <c r="AE242" s="109"/>
      <c r="AF242" s="109"/>
      <c r="AG242" s="109"/>
      <c r="AH242" s="109"/>
      <c r="AI242" s="109"/>
      <c r="AJ242" s="109"/>
      <c r="AK242" s="109"/>
      <c r="AL242" s="109"/>
      <c r="AM242" s="109"/>
      <c r="AN242" s="110"/>
      <c r="AO242" s="110"/>
      <c r="AP242" s="111"/>
      <c r="AQ242" s="112"/>
      <c r="AR242" s="112"/>
      <c r="AS242" s="112"/>
      <c r="AT242" s="112"/>
      <c r="AU242" s="112"/>
      <c r="AV242" s="112"/>
      <c r="AW242" s="112"/>
      <c r="AX242" s="112"/>
      <c r="AY242" s="112"/>
      <c r="AZ242" s="112"/>
      <c r="BA242" s="112"/>
      <c r="BB242" s="112"/>
      <c r="BC242" s="112"/>
      <c r="BD242" s="112"/>
      <c r="BE242" s="112"/>
    </row>
    <row r="243" spans="2:57" x14ac:dyDescent="0.35">
      <c r="B243" s="59"/>
      <c r="C243" s="59"/>
      <c r="D243" s="104"/>
      <c r="E243" s="105"/>
      <c r="F243" s="105"/>
      <c r="G243" s="105"/>
      <c r="H243" s="68"/>
      <c r="I243" s="106"/>
      <c r="J243" s="107"/>
      <c r="K243" s="108"/>
      <c r="L243" s="108"/>
      <c r="M243" s="108"/>
      <c r="N243" s="108"/>
      <c r="O243" s="108"/>
      <c r="P243" s="108"/>
      <c r="Q243" s="108"/>
      <c r="R243" s="108"/>
      <c r="S243" s="108"/>
      <c r="T243" s="108"/>
      <c r="U243" s="108"/>
      <c r="V243" s="108"/>
      <c r="W243" s="108"/>
      <c r="X243" s="108"/>
      <c r="Y243" s="108"/>
      <c r="Z243" s="109"/>
      <c r="AA243" s="109"/>
      <c r="AB243" s="109"/>
      <c r="AC243" s="109"/>
      <c r="AD243" s="109"/>
      <c r="AE243" s="109"/>
      <c r="AF243" s="109"/>
      <c r="AG243" s="109"/>
      <c r="AH243" s="109"/>
      <c r="AI243" s="109"/>
      <c r="AJ243" s="109"/>
      <c r="AK243" s="109"/>
      <c r="AL243" s="109"/>
      <c r="AM243" s="109"/>
      <c r="AN243" s="110"/>
      <c r="AO243" s="110"/>
      <c r="AP243" s="111"/>
      <c r="AQ243" s="112"/>
      <c r="AR243" s="112"/>
      <c r="AS243" s="112"/>
      <c r="AT243" s="112"/>
      <c r="AU243" s="112"/>
      <c r="AV243" s="112"/>
      <c r="AW243" s="112"/>
      <c r="AX243" s="112"/>
      <c r="AY243" s="112"/>
      <c r="AZ243" s="112"/>
      <c r="BA243" s="112"/>
      <c r="BB243" s="112"/>
      <c r="BC243" s="112"/>
      <c r="BD243" s="112"/>
      <c r="BE243" s="112"/>
    </row>
    <row r="244" spans="2:57" x14ac:dyDescent="0.35">
      <c r="B244" s="59"/>
      <c r="C244" s="59"/>
      <c r="D244" s="104"/>
      <c r="E244" s="105"/>
      <c r="F244" s="105"/>
      <c r="G244" s="105"/>
      <c r="H244" s="68"/>
      <c r="I244" s="106"/>
      <c r="J244" s="107"/>
      <c r="K244" s="108"/>
      <c r="L244" s="108"/>
      <c r="M244" s="108"/>
      <c r="N244" s="108"/>
      <c r="O244" s="108"/>
      <c r="P244" s="108"/>
      <c r="Q244" s="108"/>
      <c r="R244" s="108"/>
      <c r="S244" s="108"/>
      <c r="T244" s="108"/>
      <c r="U244" s="108"/>
      <c r="V244" s="108"/>
      <c r="W244" s="108"/>
      <c r="X244" s="108"/>
      <c r="Y244" s="108"/>
      <c r="Z244" s="109"/>
      <c r="AA244" s="109"/>
      <c r="AB244" s="109"/>
      <c r="AC244" s="109"/>
      <c r="AD244" s="109"/>
      <c r="AE244" s="109"/>
      <c r="AF244" s="109"/>
      <c r="AG244" s="109"/>
      <c r="AH244" s="109"/>
      <c r="AI244" s="109"/>
      <c r="AJ244" s="109"/>
      <c r="AK244" s="109"/>
      <c r="AL244" s="109"/>
      <c r="AM244" s="109"/>
      <c r="AN244" s="110"/>
      <c r="AO244" s="110"/>
      <c r="AP244" s="111"/>
      <c r="AQ244" s="112"/>
      <c r="AR244" s="112"/>
      <c r="AS244" s="112"/>
      <c r="AT244" s="112"/>
      <c r="AU244" s="112"/>
      <c r="AV244" s="112"/>
      <c r="AW244" s="112"/>
      <c r="AX244" s="112"/>
      <c r="AY244" s="112"/>
      <c r="AZ244" s="112"/>
      <c r="BA244" s="112"/>
      <c r="BB244" s="112"/>
      <c r="BC244" s="112"/>
      <c r="BD244" s="112"/>
      <c r="BE244" s="112"/>
    </row>
    <row r="245" spans="2:57" x14ac:dyDescent="0.35">
      <c r="B245" s="59"/>
      <c r="C245" s="59"/>
      <c r="D245" s="104"/>
      <c r="E245" s="105"/>
      <c r="F245" s="105"/>
      <c r="G245" s="105"/>
      <c r="H245" s="68"/>
      <c r="I245" s="106"/>
      <c r="J245" s="107"/>
      <c r="K245" s="108"/>
      <c r="L245" s="108"/>
      <c r="M245" s="108"/>
      <c r="N245" s="108"/>
      <c r="O245" s="108"/>
      <c r="P245" s="108"/>
      <c r="Q245" s="108"/>
      <c r="R245" s="108"/>
      <c r="S245" s="108"/>
      <c r="T245" s="108"/>
      <c r="U245" s="108"/>
      <c r="V245" s="108"/>
      <c r="W245" s="108"/>
      <c r="X245" s="108"/>
      <c r="Y245" s="108"/>
      <c r="Z245" s="109"/>
      <c r="AA245" s="109"/>
      <c r="AB245" s="109"/>
      <c r="AC245" s="109"/>
      <c r="AD245" s="109"/>
      <c r="AE245" s="109"/>
      <c r="AF245" s="109"/>
      <c r="AG245" s="109"/>
      <c r="AH245" s="109"/>
      <c r="AI245" s="109"/>
      <c r="AJ245" s="109"/>
      <c r="AK245" s="109"/>
      <c r="AL245" s="109"/>
      <c r="AM245" s="109"/>
      <c r="AN245" s="110"/>
      <c r="AO245" s="110"/>
      <c r="AP245" s="111"/>
      <c r="AQ245" s="112"/>
      <c r="AR245" s="112"/>
      <c r="AS245" s="112"/>
      <c r="AT245" s="112"/>
      <c r="AU245" s="112"/>
      <c r="AV245" s="112"/>
      <c r="AW245" s="112"/>
      <c r="AX245" s="112"/>
      <c r="AY245" s="112"/>
      <c r="AZ245" s="112"/>
      <c r="BA245" s="112"/>
      <c r="BB245" s="112"/>
      <c r="BC245" s="112"/>
      <c r="BD245" s="112"/>
      <c r="BE245" s="112"/>
    </row>
    <row r="246" spans="2:57" x14ac:dyDescent="0.35">
      <c r="B246" s="59"/>
      <c r="C246" s="59"/>
      <c r="D246" s="104"/>
      <c r="E246" s="105"/>
      <c r="F246" s="105"/>
      <c r="G246" s="105"/>
      <c r="H246" s="68"/>
      <c r="I246" s="106"/>
      <c r="J246" s="107"/>
      <c r="K246" s="108"/>
      <c r="L246" s="108"/>
      <c r="M246" s="108"/>
      <c r="N246" s="108"/>
      <c r="O246" s="108"/>
      <c r="P246" s="108"/>
      <c r="Q246" s="108"/>
      <c r="R246" s="108"/>
      <c r="S246" s="108"/>
      <c r="T246" s="108"/>
      <c r="U246" s="108"/>
      <c r="V246" s="108"/>
      <c r="W246" s="108"/>
      <c r="X246" s="108"/>
      <c r="Y246" s="108"/>
      <c r="Z246" s="109"/>
      <c r="AA246" s="109"/>
      <c r="AB246" s="109"/>
      <c r="AC246" s="109"/>
      <c r="AD246" s="109"/>
      <c r="AE246" s="109"/>
      <c r="AF246" s="109"/>
      <c r="AG246" s="109"/>
      <c r="AH246" s="109"/>
      <c r="AI246" s="109"/>
      <c r="AJ246" s="109"/>
      <c r="AK246" s="109"/>
      <c r="AL246" s="109"/>
      <c r="AM246" s="109"/>
      <c r="AN246" s="110"/>
      <c r="AO246" s="110"/>
      <c r="AP246" s="111"/>
      <c r="AQ246" s="112"/>
      <c r="AR246" s="112"/>
      <c r="AS246" s="112"/>
      <c r="AT246" s="112"/>
      <c r="AU246" s="112"/>
      <c r="AV246" s="112"/>
      <c r="AW246" s="112"/>
      <c r="AX246" s="112"/>
      <c r="AY246" s="112"/>
      <c r="AZ246" s="112"/>
      <c r="BA246" s="112"/>
      <c r="BB246" s="112"/>
      <c r="BC246" s="112"/>
      <c r="BD246" s="112"/>
      <c r="BE246" s="112"/>
    </row>
    <row r="247" spans="2:57" x14ac:dyDescent="0.35">
      <c r="B247" s="59"/>
      <c r="C247" s="59"/>
      <c r="D247" s="104"/>
      <c r="E247" s="105"/>
      <c r="F247" s="105"/>
      <c r="G247" s="105"/>
      <c r="H247" s="68"/>
      <c r="I247" s="106"/>
      <c r="J247" s="107"/>
      <c r="K247" s="108"/>
      <c r="L247" s="108"/>
      <c r="M247" s="108"/>
      <c r="N247" s="108"/>
      <c r="O247" s="108"/>
      <c r="P247" s="108"/>
      <c r="Q247" s="108"/>
      <c r="R247" s="108"/>
      <c r="S247" s="108"/>
      <c r="T247" s="108"/>
      <c r="U247" s="108"/>
      <c r="V247" s="108"/>
      <c r="W247" s="108"/>
      <c r="X247" s="108"/>
      <c r="Y247" s="108"/>
      <c r="Z247" s="109"/>
      <c r="AA247" s="109"/>
      <c r="AB247" s="109"/>
      <c r="AC247" s="109"/>
      <c r="AD247" s="109"/>
      <c r="AE247" s="109"/>
      <c r="AF247" s="109"/>
      <c r="AG247" s="109"/>
      <c r="AH247" s="109"/>
      <c r="AI247" s="109"/>
      <c r="AJ247" s="109"/>
      <c r="AK247" s="109"/>
      <c r="AL247" s="109"/>
      <c r="AM247" s="109"/>
      <c r="AN247" s="110"/>
      <c r="AO247" s="110"/>
      <c r="AP247" s="111"/>
      <c r="AQ247" s="112"/>
      <c r="AR247" s="112"/>
      <c r="AS247" s="112"/>
      <c r="AT247" s="112"/>
      <c r="AU247" s="112"/>
      <c r="AV247" s="112"/>
      <c r="AW247" s="112"/>
      <c r="AX247" s="112"/>
      <c r="AY247" s="112"/>
      <c r="AZ247" s="112"/>
      <c r="BA247" s="112"/>
      <c r="BB247" s="112"/>
      <c r="BC247" s="112"/>
      <c r="BD247" s="112"/>
      <c r="BE247" s="112"/>
    </row>
    <row r="248" spans="2:57" x14ac:dyDescent="0.35">
      <c r="B248" s="59"/>
      <c r="C248" s="59"/>
      <c r="D248" s="104"/>
      <c r="E248" s="105"/>
      <c r="F248" s="105"/>
      <c r="G248" s="105"/>
      <c r="H248" s="68"/>
      <c r="I248" s="106"/>
      <c r="J248" s="107"/>
      <c r="K248" s="108"/>
      <c r="L248" s="108"/>
      <c r="M248" s="108"/>
      <c r="N248" s="108"/>
      <c r="O248" s="108"/>
      <c r="P248" s="108"/>
      <c r="Q248" s="108"/>
      <c r="R248" s="108"/>
      <c r="S248" s="108"/>
      <c r="T248" s="108"/>
      <c r="U248" s="108"/>
      <c r="V248" s="108"/>
      <c r="W248" s="108"/>
      <c r="X248" s="108"/>
      <c r="Y248" s="108"/>
      <c r="Z248" s="109"/>
      <c r="AA248" s="109"/>
      <c r="AB248" s="109"/>
      <c r="AC248" s="109"/>
      <c r="AD248" s="109"/>
      <c r="AE248" s="109"/>
      <c r="AF248" s="109"/>
      <c r="AG248" s="109"/>
      <c r="AH248" s="109"/>
      <c r="AI248" s="109"/>
      <c r="AJ248" s="109"/>
      <c r="AK248" s="109"/>
      <c r="AL248" s="109"/>
      <c r="AM248" s="109"/>
      <c r="AN248" s="110"/>
      <c r="AO248" s="110"/>
      <c r="AP248" s="111"/>
      <c r="AQ248" s="112"/>
      <c r="AR248" s="112"/>
      <c r="AS248" s="112"/>
      <c r="AT248" s="112"/>
      <c r="AU248" s="112"/>
      <c r="AV248" s="112"/>
      <c r="AW248" s="112"/>
      <c r="AX248" s="112"/>
      <c r="AY248" s="112"/>
      <c r="AZ248" s="112"/>
      <c r="BA248" s="112"/>
      <c r="BB248" s="112"/>
      <c r="BC248" s="112"/>
      <c r="BD248" s="112"/>
      <c r="BE248" s="112"/>
    </row>
    <row r="249" spans="2:57" x14ac:dyDescent="0.35">
      <c r="B249" s="59"/>
      <c r="C249" s="59"/>
      <c r="D249" s="104"/>
      <c r="E249" s="105"/>
      <c r="F249" s="105"/>
      <c r="G249" s="105"/>
      <c r="H249" s="68"/>
      <c r="I249" s="106"/>
      <c r="J249" s="107"/>
      <c r="K249" s="108"/>
      <c r="L249" s="108"/>
      <c r="M249" s="108"/>
      <c r="N249" s="108"/>
      <c r="O249" s="108"/>
      <c r="P249" s="108"/>
      <c r="Q249" s="108"/>
      <c r="R249" s="108"/>
      <c r="S249" s="108"/>
      <c r="T249" s="108"/>
      <c r="U249" s="108"/>
      <c r="V249" s="108"/>
      <c r="W249" s="108"/>
      <c r="X249" s="108"/>
      <c r="Y249" s="108"/>
      <c r="Z249" s="109"/>
      <c r="AA249" s="109"/>
      <c r="AB249" s="109"/>
      <c r="AC249" s="109"/>
      <c r="AD249" s="109"/>
      <c r="AE249" s="109"/>
      <c r="AF249" s="109"/>
      <c r="AG249" s="109"/>
      <c r="AH249" s="109"/>
      <c r="AI249" s="109"/>
      <c r="AJ249" s="109"/>
      <c r="AK249" s="109"/>
      <c r="AL249" s="109"/>
      <c r="AM249" s="109"/>
      <c r="AN249" s="110"/>
      <c r="AO249" s="110"/>
      <c r="AP249" s="111"/>
      <c r="AQ249" s="112"/>
      <c r="AR249" s="112"/>
      <c r="AS249" s="112"/>
      <c r="AT249" s="112"/>
      <c r="AU249" s="112"/>
      <c r="AV249" s="112"/>
      <c r="AW249" s="112"/>
      <c r="AX249" s="112"/>
      <c r="AY249" s="112"/>
      <c r="AZ249" s="112"/>
      <c r="BA249" s="112"/>
      <c r="BB249" s="112"/>
      <c r="BC249" s="112"/>
      <c r="BD249" s="112"/>
      <c r="BE249" s="112"/>
    </row>
    <row r="250" spans="2:57" x14ac:dyDescent="0.35">
      <c r="B250" s="59"/>
      <c r="C250" s="59"/>
      <c r="D250" s="104"/>
      <c r="E250" s="105"/>
      <c r="F250" s="105"/>
      <c r="G250" s="105"/>
      <c r="H250" s="68"/>
      <c r="I250" s="106"/>
      <c r="J250" s="107"/>
      <c r="K250" s="108"/>
      <c r="L250" s="108"/>
      <c r="M250" s="108"/>
      <c r="N250" s="108"/>
      <c r="O250" s="108"/>
      <c r="P250" s="108"/>
      <c r="Q250" s="108"/>
      <c r="R250" s="108"/>
      <c r="S250" s="108"/>
      <c r="T250" s="108"/>
      <c r="U250" s="108"/>
      <c r="V250" s="108"/>
      <c r="W250" s="108"/>
      <c r="X250" s="108"/>
      <c r="Y250" s="108"/>
      <c r="Z250" s="109"/>
      <c r="AA250" s="109"/>
      <c r="AB250" s="109"/>
      <c r="AC250" s="109"/>
      <c r="AD250" s="109"/>
      <c r="AE250" s="109"/>
      <c r="AF250" s="109"/>
      <c r="AG250" s="109"/>
      <c r="AH250" s="109"/>
      <c r="AI250" s="109"/>
      <c r="AJ250" s="109"/>
      <c r="AK250" s="109"/>
      <c r="AL250" s="109"/>
      <c r="AM250" s="109"/>
      <c r="AN250" s="110"/>
      <c r="AO250" s="110"/>
      <c r="AP250" s="111"/>
      <c r="AQ250" s="112"/>
      <c r="AR250" s="112"/>
      <c r="AS250" s="112"/>
      <c r="AT250" s="112"/>
      <c r="AU250" s="112"/>
      <c r="AV250" s="112"/>
      <c r="AW250" s="112"/>
      <c r="AX250" s="112"/>
      <c r="AY250" s="112"/>
      <c r="AZ250" s="112"/>
      <c r="BA250" s="112"/>
      <c r="BB250" s="112"/>
      <c r="BC250" s="112"/>
      <c r="BD250" s="112"/>
      <c r="BE250" s="112"/>
    </row>
    <row r="251" spans="2:57" x14ac:dyDescent="0.35">
      <c r="B251" s="59"/>
      <c r="C251" s="59"/>
      <c r="D251" s="104"/>
      <c r="E251" s="105"/>
      <c r="F251" s="105"/>
      <c r="G251" s="105"/>
      <c r="H251" s="68"/>
      <c r="I251" s="106"/>
      <c r="J251" s="107"/>
      <c r="K251" s="108"/>
      <c r="L251" s="108"/>
      <c r="M251" s="108"/>
      <c r="N251" s="108"/>
      <c r="O251" s="108"/>
      <c r="P251" s="108"/>
      <c r="Q251" s="108"/>
      <c r="R251" s="108"/>
      <c r="S251" s="108"/>
      <c r="T251" s="108"/>
      <c r="U251" s="108"/>
      <c r="V251" s="108"/>
      <c r="W251" s="108"/>
      <c r="X251" s="108"/>
      <c r="Y251" s="108"/>
      <c r="Z251" s="109"/>
      <c r="AA251" s="109"/>
      <c r="AB251" s="109"/>
      <c r="AC251" s="109"/>
      <c r="AD251" s="109"/>
      <c r="AE251" s="109"/>
      <c r="AF251" s="109"/>
      <c r="AG251" s="109"/>
      <c r="AH251" s="109"/>
      <c r="AI251" s="109"/>
      <c r="AJ251" s="109"/>
      <c r="AK251" s="109"/>
      <c r="AL251" s="109"/>
      <c r="AM251" s="109"/>
      <c r="AN251" s="110"/>
      <c r="AO251" s="110"/>
      <c r="AP251" s="111"/>
      <c r="AQ251" s="112"/>
      <c r="AR251" s="112"/>
      <c r="AS251" s="112"/>
      <c r="AT251" s="112"/>
      <c r="AU251" s="112"/>
      <c r="AV251" s="112"/>
      <c r="AW251" s="112"/>
      <c r="AX251" s="112"/>
      <c r="AY251" s="112"/>
      <c r="AZ251" s="112"/>
      <c r="BA251" s="112"/>
      <c r="BB251" s="112"/>
      <c r="BC251" s="112"/>
      <c r="BD251" s="112"/>
      <c r="BE251" s="112"/>
    </row>
    <row r="252" spans="2:57" x14ac:dyDescent="0.35">
      <c r="B252" s="59"/>
      <c r="C252" s="59"/>
      <c r="D252" s="104"/>
      <c r="E252" s="105"/>
      <c r="F252" s="105"/>
      <c r="G252" s="105"/>
      <c r="H252" s="68"/>
      <c r="I252" s="106"/>
      <c r="J252" s="107"/>
      <c r="K252" s="108"/>
      <c r="L252" s="108"/>
      <c r="M252" s="108"/>
      <c r="N252" s="108"/>
      <c r="O252" s="108"/>
      <c r="P252" s="108"/>
      <c r="Q252" s="108"/>
      <c r="R252" s="108"/>
      <c r="S252" s="108"/>
      <c r="T252" s="108"/>
      <c r="U252" s="108"/>
      <c r="V252" s="108"/>
      <c r="W252" s="108"/>
      <c r="X252" s="108"/>
      <c r="Y252" s="108"/>
      <c r="Z252" s="109"/>
      <c r="AA252" s="109"/>
      <c r="AB252" s="109"/>
      <c r="AC252" s="109"/>
      <c r="AD252" s="109"/>
      <c r="AE252" s="109"/>
      <c r="AF252" s="109"/>
      <c r="AG252" s="109"/>
      <c r="AH252" s="109"/>
      <c r="AI252" s="109"/>
      <c r="AJ252" s="109"/>
      <c r="AK252" s="109"/>
      <c r="AL252" s="109"/>
      <c r="AM252" s="109"/>
      <c r="AN252" s="110"/>
      <c r="AO252" s="110"/>
      <c r="AP252" s="111"/>
      <c r="AQ252" s="112"/>
      <c r="AR252" s="112"/>
      <c r="AS252" s="112"/>
      <c r="AT252" s="112"/>
      <c r="AU252" s="112"/>
      <c r="AV252" s="112"/>
      <c r="AW252" s="112"/>
      <c r="AX252" s="112"/>
      <c r="AY252" s="112"/>
      <c r="AZ252" s="112"/>
      <c r="BA252" s="112"/>
      <c r="BB252" s="112"/>
      <c r="BC252" s="112"/>
      <c r="BD252" s="112"/>
      <c r="BE252" s="112"/>
    </row>
    <row r="253" spans="2:57" x14ac:dyDescent="0.35">
      <c r="B253" s="59"/>
      <c r="C253" s="59"/>
      <c r="D253" s="104"/>
      <c r="E253" s="105"/>
      <c r="F253" s="105"/>
      <c r="G253" s="105"/>
      <c r="H253" s="68"/>
      <c r="I253" s="106"/>
      <c r="J253" s="107"/>
      <c r="K253" s="108"/>
      <c r="L253" s="108"/>
      <c r="M253" s="108"/>
      <c r="N253" s="108"/>
      <c r="O253" s="108"/>
      <c r="P253" s="108"/>
      <c r="Q253" s="108"/>
      <c r="R253" s="108"/>
      <c r="S253" s="108"/>
      <c r="T253" s="108"/>
      <c r="U253" s="108"/>
      <c r="V253" s="108"/>
      <c r="W253" s="108"/>
      <c r="X253" s="108"/>
      <c r="Y253" s="108"/>
      <c r="Z253" s="109"/>
      <c r="AA253" s="109"/>
      <c r="AB253" s="109"/>
      <c r="AC253" s="109"/>
      <c r="AD253" s="109"/>
      <c r="AE253" s="109"/>
      <c r="AF253" s="109"/>
      <c r="AG253" s="109"/>
      <c r="AH253" s="109"/>
      <c r="AI253" s="109"/>
      <c r="AJ253" s="109"/>
      <c r="AK253" s="109"/>
      <c r="AL253" s="109"/>
      <c r="AM253" s="109"/>
      <c r="AN253" s="110"/>
      <c r="AO253" s="110"/>
      <c r="AP253" s="111"/>
      <c r="AQ253" s="112"/>
      <c r="AR253" s="112"/>
      <c r="AS253" s="112"/>
      <c r="AT253" s="112"/>
      <c r="AU253" s="112"/>
      <c r="AV253" s="112"/>
      <c r="AW253" s="112"/>
      <c r="AX253" s="112"/>
      <c r="AY253" s="112"/>
      <c r="AZ253" s="112"/>
      <c r="BA253" s="112"/>
      <c r="BB253" s="112"/>
      <c r="BC253" s="112"/>
      <c r="BD253" s="112"/>
      <c r="BE253" s="112"/>
    </row>
    <row r="254" spans="2:57" x14ac:dyDescent="0.35">
      <c r="B254" s="59"/>
      <c r="C254" s="59"/>
      <c r="D254" s="104"/>
      <c r="E254" s="105"/>
      <c r="F254" s="105"/>
      <c r="G254" s="105"/>
      <c r="H254" s="68"/>
      <c r="I254" s="106"/>
      <c r="J254" s="107"/>
      <c r="K254" s="108"/>
      <c r="L254" s="108"/>
      <c r="M254" s="108"/>
      <c r="N254" s="108"/>
      <c r="O254" s="108"/>
      <c r="P254" s="108"/>
      <c r="Q254" s="108"/>
      <c r="R254" s="108"/>
      <c r="S254" s="108"/>
      <c r="T254" s="108"/>
      <c r="U254" s="108"/>
      <c r="V254" s="108"/>
      <c r="W254" s="108"/>
      <c r="X254" s="108"/>
      <c r="Y254" s="108"/>
      <c r="Z254" s="109"/>
      <c r="AA254" s="109"/>
      <c r="AB254" s="109"/>
      <c r="AC254" s="109"/>
      <c r="AD254" s="109"/>
      <c r="AE254" s="109"/>
      <c r="AF254" s="109"/>
      <c r="AG254" s="109"/>
      <c r="AH254" s="109"/>
      <c r="AI254" s="109"/>
      <c r="AJ254" s="109"/>
      <c r="AK254" s="109"/>
      <c r="AL254" s="109"/>
      <c r="AM254" s="109"/>
      <c r="AN254" s="110"/>
      <c r="AO254" s="110"/>
      <c r="AP254" s="111"/>
      <c r="AQ254" s="112"/>
      <c r="AR254" s="112"/>
      <c r="AS254" s="112"/>
      <c r="AT254" s="112"/>
      <c r="AU254" s="112"/>
      <c r="AV254" s="112"/>
      <c r="AW254" s="112"/>
      <c r="AX254" s="112"/>
      <c r="AY254" s="112"/>
      <c r="AZ254" s="112"/>
      <c r="BA254" s="112"/>
      <c r="BB254" s="112"/>
      <c r="BC254" s="112"/>
      <c r="BD254" s="112"/>
      <c r="BE254" s="112"/>
    </row>
    <row r="255" spans="2:57" x14ac:dyDescent="0.35">
      <c r="B255" s="59"/>
      <c r="C255" s="59"/>
      <c r="D255" s="104"/>
      <c r="E255" s="105"/>
      <c r="F255" s="105"/>
      <c r="G255" s="105"/>
      <c r="H255" s="68"/>
      <c r="I255" s="106"/>
      <c r="J255" s="107"/>
      <c r="K255" s="108"/>
      <c r="L255" s="108"/>
      <c r="M255" s="108"/>
      <c r="N255" s="108"/>
      <c r="O255" s="108"/>
      <c r="P255" s="108"/>
      <c r="Q255" s="108"/>
      <c r="R255" s="108"/>
      <c r="S255" s="108"/>
      <c r="T255" s="108"/>
      <c r="U255" s="108"/>
      <c r="V255" s="108"/>
      <c r="W255" s="108"/>
      <c r="X255" s="108"/>
      <c r="Y255" s="108"/>
      <c r="Z255" s="109"/>
      <c r="AA255" s="109"/>
      <c r="AB255" s="109"/>
      <c r="AC255" s="109"/>
      <c r="AD255" s="109"/>
      <c r="AE255" s="109"/>
      <c r="AF255" s="109"/>
      <c r="AG255" s="109"/>
      <c r="AH255" s="109"/>
      <c r="AI255" s="109"/>
      <c r="AJ255" s="109"/>
      <c r="AK255" s="109"/>
      <c r="AL255" s="109"/>
      <c r="AM255" s="109"/>
      <c r="AN255" s="110"/>
      <c r="AO255" s="110"/>
      <c r="AP255" s="111"/>
      <c r="AQ255" s="112"/>
      <c r="AR255" s="112"/>
      <c r="AS255" s="112"/>
      <c r="AT255" s="112"/>
      <c r="AU255" s="112"/>
      <c r="AV255" s="112"/>
      <c r="AW255" s="112"/>
      <c r="AX255" s="112"/>
      <c r="AY255" s="112"/>
      <c r="AZ255" s="112"/>
      <c r="BA255" s="112"/>
      <c r="BB255" s="112"/>
      <c r="BC255" s="112"/>
      <c r="BD255" s="112"/>
      <c r="BE255" s="112"/>
    </row>
    <row r="256" spans="2:57" x14ac:dyDescent="0.35">
      <c r="B256" s="59"/>
      <c r="C256" s="59"/>
      <c r="D256" s="104"/>
      <c r="E256" s="105"/>
      <c r="F256" s="105"/>
      <c r="G256" s="105"/>
      <c r="H256" s="68"/>
      <c r="I256" s="106"/>
      <c r="J256" s="107"/>
      <c r="K256" s="108"/>
      <c r="L256" s="108"/>
      <c r="M256" s="108"/>
      <c r="N256" s="108"/>
      <c r="O256" s="108"/>
      <c r="P256" s="108"/>
      <c r="Q256" s="108"/>
      <c r="R256" s="108"/>
      <c r="S256" s="108"/>
      <c r="T256" s="108"/>
      <c r="U256" s="108"/>
      <c r="V256" s="108"/>
      <c r="W256" s="108"/>
      <c r="X256" s="108"/>
      <c r="Y256" s="108"/>
      <c r="Z256" s="109"/>
      <c r="AA256" s="109"/>
      <c r="AB256" s="109"/>
      <c r="AC256" s="109"/>
      <c r="AD256" s="109"/>
      <c r="AE256" s="109"/>
      <c r="AF256" s="109"/>
      <c r="AG256" s="109"/>
      <c r="AH256" s="109"/>
      <c r="AI256" s="109"/>
      <c r="AJ256" s="109"/>
      <c r="AK256" s="109"/>
      <c r="AL256" s="109"/>
      <c r="AM256" s="109"/>
      <c r="AN256" s="110"/>
      <c r="AO256" s="110"/>
      <c r="AP256" s="111"/>
      <c r="AQ256" s="112"/>
      <c r="AR256" s="112"/>
      <c r="AS256" s="112"/>
      <c r="AT256" s="112"/>
      <c r="AU256" s="112"/>
      <c r="AV256" s="112"/>
      <c r="AW256" s="112"/>
      <c r="AX256" s="112"/>
      <c r="AY256" s="112"/>
      <c r="AZ256" s="112"/>
      <c r="BA256" s="112"/>
      <c r="BB256" s="112"/>
      <c r="BC256" s="112"/>
      <c r="BD256" s="112"/>
      <c r="BE256" s="112"/>
    </row>
    <row r="257" spans="2:57" x14ac:dyDescent="0.35">
      <c r="B257" s="59"/>
      <c r="C257" s="59"/>
      <c r="D257" s="104"/>
      <c r="E257" s="105"/>
      <c r="F257" s="105"/>
      <c r="G257" s="105"/>
      <c r="H257" s="68"/>
      <c r="I257" s="106"/>
      <c r="J257" s="107"/>
      <c r="K257" s="108"/>
      <c r="L257" s="108"/>
      <c r="M257" s="108"/>
      <c r="N257" s="108"/>
      <c r="O257" s="108"/>
      <c r="P257" s="108"/>
      <c r="Q257" s="108"/>
      <c r="R257" s="108"/>
      <c r="S257" s="108"/>
      <c r="T257" s="108"/>
      <c r="U257" s="108"/>
      <c r="V257" s="108"/>
      <c r="W257" s="108"/>
      <c r="X257" s="108"/>
      <c r="Y257" s="108"/>
      <c r="Z257" s="109"/>
      <c r="AA257" s="109"/>
      <c r="AB257" s="109"/>
      <c r="AC257" s="109"/>
      <c r="AD257" s="109"/>
      <c r="AE257" s="109"/>
      <c r="AF257" s="109"/>
      <c r="AG257" s="109"/>
      <c r="AH257" s="109"/>
      <c r="AI257" s="109"/>
      <c r="AJ257" s="109"/>
      <c r="AK257" s="109"/>
      <c r="AL257" s="109"/>
      <c r="AM257" s="109"/>
      <c r="AN257" s="110"/>
      <c r="AO257" s="110"/>
      <c r="AP257" s="111"/>
      <c r="AQ257" s="112"/>
      <c r="AR257" s="112"/>
      <c r="AS257" s="112"/>
      <c r="AT257" s="112"/>
      <c r="AU257" s="112"/>
      <c r="AV257" s="112"/>
      <c r="AW257" s="112"/>
      <c r="AX257" s="112"/>
      <c r="AY257" s="112"/>
      <c r="AZ257" s="112"/>
      <c r="BA257" s="112"/>
      <c r="BB257" s="112"/>
      <c r="BC257" s="112"/>
      <c r="BD257" s="112"/>
      <c r="BE257" s="112"/>
    </row>
    <row r="258" spans="2:57" x14ac:dyDescent="0.35">
      <c r="B258" s="59"/>
      <c r="C258" s="59"/>
      <c r="D258" s="104"/>
      <c r="E258" s="105"/>
      <c r="F258" s="105"/>
      <c r="G258" s="105"/>
      <c r="H258" s="68"/>
      <c r="I258" s="106"/>
      <c r="J258" s="107"/>
      <c r="K258" s="108"/>
      <c r="L258" s="108"/>
      <c r="M258" s="108"/>
      <c r="N258" s="108"/>
      <c r="O258" s="108"/>
      <c r="P258" s="108"/>
      <c r="Q258" s="108"/>
      <c r="R258" s="108"/>
      <c r="S258" s="108"/>
      <c r="T258" s="108"/>
      <c r="U258" s="108"/>
      <c r="V258" s="108"/>
      <c r="W258" s="108"/>
      <c r="X258" s="108"/>
      <c r="Y258" s="108"/>
      <c r="Z258" s="109"/>
      <c r="AA258" s="109"/>
      <c r="AB258" s="109"/>
      <c r="AC258" s="109"/>
      <c r="AD258" s="109"/>
      <c r="AE258" s="109"/>
      <c r="AF258" s="109"/>
      <c r="AG258" s="109"/>
      <c r="AH258" s="109"/>
      <c r="AI258" s="109"/>
      <c r="AJ258" s="109"/>
      <c r="AK258" s="109"/>
      <c r="AL258" s="109"/>
      <c r="AM258" s="109"/>
      <c r="AN258" s="110"/>
      <c r="AO258" s="110"/>
      <c r="AP258" s="111"/>
      <c r="AQ258" s="112"/>
      <c r="AR258" s="112"/>
      <c r="AS258" s="112"/>
      <c r="AT258" s="112"/>
      <c r="AU258" s="112"/>
      <c r="AV258" s="112"/>
      <c r="AW258" s="112"/>
      <c r="AX258" s="112"/>
      <c r="AY258" s="112"/>
      <c r="AZ258" s="112"/>
      <c r="BA258" s="112"/>
      <c r="BB258" s="112"/>
      <c r="BC258" s="112"/>
      <c r="BD258" s="112"/>
      <c r="BE258" s="112"/>
    </row>
    <row r="259" spans="2:57" x14ac:dyDescent="0.35">
      <c r="B259" s="59"/>
      <c r="C259" s="59"/>
      <c r="D259" s="104"/>
      <c r="E259" s="105"/>
      <c r="F259" s="105"/>
      <c r="G259" s="105"/>
      <c r="H259" s="68"/>
      <c r="I259" s="106"/>
      <c r="J259" s="107"/>
      <c r="K259" s="108"/>
      <c r="L259" s="108"/>
      <c r="M259" s="108"/>
      <c r="N259" s="108"/>
      <c r="O259" s="108"/>
      <c r="P259" s="108"/>
      <c r="Q259" s="108"/>
      <c r="R259" s="108"/>
      <c r="S259" s="108"/>
      <c r="T259" s="108"/>
      <c r="U259" s="108"/>
      <c r="V259" s="108"/>
      <c r="W259" s="108"/>
      <c r="X259" s="108"/>
      <c r="Y259" s="108"/>
      <c r="Z259" s="109"/>
      <c r="AA259" s="109"/>
      <c r="AB259" s="109"/>
      <c r="AC259" s="109"/>
      <c r="AD259" s="109"/>
      <c r="AE259" s="109"/>
      <c r="AF259" s="109"/>
      <c r="AG259" s="109"/>
      <c r="AH259" s="109"/>
      <c r="AI259" s="109"/>
      <c r="AJ259" s="109"/>
      <c r="AK259" s="109"/>
      <c r="AL259" s="109"/>
      <c r="AM259" s="109"/>
      <c r="AN259" s="110"/>
      <c r="AO259" s="110"/>
      <c r="AP259" s="111"/>
      <c r="AQ259" s="112"/>
      <c r="AR259" s="112"/>
      <c r="AS259" s="112"/>
      <c r="AT259" s="112"/>
      <c r="AU259" s="112"/>
      <c r="AV259" s="112"/>
      <c r="AW259" s="112"/>
      <c r="AX259" s="112"/>
      <c r="AY259" s="112"/>
      <c r="AZ259" s="112"/>
      <c r="BA259" s="112"/>
      <c r="BB259" s="112"/>
      <c r="BC259" s="112"/>
      <c r="BD259" s="112"/>
      <c r="BE259" s="112"/>
    </row>
    <row r="260" spans="2:57" x14ac:dyDescent="0.35">
      <c r="B260" s="59"/>
      <c r="C260" s="59"/>
      <c r="D260" s="104"/>
      <c r="E260" s="105"/>
      <c r="F260" s="105"/>
      <c r="G260" s="105"/>
      <c r="H260" s="68"/>
      <c r="I260" s="106"/>
      <c r="J260" s="107"/>
      <c r="K260" s="108"/>
      <c r="L260" s="108"/>
      <c r="M260" s="108"/>
      <c r="N260" s="108"/>
      <c r="O260" s="108"/>
      <c r="P260" s="108"/>
      <c r="Q260" s="108"/>
      <c r="R260" s="108"/>
      <c r="S260" s="108"/>
      <c r="T260" s="108"/>
      <c r="U260" s="108"/>
      <c r="V260" s="108"/>
      <c r="W260" s="108"/>
      <c r="X260" s="108"/>
      <c r="Y260" s="108"/>
      <c r="Z260" s="109"/>
      <c r="AA260" s="109"/>
      <c r="AB260" s="109"/>
      <c r="AC260" s="109"/>
      <c r="AD260" s="109"/>
      <c r="AE260" s="109"/>
      <c r="AF260" s="109"/>
      <c r="AG260" s="109"/>
      <c r="AH260" s="109"/>
      <c r="AI260" s="109"/>
      <c r="AJ260" s="109"/>
      <c r="AK260" s="109"/>
      <c r="AL260" s="109"/>
      <c r="AM260" s="109"/>
      <c r="AN260" s="110"/>
      <c r="AO260" s="110"/>
      <c r="AP260" s="111"/>
      <c r="AQ260" s="112"/>
      <c r="AR260" s="112"/>
      <c r="AS260" s="112"/>
      <c r="AT260" s="112"/>
      <c r="AU260" s="112"/>
      <c r="AV260" s="112"/>
      <c r="AW260" s="112"/>
      <c r="AX260" s="112"/>
      <c r="AY260" s="112"/>
      <c r="AZ260" s="112"/>
      <c r="BA260" s="112"/>
      <c r="BB260" s="112"/>
      <c r="BC260" s="112"/>
      <c r="BD260" s="112"/>
      <c r="BE260" s="112"/>
    </row>
    <row r="261" spans="2:57" x14ac:dyDescent="0.35">
      <c r="B261" s="59"/>
      <c r="C261" s="59"/>
      <c r="D261" s="104"/>
      <c r="E261" s="105"/>
      <c r="F261" s="105"/>
      <c r="G261" s="105"/>
      <c r="H261" s="68"/>
      <c r="I261" s="106"/>
      <c r="J261" s="107"/>
      <c r="K261" s="108"/>
      <c r="L261" s="108"/>
      <c r="M261" s="108"/>
      <c r="N261" s="108"/>
      <c r="O261" s="108"/>
      <c r="P261" s="108"/>
      <c r="Q261" s="108"/>
      <c r="R261" s="108"/>
      <c r="S261" s="108"/>
      <c r="T261" s="108"/>
      <c r="U261" s="108"/>
      <c r="V261" s="108"/>
      <c r="W261" s="108"/>
      <c r="X261" s="108"/>
      <c r="Y261" s="108"/>
      <c r="Z261" s="109"/>
      <c r="AA261" s="109"/>
      <c r="AB261" s="109"/>
      <c r="AC261" s="109"/>
      <c r="AD261" s="109"/>
      <c r="AE261" s="109"/>
      <c r="AF261" s="109"/>
      <c r="AG261" s="109"/>
      <c r="AH261" s="109"/>
      <c r="AI261" s="109"/>
      <c r="AJ261" s="109"/>
      <c r="AK261" s="109"/>
      <c r="AL261" s="109"/>
      <c r="AM261" s="109"/>
      <c r="AN261" s="110"/>
      <c r="AO261" s="110"/>
      <c r="AP261" s="111"/>
      <c r="AQ261" s="112"/>
      <c r="AR261" s="112"/>
      <c r="AS261" s="112"/>
      <c r="AT261" s="112"/>
      <c r="AU261" s="112"/>
      <c r="AV261" s="112"/>
      <c r="AW261" s="112"/>
      <c r="AX261" s="112"/>
      <c r="AY261" s="112"/>
      <c r="AZ261" s="112"/>
      <c r="BA261" s="112"/>
      <c r="BB261" s="112"/>
      <c r="BC261" s="112"/>
      <c r="BD261" s="112"/>
      <c r="BE261" s="112"/>
    </row>
    <row r="262" spans="2:57" x14ac:dyDescent="0.35">
      <c r="B262" s="59"/>
      <c r="C262" s="59"/>
      <c r="D262" s="104"/>
      <c r="E262" s="105"/>
      <c r="F262" s="105"/>
      <c r="G262" s="105"/>
      <c r="H262" s="68"/>
      <c r="I262" s="106"/>
      <c r="J262" s="107"/>
      <c r="K262" s="108"/>
      <c r="L262" s="108"/>
      <c r="M262" s="108"/>
      <c r="N262" s="108"/>
      <c r="O262" s="108"/>
      <c r="P262" s="108"/>
      <c r="Q262" s="108"/>
      <c r="R262" s="108"/>
      <c r="S262" s="108"/>
      <c r="T262" s="108"/>
      <c r="U262" s="108"/>
      <c r="V262" s="108"/>
      <c r="W262" s="108"/>
      <c r="X262" s="108"/>
      <c r="Y262" s="108"/>
      <c r="Z262" s="109"/>
      <c r="AA262" s="109"/>
      <c r="AB262" s="109"/>
      <c r="AC262" s="109"/>
      <c r="AD262" s="109"/>
      <c r="AE262" s="109"/>
      <c r="AF262" s="109"/>
      <c r="AG262" s="109"/>
      <c r="AH262" s="109"/>
      <c r="AI262" s="109"/>
      <c r="AJ262" s="109"/>
      <c r="AK262" s="109"/>
      <c r="AL262" s="109"/>
      <c r="AM262" s="109"/>
      <c r="AN262" s="110"/>
      <c r="AO262" s="110"/>
      <c r="AP262" s="111"/>
      <c r="AQ262" s="112"/>
      <c r="AR262" s="112"/>
      <c r="AS262" s="112"/>
      <c r="AT262" s="112"/>
      <c r="AU262" s="112"/>
      <c r="AV262" s="112"/>
      <c r="AW262" s="112"/>
      <c r="AX262" s="112"/>
      <c r="AY262" s="112"/>
      <c r="AZ262" s="112"/>
      <c r="BA262" s="112"/>
      <c r="BB262" s="112"/>
      <c r="BC262" s="112"/>
      <c r="BD262" s="112"/>
      <c r="BE262" s="112"/>
    </row>
    <row r="263" spans="2:57" x14ac:dyDescent="0.35">
      <c r="B263" s="59"/>
      <c r="C263" s="59"/>
      <c r="D263" s="104"/>
      <c r="E263" s="105"/>
      <c r="F263" s="105"/>
      <c r="G263" s="105"/>
      <c r="H263" s="68"/>
      <c r="I263" s="106"/>
      <c r="J263" s="107"/>
      <c r="K263" s="108"/>
      <c r="L263" s="108"/>
      <c r="M263" s="108"/>
      <c r="N263" s="108"/>
      <c r="O263" s="108"/>
      <c r="P263" s="108"/>
      <c r="Q263" s="108"/>
      <c r="R263" s="108"/>
      <c r="S263" s="108"/>
      <c r="T263" s="108"/>
      <c r="U263" s="108"/>
      <c r="V263" s="108"/>
      <c r="W263" s="108"/>
      <c r="X263" s="108"/>
      <c r="Y263" s="108"/>
      <c r="Z263" s="109"/>
      <c r="AA263" s="109"/>
      <c r="AB263" s="109"/>
      <c r="AC263" s="109"/>
      <c r="AD263" s="109"/>
      <c r="AE263" s="109"/>
      <c r="AF263" s="109"/>
      <c r="AG263" s="109"/>
      <c r="AH263" s="109"/>
      <c r="AI263" s="109"/>
      <c r="AJ263" s="109"/>
      <c r="AK263" s="109"/>
      <c r="AL263" s="109"/>
      <c r="AM263" s="109"/>
      <c r="AN263" s="110"/>
      <c r="AO263" s="110"/>
      <c r="AP263" s="111"/>
      <c r="AQ263" s="112"/>
      <c r="AR263" s="112"/>
      <c r="AS263" s="112"/>
      <c r="AT263" s="112"/>
      <c r="AU263" s="112"/>
      <c r="AV263" s="112"/>
      <c r="AW263" s="112"/>
      <c r="AX263" s="112"/>
      <c r="AY263" s="112"/>
      <c r="AZ263" s="112"/>
      <c r="BA263" s="112"/>
      <c r="BB263" s="112"/>
      <c r="BC263" s="112"/>
      <c r="BD263" s="112"/>
      <c r="BE263" s="112"/>
    </row>
    <row r="264" spans="2:57" x14ac:dyDescent="0.35">
      <c r="B264" s="59"/>
      <c r="C264" s="59"/>
      <c r="D264" s="104"/>
      <c r="E264" s="105"/>
      <c r="F264" s="105"/>
      <c r="G264" s="105"/>
      <c r="H264" s="68"/>
      <c r="I264" s="106"/>
      <c r="J264" s="107"/>
      <c r="K264" s="108"/>
      <c r="L264" s="108"/>
      <c r="M264" s="108"/>
      <c r="N264" s="108"/>
      <c r="O264" s="108"/>
      <c r="P264" s="108"/>
      <c r="Q264" s="108"/>
      <c r="R264" s="108"/>
      <c r="S264" s="108"/>
      <c r="T264" s="108"/>
      <c r="U264" s="108"/>
      <c r="V264" s="108"/>
      <c r="W264" s="108"/>
      <c r="X264" s="108"/>
      <c r="Y264" s="108"/>
      <c r="Z264" s="109"/>
      <c r="AA264" s="109"/>
      <c r="AB264" s="109"/>
      <c r="AC264" s="109"/>
      <c r="AD264" s="109"/>
      <c r="AE264" s="109"/>
      <c r="AF264" s="109"/>
      <c r="AG264" s="109"/>
      <c r="AH264" s="109"/>
      <c r="AI264" s="109"/>
      <c r="AJ264" s="109"/>
      <c r="AK264" s="109"/>
      <c r="AL264" s="109"/>
      <c r="AM264" s="109"/>
      <c r="AN264" s="110"/>
      <c r="AO264" s="110"/>
      <c r="AP264" s="111"/>
      <c r="AQ264" s="112"/>
      <c r="AR264" s="112"/>
      <c r="AS264" s="112"/>
      <c r="AT264" s="112"/>
      <c r="AU264" s="112"/>
      <c r="AV264" s="112"/>
      <c r="AW264" s="112"/>
      <c r="AX264" s="112"/>
      <c r="AY264" s="112"/>
      <c r="AZ264" s="112"/>
      <c r="BA264" s="112"/>
      <c r="BB264" s="112"/>
      <c r="BC264" s="112"/>
      <c r="BD264" s="112"/>
      <c r="BE264" s="112"/>
    </row>
    <row r="265" spans="2:57" x14ac:dyDescent="0.35">
      <c r="B265" s="59"/>
      <c r="C265" s="59"/>
      <c r="D265" s="104"/>
      <c r="E265" s="105"/>
      <c r="F265" s="105"/>
      <c r="G265" s="105"/>
      <c r="H265" s="68"/>
      <c r="I265" s="106"/>
      <c r="J265" s="107"/>
      <c r="K265" s="108"/>
      <c r="L265" s="108"/>
      <c r="M265" s="108"/>
      <c r="N265" s="108"/>
      <c r="O265" s="108"/>
      <c r="P265" s="108"/>
      <c r="Q265" s="108"/>
      <c r="R265" s="108"/>
      <c r="S265" s="108"/>
      <c r="T265" s="108"/>
      <c r="U265" s="108"/>
      <c r="V265" s="108"/>
      <c r="W265" s="108"/>
      <c r="X265" s="108"/>
      <c r="Y265" s="108"/>
      <c r="Z265" s="109"/>
      <c r="AA265" s="109"/>
      <c r="AB265" s="109"/>
      <c r="AC265" s="109"/>
      <c r="AD265" s="109"/>
      <c r="AE265" s="109"/>
      <c r="AF265" s="109"/>
      <c r="AG265" s="109"/>
      <c r="AH265" s="109"/>
      <c r="AI265" s="109"/>
      <c r="AJ265" s="109"/>
      <c r="AK265" s="109"/>
      <c r="AL265" s="109"/>
      <c r="AM265" s="109"/>
      <c r="AN265" s="110"/>
      <c r="AO265" s="110"/>
      <c r="AP265" s="111"/>
      <c r="AQ265" s="112"/>
      <c r="AR265" s="112"/>
      <c r="AS265" s="112"/>
      <c r="AT265" s="112"/>
      <c r="AU265" s="112"/>
      <c r="AV265" s="112"/>
      <c r="AW265" s="112"/>
      <c r="AX265" s="112"/>
      <c r="AY265" s="112"/>
      <c r="AZ265" s="112"/>
      <c r="BA265" s="112"/>
      <c r="BB265" s="112"/>
      <c r="BC265" s="112"/>
      <c r="BD265" s="112"/>
      <c r="BE265" s="112"/>
    </row>
    <row r="266" spans="2:57" x14ac:dyDescent="0.35">
      <c r="B266" s="59"/>
      <c r="C266" s="59"/>
      <c r="D266" s="104"/>
      <c r="E266" s="105"/>
      <c r="F266" s="105"/>
      <c r="G266" s="105"/>
      <c r="H266" s="68"/>
      <c r="I266" s="106"/>
      <c r="J266" s="107"/>
      <c r="K266" s="108"/>
      <c r="L266" s="108"/>
      <c r="M266" s="108"/>
      <c r="N266" s="108"/>
      <c r="O266" s="108"/>
      <c r="P266" s="108"/>
      <c r="Q266" s="108"/>
      <c r="R266" s="108"/>
      <c r="S266" s="108"/>
      <c r="T266" s="108"/>
      <c r="U266" s="108"/>
      <c r="V266" s="108"/>
      <c r="W266" s="108"/>
      <c r="X266" s="108"/>
      <c r="Y266" s="108"/>
      <c r="Z266" s="109"/>
      <c r="AA266" s="109"/>
      <c r="AB266" s="109"/>
      <c r="AC266" s="109"/>
      <c r="AD266" s="109"/>
      <c r="AE266" s="109"/>
      <c r="AF266" s="109"/>
      <c r="AG266" s="109"/>
      <c r="AH266" s="109"/>
      <c r="AI266" s="109"/>
      <c r="AJ266" s="109"/>
      <c r="AK266" s="109"/>
      <c r="AL266" s="109"/>
      <c r="AM266" s="109"/>
      <c r="AN266" s="110"/>
      <c r="AO266" s="110"/>
      <c r="AP266" s="111"/>
      <c r="AQ266" s="112"/>
      <c r="AR266" s="112"/>
      <c r="AS266" s="112"/>
      <c r="AT266" s="112"/>
      <c r="AU266" s="112"/>
      <c r="AV266" s="112"/>
      <c r="AW266" s="112"/>
      <c r="AX266" s="112"/>
      <c r="AY266" s="112"/>
      <c r="AZ266" s="112"/>
      <c r="BA266" s="112"/>
      <c r="BB266" s="112"/>
      <c r="BC266" s="112"/>
      <c r="BD266" s="112"/>
      <c r="BE266" s="112"/>
    </row>
    <row r="267" spans="2:57" x14ac:dyDescent="0.35">
      <c r="B267" s="59"/>
      <c r="C267" s="59"/>
      <c r="D267" s="104"/>
      <c r="E267" s="105"/>
      <c r="F267" s="105"/>
      <c r="G267" s="105"/>
      <c r="H267" s="68"/>
      <c r="I267" s="106"/>
      <c r="J267" s="107"/>
      <c r="K267" s="108"/>
      <c r="L267" s="108"/>
      <c r="M267" s="108"/>
      <c r="N267" s="108"/>
      <c r="O267" s="108"/>
      <c r="P267" s="108"/>
      <c r="Q267" s="108"/>
      <c r="R267" s="108"/>
      <c r="S267" s="108"/>
      <c r="T267" s="108"/>
      <c r="U267" s="108"/>
      <c r="V267" s="108"/>
      <c r="W267" s="108"/>
      <c r="X267" s="108"/>
      <c r="Y267" s="108"/>
      <c r="Z267" s="109"/>
      <c r="AA267" s="109"/>
      <c r="AB267" s="109"/>
      <c r="AC267" s="109"/>
      <c r="AD267" s="109"/>
      <c r="AE267" s="109"/>
      <c r="AF267" s="109"/>
      <c r="AG267" s="109"/>
      <c r="AH267" s="109"/>
      <c r="AI267" s="109"/>
      <c r="AJ267" s="109"/>
      <c r="AK267" s="109"/>
      <c r="AL267" s="109"/>
      <c r="AM267" s="109"/>
      <c r="AN267" s="110"/>
      <c r="AO267" s="110"/>
      <c r="AP267" s="111"/>
      <c r="AQ267" s="112"/>
      <c r="AR267" s="112"/>
      <c r="AS267" s="112"/>
      <c r="AT267" s="112"/>
      <c r="AU267" s="112"/>
      <c r="AV267" s="112"/>
      <c r="AW267" s="112"/>
      <c r="AX267" s="112"/>
      <c r="AY267" s="112"/>
      <c r="AZ267" s="112"/>
      <c r="BA267" s="112"/>
      <c r="BB267" s="112"/>
      <c r="BC267" s="112"/>
      <c r="BD267" s="112"/>
      <c r="BE267" s="112"/>
    </row>
    <row r="268" spans="2:57" x14ac:dyDescent="0.35">
      <c r="B268" s="59"/>
      <c r="C268" s="59"/>
      <c r="D268" s="104"/>
      <c r="E268" s="105"/>
      <c r="F268" s="105"/>
      <c r="G268" s="105"/>
      <c r="H268" s="68"/>
      <c r="I268" s="106"/>
      <c r="J268" s="107"/>
      <c r="K268" s="108"/>
      <c r="L268" s="108"/>
      <c r="M268" s="108"/>
      <c r="N268" s="108"/>
      <c r="O268" s="108"/>
      <c r="P268" s="108"/>
      <c r="Q268" s="108"/>
      <c r="R268" s="108"/>
      <c r="S268" s="108"/>
      <c r="T268" s="108"/>
      <c r="U268" s="108"/>
      <c r="V268" s="108"/>
      <c r="W268" s="108"/>
      <c r="X268" s="108"/>
      <c r="Y268" s="108"/>
      <c r="Z268" s="109"/>
      <c r="AA268" s="109"/>
      <c r="AB268" s="109"/>
      <c r="AC268" s="109"/>
      <c r="AD268" s="109"/>
      <c r="AE268" s="109"/>
      <c r="AF268" s="109"/>
      <c r="AG268" s="109"/>
      <c r="AH268" s="109"/>
      <c r="AI268" s="109"/>
      <c r="AJ268" s="109"/>
      <c r="AK268" s="109"/>
      <c r="AL268" s="109"/>
      <c r="AM268" s="109"/>
      <c r="AN268" s="110"/>
      <c r="AO268" s="110"/>
      <c r="AP268" s="111"/>
      <c r="AQ268" s="112"/>
      <c r="AR268" s="112"/>
      <c r="AS268" s="112"/>
      <c r="AT268" s="112"/>
      <c r="AU268" s="112"/>
      <c r="AV268" s="112"/>
      <c r="AW268" s="112"/>
      <c r="AX268" s="112"/>
      <c r="AY268" s="112"/>
      <c r="AZ268" s="112"/>
      <c r="BA268" s="112"/>
      <c r="BB268" s="112"/>
      <c r="BC268" s="112"/>
      <c r="BD268" s="112"/>
      <c r="BE268" s="112"/>
    </row>
    <row r="269" spans="2:57" x14ac:dyDescent="0.35">
      <c r="B269" s="59"/>
      <c r="C269" s="59"/>
      <c r="D269" s="104"/>
      <c r="E269" s="105"/>
      <c r="F269" s="105"/>
      <c r="G269" s="105"/>
      <c r="H269" s="68"/>
      <c r="I269" s="106"/>
      <c r="J269" s="107"/>
      <c r="K269" s="108"/>
      <c r="L269" s="108"/>
      <c r="M269" s="108"/>
      <c r="N269" s="108"/>
      <c r="O269" s="108"/>
      <c r="P269" s="108"/>
      <c r="Q269" s="108"/>
      <c r="R269" s="108"/>
      <c r="S269" s="108"/>
      <c r="T269" s="108"/>
      <c r="U269" s="108"/>
      <c r="V269" s="108"/>
      <c r="W269" s="108"/>
      <c r="X269" s="108"/>
      <c r="Y269" s="108"/>
      <c r="Z269" s="109"/>
      <c r="AA269" s="109"/>
      <c r="AB269" s="109"/>
      <c r="AC269" s="109"/>
      <c r="AD269" s="109"/>
      <c r="AE269" s="109"/>
      <c r="AF269" s="109"/>
      <c r="AG269" s="109"/>
      <c r="AH269" s="109"/>
      <c r="AI269" s="109"/>
      <c r="AJ269" s="109"/>
      <c r="AK269" s="109"/>
      <c r="AL269" s="109"/>
      <c r="AM269" s="109"/>
      <c r="AN269" s="110"/>
      <c r="AO269" s="110"/>
      <c r="AP269" s="111"/>
      <c r="AQ269" s="112"/>
      <c r="AR269" s="112"/>
      <c r="AS269" s="112"/>
      <c r="AT269" s="112"/>
      <c r="AU269" s="112"/>
      <c r="AV269" s="112"/>
      <c r="AW269" s="112"/>
      <c r="AX269" s="112"/>
      <c r="AY269" s="112"/>
      <c r="AZ269" s="112"/>
      <c r="BA269" s="112"/>
      <c r="BB269" s="112"/>
      <c r="BC269" s="112"/>
      <c r="BD269" s="112"/>
      <c r="BE269" s="112"/>
    </row>
    <row r="270" spans="2:57" x14ac:dyDescent="0.35">
      <c r="B270" s="59"/>
      <c r="C270" s="59"/>
      <c r="D270" s="104"/>
      <c r="E270" s="105"/>
      <c r="F270" s="105"/>
      <c r="G270" s="105"/>
      <c r="H270" s="68"/>
      <c r="I270" s="106"/>
      <c r="J270" s="107"/>
      <c r="K270" s="108"/>
      <c r="L270" s="108"/>
      <c r="M270" s="108"/>
      <c r="N270" s="108"/>
      <c r="O270" s="108"/>
      <c r="P270" s="108"/>
      <c r="Q270" s="108"/>
      <c r="R270" s="108"/>
      <c r="S270" s="108"/>
      <c r="T270" s="108"/>
      <c r="U270" s="108"/>
      <c r="V270" s="108"/>
      <c r="W270" s="108"/>
      <c r="X270" s="108"/>
      <c r="Y270" s="108"/>
      <c r="Z270" s="109"/>
      <c r="AA270" s="109"/>
      <c r="AB270" s="109"/>
      <c r="AC270" s="109"/>
      <c r="AD270" s="109"/>
      <c r="AE270" s="109"/>
      <c r="AF270" s="109"/>
      <c r="AG270" s="109"/>
      <c r="AH270" s="109"/>
      <c r="AI270" s="109"/>
      <c r="AJ270" s="109"/>
      <c r="AK270" s="109"/>
      <c r="AL270" s="109"/>
      <c r="AM270" s="109"/>
      <c r="AN270" s="110"/>
      <c r="AO270" s="110"/>
      <c r="AP270" s="111"/>
      <c r="AQ270" s="112"/>
      <c r="AR270" s="112"/>
      <c r="AS270" s="112"/>
      <c r="AT270" s="112"/>
      <c r="AU270" s="112"/>
      <c r="AV270" s="112"/>
      <c r="AW270" s="112"/>
      <c r="AX270" s="112"/>
      <c r="AY270" s="112"/>
      <c r="AZ270" s="112"/>
      <c r="BA270" s="112"/>
      <c r="BB270" s="112"/>
      <c r="BC270" s="112"/>
      <c r="BD270" s="112"/>
      <c r="BE270" s="112"/>
    </row>
    <row r="271" spans="2:57" x14ac:dyDescent="0.35">
      <c r="B271" s="59"/>
      <c r="C271" s="59"/>
      <c r="D271" s="104"/>
      <c r="E271" s="105"/>
      <c r="F271" s="105"/>
      <c r="G271" s="105"/>
      <c r="H271" s="68"/>
      <c r="I271" s="106"/>
      <c r="J271" s="107"/>
      <c r="K271" s="108"/>
      <c r="L271" s="108"/>
      <c r="M271" s="108"/>
      <c r="N271" s="108"/>
      <c r="O271" s="108"/>
      <c r="P271" s="108"/>
      <c r="Q271" s="108"/>
      <c r="R271" s="108"/>
      <c r="S271" s="108"/>
      <c r="T271" s="108"/>
      <c r="U271" s="108"/>
      <c r="V271" s="108"/>
      <c r="W271" s="108"/>
      <c r="X271" s="108"/>
      <c r="Y271" s="108"/>
      <c r="Z271" s="109"/>
      <c r="AA271" s="109"/>
      <c r="AB271" s="109"/>
      <c r="AC271" s="109"/>
      <c r="AD271" s="109"/>
      <c r="AE271" s="109"/>
      <c r="AF271" s="109"/>
      <c r="AG271" s="109"/>
      <c r="AH271" s="109"/>
      <c r="AI271" s="109"/>
      <c r="AJ271" s="109"/>
      <c r="AK271" s="109"/>
      <c r="AL271" s="109"/>
      <c r="AM271" s="109"/>
      <c r="AN271" s="110"/>
      <c r="AO271" s="110"/>
      <c r="AP271" s="111"/>
      <c r="AQ271" s="112"/>
      <c r="AR271" s="112"/>
      <c r="AS271" s="112"/>
      <c r="AT271" s="112"/>
      <c r="AU271" s="112"/>
      <c r="AV271" s="112"/>
      <c r="AW271" s="112"/>
      <c r="AX271" s="112"/>
      <c r="AY271" s="112"/>
      <c r="AZ271" s="112"/>
      <c r="BA271" s="112"/>
      <c r="BB271" s="112"/>
      <c r="BC271" s="112"/>
      <c r="BD271" s="112"/>
      <c r="BE271" s="112"/>
    </row>
    <row r="272" spans="2:57" x14ac:dyDescent="0.35">
      <c r="B272" s="59"/>
      <c r="C272" s="59"/>
      <c r="D272" s="104"/>
      <c r="E272" s="105"/>
      <c r="F272" s="105"/>
      <c r="G272" s="105"/>
      <c r="H272" s="68"/>
      <c r="I272" s="106"/>
      <c r="J272" s="107"/>
      <c r="K272" s="108"/>
      <c r="L272" s="108"/>
      <c r="M272" s="108"/>
      <c r="N272" s="108"/>
      <c r="O272" s="108"/>
      <c r="P272" s="108"/>
      <c r="Q272" s="108"/>
      <c r="R272" s="108"/>
      <c r="S272" s="108"/>
      <c r="T272" s="108"/>
      <c r="U272" s="108"/>
      <c r="V272" s="108"/>
      <c r="W272" s="108"/>
      <c r="X272" s="108"/>
      <c r="Y272" s="108"/>
      <c r="Z272" s="109"/>
      <c r="AA272" s="109"/>
      <c r="AB272" s="109"/>
      <c r="AC272" s="109"/>
      <c r="AD272" s="109"/>
      <c r="AE272" s="109"/>
      <c r="AF272" s="109"/>
      <c r="AG272" s="109"/>
      <c r="AH272" s="109"/>
      <c r="AI272" s="109"/>
      <c r="AJ272" s="109"/>
      <c r="AK272" s="109"/>
      <c r="AL272" s="109"/>
      <c r="AM272" s="109"/>
      <c r="AN272" s="110"/>
      <c r="AO272" s="110"/>
      <c r="AP272" s="111"/>
      <c r="AQ272" s="112"/>
      <c r="AR272" s="112"/>
      <c r="AS272" s="112"/>
      <c r="AT272" s="112"/>
      <c r="AU272" s="112"/>
      <c r="AV272" s="112"/>
      <c r="AW272" s="112"/>
      <c r="AX272" s="112"/>
      <c r="AY272" s="112"/>
      <c r="AZ272" s="112"/>
      <c r="BA272" s="112"/>
      <c r="BB272" s="112"/>
      <c r="BC272" s="112"/>
      <c r="BD272" s="112"/>
      <c r="BE272" s="112"/>
    </row>
    <row r="273" spans="2:57" x14ac:dyDescent="0.35">
      <c r="B273" s="59"/>
      <c r="C273" s="59"/>
      <c r="D273" s="104"/>
      <c r="E273" s="105"/>
      <c r="F273" s="105"/>
      <c r="G273" s="105"/>
      <c r="H273" s="68"/>
      <c r="I273" s="106"/>
      <c r="J273" s="107"/>
      <c r="K273" s="108"/>
      <c r="L273" s="108"/>
      <c r="M273" s="108"/>
      <c r="N273" s="108"/>
      <c r="O273" s="108"/>
      <c r="P273" s="108"/>
      <c r="Q273" s="108"/>
      <c r="R273" s="108"/>
      <c r="S273" s="108"/>
      <c r="T273" s="108"/>
      <c r="U273" s="108"/>
      <c r="V273" s="108"/>
      <c r="W273" s="108"/>
      <c r="X273" s="108"/>
      <c r="Y273" s="108"/>
      <c r="Z273" s="109"/>
      <c r="AA273" s="109"/>
      <c r="AB273" s="109"/>
      <c r="AC273" s="109"/>
      <c r="AD273" s="109"/>
      <c r="AE273" s="109"/>
      <c r="AF273" s="109"/>
      <c r="AG273" s="109"/>
      <c r="AH273" s="109"/>
      <c r="AI273" s="109"/>
      <c r="AJ273" s="109"/>
      <c r="AK273" s="109"/>
      <c r="AL273" s="109"/>
      <c r="AM273" s="109"/>
      <c r="AN273" s="110"/>
      <c r="AO273" s="110"/>
      <c r="AP273" s="111"/>
      <c r="AQ273" s="112"/>
      <c r="AR273" s="112"/>
      <c r="AS273" s="112"/>
      <c r="AT273" s="112"/>
      <c r="AU273" s="112"/>
      <c r="AV273" s="112"/>
      <c r="AW273" s="112"/>
      <c r="AX273" s="112"/>
      <c r="AY273" s="112"/>
      <c r="AZ273" s="112"/>
      <c r="BA273" s="112"/>
      <c r="BB273" s="112"/>
      <c r="BC273" s="112"/>
      <c r="BD273" s="112"/>
      <c r="BE273" s="112"/>
    </row>
    <row r="274" spans="2:57" x14ac:dyDescent="0.35">
      <c r="B274" s="59"/>
      <c r="C274" s="59"/>
      <c r="D274" s="104"/>
      <c r="E274" s="105"/>
      <c r="F274" s="105"/>
      <c r="G274" s="105"/>
      <c r="H274" s="68"/>
      <c r="I274" s="106"/>
      <c r="J274" s="107"/>
      <c r="K274" s="108"/>
      <c r="L274" s="108"/>
      <c r="M274" s="108"/>
      <c r="N274" s="108"/>
      <c r="O274" s="108"/>
      <c r="P274" s="108"/>
      <c r="Q274" s="108"/>
      <c r="R274" s="108"/>
      <c r="S274" s="108"/>
      <c r="T274" s="108"/>
      <c r="U274" s="108"/>
      <c r="V274" s="108"/>
      <c r="W274" s="108"/>
      <c r="X274" s="108"/>
      <c r="Y274" s="108"/>
      <c r="Z274" s="109"/>
      <c r="AA274" s="109"/>
      <c r="AB274" s="109"/>
      <c r="AC274" s="109"/>
      <c r="AD274" s="109"/>
      <c r="AE274" s="109"/>
      <c r="AF274" s="109"/>
      <c r="AG274" s="109"/>
      <c r="AH274" s="109"/>
      <c r="AI274" s="109"/>
      <c r="AJ274" s="109"/>
      <c r="AK274" s="109"/>
      <c r="AL274" s="109"/>
      <c r="AM274" s="109"/>
      <c r="AN274" s="110"/>
      <c r="AO274" s="110"/>
      <c r="AP274" s="111"/>
      <c r="AQ274" s="112"/>
      <c r="AR274" s="112"/>
      <c r="AS274" s="112"/>
      <c r="AT274" s="112"/>
      <c r="AU274" s="112"/>
      <c r="AV274" s="112"/>
      <c r="AW274" s="112"/>
      <c r="AX274" s="112"/>
      <c r="AY274" s="112"/>
      <c r="AZ274" s="112"/>
      <c r="BA274" s="112"/>
      <c r="BB274" s="112"/>
      <c r="BC274" s="112"/>
      <c r="BD274" s="112"/>
      <c r="BE274" s="112"/>
    </row>
    <row r="275" spans="2:57" x14ac:dyDescent="0.35">
      <c r="B275" s="59"/>
      <c r="C275" s="59"/>
      <c r="D275" s="104"/>
      <c r="E275" s="105"/>
      <c r="F275" s="105"/>
      <c r="G275" s="105"/>
      <c r="H275" s="68"/>
      <c r="I275" s="106"/>
      <c r="J275" s="107"/>
      <c r="K275" s="108"/>
      <c r="L275" s="108"/>
      <c r="M275" s="108"/>
      <c r="N275" s="108"/>
      <c r="O275" s="108"/>
      <c r="P275" s="108"/>
      <c r="Q275" s="108"/>
      <c r="R275" s="108"/>
      <c r="S275" s="108"/>
      <c r="T275" s="108"/>
      <c r="U275" s="108"/>
      <c r="V275" s="108"/>
      <c r="W275" s="108"/>
      <c r="X275" s="108"/>
      <c r="Y275" s="108"/>
      <c r="Z275" s="109"/>
      <c r="AA275" s="109"/>
      <c r="AB275" s="109"/>
      <c r="AC275" s="109"/>
      <c r="AD275" s="109"/>
      <c r="AE275" s="109"/>
      <c r="AF275" s="109"/>
      <c r="AG275" s="109"/>
      <c r="AH275" s="109"/>
      <c r="AI275" s="109"/>
      <c r="AJ275" s="109"/>
      <c r="AK275" s="109"/>
      <c r="AL275" s="109"/>
      <c r="AM275" s="109"/>
      <c r="AN275" s="110"/>
      <c r="AO275" s="110"/>
      <c r="AP275" s="111"/>
      <c r="AQ275" s="112"/>
      <c r="AR275" s="112"/>
      <c r="AS275" s="112"/>
      <c r="AT275" s="112"/>
      <c r="AU275" s="112"/>
      <c r="AV275" s="112"/>
      <c r="AW275" s="112"/>
      <c r="AX275" s="112"/>
      <c r="AY275" s="112"/>
      <c r="AZ275" s="112"/>
      <c r="BA275" s="112"/>
      <c r="BB275" s="112"/>
      <c r="BC275" s="112"/>
      <c r="BD275" s="112"/>
      <c r="BE275" s="112"/>
    </row>
    <row r="276" spans="2:57" x14ac:dyDescent="0.35">
      <c r="B276" s="59"/>
      <c r="C276" s="59"/>
      <c r="D276" s="104"/>
      <c r="E276" s="105"/>
      <c r="F276" s="105"/>
      <c r="G276" s="105"/>
      <c r="H276" s="68"/>
      <c r="I276" s="106"/>
      <c r="J276" s="107"/>
      <c r="K276" s="108"/>
      <c r="L276" s="108"/>
      <c r="M276" s="108"/>
      <c r="N276" s="108"/>
      <c r="O276" s="108"/>
      <c r="P276" s="108"/>
      <c r="Q276" s="108"/>
      <c r="R276" s="108"/>
      <c r="S276" s="108"/>
      <c r="T276" s="108"/>
      <c r="U276" s="108"/>
      <c r="V276" s="108"/>
      <c r="W276" s="108"/>
      <c r="X276" s="108"/>
      <c r="Y276" s="108"/>
      <c r="Z276" s="109"/>
      <c r="AA276" s="109"/>
      <c r="AB276" s="109"/>
      <c r="AC276" s="109"/>
      <c r="AD276" s="109"/>
      <c r="AE276" s="109"/>
      <c r="AF276" s="109"/>
      <c r="AG276" s="109"/>
      <c r="AH276" s="109"/>
      <c r="AI276" s="109"/>
      <c r="AJ276" s="109"/>
      <c r="AK276" s="109"/>
      <c r="AL276" s="109"/>
      <c r="AM276" s="109"/>
      <c r="AN276" s="110"/>
      <c r="AO276" s="110"/>
      <c r="AP276" s="111"/>
      <c r="AQ276" s="112"/>
      <c r="AR276" s="112"/>
      <c r="AS276" s="112"/>
      <c r="AT276" s="112"/>
      <c r="AU276" s="112"/>
      <c r="AV276" s="112"/>
      <c r="AW276" s="112"/>
      <c r="AX276" s="112"/>
      <c r="AY276" s="112"/>
      <c r="AZ276" s="112"/>
      <c r="BA276" s="112"/>
      <c r="BB276" s="112"/>
      <c r="BC276" s="112"/>
      <c r="BD276" s="112"/>
      <c r="BE276" s="112"/>
    </row>
    <row r="277" spans="2:57" x14ac:dyDescent="0.35">
      <c r="B277" s="59"/>
      <c r="C277" s="59"/>
      <c r="D277" s="104"/>
      <c r="E277" s="105"/>
      <c r="F277" s="105"/>
      <c r="G277" s="105"/>
      <c r="H277" s="68"/>
      <c r="I277" s="106"/>
      <c r="J277" s="107"/>
      <c r="K277" s="108"/>
      <c r="L277" s="108"/>
      <c r="M277" s="108"/>
      <c r="N277" s="108"/>
      <c r="O277" s="108"/>
      <c r="P277" s="108"/>
      <c r="Q277" s="108"/>
      <c r="R277" s="108"/>
      <c r="S277" s="108"/>
      <c r="T277" s="108"/>
      <c r="U277" s="108"/>
      <c r="V277" s="108"/>
      <c r="W277" s="108"/>
      <c r="X277" s="108"/>
      <c r="Y277" s="108"/>
      <c r="Z277" s="109"/>
      <c r="AA277" s="109"/>
      <c r="AB277" s="109"/>
      <c r="AC277" s="109"/>
      <c r="AD277" s="109"/>
      <c r="AE277" s="109"/>
      <c r="AF277" s="109"/>
      <c r="AG277" s="109"/>
      <c r="AH277" s="109"/>
      <c r="AI277" s="109"/>
      <c r="AJ277" s="109"/>
      <c r="AK277" s="109"/>
      <c r="AL277" s="109"/>
      <c r="AM277" s="109"/>
      <c r="AN277" s="110"/>
      <c r="AO277" s="110"/>
      <c r="AP277" s="111"/>
      <c r="AQ277" s="112"/>
      <c r="AR277" s="112"/>
      <c r="AS277" s="112"/>
      <c r="AT277" s="112"/>
      <c r="AU277" s="112"/>
      <c r="AV277" s="112"/>
      <c r="AW277" s="112"/>
      <c r="AX277" s="112"/>
      <c r="AY277" s="112"/>
      <c r="AZ277" s="112"/>
      <c r="BA277" s="112"/>
      <c r="BB277" s="112"/>
      <c r="BC277" s="112"/>
      <c r="BD277" s="112"/>
      <c r="BE277" s="112"/>
    </row>
    <row r="278" spans="2:57" x14ac:dyDescent="0.35">
      <c r="B278" s="59"/>
      <c r="C278" s="59"/>
      <c r="D278" s="104"/>
      <c r="E278" s="105"/>
      <c r="F278" s="105"/>
      <c r="G278" s="105"/>
      <c r="H278" s="68"/>
      <c r="I278" s="106"/>
      <c r="J278" s="107"/>
      <c r="K278" s="108"/>
      <c r="L278" s="108"/>
      <c r="M278" s="108"/>
      <c r="N278" s="108"/>
      <c r="O278" s="108"/>
      <c r="P278" s="108"/>
      <c r="Q278" s="108"/>
      <c r="R278" s="108"/>
      <c r="S278" s="108"/>
      <c r="T278" s="108"/>
      <c r="U278" s="108"/>
      <c r="V278" s="108"/>
      <c r="W278" s="108"/>
      <c r="X278" s="108"/>
      <c r="Y278" s="108"/>
      <c r="Z278" s="109"/>
      <c r="AA278" s="109"/>
      <c r="AB278" s="109"/>
      <c r="AC278" s="109"/>
      <c r="AD278" s="109"/>
      <c r="AE278" s="109"/>
      <c r="AF278" s="109"/>
      <c r="AG278" s="109"/>
      <c r="AH278" s="109"/>
      <c r="AI278" s="109"/>
      <c r="AJ278" s="109"/>
      <c r="AK278" s="109"/>
      <c r="AL278" s="109"/>
      <c r="AM278" s="109"/>
      <c r="AN278" s="110"/>
      <c r="AO278" s="110"/>
      <c r="AP278" s="111"/>
      <c r="AQ278" s="112"/>
      <c r="AR278" s="112"/>
      <c r="AS278" s="112"/>
      <c r="AT278" s="112"/>
      <c r="AU278" s="112"/>
      <c r="AV278" s="112"/>
      <c r="AW278" s="112"/>
      <c r="AX278" s="112"/>
      <c r="AY278" s="112"/>
      <c r="AZ278" s="112"/>
      <c r="BA278" s="112"/>
      <c r="BB278" s="112"/>
      <c r="BC278" s="112"/>
      <c r="BD278" s="112"/>
      <c r="BE278" s="112"/>
    </row>
    <row r="279" spans="2:57" x14ac:dyDescent="0.35">
      <c r="B279" s="59"/>
      <c r="C279" s="59"/>
      <c r="D279" s="104"/>
      <c r="E279" s="105"/>
      <c r="F279" s="105"/>
      <c r="G279" s="105"/>
      <c r="H279" s="68"/>
      <c r="I279" s="106"/>
      <c r="J279" s="107"/>
      <c r="K279" s="108"/>
      <c r="L279" s="108"/>
      <c r="M279" s="108"/>
      <c r="N279" s="108"/>
      <c r="O279" s="108"/>
      <c r="P279" s="108"/>
      <c r="Q279" s="108"/>
      <c r="R279" s="108"/>
      <c r="S279" s="108"/>
      <c r="T279" s="108"/>
      <c r="U279" s="108"/>
      <c r="V279" s="108"/>
      <c r="W279" s="108"/>
      <c r="X279" s="108"/>
      <c r="Y279" s="108"/>
      <c r="Z279" s="109"/>
      <c r="AA279" s="109"/>
      <c r="AB279" s="109"/>
      <c r="AC279" s="109"/>
      <c r="AD279" s="109"/>
      <c r="AE279" s="109"/>
      <c r="AF279" s="109"/>
      <c r="AG279" s="109"/>
      <c r="AH279" s="109"/>
      <c r="AI279" s="109"/>
      <c r="AJ279" s="109"/>
      <c r="AK279" s="109"/>
      <c r="AL279" s="109"/>
      <c r="AM279" s="109"/>
      <c r="AN279" s="110"/>
      <c r="AO279" s="110"/>
      <c r="AP279" s="111"/>
      <c r="AQ279" s="112"/>
      <c r="AR279" s="112"/>
      <c r="AS279" s="112"/>
      <c r="AT279" s="112"/>
      <c r="AU279" s="112"/>
      <c r="AV279" s="112"/>
      <c r="AW279" s="112"/>
      <c r="AX279" s="112"/>
      <c r="AY279" s="112"/>
      <c r="AZ279" s="112"/>
      <c r="BA279" s="112"/>
      <c r="BB279" s="112"/>
      <c r="BC279" s="112"/>
      <c r="BD279" s="112"/>
      <c r="BE279" s="112"/>
    </row>
    <row r="280" spans="2:57" x14ac:dyDescent="0.35">
      <c r="B280" s="59"/>
      <c r="C280" s="59"/>
      <c r="D280" s="104"/>
      <c r="E280" s="105"/>
      <c r="F280" s="105"/>
      <c r="G280" s="105"/>
      <c r="H280" s="68"/>
      <c r="I280" s="106"/>
      <c r="J280" s="107"/>
      <c r="K280" s="108"/>
      <c r="L280" s="108"/>
      <c r="M280" s="108"/>
      <c r="N280" s="108"/>
      <c r="O280" s="108"/>
      <c r="P280" s="108"/>
      <c r="Q280" s="108"/>
      <c r="R280" s="108"/>
      <c r="S280" s="108"/>
      <c r="T280" s="108"/>
      <c r="U280" s="108"/>
      <c r="V280" s="108"/>
      <c r="W280" s="108"/>
      <c r="X280" s="108"/>
      <c r="Y280" s="108"/>
      <c r="Z280" s="109"/>
      <c r="AA280" s="109"/>
      <c r="AB280" s="109"/>
      <c r="AC280" s="109"/>
      <c r="AD280" s="109"/>
      <c r="AE280" s="109"/>
      <c r="AF280" s="109"/>
      <c r="AG280" s="109"/>
      <c r="AH280" s="109"/>
      <c r="AI280" s="109"/>
      <c r="AJ280" s="109"/>
      <c r="AK280" s="109"/>
      <c r="AL280" s="109"/>
      <c r="AM280" s="109"/>
      <c r="AN280" s="110"/>
      <c r="AO280" s="110"/>
      <c r="AP280" s="111"/>
      <c r="AQ280" s="112"/>
      <c r="AR280" s="112"/>
      <c r="AS280" s="112"/>
      <c r="AT280" s="112"/>
      <c r="AU280" s="112"/>
      <c r="AV280" s="112"/>
      <c r="AW280" s="112"/>
      <c r="AX280" s="112"/>
      <c r="AY280" s="112"/>
      <c r="AZ280" s="112"/>
      <c r="BA280" s="112"/>
      <c r="BB280" s="112"/>
      <c r="BC280" s="112"/>
      <c r="BD280" s="112"/>
      <c r="BE280" s="112"/>
    </row>
    <row r="281" spans="2:57" x14ac:dyDescent="0.35">
      <c r="B281" s="59"/>
      <c r="C281" s="59"/>
      <c r="D281" s="104"/>
      <c r="E281" s="105"/>
      <c r="F281" s="105"/>
      <c r="G281" s="105"/>
      <c r="H281" s="68"/>
      <c r="I281" s="106"/>
      <c r="J281" s="107"/>
      <c r="K281" s="108"/>
      <c r="L281" s="108"/>
      <c r="M281" s="108"/>
      <c r="N281" s="108"/>
      <c r="O281" s="108"/>
      <c r="P281" s="108"/>
      <c r="Q281" s="108"/>
      <c r="R281" s="108"/>
      <c r="S281" s="108"/>
      <c r="T281" s="108"/>
      <c r="U281" s="108"/>
      <c r="V281" s="108"/>
      <c r="W281" s="108"/>
      <c r="X281" s="108"/>
      <c r="Y281" s="108"/>
      <c r="Z281" s="109"/>
      <c r="AA281" s="109"/>
      <c r="AB281" s="109"/>
      <c r="AC281" s="109"/>
      <c r="AD281" s="109"/>
      <c r="AE281" s="109"/>
      <c r="AF281" s="109"/>
      <c r="AG281" s="109"/>
      <c r="AH281" s="109"/>
      <c r="AI281" s="109"/>
      <c r="AJ281" s="109"/>
      <c r="AK281" s="109"/>
      <c r="AL281" s="109"/>
      <c r="AM281" s="109"/>
      <c r="AN281" s="110"/>
      <c r="AO281" s="110"/>
      <c r="AP281" s="111"/>
      <c r="AQ281" s="112"/>
      <c r="AR281" s="112"/>
      <c r="AS281" s="112"/>
      <c r="AT281" s="112"/>
      <c r="AU281" s="112"/>
      <c r="AV281" s="112"/>
      <c r="AW281" s="112"/>
      <c r="AX281" s="112"/>
      <c r="AY281" s="112"/>
      <c r="AZ281" s="112"/>
      <c r="BA281" s="112"/>
      <c r="BB281" s="112"/>
      <c r="BC281" s="112"/>
      <c r="BD281" s="112"/>
      <c r="BE281" s="112"/>
    </row>
    <row r="282" spans="2:57" x14ac:dyDescent="0.35">
      <c r="B282" s="59"/>
      <c r="C282" s="59"/>
      <c r="D282" s="104"/>
      <c r="E282" s="105"/>
      <c r="F282" s="105"/>
      <c r="G282" s="105"/>
      <c r="H282" s="68"/>
      <c r="I282" s="106"/>
      <c r="J282" s="107"/>
      <c r="K282" s="108"/>
      <c r="L282" s="108"/>
      <c r="M282" s="108"/>
      <c r="N282" s="108"/>
      <c r="O282" s="108"/>
      <c r="P282" s="108"/>
      <c r="Q282" s="108"/>
      <c r="R282" s="108"/>
      <c r="S282" s="108"/>
      <c r="T282" s="108"/>
      <c r="U282" s="108"/>
      <c r="V282" s="108"/>
      <c r="W282" s="108"/>
      <c r="X282" s="108"/>
      <c r="Y282" s="108"/>
      <c r="Z282" s="109"/>
      <c r="AA282" s="109"/>
      <c r="AB282" s="109"/>
      <c r="AC282" s="109"/>
      <c r="AD282" s="109"/>
      <c r="AE282" s="109"/>
      <c r="AF282" s="109"/>
      <c r="AG282" s="109"/>
      <c r="AH282" s="109"/>
      <c r="AI282" s="109"/>
      <c r="AJ282" s="109"/>
      <c r="AK282" s="109"/>
      <c r="AL282" s="109"/>
      <c r="AM282" s="109"/>
      <c r="AN282" s="110"/>
      <c r="AO282" s="110"/>
      <c r="AP282" s="111"/>
      <c r="AQ282" s="112"/>
      <c r="AR282" s="112"/>
      <c r="AS282" s="112"/>
      <c r="AT282" s="112"/>
      <c r="AU282" s="112"/>
      <c r="AV282" s="112"/>
      <c r="AW282" s="112"/>
      <c r="AX282" s="112"/>
      <c r="AY282" s="112"/>
      <c r="AZ282" s="112"/>
      <c r="BA282" s="112"/>
      <c r="BB282" s="112"/>
      <c r="BC282" s="112"/>
      <c r="BD282" s="112"/>
      <c r="BE282" s="112"/>
    </row>
    <row r="283" spans="2:57" x14ac:dyDescent="0.35">
      <c r="B283" s="59"/>
      <c r="C283" s="59"/>
      <c r="D283" s="104"/>
      <c r="E283" s="105"/>
      <c r="F283" s="105"/>
      <c r="G283" s="105"/>
      <c r="H283" s="68"/>
      <c r="I283" s="106"/>
      <c r="J283" s="107"/>
      <c r="K283" s="108"/>
      <c r="L283" s="108"/>
      <c r="M283" s="108"/>
      <c r="N283" s="108"/>
      <c r="O283" s="108"/>
      <c r="P283" s="108"/>
      <c r="Q283" s="108"/>
      <c r="R283" s="108"/>
      <c r="S283" s="108"/>
      <c r="T283" s="108"/>
      <c r="U283" s="108"/>
      <c r="V283" s="108"/>
      <c r="W283" s="108"/>
      <c r="X283" s="108"/>
      <c r="Y283" s="108"/>
      <c r="Z283" s="109"/>
      <c r="AA283" s="109"/>
      <c r="AB283" s="109"/>
      <c r="AC283" s="109"/>
      <c r="AD283" s="109"/>
      <c r="AE283" s="109"/>
      <c r="AF283" s="109"/>
      <c r="AG283" s="109"/>
      <c r="AH283" s="109"/>
      <c r="AI283" s="109"/>
      <c r="AJ283" s="109"/>
      <c r="AK283" s="109"/>
      <c r="AL283" s="109"/>
      <c r="AM283" s="109"/>
      <c r="AN283" s="110"/>
      <c r="AO283" s="110"/>
      <c r="AP283" s="111"/>
      <c r="AQ283" s="112"/>
      <c r="AR283" s="112"/>
      <c r="AS283" s="112"/>
      <c r="AT283" s="112"/>
      <c r="AU283" s="112"/>
      <c r="AV283" s="112"/>
      <c r="AW283" s="112"/>
      <c r="AX283" s="112"/>
      <c r="AY283" s="112"/>
      <c r="AZ283" s="112"/>
      <c r="BA283" s="112"/>
      <c r="BB283" s="112"/>
      <c r="BC283" s="112"/>
      <c r="BD283" s="112"/>
      <c r="BE283" s="112"/>
    </row>
    <row r="284" spans="2:57" x14ac:dyDescent="0.35">
      <c r="B284" s="59"/>
      <c r="C284" s="59"/>
      <c r="D284" s="104"/>
      <c r="E284" s="105"/>
      <c r="F284" s="105"/>
      <c r="G284" s="105"/>
      <c r="H284" s="68"/>
      <c r="I284" s="106"/>
      <c r="J284" s="107"/>
      <c r="K284" s="108"/>
      <c r="L284" s="108"/>
      <c r="M284" s="108"/>
      <c r="N284" s="108"/>
      <c r="O284" s="108"/>
      <c r="P284" s="108"/>
      <c r="Q284" s="108"/>
      <c r="R284" s="108"/>
      <c r="S284" s="108"/>
      <c r="T284" s="108"/>
      <c r="U284" s="108"/>
      <c r="V284" s="108"/>
      <c r="W284" s="108"/>
      <c r="X284" s="108"/>
      <c r="Y284" s="108"/>
      <c r="Z284" s="109"/>
      <c r="AA284" s="109"/>
      <c r="AB284" s="109"/>
      <c r="AC284" s="109"/>
      <c r="AD284" s="109"/>
      <c r="AE284" s="109"/>
      <c r="AF284" s="109"/>
      <c r="AG284" s="109"/>
      <c r="AH284" s="109"/>
      <c r="AI284" s="109"/>
      <c r="AJ284" s="109"/>
      <c r="AK284" s="109"/>
      <c r="AL284" s="109"/>
      <c r="AM284" s="109"/>
      <c r="AN284" s="110"/>
      <c r="AO284" s="110"/>
      <c r="AP284" s="111"/>
      <c r="AQ284" s="112"/>
      <c r="AR284" s="112"/>
      <c r="AS284" s="112"/>
      <c r="AT284" s="112"/>
      <c r="AU284" s="112"/>
      <c r="AV284" s="112"/>
      <c r="AW284" s="112"/>
      <c r="AX284" s="112"/>
      <c r="AY284" s="112"/>
      <c r="AZ284" s="112"/>
      <c r="BA284" s="112"/>
      <c r="BB284" s="112"/>
      <c r="BC284" s="112"/>
      <c r="BD284" s="112"/>
      <c r="BE284" s="112"/>
    </row>
    <row r="285" spans="2:57" x14ac:dyDescent="0.35">
      <c r="B285" s="59"/>
      <c r="C285" s="59"/>
      <c r="D285" s="104"/>
      <c r="E285" s="105"/>
      <c r="F285" s="105"/>
      <c r="G285" s="105"/>
      <c r="H285" s="68"/>
      <c r="I285" s="106"/>
      <c r="J285" s="107"/>
      <c r="K285" s="108"/>
      <c r="L285" s="108"/>
      <c r="M285" s="108"/>
      <c r="N285" s="108"/>
      <c r="O285" s="108"/>
      <c r="P285" s="108"/>
      <c r="Q285" s="108"/>
      <c r="R285" s="108"/>
      <c r="S285" s="108"/>
      <c r="T285" s="108"/>
      <c r="U285" s="108"/>
      <c r="V285" s="108"/>
      <c r="W285" s="108"/>
      <c r="X285" s="108"/>
      <c r="Y285" s="108"/>
      <c r="Z285" s="109"/>
      <c r="AA285" s="109"/>
      <c r="AB285" s="109"/>
      <c r="AC285" s="109"/>
      <c r="AD285" s="109"/>
      <c r="AE285" s="109"/>
      <c r="AF285" s="109"/>
      <c r="AG285" s="109"/>
      <c r="AH285" s="109"/>
      <c r="AI285" s="109"/>
      <c r="AJ285" s="109"/>
      <c r="AK285" s="109"/>
      <c r="AL285" s="109"/>
      <c r="AM285" s="109"/>
      <c r="AN285" s="110"/>
      <c r="AO285" s="110"/>
      <c r="AP285" s="111"/>
      <c r="AQ285" s="112"/>
      <c r="AR285" s="112"/>
      <c r="AS285" s="112"/>
      <c r="AT285" s="112"/>
      <c r="AU285" s="112"/>
      <c r="AV285" s="112"/>
      <c r="AW285" s="112"/>
      <c r="AX285" s="112"/>
      <c r="AY285" s="112"/>
      <c r="AZ285" s="112"/>
      <c r="BA285" s="112"/>
      <c r="BB285" s="112"/>
      <c r="BC285" s="112"/>
      <c r="BD285" s="112"/>
      <c r="BE285" s="112"/>
    </row>
    <row r="286" spans="2:57" x14ac:dyDescent="0.35">
      <c r="B286" s="59"/>
      <c r="C286" s="59"/>
      <c r="D286" s="104"/>
      <c r="E286" s="105"/>
      <c r="F286" s="105"/>
      <c r="G286" s="105"/>
      <c r="H286" s="68"/>
      <c r="I286" s="106"/>
      <c r="J286" s="107"/>
      <c r="K286" s="108"/>
      <c r="L286" s="108"/>
      <c r="M286" s="108"/>
      <c r="N286" s="108"/>
      <c r="O286" s="108"/>
      <c r="P286" s="108"/>
      <c r="Q286" s="108"/>
      <c r="R286" s="108"/>
      <c r="S286" s="108"/>
      <c r="T286" s="108"/>
      <c r="U286" s="108"/>
      <c r="V286" s="108"/>
      <c r="W286" s="108"/>
      <c r="X286" s="108"/>
      <c r="Y286" s="108"/>
      <c r="Z286" s="109"/>
      <c r="AA286" s="109"/>
      <c r="AB286" s="109"/>
      <c r="AC286" s="109"/>
      <c r="AD286" s="109"/>
      <c r="AE286" s="109"/>
      <c r="AF286" s="109"/>
      <c r="AG286" s="109"/>
      <c r="AH286" s="109"/>
      <c r="AI286" s="109"/>
      <c r="AJ286" s="109"/>
      <c r="AK286" s="109"/>
      <c r="AL286" s="109"/>
      <c r="AM286" s="109"/>
      <c r="AN286" s="110"/>
      <c r="AO286" s="110"/>
      <c r="AP286" s="111"/>
      <c r="AQ286" s="112"/>
      <c r="AR286" s="112"/>
      <c r="AS286" s="112"/>
      <c r="AT286" s="112"/>
      <c r="AU286" s="112"/>
      <c r="AV286" s="112"/>
      <c r="AW286" s="112"/>
      <c r="AX286" s="112"/>
      <c r="AY286" s="112"/>
      <c r="AZ286" s="112"/>
      <c r="BA286" s="112"/>
      <c r="BB286" s="112"/>
      <c r="BC286" s="112"/>
      <c r="BD286" s="112"/>
      <c r="BE286" s="112"/>
    </row>
    <row r="287" spans="2:57" x14ac:dyDescent="0.35">
      <c r="B287" s="59"/>
      <c r="C287" s="59"/>
      <c r="D287" s="104"/>
      <c r="E287" s="105"/>
      <c r="F287" s="105"/>
      <c r="G287" s="105"/>
      <c r="H287" s="68"/>
      <c r="I287" s="106"/>
      <c r="J287" s="107"/>
      <c r="K287" s="108"/>
      <c r="L287" s="108"/>
      <c r="M287" s="108"/>
      <c r="N287" s="108"/>
      <c r="O287" s="108"/>
      <c r="P287" s="108"/>
      <c r="Q287" s="108"/>
      <c r="R287" s="108"/>
      <c r="S287" s="108"/>
      <c r="T287" s="108"/>
      <c r="U287" s="108"/>
      <c r="V287" s="108"/>
      <c r="W287" s="108"/>
      <c r="X287" s="108"/>
      <c r="Y287" s="108"/>
      <c r="Z287" s="109"/>
      <c r="AA287" s="109"/>
      <c r="AB287" s="109"/>
      <c r="AC287" s="109"/>
      <c r="AD287" s="109"/>
      <c r="AE287" s="109"/>
      <c r="AF287" s="109"/>
      <c r="AG287" s="109"/>
      <c r="AH287" s="109"/>
      <c r="AI287" s="109"/>
      <c r="AJ287" s="109"/>
      <c r="AK287" s="109"/>
      <c r="AL287" s="109"/>
      <c r="AM287" s="109"/>
      <c r="AN287" s="110"/>
      <c r="AO287" s="110"/>
      <c r="AP287" s="111"/>
      <c r="AQ287" s="112"/>
      <c r="AR287" s="112"/>
      <c r="AS287" s="112"/>
      <c r="AT287" s="112"/>
      <c r="AU287" s="112"/>
      <c r="AV287" s="112"/>
      <c r="AW287" s="112"/>
      <c r="AX287" s="112"/>
      <c r="AY287" s="112"/>
      <c r="AZ287" s="112"/>
      <c r="BA287" s="112"/>
      <c r="BB287" s="112"/>
      <c r="BC287" s="112"/>
      <c r="BD287" s="112"/>
      <c r="BE287" s="112"/>
    </row>
    <row r="288" spans="2:57" x14ac:dyDescent="0.35">
      <c r="B288" s="59"/>
      <c r="C288" s="59"/>
      <c r="D288" s="104"/>
      <c r="E288" s="105"/>
      <c r="F288" s="105"/>
      <c r="G288" s="105"/>
      <c r="H288" s="68"/>
      <c r="I288" s="106"/>
      <c r="J288" s="107"/>
      <c r="K288" s="108"/>
      <c r="L288" s="108"/>
      <c r="M288" s="108"/>
      <c r="N288" s="108"/>
      <c r="O288" s="108"/>
      <c r="P288" s="108"/>
      <c r="Q288" s="108"/>
      <c r="R288" s="108"/>
      <c r="S288" s="108"/>
      <c r="T288" s="108"/>
      <c r="U288" s="108"/>
      <c r="V288" s="108"/>
      <c r="W288" s="108"/>
      <c r="X288" s="108"/>
      <c r="Y288" s="108"/>
      <c r="Z288" s="109"/>
      <c r="AA288" s="109"/>
      <c r="AB288" s="109"/>
      <c r="AC288" s="109"/>
      <c r="AD288" s="109"/>
      <c r="AE288" s="109"/>
      <c r="AF288" s="109"/>
      <c r="AG288" s="109"/>
      <c r="AH288" s="109"/>
      <c r="AI288" s="109"/>
      <c r="AJ288" s="109"/>
      <c r="AK288" s="109"/>
      <c r="AL288" s="109"/>
      <c r="AM288" s="109"/>
      <c r="AN288" s="110"/>
      <c r="AO288" s="110"/>
      <c r="AP288" s="111"/>
      <c r="AQ288" s="112"/>
      <c r="AR288" s="112"/>
      <c r="AS288" s="112"/>
      <c r="AT288" s="112"/>
      <c r="AU288" s="112"/>
      <c r="AV288" s="112"/>
      <c r="AW288" s="112"/>
      <c r="AX288" s="112"/>
      <c r="AY288" s="112"/>
      <c r="AZ288" s="112"/>
      <c r="BA288" s="112"/>
      <c r="BB288" s="112"/>
      <c r="BC288" s="112"/>
      <c r="BD288" s="112"/>
      <c r="BE288" s="112"/>
    </row>
    <row r="289" spans="2:57" x14ac:dyDescent="0.35">
      <c r="B289" s="59"/>
      <c r="C289" s="59"/>
      <c r="D289" s="104"/>
      <c r="E289" s="105"/>
      <c r="F289" s="105"/>
      <c r="G289" s="105"/>
      <c r="H289" s="68"/>
      <c r="I289" s="106"/>
      <c r="J289" s="107"/>
      <c r="K289" s="108"/>
      <c r="L289" s="108"/>
      <c r="M289" s="108"/>
      <c r="N289" s="108"/>
      <c r="O289" s="108"/>
      <c r="P289" s="108"/>
      <c r="Q289" s="108"/>
      <c r="R289" s="108"/>
      <c r="S289" s="108"/>
      <c r="T289" s="108"/>
      <c r="U289" s="108"/>
      <c r="V289" s="108"/>
      <c r="W289" s="108"/>
      <c r="X289" s="108"/>
      <c r="Y289" s="108"/>
      <c r="Z289" s="109"/>
      <c r="AA289" s="109"/>
      <c r="AB289" s="109"/>
      <c r="AC289" s="109"/>
      <c r="AD289" s="109"/>
      <c r="AE289" s="109"/>
      <c r="AF289" s="109"/>
      <c r="AG289" s="109"/>
      <c r="AH289" s="109"/>
      <c r="AI289" s="109"/>
      <c r="AJ289" s="109"/>
      <c r="AK289" s="109"/>
      <c r="AL289" s="109"/>
      <c r="AM289" s="109"/>
      <c r="AN289" s="110"/>
      <c r="AO289" s="110"/>
      <c r="AP289" s="111"/>
      <c r="AQ289" s="112"/>
      <c r="AR289" s="112"/>
      <c r="AS289" s="112"/>
      <c r="AT289" s="112"/>
      <c r="AU289" s="112"/>
      <c r="AV289" s="112"/>
      <c r="AW289" s="112"/>
      <c r="AX289" s="112"/>
      <c r="AY289" s="112"/>
      <c r="AZ289" s="112"/>
      <c r="BA289" s="112"/>
      <c r="BB289" s="112"/>
      <c r="BC289" s="112"/>
      <c r="BD289" s="112"/>
      <c r="BE289" s="112"/>
    </row>
    <row r="290" spans="2:57" x14ac:dyDescent="0.35">
      <c r="B290" s="59"/>
      <c r="C290" s="59"/>
      <c r="D290" s="104"/>
      <c r="E290" s="105"/>
      <c r="F290" s="105"/>
      <c r="G290" s="105"/>
      <c r="H290" s="68"/>
      <c r="I290" s="106"/>
      <c r="J290" s="107"/>
      <c r="K290" s="108"/>
      <c r="L290" s="108"/>
      <c r="M290" s="108"/>
      <c r="N290" s="108"/>
      <c r="O290" s="108"/>
      <c r="P290" s="108"/>
      <c r="Q290" s="108"/>
      <c r="R290" s="108"/>
      <c r="S290" s="108"/>
      <c r="T290" s="108"/>
      <c r="U290" s="108"/>
      <c r="V290" s="108"/>
      <c r="W290" s="108"/>
      <c r="X290" s="108"/>
      <c r="Y290" s="108"/>
      <c r="Z290" s="109"/>
      <c r="AA290" s="109"/>
      <c r="AB290" s="109"/>
      <c r="AC290" s="109"/>
      <c r="AD290" s="109"/>
      <c r="AE290" s="109"/>
      <c r="AF290" s="109"/>
      <c r="AG290" s="109"/>
      <c r="AH290" s="109"/>
      <c r="AI290" s="109"/>
      <c r="AJ290" s="109"/>
      <c r="AK290" s="109"/>
      <c r="AL290" s="109"/>
      <c r="AM290" s="109"/>
      <c r="AN290" s="110"/>
      <c r="AO290" s="110"/>
      <c r="AP290" s="111"/>
      <c r="AQ290" s="112"/>
      <c r="AR290" s="112"/>
      <c r="AS290" s="112"/>
      <c r="AT290" s="112"/>
      <c r="AU290" s="112"/>
      <c r="AV290" s="112"/>
      <c r="AW290" s="112"/>
      <c r="AX290" s="112"/>
      <c r="AY290" s="112"/>
      <c r="AZ290" s="112"/>
      <c r="BA290" s="112"/>
      <c r="BB290" s="112"/>
      <c r="BC290" s="112"/>
      <c r="BD290" s="112"/>
      <c r="BE290" s="112"/>
    </row>
    <row r="291" spans="2:57" x14ac:dyDescent="0.35">
      <c r="B291" s="59"/>
      <c r="C291" s="59"/>
      <c r="D291" s="104"/>
      <c r="E291" s="105"/>
      <c r="F291" s="105"/>
      <c r="G291" s="105"/>
      <c r="H291" s="68"/>
      <c r="I291" s="106"/>
      <c r="J291" s="107"/>
      <c r="K291" s="108"/>
      <c r="L291" s="108"/>
      <c r="M291" s="108"/>
      <c r="N291" s="108"/>
      <c r="O291" s="108"/>
      <c r="P291" s="108"/>
      <c r="Q291" s="108"/>
      <c r="R291" s="108"/>
      <c r="S291" s="108"/>
      <c r="T291" s="108"/>
      <c r="U291" s="108"/>
      <c r="V291" s="108"/>
      <c r="W291" s="108"/>
      <c r="X291" s="108"/>
      <c r="Y291" s="108"/>
      <c r="Z291" s="109"/>
      <c r="AA291" s="109"/>
      <c r="AB291" s="109"/>
      <c r="AC291" s="109"/>
      <c r="AD291" s="109"/>
      <c r="AE291" s="109"/>
      <c r="AF291" s="109"/>
      <c r="AG291" s="109"/>
      <c r="AH291" s="109"/>
      <c r="AI291" s="109"/>
      <c r="AJ291" s="109"/>
      <c r="AK291" s="109"/>
      <c r="AL291" s="109"/>
      <c r="AM291" s="109"/>
      <c r="AN291" s="110"/>
      <c r="AO291" s="110"/>
      <c r="AP291" s="111"/>
      <c r="AQ291" s="112"/>
      <c r="AR291" s="112"/>
      <c r="AS291" s="112"/>
      <c r="AT291" s="112"/>
      <c r="AU291" s="112"/>
      <c r="AV291" s="112"/>
      <c r="AW291" s="112"/>
      <c r="AX291" s="112"/>
      <c r="AY291" s="112"/>
      <c r="AZ291" s="112"/>
      <c r="BA291" s="112"/>
      <c r="BB291" s="112"/>
      <c r="BC291" s="112"/>
      <c r="BD291" s="112"/>
      <c r="BE291" s="112"/>
    </row>
    <row r="292" spans="2:57" x14ac:dyDescent="0.35">
      <c r="B292" s="59"/>
      <c r="C292" s="59"/>
      <c r="D292" s="104"/>
      <c r="E292" s="105"/>
      <c r="F292" s="105"/>
      <c r="G292" s="105"/>
      <c r="H292" s="68"/>
      <c r="I292" s="106"/>
      <c r="J292" s="107"/>
      <c r="K292" s="108"/>
      <c r="L292" s="108"/>
      <c r="M292" s="108"/>
      <c r="N292" s="108"/>
      <c r="O292" s="108"/>
      <c r="P292" s="108"/>
      <c r="Q292" s="108"/>
      <c r="R292" s="108"/>
      <c r="S292" s="108"/>
      <c r="T292" s="108"/>
      <c r="U292" s="108"/>
      <c r="V292" s="108"/>
      <c r="W292" s="108"/>
      <c r="X292" s="108"/>
      <c r="Y292" s="108"/>
      <c r="Z292" s="109"/>
      <c r="AA292" s="109"/>
      <c r="AB292" s="109"/>
      <c r="AC292" s="109"/>
      <c r="AD292" s="109"/>
      <c r="AE292" s="109"/>
      <c r="AF292" s="109"/>
      <c r="AG292" s="109"/>
      <c r="AH292" s="109"/>
      <c r="AI292" s="109"/>
      <c r="AJ292" s="109"/>
      <c r="AK292" s="109"/>
      <c r="AL292" s="109"/>
      <c r="AM292" s="109"/>
      <c r="AN292" s="110"/>
      <c r="AO292" s="110"/>
      <c r="AP292" s="111"/>
      <c r="AQ292" s="112"/>
      <c r="AR292" s="112"/>
      <c r="AS292" s="112"/>
      <c r="AT292" s="112"/>
      <c r="AU292" s="112"/>
      <c r="AV292" s="112"/>
      <c r="AW292" s="112"/>
      <c r="AX292" s="112"/>
      <c r="AY292" s="112"/>
      <c r="AZ292" s="112"/>
      <c r="BA292" s="112"/>
      <c r="BB292" s="112"/>
      <c r="BC292" s="112"/>
      <c r="BD292" s="112"/>
      <c r="BE292" s="112"/>
    </row>
    <row r="293" spans="2:57" x14ac:dyDescent="0.35">
      <c r="B293" s="59"/>
      <c r="C293" s="59"/>
      <c r="D293" s="104"/>
      <c r="E293" s="105"/>
      <c r="F293" s="105"/>
      <c r="G293" s="105"/>
      <c r="H293" s="68"/>
      <c r="I293" s="106"/>
      <c r="J293" s="107"/>
      <c r="K293" s="108"/>
      <c r="L293" s="108"/>
      <c r="M293" s="108"/>
      <c r="N293" s="108"/>
      <c r="O293" s="108"/>
      <c r="P293" s="108"/>
      <c r="Q293" s="108"/>
      <c r="R293" s="108"/>
      <c r="S293" s="108"/>
      <c r="T293" s="108"/>
      <c r="U293" s="108"/>
      <c r="V293" s="108"/>
      <c r="W293" s="108"/>
      <c r="X293" s="108"/>
      <c r="Y293" s="108"/>
      <c r="Z293" s="109"/>
      <c r="AA293" s="109"/>
      <c r="AB293" s="109"/>
      <c r="AC293" s="109"/>
      <c r="AD293" s="109"/>
      <c r="AE293" s="109"/>
      <c r="AF293" s="109"/>
      <c r="AG293" s="109"/>
      <c r="AH293" s="109"/>
      <c r="AI293" s="109"/>
      <c r="AJ293" s="109"/>
      <c r="AK293" s="109"/>
      <c r="AL293" s="109"/>
      <c r="AM293" s="109"/>
      <c r="AN293" s="110"/>
      <c r="AO293" s="110"/>
      <c r="AP293" s="111"/>
      <c r="AQ293" s="112"/>
      <c r="AR293" s="112"/>
      <c r="AS293" s="112"/>
      <c r="AT293" s="112"/>
      <c r="AU293" s="112"/>
      <c r="AV293" s="112"/>
      <c r="AW293" s="112"/>
      <c r="AX293" s="112"/>
      <c r="AY293" s="112"/>
      <c r="AZ293" s="112"/>
      <c r="BA293" s="112"/>
      <c r="BB293" s="112"/>
      <c r="BC293" s="112"/>
      <c r="BD293" s="112"/>
      <c r="BE293" s="112"/>
    </row>
    <row r="294" spans="2:57" x14ac:dyDescent="0.35">
      <c r="B294" s="59"/>
      <c r="C294" s="59"/>
      <c r="D294" s="104"/>
      <c r="E294" s="105"/>
      <c r="F294" s="105"/>
      <c r="G294" s="105"/>
      <c r="H294" s="68"/>
      <c r="I294" s="106"/>
      <c r="J294" s="107"/>
      <c r="K294" s="108"/>
      <c r="L294" s="108"/>
      <c r="M294" s="108"/>
      <c r="N294" s="108"/>
      <c r="O294" s="108"/>
      <c r="P294" s="108"/>
      <c r="Q294" s="108"/>
      <c r="R294" s="108"/>
      <c r="S294" s="108"/>
      <c r="T294" s="108"/>
      <c r="U294" s="108"/>
      <c r="V294" s="108"/>
      <c r="W294" s="108"/>
      <c r="X294" s="108"/>
      <c r="Y294" s="108"/>
      <c r="Z294" s="109"/>
      <c r="AA294" s="109"/>
      <c r="AB294" s="109"/>
      <c r="AC294" s="109"/>
      <c r="AD294" s="109"/>
      <c r="AE294" s="109"/>
      <c r="AF294" s="109"/>
      <c r="AG294" s="109"/>
      <c r="AH294" s="109"/>
      <c r="AI294" s="109"/>
      <c r="AJ294" s="109"/>
      <c r="AK294" s="109"/>
      <c r="AL294" s="109"/>
      <c r="AM294" s="109"/>
      <c r="AN294" s="110"/>
      <c r="AO294" s="110"/>
      <c r="AP294" s="111"/>
      <c r="AQ294" s="112"/>
      <c r="AR294" s="112"/>
      <c r="AS294" s="112"/>
      <c r="AT294" s="112"/>
      <c r="AU294" s="112"/>
      <c r="AV294" s="112"/>
      <c r="AW294" s="112"/>
      <c r="AX294" s="112"/>
      <c r="AY294" s="112"/>
      <c r="AZ294" s="112"/>
      <c r="BA294" s="112"/>
      <c r="BB294" s="112"/>
      <c r="BC294" s="112"/>
      <c r="BD294" s="112"/>
      <c r="BE294" s="112"/>
    </row>
    <row r="295" spans="2:57" x14ac:dyDescent="0.35">
      <c r="B295" s="59"/>
      <c r="C295" s="59"/>
      <c r="D295" s="104"/>
      <c r="E295" s="105"/>
      <c r="F295" s="105"/>
      <c r="G295" s="105"/>
      <c r="H295" s="68"/>
      <c r="I295" s="106"/>
      <c r="J295" s="107"/>
      <c r="K295" s="108"/>
      <c r="L295" s="108"/>
      <c r="M295" s="108"/>
      <c r="N295" s="108"/>
      <c r="O295" s="108"/>
      <c r="P295" s="108"/>
      <c r="Q295" s="108"/>
      <c r="R295" s="108"/>
      <c r="S295" s="108"/>
      <c r="T295" s="108"/>
      <c r="U295" s="108"/>
      <c r="V295" s="108"/>
      <c r="W295" s="108"/>
      <c r="X295" s="108"/>
      <c r="Y295" s="108"/>
      <c r="Z295" s="109"/>
      <c r="AA295" s="109"/>
      <c r="AB295" s="109"/>
      <c r="AC295" s="109"/>
      <c r="AD295" s="109"/>
      <c r="AE295" s="109"/>
      <c r="AF295" s="109"/>
      <c r="AG295" s="109"/>
      <c r="AH295" s="109"/>
      <c r="AI295" s="109"/>
      <c r="AJ295" s="109"/>
      <c r="AK295" s="109"/>
      <c r="AL295" s="109"/>
      <c r="AM295" s="109"/>
      <c r="AN295" s="110"/>
      <c r="AO295" s="110"/>
      <c r="AP295" s="111"/>
      <c r="AQ295" s="112"/>
      <c r="AR295" s="112"/>
      <c r="AS295" s="112"/>
      <c r="AT295" s="112"/>
      <c r="AU295" s="112"/>
      <c r="AV295" s="112"/>
      <c r="AW295" s="112"/>
      <c r="AX295" s="112"/>
      <c r="AY295" s="112"/>
      <c r="AZ295" s="112"/>
      <c r="BA295" s="112"/>
      <c r="BB295" s="112"/>
      <c r="BC295" s="112"/>
      <c r="BD295" s="112"/>
      <c r="BE295" s="112"/>
    </row>
    <row r="296" spans="2:57" x14ac:dyDescent="0.35">
      <c r="B296" s="59"/>
      <c r="C296" s="59"/>
      <c r="D296" s="104"/>
      <c r="E296" s="105"/>
      <c r="F296" s="105"/>
      <c r="G296" s="105"/>
      <c r="H296" s="68"/>
      <c r="I296" s="106"/>
      <c r="J296" s="107"/>
      <c r="K296" s="108"/>
      <c r="L296" s="108"/>
      <c r="M296" s="108"/>
      <c r="N296" s="108"/>
      <c r="O296" s="108"/>
      <c r="P296" s="108"/>
      <c r="Q296" s="108"/>
      <c r="R296" s="108"/>
      <c r="S296" s="108"/>
      <c r="T296" s="108"/>
      <c r="U296" s="108"/>
      <c r="V296" s="108"/>
      <c r="W296" s="108"/>
      <c r="X296" s="108"/>
      <c r="Y296" s="108"/>
      <c r="Z296" s="109"/>
      <c r="AA296" s="109"/>
      <c r="AB296" s="109"/>
      <c r="AC296" s="109"/>
      <c r="AD296" s="109"/>
      <c r="AE296" s="109"/>
      <c r="AF296" s="109"/>
      <c r="AG296" s="109"/>
      <c r="AH296" s="109"/>
      <c r="AI296" s="109"/>
      <c r="AJ296" s="109"/>
      <c r="AK296" s="109"/>
      <c r="AL296" s="109"/>
      <c r="AM296" s="109"/>
      <c r="AN296" s="110"/>
      <c r="AO296" s="110"/>
      <c r="AP296" s="111"/>
      <c r="AQ296" s="112"/>
      <c r="AR296" s="112"/>
      <c r="AS296" s="112"/>
      <c r="AT296" s="112"/>
      <c r="AU296" s="112"/>
      <c r="AV296" s="112"/>
      <c r="AW296" s="112"/>
      <c r="AX296" s="112"/>
      <c r="AY296" s="112"/>
      <c r="AZ296" s="112"/>
      <c r="BA296" s="112"/>
      <c r="BB296" s="112"/>
      <c r="BC296" s="112"/>
      <c r="BD296" s="112"/>
      <c r="BE296" s="112"/>
    </row>
    <row r="297" spans="2:57" x14ac:dyDescent="0.35">
      <c r="B297" s="59"/>
      <c r="C297" s="59"/>
      <c r="D297" s="104"/>
      <c r="E297" s="105"/>
      <c r="F297" s="105"/>
      <c r="G297" s="105"/>
      <c r="H297" s="68"/>
      <c r="I297" s="106"/>
      <c r="J297" s="107"/>
      <c r="K297" s="108"/>
      <c r="L297" s="108"/>
      <c r="M297" s="108"/>
      <c r="N297" s="108"/>
      <c r="O297" s="108"/>
      <c r="P297" s="108"/>
      <c r="Q297" s="108"/>
      <c r="R297" s="108"/>
      <c r="S297" s="108"/>
      <c r="T297" s="108"/>
      <c r="U297" s="108"/>
      <c r="V297" s="108"/>
      <c r="W297" s="108"/>
      <c r="X297" s="108"/>
      <c r="Y297" s="108"/>
      <c r="Z297" s="109"/>
      <c r="AA297" s="109"/>
      <c r="AB297" s="109"/>
      <c r="AC297" s="109"/>
      <c r="AD297" s="109"/>
      <c r="AE297" s="109"/>
      <c r="AF297" s="109"/>
      <c r="AG297" s="109"/>
      <c r="AH297" s="109"/>
      <c r="AI297" s="109"/>
      <c r="AJ297" s="109"/>
      <c r="AK297" s="109"/>
      <c r="AL297" s="109"/>
      <c r="AM297" s="109"/>
      <c r="AN297" s="110"/>
      <c r="AO297" s="110"/>
      <c r="AP297" s="111"/>
      <c r="AQ297" s="112"/>
      <c r="AR297" s="112"/>
      <c r="AS297" s="112"/>
      <c r="AT297" s="112"/>
      <c r="AU297" s="112"/>
      <c r="AV297" s="112"/>
      <c r="AW297" s="112"/>
      <c r="AX297" s="112"/>
      <c r="AY297" s="112"/>
      <c r="AZ297" s="112"/>
      <c r="BA297" s="112"/>
      <c r="BB297" s="112"/>
      <c r="BC297" s="112"/>
      <c r="BD297" s="112"/>
      <c r="BE297" s="112"/>
    </row>
    <row r="298" spans="2:57" x14ac:dyDescent="0.35">
      <c r="B298" s="59"/>
      <c r="C298" s="59"/>
      <c r="D298" s="104"/>
      <c r="E298" s="105"/>
      <c r="F298" s="105"/>
      <c r="G298" s="105"/>
      <c r="H298" s="68"/>
      <c r="I298" s="106"/>
      <c r="J298" s="107"/>
      <c r="K298" s="108"/>
      <c r="L298" s="108"/>
      <c r="M298" s="108"/>
      <c r="N298" s="108"/>
      <c r="O298" s="108"/>
      <c r="P298" s="108"/>
      <c r="Q298" s="108"/>
      <c r="R298" s="108"/>
      <c r="S298" s="108"/>
      <c r="T298" s="108"/>
      <c r="U298" s="108"/>
      <c r="V298" s="108"/>
      <c r="W298" s="108"/>
      <c r="X298" s="108"/>
      <c r="Y298" s="108"/>
      <c r="Z298" s="109"/>
      <c r="AA298" s="109"/>
      <c r="AB298" s="109"/>
      <c r="AC298" s="109"/>
      <c r="AD298" s="109"/>
      <c r="AE298" s="109"/>
      <c r="AF298" s="109"/>
      <c r="AG298" s="109"/>
      <c r="AH298" s="109"/>
      <c r="AI298" s="109"/>
      <c r="AJ298" s="109"/>
      <c r="AK298" s="109"/>
      <c r="AL298" s="109"/>
      <c r="AM298" s="109"/>
      <c r="AN298" s="110"/>
      <c r="AO298" s="110"/>
      <c r="AP298" s="111"/>
      <c r="AQ298" s="112"/>
      <c r="AR298" s="112"/>
      <c r="AS298" s="112"/>
      <c r="AT298" s="112"/>
      <c r="AU298" s="112"/>
      <c r="AV298" s="112"/>
      <c r="AW298" s="112"/>
      <c r="AX298" s="112"/>
      <c r="AY298" s="112"/>
      <c r="AZ298" s="112"/>
      <c r="BA298" s="112"/>
      <c r="BB298" s="112"/>
      <c r="BC298" s="112"/>
      <c r="BD298" s="112"/>
      <c r="BE298" s="112"/>
    </row>
    <row r="299" spans="2:57" x14ac:dyDescent="0.35">
      <c r="B299" s="59"/>
      <c r="C299" s="59"/>
      <c r="D299" s="104"/>
      <c r="E299" s="105"/>
      <c r="F299" s="105"/>
      <c r="G299" s="105"/>
      <c r="H299" s="68"/>
      <c r="I299" s="106"/>
      <c r="J299" s="107"/>
      <c r="K299" s="108"/>
      <c r="L299" s="108"/>
      <c r="M299" s="108"/>
      <c r="N299" s="108"/>
      <c r="O299" s="108"/>
      <c r="P299" s="108"/>
      <c r="Q299" s="108"/>
      <c r="R299" s="108"/>
      <c r="S299" s="108"/>
      <c r="T299" s="108"/>
      <c r="U299" s="108"/>
      <c r="V299" s="108"/>
      <c r="W299" s="108"/>
      <c r="X299" s="108"/>
      <c r="Y299" s="108"/>
      <c r="Z299" s="109"/>
      <c r="AA299" s="109"/>
      <c r="AB299" s="109"/>
      <c r="AC299" s="109"/>
      <c r="AD299" s="109"/>
      <c r="AE299" s="109"/>
      <c r="AF299" s="109"/>
      <c r="AG299" s="109"/>
      <c r="AH299" s="109"/>
      <c r="AI299" s="109"/>
      <c r="AJ299" s="109"/>
      <c r="AK299" s="109"/>
      <c r="AL299" s="109"/>
      <c r="AM299" s="109"/>
      <c r="AN299" s="110"/>
      <c r="AO299" s="110"/>
      <c r="AP299" s="111"/>
      <c r="AQ299" s="112"/>
      <c r="AR299" s="112"/>
      <c r="AS299" s="112"/>
      <c r="AT299" s="112"/>
      <c r="AU299" s="112"/>
      <c r="AV299" s="112"/>
      <c r="AW299" s="112"/>
      <c r="AX299" s="112"/>
      <c r="AY299" s="112"/>
      <c r="AZ299" s="112"/>
      <c r="BA299" s="112"/>
      <c r="BB299" s="112"/>
      <c r="BC299" s="112"/>
      <c r="BD299" s="112"/>
      <c r="BE299" s="112"/>
    </row>
    <row r="300" spans="2:57" x14ac:dyDescent="0.35">
      <c r="B300" s="59"/>
      <c r="C300" s="59"/>
      <c r="D300" s="104"/>
      <c r="E300" s="105"/>
      <c r="F300" s="105"/>
      <c r="G300" s="105"/>
      <c r="H300" s="68"/>
      <c r="I300" s="106"/>
      <c r="J300" s="107"/>
      <c r="K300" s="108"/>
      <c r="L300" s="108"/>
      <c r="M300" s="108"/>
      <c r="N300" s="108"/>
      <c r="O300" s="108"/>
      <c r="P300" s="108"/>
      <c r="Q300" s="108"/>
      <c r="R300" s="108"/>
      <c r="S300" s="108"/>
      <c r="T300" s="108"/>
      <c r="U300" s="108"/>
      <c r="V300" s="108"/>
      <c r="W300" s="108"/>
      <c r="X300" s="108"/>
      <c r="Y300" s="108"/>
      <c r="Z300" s="109"/>
      <c r="AA300" s="109"/>
      <c r="AB300" s="109"/>
      <c r="AC300" s="109"/>
      <c r="AD300" s="109"/>
      <c r="AE300" s="109"/>
      <c r="AF300" s="109"/>
      <c r="AG300" s="109"/>
      <c r="AH300" s="109"/>
      <c r="AI300" s="109"/>
      <c r="AJ300" s="109"/>
      <c r="AK300" s="109"/>
      <c r="AL300" s="109"/>
      <c r="AM300" s="109"/>
      <c r="AN300" s="110"/>
      <c r="AO300" s="110"/>
      <c r="AP300" s="111"/>
      <c r="AQ300" s="112"/>
      <c r="AR300" s="112"/>
      <c r="AS300" s="112"/>
      <c r="AT300" s="112"/>
      <c r="AU300" s="112"/>
      <c r="AV300" s="112"/>
      <c r="AW300" s="112"/>
      <c r="AX300" s="112"/>
      <c r="AY300" s="112"/>
      <c r="AZ300" s="112"/>
      <c r="BA300" s="112"/>
      <c r="BB300" s="112"/>
      <c r="BC300" s="112"/>
      <c r="BD300" s="112"/>
      <c r="BE300" s="112"/>
    </row>
    <row r="301" spans="2:57" x14ac:dyDescent="0.35">
      <c r="B301" s="59"/>
      <c r="C301" s="59"/>
      <c r="D301" s="104"/>
      <c r="E301" s="105"/>
      <c r="F301" s="105"/>
      <c r="G301" s="105"/>
      <c r="H301" s="68"/>
      <c r="I301" s="106"/>
      <c r="J301" s="107"/>
      <c r="K301" s="108"/>
      <c r="L301" s="108"/>
      <c r="M301" s="108"/>
      <c r="N301" s="108"/>
      <c r="O301" s="108"/>
      <c r="P301" s="108"/>
      <c r="Q301" s="108"/>
      <c r="R301" s="108"/>
      <c r="S301" s="108"/>
      <c r="T301" s="108"/>
      <c r="U301" s="108"/>
      <c r="V301" s="108"/>
      <c r="W301" s="108"/>
      <c r="X301" s="108"/>
      <c r="Y301" s="108"/>
      <c r="Z301" s="109"/>
      <c r="AA301" s="109"/>
      <c r="AB301" s="109"/>
      <c r="AC301" s="109"/>
      <c r="AD301" s="109"/>
      <c r="AE301" s="109"/>
      <c r="AF301" s="109"/>
      <c r="AG301" s="109"/>
      <c r="AH301" s="109"/>
      <c r="AI301" s="109"/>
      <c r="AJ301" s="109"/>
      <c r="AK301" s="109"/>
      <c r="AL301" s="109"/>
      <c r="AM301" s="109"/>
      <c r="AN301" s="110"/>
      <c r="AO301" s="110"/>
      <c r="AP301" s="111"/>
      <c r="AQ301" s="112"/>
      <c r="AR301" s="112"/>
      <c r="AS301" s="112"/>
      <c r="AT301" s="112"/>
      <c r="AU301" s="112"/>
      <c r="AV301" s="112"/>
      <c r="AW301" s="112"/>
      <c r="AX301" s="112"/>
      <c r="AY301" s="112"/>
      <c r="AZ301" s="112"/>
      <c r="BA301" s="112"/>
      <c r="BB301" s="112"/>
      <c r="BC301" s="112"/>
      <c r="BD301" s="112"/>
      <c r="BE301" s="112"/>
    </row>
    <row r="302" spans="2:57" x14ac:dyDescent="0.35">
      <c r="B302" s="59"/>
      <c r="C302" s="59"/>
      <c r="D302" s="104"/>
      <c r="E302" s="105"/>
      <c r="F302" s="105"/>
      <c r="G302" s="105"/>
      <c r="H302" s="68"/>
      <c r="I302" s="106"/>
      <c r="J302" s="107"/>
      <c r="K302" s="108"/>
      <c r="L302" s="108"/>
      <c r="M302" s="108"/>
      <c r="N302" s="108"/>
      <c r="O302" s="108"/>
      <c r="P302" s="108"/>
      <c r="Q302" s="108"/>
      <c r="R302" s="108"/>
      <c r="S302" s="108"/>
      <c r="T302" s="108"/>
      <c r="U302" s="108"/>
      <c r="V302" s="108"/>
      <c r="W302" s="108"/>
      <c r="X302" s="108"/>
      <c r="Y302" s="108"/>
      <c r="Z302" s="109"/>
      <c r="AA302" s="109"/>
      <c r="AB302" s="109"/>
      <c r="AC302" s="109"/>
      <c r="AD302" s="109"/>
      <c r="AE302" s="109"/>
      <c r="AF302" s="109"/>
      <c r="AG302" s="109"/>
      <c r="AH302" s="109"/>
      <c r="AI302" s="109"/>
      <c r="AJ302" s="109"/>
      <c r="AK302" s="109"/>
      <c r="AL302" s="109"/>
      <c r="AM302" s="109"/>
      <c r="AN302" s="110"/>
      <c r="AO302" s="110"/>
      <c r="AP302" s="111"/>
      <c r="AQ302" s="112"/>
      <c r="AR302" s="112"/>
      <c r="AS302" s="112"/>
      <c r="AT302" s="112"/>
      <c r="AU302" s="112"/>
      <c r="AV302" s="112"/>
      <c r="AW302" s="112"/>
      <c r="AX302" s="112"/>
      <c r="AY302" s="112"/>
      <c r="AZ302" s="112"/>
      <c r="BA302" s="112"/>
      <c r="BB302" s="112"/>
      <c r="BC302" s="112"/>
      <c r="BD302" s="112"/>
      <c r="BE302" s="112"/>
    </row>
    <row r="303" spans="2:57" x14ac:dyDescent="0.35">
      <c r="B303" s="59"/>
      <c r="C303" s="59"/>
      <c r="D303" s="104"/>
      <c r="E303" s="105"/>
      <c r="F303" s="105"/>
      <c r="G303" s="105"/>
      <c r="H303" s="68"/>
      <c r="I303" s="106"/>
      <c r="J303" s="107"/>
      <c r="K303" s="108"/>
      <c r="L303" s="108"/>
      <c r="M303" s="108"/>
      <c r="N303" s="108"/>
      <c r="O303" s="108"/>
      <c r="P303" s="108"/>
      <c r="Q303" s="108"/>
      <c r="R303" s="108"/>
      <c r="S303" s="108"/>
      <c r="T303" s="108"/>
      <c r="U303" s="108"/>
      <c r="V303" s="108"/>
      <c r="W303" s="108"/>
      <c r="X303" s="108"/>
      <c r="Y303" s="108"/>
      <c r="Z303" s="109"/>
      <c r="AA303" s="109"/>
      <c r="AB303" s="109"/>
      <c r="AC303" s="109"/>
      <c r="AD303" s="109"/>
      <c r="AE303" s="109"/>
      <c r="AF303" s="109"/>
      <c r="AG303" s="109"/>
      <c r="AH303" s="109"/>
      <c r="AI303" s="109"/>
      <c r="AJ303" s="109"/>
      <c r="AK303" s="109"/>
      <c r="AL303" s="109"/>
      <c r="AM303" s="109"/>
      <c r="AN303" s="110"/>
      <c r="AO303" s="110"/>
      <c r="AP303" s="111"/>
      <c r="AQ303" s="112"/>
      <c r="AR303" s="112"/>
      <c r="AS303" s="112"/>
      <c r="AT303" s="112"/>
      <c r="AU303" s="112"/>
      <c r="AV303" s="112"/>
      <c r="AW303" s="112"/>
      <c r="AX303" s="112"/>
      <c r="AY303" s="112"/>
      <c r="AZ303" s="112"/>
      <c r="BA303" s="112"/>
      <c r="BB303" s="112"/>
      <c r="BC303" s="112"/>
      <c r="BD303" s="112"/>
      <c r="BE303" s="112"/>
    </row>
    <row r="304" spans="2:57" x14ac:dyDescent="0.35">
      <c r="B304" s="59"/>
      <c r="C304" s="59"/>
      <c r="D304" s="104"/>
      <c r="E304" s="105"/>
      <c r="F304" s="105"/>
      <c r="G304" s="105"/>
      <c r="H304" s="68"/>
      <c r="I304" s="106"/>
      <c r="J304" s="107"/>
      <c r="K304" s="108"/>
      <c r="L304" s="108"/>
      <c r="M304" s="108"/>
      <c r="N304" s="108"/>
      <c r="O304" s="108"/>
      <c r="P304" s="108"/>
      <c r="Q304" s="108"/>
      <c r="R304" s="108"/>
      <c r="S304" s="108"/>
      <c r="T304" s="108"/>
      <c r="U304" s="108"/>
      <c r="V304" s="108"/>
      <c r="W304" s="108"/>
      <c r="X304" s="108"/>
      <c r="Y304" s="108"/>
      <c r="Z304" s="109"/>
      <c r="AA304" s="109"/>
      <c r="AB304" s="109"/>
      <c r="AC304" s="109"/>
      <c r="AD304" s="109"/>
      <c r="AE304" s="109"/>
      <c r="AF304" s="109"/>
      <c r="AG304" s="109"/>
      <c r="AH304" s="109"/>
      <c r="AI304" s="109"/>
      <c r="AJ304" s="109"/>
      <c r="AK304" s="109"/>
      <c r="AL304" s="109"/>
      <c r="AM304" s="109"/>
      <c r="AN304" s="110"/>
      <c r="AO304" s="110"/>
      <c r="AP304" s="111"/>
      <c r="AQ304" s="112"/>
      <c r="AR304" s="112"/>
      <c r="AS304" s="112"/>
      <c r="AT304" s="112"/>
      <c r="AU304" s="112"/>
      <c r="AV304" s="112"/>
      <c r="AW304" s="112"/>
      <c r="AX304" s="112"/>
      <c r="AY304" s="112"/>
      <c r="AZ304" s="112"/>
      <c r="BA304" s="112"/>
      <c r="BB304" s="112"/>
      <c r="BC304" s="112"/>
      <c r="BD304" s="112"/>
      <c r="BE304" s="112"/>
    </row>
    <row r="305" spans="2:57" x14ac:dyDescent="0.35">
      <c r="B305" s="59"/>
      <c r="C305" s="59"/>
      <c r="D305" s="104"/>
      <c r="E305" s="105"/>
      <c r="F305" s="105"/>
      <c r="G305" s="105"/>
      <c r="H305" s="68"/>
      <c r="I305" s="106"/>
      <c r="J305" s="107"/>
      <c r="K305" s="108"/>
      <c r="L305" s="108"/>
      <c r="M305" s="108"/>
      <c r="N305" s="108"/>
      <c r="O305" s="108"/>
      <c r="P305" s="108"/>
      <c r="Q305" s="108"/>
      <c r="R305" s="108"/>
      <c r="S305" s="108"/>
      <c r="T305" s="108"/>
      <c r="U305" s="108"/>
      <c r="V305" s="108"/>
      <c r="W305" s="108"/>
      <c r="X305" s="108"/>
      <c r="Y305" s="108"/>
      <c r="Z305" s="109"/>
      <c r="AA305" s="109"/>
      <c r="AB305" s="109"/>
      <c r="AC305" s="109"/>
      <c r="AD305" s="109"/>
      <c r="AE305" s="109"/>
      <c r="AF305" s="109"/>
      <c r="AG305" s="109"/>
      <c r="AH305" s="109"/>
      <c r="AI305" s="109"/>
      <c r="AJ305" s="109"/>
      <c r="AK305" s="109"/>
      <c r="AL305" s="109"/>
      <c r="AM305" s="109"/>
      <c r="AN305" s="110"/>
      <c r="AO305" s="110"/>
      <c r="AP305" s="111"/>
      <c r="AQ305" s="112"/>
      <c r="AR305" s="112"/>
      <c r="AS305" s="112"/>
      <c r="AT305" s="112"/>
      <c r="AU305" s="112"/>
      <c r="AV305" s="112"/>
      <c r="AW305" s="112"/>
      <c r="AX305" s="112"/>
      <c r="AY305" s="112"/>
      <c r="AZ305" s="112"/>
      <c r="BA305" s="112"/>
      <c r="BB305" s="112"/>
      <c r="BC305" s="112"/>
      <c r="BD305" s="112"/>
      <c r="BE305" s="112"/>
    </row>
    <row r="306" spans="2:57" x14ac:dyDescent="0.35">
      <c r="B306" s="59"/>
      <c r="C306" s="59"/>
      <c r="D306" s="104"/>
      <c r="E306" s="105"/>
      <c r="F306" s="105"/>
      <c r="G306" s="105"/>
      <c r="H306" s="68"/>
      <c r="I306" s="106"/>
      <c r="J306" s="107"/>
      <c r="K306" s="108"/>
      <c r="L306" s="108"/>
      <c r="M306" s="108"/>
      <c r="N306" s="108"/>
      <c r="O306" s="108"/>
      <c r="P306" s="108"/>
      <c r="Q306" s="108"/>
      <c r="R306" s="108"/>
      <c r="S306" s="108"/>
      <c r="T306" s="108"/>
      <c r="U306" s="108"/>
      <c r="V306" s="108"/>
      <c r="W306" s="108"/>
      <c r="X306" s="108"/>
      <c r="Y306" s="108"/>
      <c r="Z306" s="109"/>
      <c r="AA306" s="109"/>
      <c r="AB306" s="109"/>
      <c r="AC306" s="109"/>
      <c r="AD306" s="109"/>
      <c r="AE306" s="109"/>
      <c r="AF306" s="109"/>
      <c r="AG306" s="109"/>
      <c r="AH306" s="109"/>
      <c r="AI306" s="109"/>
      <c r="AJ306" s="109"/>
      <c r="AK306" s="109"/>
      <c r="AL306" s="109"/>
      <c r="AM306" s="109"/>
      <c r="AN306" s="110"/>
      <c r="AO306" s="110"/>
      <c r="AP306" s="111"/>
      <c r="AQ306" s="112"/>
      <c r="AR306" s="112"/>
      <c r="AS306" s="112"/>
      <c r="AT306" s="112"/>
      <c r="AU306" s="112"/>
      <c r="AV306" s="112"/>
      <c r="AW306" s="112"/>
      <c r="AX306" s="112"/>
      <c r="AY306" s="112"/>
      <c r="AZ306" s="112"/>
      <c r="BA306" s="112"/>
      <c r="BB306" s="112"/>
      <c r="BC306" s="112"/>
      <c r="BD306" s="112"/>
      <c r="BE306" s="112"/>
    </row>
    <row r="307" spans="2:57" x14ac:dyDescent="0.35">
      <c r="B307" s="59"/>
      <c r="C307" s="59"/>
      <c r="D307" s="104"/>
      <c r="E307" s="105"/>
      <c r="F307" s="105"/>
      <c r="G307" s="105"/>
      <c r="H307" s="68"/>
      <c r="I307" s="106"/>
      <c r="J307" s="107"/>
      <c r="K307" s="108"/>
      <c r="L307" s="108"/>
      <c r="M307" s="108"/>
      <c r="N307" s="108"/>
      <c r="O307" s="108"/>
      <c r="P307" s="108"/>
      <c r="Q307" s="108"/>
      <c r="R307" s="108"/>
      <c r="S307" s="108"/>
      <c r="T307" s="108"/>
      <c r="U307" s="108"/>
      <c r="V307" s="108"/>
      <c r="W307" s="108"/>
      <c r="X307" s="108"/>
      <c r="Y307" s="108"/>
      <c r="Z307" s="109"/>
      <c r="AA307" s="109"/>
      <c r="AB307" s="109"/>
      <c r="AC307" s="109"/>
      <c r="AD307" s="109"/>
      <c r="AE307" s="109"/>
      <c r="AF307" s="109"/>
      <c r="AG307" s="109"/>
      <c r="AH307" s="109"/>
      <c r="AI307" s="109"/>
      <c r="AJ307" s="109"/>
      <c r="AK307" s="109"/>
      <c r="AL307" s="109"/>
      <c r="AM307" s="109"/>
      <c r="AN307" s="110"/>
      <c r="AO307" s="110"/>
      <c r="AP307" s="111"/>
      <c r="AQ307" s="112"/>
      <c r="AR307" s="112"/>
      <c r="AS307" s="112"/>
      <c r="AT307" s="112"/>
      <c r="AU307" s="112"/>
      <c r="AV307" s="112"/>
      <c r="AW307" s="112"/>
      <c r="AX307" s="112"/>
      <c r="AY307" s="112"/>
      <c r="AZ307" s="112"/>
      <c r="BA307" s="112"/>
      <c r="BB307" s="112"/>
      <c r="BC307" s="112"/>
      <c r="BD307" s="112"/>
      <c r="BE307" s="112"/>
    </row>
    <row r="308" spans="2:57" x14ac:dyDescent="0.35">
      <c r="B308" s="59"/>
      <c r="C308" s="59"/>
      <c r="D308" s="104"/>
      <c r="E308" s="105"/>
      <c r="F308" s="105"/>
      <c r="G308" s="105"/>
      <c r="H308" s="68"/>
      <c r="I308" s="106"/>
      <c r="J308" s="107"/>
      <c r="K308" s="108"/>
      <c r="L308" s="108"/>
      <c r="M308" s="108"/>
      <c r="N308" s="108"/>
      <c r="O308" s="108"/>
      <c r="P308" s="108"/>
      <c r="Q308" s="108"/>
      <c r="R308" s="108"/>
      <c r="S308" s="108"/>
      <c r="T308" s="108"/>
      <c r="U308" s="108"/>
      <c r="V308" s="108"/>
      <c r="W308" s="108"/>
      <c r="X308" s="108"/>
      <c r="Y308" s="108"/>
      <c r="Z308" s="109"/>
      <c r="AA308" s="109"/>
      <c r="AB308" s="109"/>
      <c r="AC308" s="109"/>
      <c r="AD308" s="109"/>
      <c r="AE308" s="109"/>
      <c r="AF308" s="109"/>
      <c r="AG308" s="109"/>
      <c r="AH308" s="109"/>
      <c r="AI308" s="109"/>
      <c r="AJ308" s="109"/>
      <c r="AK308" s="109"/>
      <c r="AL308" s="109"/>
      <c r="AM308" s="109"/>
      <c r="AN308" s="110"/>
      <c r="AO308" s="110"/>
      <c r="AP308" s="111"/>
      <c r="AQ308" s="112"/>
      <c r="AR308" s="112"/>
      <c r="AS308" s="112"/>
      <c r="AT308" s="112"/>
      <c r="AU308" s="112"/>
      <c r="AV308" s="112"/>
      <c r="AW308" s="112"/>
      <c r="AX308" s="112"/>
      <c r="AY308" s="112"/>
      <c r="AZ308" s="112"/>
      <c r="BA308" s="112"/>
      <c r="BB308" s="112"/>
      <c r="BC308" s="112"/>
      <c r="BD308" s="112"/>
      <c r="BE308" s="112"/>
    </row>
    <row r="309" spans="2:57" x14ac:dyDescent="0.35">
      <c r="B309" s="59"/>
      <c r="C309" s="59"/>
      <c r="D309" s="104"/>
      <c r="E309" s="105"/>
      <c r="F309" s="105"/>
      <c r="G309" s="105"/>
      <c r="H309" s="68"/>
      <c r="I309" s="106"/>
      <c r="J309" s="107"/>
      <c r="K309" s="108"/>
      <c r="L309" s="108"/>
      <c r="M309" s="108"/>
      <c r="N309" s="108"/>
      <c r="O309" s="108"/>
      <c r="P309" s="108"/>
      <c r="Q309" s="108"/>
      <c r="R309" s="108"/>
      <c r="S309" s="108"/>
      <c r="T309" s="108"/>
      <c r="U309" s="108"/>
      <c r="V309" s="108"/>
      <c r="W309" s="108"/>
      <c r="X309" s="108"/>
      <c r="Y309" s="108"/>
      <c r="Z309" s="109"/>
      <c r="AA309" s="109"/>
      <c r="AB309" s="109"/>
      <c r="AC309" s="109"/>
      <c r="AD309" s="109"/>
      <c r="AE309" s="109"/>
      <c r="AF309" s="109"/>
      <c r="AG309" s="109"/>
      <c r="AH309" s="109"/>
      <c r="AI309" s="109"/>
      <c r="AJ309" s="109"/>
      <c r="AK309" s="109"/>
      <c r="AL309" s="109"/>
      <c r="AM309" s="109"/>
      <c r="AN309" s="110"/>
      <c r="AO309" s="110"/>
      <c r="AP309" s="111"/>
      <c r="AQ309" s="112"/>
      <c r="AR309" s="112"/>
      <c r="AS309" s="112"/>
      <c r="AT309" s="112"/>
      <c r="AU309" s="112"/>
      <c r="AV309" s="112"/>
      <c r="AW309" s="112"/>
      <c r="AX309" s="112"/>
      <c r="AY309" s="112"/>
      <c r="AZ309" s="112"/>
      <c r="BA309" s="112"/>
      <c r="BB309" s="112"/>
      <c r="BC309" s="112"/>
      <c r="BD309" s="112"/>
      <c r="BE309" s="112"/>
    </row>
    <row r="310" spans="2:57" x14ac:dyDescent="0.35">
      <c r="B310" s="59"/>
      <c r="C310" s="59"/>
      <c r="D310" s="104"/>
      <c r="E310" s="105"/>
      <c r="F310" s="105"/>
      <c r="G310" s="105"/>
      <c r="H310" s="68"/>
      <c r="I310" s="106"/>
      <c r="J310" s="107"/>
      <c r="K310" s="108"/>
      <c r="L310" s="108"/>
      <c r="M310" s="108"/>
      <c r="N310" s="108"/>
      <c r="O310" s="108"/>
      <c r="P310" s="108"/>
      <c r="Q310" s="108"/>
      <c r="R310" s="108"/>
      <c r="S310" s="108"/>
      <c r="T310" s="108"/>
      <c r="U310" s="108"/>
      <c r="V310" s="108"/>
      <c r="W310" s="108"/>
      <c r="X310" s="108"/>
      <c r="Y310" s="108"/>
      <c r="Z310" s="109"/>
      <c r="AA310" s="109"/>
      <c r="AB310" s="109"/>
      <c r="AC310" s="109"/>
      <c r="AD310" s="109"/>
      <c r="AE310" s="109"/>
      <c r="AF310" s="109"/>
      <c r="AG310" s="109"/>
      <c r="AH310" s="109"/>
      <c r="AI310" s="109"/>
      <c r="AJ310" s="109"/>
      <c r="AK310" s="109"/>
      <c r="AL310" s="109"/>
      <c r="AM310" s="109"/>
      <c r="AN310" s="110"/>
      <c r="AO310" s="110"/>
      <c r="AP310" s="111"/>
      <c r="AQ310" s="112"/>
      <c r="AR310" s="112"/>
      <c r="AS310" s="112"/>
      <c r="AT310" s="112"/>
      <c r="AU310" s="112"/>
      <c r="AV310" s="112"/>
      <c r="AW310" s="112"/>
      <c r="AX310" s="112"/>
      <c r="AY310" s="112"/>
      <c r="AZ310" s="112"/>
      <c r="BA310" s="112"/>
      <c r="BB310" s="112"/>
      <c r="BC310" s="112"/>
      <c r="BD310" s="112"/>
      <c r="BE310" s="112"/>
    </row>
    <row r="311" spans="2:57" x14ac:dyDescent="0.35">
      <c r="B311" s="59"/>
      <c r="C311" s="59"/>
      <c r="D311" s="104"/>
      <c r="E311" s="105"/>
      <c r="F311" s="105"/>
      <c r="G311" s="105"/>
      <c r="H311" s="68"/>
      <c r="I311" s="106"/>
      <c r="J311" s="107"/>
      <c r="K311" s="108"/>
      <c r="L311" s="108"/>
      <c r="M311" s="108"/>
      <c r="N311" s="108"/>
      <c r="O311" s="108"/>
      <c r="P311" s="108"/>
      <c r="Q311" s="108"/>
      <c r="R311" s="108"/>
      <c r="S311" s="108"/>
      <c r="T311" s="108"/>
      <c r="U311" s="108"/>
      <c r="V311" s="108"/>
      <c r="W311" s="108"/>
      <c r="X311" s="108"/>
      <c r="Y311" s="108"/>
      <c r="Z311" s="109"/>
      <c r="AA311" s="109"/>
      <c r="AB311" s="109"/>
      <c r="AC311" s="109"/>
      <c r="AD311" s="109"/>
      <c r="AE311" s="109"/>
      <c r="AF311" s="109"/>
      <c r="AG311" s="109"/>
      <c r="AH311" s="109"/>
      <c r="AI311" s="109"/>
      <c r="AJ311" s="109"/>
      <c r="AK311" s="109"/>
      <c r="AL311" s="109"/>
      <c r="AM311" s="109"/>
      <c r="AN311" s="110"/>
      <c r="AO311" s="110"/>
      <c r="AP311" s="111"/>
      <c r="AQ311" s="112"/>
      <c r="AR311" s="112"/>
      <c r="AS311" s="112"/>
      <c r="AT311" s="112"/>
      <c r="AU311" s="112"/>
      <c r="AV311" s="112"/>
      <c r="AW311" s="112"/>
      <c r="AX311" s="112"/>
      <c r="AY311" s="112"/>
      <c r="AZ311" s="112"/>
      <c r="BA311" s="112"/>
      <c r="BB311" s="112"/>
      <c r="BC311" s="112"/>
      <c r="BD311" s="112"/>
      <c r="BE311" s="112"/>
    </row>
    <row r="312" spans="2:57" x14ac:dyDescent="0.35">
      <c r="B312" s="59"/>
      <c r="C312" s="59"/>
      <c r="D312" s="104"/>
      <c r="E312" s="105"/>
      <c r="F312" s="105"/>
      <c r="G312" s="105"/>
      <c r="H312" s="68"/>
      <c r="I312" s="106"/>
      <c r="J312" s="107"/>
      <c r="K312" s="108"/>
      <c r="L312" s="108"/>
      <c r="M312" s="108"/>
      <c r="N312" s="108"/>
      <c r="O312" s="108"/>
      <c r="P312" s="108"/>
      <c r="Q312" s="108"/>
      <c r="R312" s="108"/>
      <c r="S312" s="108"/>
      <c r="T312" s="108"/>
      <c r="U312" s="108"/>
      <c r="V312" s="108"/>
      <c r="W312" s="108"/>
      <c r="X312" s="108"/>
      <c r="Y312" s="108"/>
      <c r="Z312" s="109"/>
      <c r="AA312" s="109"/>
      <c r="AB312" s="109"/>
      <c r="AC312" s="109"/>
      <c r="AD312" s="109"/>
      <c r="AE312" s="109"/>
      <c r="AF312" s="109"/>
      <c r="AG312" s="109"/>
      <c r="AH312" s="109"/>
      <c r="AI312" s="109"/>
      <c r="AJ312" s="109"/>
      <c r="AK312" s="109"/>
      <c r="AL312" s="109"/>
      <c r="AM312" s="109"/>
      <c r="AN312" s="110"/>
      <c r="AO312" s="110"/>
      <c r="AP312" s="111"/>
      <c r="AQ312" s="112"/>
      <c r="AR312" s="112"/>
      <c r="AS312" s="112"/>
      <c r="AT312" s="112"/>
      <c r="AU312" s="112"/>
      <c r="AV312" s="112"/>
      <c r="AW312" s="112"/>
      <c r="AX312" s="112"/>
      <c r="AY312" s="112"/>
      <c r="AZ312" s="112"/>
      <c r="BA312" s="112"/>
      <c r="BB312" s="112"/>
      <c r="BC312" s="112"/>
      <c r="BD312" s="112"/>
      <c r="BE312" s="112"/>
    </row>
    <row r="313" spans="2:57" x14ac:dyDescent="0.35">
      <c r="B313" s="59"/>
      <c r="C313" s="59"/>
      <c r="D313" s="104"/>
      <c r="E313" s="105"/>
      <c r="F313" s="105"/>
      <c r="G313" s="105"/>
      <c r="H313" s="68"/>
      <c r="I313" s="106"/>
      <c r="J313" s="107"/>
      <c r="K313" s="108"/>
      <c r="L313" s="108"/>
      <c r="M313" s="108"/>
      <c r="N313" s="108"/>
      <c r="O313" s="108"/>
      <c r="P313" s="108"/>
      <c r="Q313" s="108"/>
      <c r="R313" s="108"/>
      <c r="S313" s="108"/>
      <c r="T313" s="108"/>
      <c r="U313" s="108"/>
      <c r="V313" s="108"/>
      <c r="W313" s="108"/>
      <c r="X313" s="108"/>
      <c r="Y313" s="108"/>
      <c r="Z313" s="109"/>
      <c r="AA313" s="109"/>
      <c r="AB313" s="109"/>
      <c r="AC313" s="109"/>
      <c r="AD313" s="109"/>
      <c r="AE313" s="109"/>
      <c r="AF313" s="109"/>
      <c r="AG313" s="109"/>
      <c r="AH313" s="109"/>
      <c r="AI313" s="109"/>
      <c r="AJ313" s="109"/>
      <c r="AK313" s="109"/>
      <c r="AL313" s="109"/>
      <c r="AM313" s="109"/>
      <c r="AN313" s="110"/>
      <c r="AO313" s="110"/>
      <c r="AP313" s="111"/>
      <c r="AQ313" s="112"/>
      <c r="AR313" s="112"/>
      <c r="AS313" s="112"/>
      <c r="AT313" s="112"/>
      <c r="AU313" s="112"/>
      <c r="AV313" s="112"/>
      <c r="AW313" s="112"/>
      <c r="AX313" s="112"/>
      <c r="AY313" s="112"/>
      <c r="AZ313" s="112"/>
      <c r="BA313" s="112"/>
      <c r="BB313" s="112"/>
      <c r="BC313" s="112"/>
      <c r="BD313" s="112"/>
      <c r="BE313" s="112"/>
    </row>
    <row r="314" spans="2:57" x14ac:dyDescent="0.35">
      <c r="B314" s="59"/>
      <c r="C314" s="59"/>
      <c r="D314" s="104"/>
      <c r="E314" s="105"/>
      <c r="F314" s="105"/>
      <c r="G314" s="105"/>
      <c r="H314" s="68"/>
      <c r="I314" s="106"/>
      <c r="J314" s="107"/>
      <c r="K314" s="108"/>
      <c r="L314" s="108"/>
      <c r="M314" s="108"/>
      <c r="N314" s="108"/>
      <c r="O314" s="108"/>
      <c r="P314" s="108"/>
      <c r="Q314" s="108"/>
      <c r="R314" s="108"/>
      <c r="S314" s="108"/>
      <c r="T314" s="108"/>
      <c r="U314" s="108"/>
      <c r="V314" s="108"/>
      <c r="W314" s="108"/>
      <c r="X314" s="108"/>
      <c r="Y314" s="108"/>
      <c r="Z314" s="109"/>
      <c r="AA314" s="109"/>
      <c r="AB314" s="109"/>
      <c r="AC314" s="109"/>
      <c r="AD314" s="109"/>
      <c r="AE314" s="109"/>
      <c r="AF314" s="109"/>
      <c r="AG314" s="109"/>
      <c r="AH314" s="109"/>
      <c r="AI314" s="109"/>
      <c r="AJ314" s="109"/>
      <c r="AK314" s="109"/>
      <c r="AL314" s="109"/>
      <c r="AM314" s="109"/>
      <c r="AN314" s="110"/>
      <c r="AO314" s="110"/>
      <c r="AP314" s="111"/>
      <c r="AQ314" s="112"/>
      <c r="AR314" s="112"/>
      <c r="AS314" s="112"/>
      <c r="AT314" s="112"/>
      <c r="AU314" s="112"/>
      <c r="AV314" s="112"/>
      <c r="AW314" s="112"/>
      <c r="AX314" s="112"/>
      <c r="AY314" s="112"/>
      <c r="AZ314" s="112"/>
      <c r="BA314" s="112"/>
      <c r="BB314" s="112"/>
      <c r="BC314" s="112"/>
      <c r="BD314" s="112"/>
      <c r="BE314" s="112"/>
    </row>
    <row r="315" spans="2:57" x14ac:dyDescent="0.35">
      <c r="B315" s="59"/>
      <c r="C315" s="59"/>
      <c r="D315" s="104"/>
      <c r="E315" s="105"/>
      <c r="F315" s="105"/>
      <c r="G315" s="105"/>
      <c r="H315" s="68"/>
      <c r="I315" s="106"/>
      <c r="J315" s="107"/>
      <c r="K315" s="108"/>
      <c r="L315" s="108"/>
      <c r="M315" s="108"/>
      <c r="N315" s="108"/>
      <c r="O315" s="108"/>
      <c r="P315" s="108"/>
      <c r="Q315" s="108"/>
      <c r="R315" s="108"/>
      <c r="S315" s="108"/>
      <c r="T315" s="108"/>
      <c r="U315" s="108"/>
      <c r="V315" s="108"/>
      <c r="W315" s="108"/>
      <c r="X315" s="108"/>
      <c r="Y315" s="108"/>
      <c r="Z315" s="109"/>
      <c r="AA315" s="109"/>
      <c r="AB315" s="109"/>
      <c r="AC315" s="109"/>
      <c r="AD315" s="109"/>
      <c r="AE315" s="109"/>
      <c r="AF315" s="109"/>
      <c r="AG315" s="109"/>
      <c r="AH315" s="109"/>
      <c r="AI315" s="109"/>
      <c r="AJ315" s="109"/>
      <c r="AK315" s="109"/>
      <c r="AL315" s="109"/>
      <c r="AM315" s="109"/>
      <c r="AN315" s="110"/>
      <c r="AO315" s="110"/>
      <c r="AP315" s="111"/>
      <c r="AQ315" s="112"/>
      <c r="AR315" s="112"/>
      <c r="AS315" s="112"/>
      <c r="AT315" s="112"/>
      <c r="AU315" s="112"/>
      <c r="AV315" s="112"/>
      <c r="AW315" s="112"/>
      <c r="AX315" s="112"/>
      <c r="AY315" s="112"/>
      <c r="AZ315" s="112"/>
      <c r="BA315" s="112"/>
      <c r="BB315" s="112"/>
      <c r="BC315" s="112"/>
      <c r="BD315" s="112"/>
      <c r="BE315" s="112"/>
    </row>
    <row r="316" spans="2:57" x14ac:dyDescent="0.35">
      <c r="B316" s="59"/>
      <c r="C316" s="59"/>
      <c r="D316" s="104"/>
      <c r="E316" s="105"/>
      <c r="F316" s="105"/>
      <c r="G316" s="105"/>
      <c r="H316" s="68"/>
      <c r="I316" s="106"/>
      <c r="J316" s="107"/>
      <c r="K316" s="108"/>
      <c r="L316" s="108"/>
      <c r="M316" s="108"/>
      <c r="N316" s="108"/>
      <c r="O316" s="108"/>
      <c r="P316" s="108"/>
      <c r="Q316" s="108"/>
      <c r="R316" s="108"/>
      <c r="S316" s="108"/>
      <c r="T316" s="108"/>
      <c r="U316" s="108"/>
      <c r="V316" s="108"/>
      <c r="W316" s="108"/>
      <c r="X316" s="108"/>
      <c r="Y316" s="108"/>
      <c r="Z316" s="109"/>
      <c r="AA316" s="109"/>
      <c r="AB316" s="109"/>
      <c r="AC316" s="109"/>
      <c r="AD316" s="109"/>
      <c r="AE316" s="109"/>
      <c r="AF316" s="109"/>
      <c r="AG316" s="109"/>
      <c r="AH316" s="109"/>
      <c r="AI316" s="109"/>
      <c r="AJ316" s="109"/>
      <c r="AK316" s="109"/>
      <c r="AL316" s="109"/>
      <c r="AM316" s="109"/>
      <c r="AN316" s="110"/>
      <c r="AO316" s="110"/>
      <c r="AP316" s="111"/>
      <c r="AQ316" s="112"/>
      <c r="AR316" s="112"/>
      <c r="AS316" s="112"/>
      <c r="AT316" s="112"/>
      <c r="AU316" s="112"/>
      <c r="AV316" s="112"/>
      <c r="AW316" s="112"/>
      <c r="AX316" s="112"/>
      <c r="AY316" s="112"/>
      <c r="AZ316" s="112"/>
      <c r="BA316" s="112"/>
      <c r="BB316" s="112"/>
      <c r="BC316" s="112"/>
      <c r="BD316" s="112"/>
      <c r="BE316" s="112"/>
    </row>
    <row r="317" spans="2:57" x14ac:dyDescent="0.35">
      <c r="B317" s="59"/>
      <c r="C317" s="59"/>
      <c r="D317" s="104"/>
      <c r="E317" s="105"/>
      <c r="F317" s="105"/>
      <c r="G317" s="105"/>
      <c r="H317" s="68"/>
      <c r="I317" s="106"/>
      <c r="J317" s="107"/>
      <c r="K317" s="108"/>
      <c r="L317" s="108"/>
      <c r="M317" s="108"/>
      <c r="N317" s="108"/>
      <c r="O317" s="108"/>
      <c r="P317" s="108"/>
      <c r="Q317" s="108"/>
      <c r="R317" s="108"/>
      <c r="S317" s="108"/>
      <c r="T317" s="108"/>
      <c r="U317" s="108"/>
      <c r="V317" s="108"/>
      <c r="W317" s="108"/>
      <c r="X317" s="108"/>
      <c r="Y317" s="108"/>
      <c r="Z317" s="109"/>
      <c r="AA317" s="109"/>
      <c r="AB317" s="109"/>
      <c r="AC317" s="109"/>
      <c r="AD317" s="109"/>
      <c r="AE317" s="109"/>
      <c r="AF317" s="109"/>
      <c r="AG317" s="109"/>
      <c r="AH317" s="109"/>
      <c r="AI317" s="109"/>
      <c r="AJ317" s="109"/>
      <c r="AK317" s="109"/>
      <c r="AL317" s="109"/>
      <c r="AM317" s="109"/>
      <c r="AN317" s="110"/>
      <c r="AO317" s="110"/>
      <c r="AP317" s="111"/>
      <c r="AQ317" s="112"/>
      <c r="AR317" s="112"/>
      <c r="AS317" s="112"/>
      <c r="AT317" s="112"/>
      <c r="AU317" s="112"/>
      <c r="AV317" s="112"/>
      <c r="AW317" s="112"/>
      <c r="AX317" s="112"/>
      <c r="AY317" s="112"/>
      <c r="AZ317" s="112"/>
      <c r="BA317" s="112"/>
      <c r="BB317" s="112"/>
      <c r="BC317" s="112"/>
      <c r="BD317" s="112"/>
      <c r="BE317" s="112"/>
    </row>
    <row r="318" spans="2:57" x14ac:dyDescent="0.35">
      <c r="B318" s="59"/>
      <c r="C318" s="59"/>
      <c r="D318" s="104"/>
      <c r="E318" s="105"/>
      <c r="F318" s="105"/>
      <c r="G318" s="105"/>
      <c r="H318" s="68"/>
      <c r="I318" s="106"/>
      <c r="J318" s="107"/>
      <c r="K318" s="108"/>
      <c r="L318" s="108"/>
      <c r="M318" s="108"/>
      <c r="N318" s="108"/>
      <c r="O318" s="108"/>
      <c r="P318" s="108"/>
      <c r="Q318" s="108"/>
      <c r="R318" s="108"/>
      <c r="S318" s="108"/>
      <c r="T318" s="108"/>
      <c r="U318" s="108"/>
      <c r="V318" s="108"/>
      <c r="W318" s="108"/>
      <c r="X318" s="108"/>
      <c r="Y318" s="108"/>
      <c r="Z318" s="109"/>
      <c r="AA318" s="109"/>
      <c r="AB318" s="109"/>
      <c r="AC318" s="109"/>
      <c r="AD318" s="109"/>
      <c r="AE318" s="109"/>
      <c r="AF318" s="109"/>
      <c r="AG318" s="109"/>
      <c r="AH318" s="109"/>
      <c r="AI318" s="109"/>
      <c r="AJ318" s="109"/>
      <c r="AK318" s="109"/>
      <c r="AL318" s="109"/>
      <c r="AM318" s="109"/>
      <c r="AN318" s="110"/>
      <c r="AO318" s="110"/>
      <c r="AP318" s="111"/>
      <c r="AQ318" s="112"/>
      <c r="AR318" s="112"/>
      <c r="AS318" s="112"/>
      <c r="AT318" s="112"/>
      <c r="AU318" s="112"/>
      <c r="AV318" s="112"/>
      <c r="AW318" s="112"/>
      <c r="AX318" s="112"/>
      <c r="AY318" s="112"/>
      <c r="AZ318" s="112"/>
      <c r="BA318" s="112"/>
      <c r="BB318" s="112"/>
      <c r="BC318" s="112"/>
      <c r="BD318" s="112"/>
      <c r="BE318" s="112"/>
    </row>
    <row r="319" spans="2:57" x14ac:dyDescent="0.35">
      <c r="B319" s="59"/>
      <c r="C319" s="59"/>
      <c r="D319" s="104"/>
      <c r="E319" s="105"/>
      <c r="F319" s="105"/>
      <c r="G319" s="105"/>
      <c r="H319" s="68"/>
      <c r="I319" s="106"/>
      <c r="J319" s="107"/>
      <c r="K319" s="108"/>
      <c r="L319" s="108"/>
      <c r="M319" s="108"/>
      <c r="N319" s="108"/>
      <c r="O319" s="108"/>
      <c r="P319" s="108"/>
      <c r="Q319" s="108"/>
      <c r="R319" s="108"/>
      <c r="S319" s="108"/>
      <c r="T319" s="108"/>
      <c r="U319" s="108"/>
      <c r="V319" s="108"/>
      <c r="W319" s="108"/>
      <c r="X319" s="108"/>
      <c r="Y319" s="108"/>
      <c r="Z319" s="109"/>
      <c r="AA319" s="109"/>
      <c r="AB319" s="109"/>
      <c r="AC319" s="109"/>
      <c r="AD319" s="109"/>
      <c r="AE319" s="109"/>
      <c r="AF319" s="109"/>
      <c r="AG319" s="109"/>
      <c r="AH319" s="109"/>
      <c r="AI319" s="109"/>
      <c r="AJ319" s="109"/>
      <c r="AK319" s="109"/>
      <c r="AL319" s="109"/>
      <c r="AM319" s="109"/>
      <c r="AN319" s="110"/>
      <c r="AO319" s="110"/>
      <c r="AP319" s="111"/>
      <c r="AQ319" s="112"/>
      <c r="AR319" s="112"/>
      <c r="AS319" s="112"/>
      <c r="AT319" s="112"/>
      <c r="AU319" s="112"/>
      <c r="AV319" s="112"/>
      <c r="AW319" s="112"/>
      <c r="AX319" s="112"/>
      <c r="AY319" s="112"/>
      <c r="AZ319" s="112"/>
      <c r="BA319" s="112"/>
      <c r="BB319" s="112"/>
      <c r="BC319" s="112"/>
      <c r="BD319" s="112"/>
      <c r="BE319" s="112"/>
    </row>
    <row r="320" spans="2:57" x14ac:dyDescent="0.35">
      <c r="B320" s="59"/>
      <c r="C320" s="59"/>
      <c r="D320" s="104"/>
      <c r="E320" s="105"/>
      <c r="F320" s="105"/>
      <c r="G320" s="105"/>
      <c r="H320" s="68"/>
      <c r="I320" s="106"/>
      <c r="J320" s="107"/>
      <c r="K320" s="108"/>
      <c r="L320" s="108"/>
      <c r="M320" s="108"/>
      <c r="N320" s="108"/>
      <c r="O320" s="108"/>
      <c r="P320" s="108"/>
      <c r="Q320" s="108"/>
      <c r="R320" s="108"/>
      <c r="S320" s="108"/>
      <c r="T320" s="108"/>
      <c r="U320" s="108"/>
      <c r="V320" s="108"/>
      <c r="W320" s="108"/>
      <c r="X320" s="108"/>
      <c r="Y320" s="108"/>
      <c r="Z320" s="109"/>
      <c r="AA320" s="109"/>
      <c r="AB320" s="109"/>
      <c r="AC320" s="109"/>
      <c r="AD320" s="109"/>
      <c r="AE320" s="109"/>
      <c r="AF320" s="109"/>
      <c r="AG320" s="109"/>
      <c r="AH320" s="109"/>
      <c r="AI320" s="109"/>
      <c r="AJ320" s="109"/>
      <c r="AK320" s="109"/>
      <c r="AL320" s="109"/>
      <c r="AM320" s="109"/>
      <c r="AN320" s="110"/>
      <c r="AO320" s="110"/>
      <c r="AP320" s="111"/>
      <c r="AQ320" s="112"/>
      <c r="AR320" s="112"/>
      <c r="AS320" s="112"/>
      <c r="AT320" s="112"/>
      <c r="AU320" s="112"/>
      <c r="AV320" s="112"/>
      <c r="AW320" s="112"/>
      <c r="AX320" s="112"/>
      <c r="AY320" s="112"/>
      <c r="AZ320" s="112"/>
      <c r="BA320" s="112"/>
      <c r="BB320" s="112"/>
      <c r="BC320" s="112"/>
      <c r="BD320" s="112"/>
      <c r="BE320" s="112"/>
    </row>
    <row r="321" spans="2:57" x14ac:dyDescent="0.35">
      <c r="B321" s="59"/>
      <c r="C321" s="59"/>
      <c r="D321" s="104"/>
      <c r="E321" s="105"/>
      <c r="F321" s="105"/>
      <c r="G321" s="105"/>
      <c r="H321" s="68"/>
      <c r="I321" s="106"/>
      <c r="J321" s="107"/>
      <c r="K321" s="108"/>
      <c r="L321" s="108"/>
      <c r="M321" s="108"/>
      <c r="N321" s="108"/>
      <c r="O321" s="108"/>
      <c r="P321" s="108"/>
      <c r="Q321" s="108"/>
      <c r="R321" s="108"/>
      <c r="S321" s="108"/>
      <c r="T321" s="108"/>
      <c r="U321" s="108"/>
      <c r="V321" s="108"/>
      <c r="W321" s="108"/>
      <c r="X321" s="108"/>
      <c r="Y321" s="108"/>
      <c r="Z321" s="109"/>
      <c r="AA321" s="109"/>
      <c r="AB321" s="109"/>
      <c r="AC321" s="109"/>
      <c r="AD321" s="109"/>
      <c r="AE321" s="109"/>
      <c r="AF321" s="109"/>
      <c r="AG321" s="109"/>
      <c r="AH321" s="109"/>
      <c r="AI321" s="109"/>
      <c r="AJ321" s="109"/>
      <c r="AK321" s="109"/>
      <c r="AL321" s="109"/>
      <c r="AM321" s="109"/>
      <c r="AN321" s="110"/>
      <c r="AO321" s="110"/>
      <c r="AP321" s="111"/>
      <c r="AQ321" s="112"/>
      <c r="AR321" s="112"/>
      <c r="AS321" s="112"/>
      <c r="AT321" s="112"/>
      <c r="AU321" s="112"/>
      <c r="AV321" s="112"/>
      <c r="AW321" s="112"/>
      <c r="AX321" s="112"/>
      <c r="AY321" s="112"/>
      <c r="AZ321" s="112"/>
      <c r="BA321" s="112"/>
      <c r="BB321" s="112"/>
      <c r="BC321" s="112"/>
      <c r="BD321" s="112"/>
      <c r="BE321" s="112"/>
    </row>
    <row r="322" spans="2:57" x14ac:dyDescent="0.35">
      <c r="B322" s="59"/>
      <c r="C322" s="59"/>
      <c r="D322" s="104"/>
      <c r="E322" s="105"/>
      <c r="F322" s="105"/>
      <c r="G322" s="105"/>
      <c r="H322" s="68"/>
      <c r="I322" s="106"/>
      <c r="J322" s="107"/>
      <c r="K322" s="108"/>
      <c r="L322" s="108"/>
      <c r="M322" s="108"/>
      <c r="N322" s="108"/>
      <c r="O322" s="108"/>
      <c r="P322" s="108"/>
      <c r="Q322" s="108"/>
      <c r="R322" s="108"/>
      <c r="S322" s="108"/>
      <c r="T322" s="108"/>
      <c r="U322" s="108"/>
      <c r="V322" s="108"/>
      <c r="W322" s="108"/>
      <c r="X322" s="108"/>
      <c r="Y322" s="108"/>
      <c r="Z322" s="109"/>
      <c r="AA322" s="109"/>
      <c r="AB322" s="109"/>
      <c r="AC322" s="109"/>
      <c r="AD322" s="109"/>
      <c r="AE322" s="109"/>
      <c r="AF322" s="109"/>
      <c r="AG322" s="109"/>
      <c r="AH322" s="109"/>
      <c r="AI322" s="109"/>
      <c r="AJ322" s="109"/>
      <c r="AK322" s="109"/>
      <c r="AL322" s="109"/>
      <c r="AM322" s="109"/>
      <c r="AN322" s="110"/>
      <c r="AO322" s="110"/>
      <c r="AP322" s="111"/>
      <c r="AQ322" s="112"/>
      <c r="AR322" s="112"/>
      <c r="AS322" s="112"/>
      <c r="AT322" s="112"/>
      <c r="AU322" s="112"/>
      <c r="AV322" s="112"/>
      <c r="AW322" s="112"/>
      <c r="AX322" s="112"/>
      <c r="AY322" s="112"/>
      <c r="AZ322" s="112"/>
      <c r="BA322" s="112"/>
      <c r="BB322" s="112"/>
      <c r="BC322" s="112"/>
      <c r="BD322" s="112"/>
      <c r="BE322" s="112"/>
    </row>
    <row r="323" spans="2:57" x14ac:dyDescent="0.35">
      <c r="B323" s="59"/>
      <c r="C323" s="59"/>
      <c r="D323" s="104"/>
      <c r="E323" s="105"/>
      <c r="F323" s="105"/>
      <c r="G323" s="105"/>
      <c r="H323" s="68"/>
      <c r="I323" s="106"/>
      <c r="J323" s="107"/>
      <c r="K323" s="108"/>
      <c r="L323" s="108"/>
      <c r="M323" s="108"/>
      <c r="N323" s="108"/>
      <c r="O323" s="108"/>
      <c r="P323" s="108"/>
      <c r="Q323" s="108"/>
      <c r="R323" s="108"/>
      <c r="S323" s="108"/>
      <c r="T323" s="108"/>
      <c r="U323" s="108"/>
      <c r="V323" s="108"/>
      <c r="W323" s="108"/>
      <c r="X323" s="108"/>
      <c r="Y323" s="108"/>
      <c r="Z323" s="109"/>
      <c r="AA323" s="109"/>
      <c r="AB323" s="109"/>
      <c r="AC323" s="109"/>
      <c r="AD323" s="109"/>
      <c r="AE323" s="109"/>
      <c r="AF323" s="109"/>
      <c r="AG323" s="109"/>
      <c r="AH323" s="109"/>
      <c r="AI323" s="109"/>
      <c r="AJ323" s="109"/>
      <c r="AK323" s="109"/>
      <c r="AL323" s="109"/>
      <c r="AM323" s="109"/>
      <c r="AN323" s="110"/>
      <c r="AO323" s="110"/>
      <c r="AP323" s="111"/>
      <c r="AQ323" s="112"/>
      <c r="AR323" s="112"/>
      <c r="AS323" s="112"/>
      <c r="AT323" s="112"/>
      <c r="AU323" s="112"/>
      <c r="AV323" s="112"/>
      <c r="AW323" s="112"/>
      <c r="AX323" s="112"/>
      <c r="AY323" s="112"/>
      <c r="AZ323" s="112"/>
      <c r="BA323" s="112"/>
      <c r="BB323" s="112"/>
      <c r="BC323" s="112"/>
      <c r="BD323" s="112"/>
      <c r="BE323" s="112"/>
    </row>
    <row r="324" spans="2:57" x14ac:dyDescent="0.35">
      <c r="B324" s="59"/>
      <c r="C324" s="59"/>
      <c r="D324" s="104"/>
      <c r="E324" s="105"/>
      <c r="F324" s="105"/>
      <c r="G324" s="105"/>
      <c r="H324" s="68"/>
      <c r="I324" s="106"/>
      <c r="J324" s="107"/>
      <c r="K324" s="108"/>
      <c r="L324" s="108"/>
      <c r="M324" s="108"/>
      <c r="N324" s="108"/>
      <c r="O324" s="108"/>
      <c r="P324" s="108"/>
      <c r="Q324" s="108"/>
      <c r="R324" s="108"/>
      <c r="S324" s="108"/>
      <c r="T324" s="108"/>
      <c r="U324" s="108"/>
      <c r="V324" s="108"/>
      <c r="W324" s="108"/>
      <c r="X324" s="108"/>
      <c r="Y324" s="108"/>
      <c r="Z324" s="109"/>
      <c r="AA324" s="109"/>
      <c r="AB324" s="109"/>
      <c r="AC324" s="109"/>
      <c r="AD324" s="109"/>
      <c r="AE324" s="109"/>
      <c r="AF324" s="109"/>
      <c r="AG324" s="109"/>
      <c r="AH324" s="109"/>
      <c r="AI324" s="109"/>
      <c r="AJ324" s="109"/>
      <c r="AK324" s="109"/>
      <c r="AL324" s="109"/>
      <c r="AM324" s="109"/>
      <c r="AN324" s="110"/>
      <c r="AO324" s="110"/>
      <c r="AP324" s="111"/>
      <c r="AQ324" s="112"/>
      <c r="AR324" s="112"/>
      <c r="AS324" s="112"/>
      <c r="AT324" s="112"/>
      <c r="AU324" s="112"/>
      <c r="AV324" s="112"/>
      <c r="AW324" s="112"/>
      <c r="AX324" s="112"/>
      <c r="AY324" s="112"/>
      <c r="AZ324" s="112"/>
      <c r="BA324" s="112"/>
      <c r="BB324" s="112"/>
      <c r="BC324" s="112"/>
      <c r="BD324" s="112"/>
      <c r="BE324" s="112"/>
    </row>
    <row r="325" spans="2:57" x14ac:dyDescent="0.35">
      <c r="B325" s="59"/>
      <c r="C325" s="59"/>
      <c r="D325" s="104"/>
      <c r="E325" s="105"/>
      <c r="F325" s="105"/>
      <c r="G325" s="105"/>
      <c r="H325" s="68"/>
      <c r="I325" s="106"/>
      <c r="J325" s="107"/>
      <c r="K325" s="108"/>
      <c r="L325" s="108"/>
      <c r="M325" s="108"/>
      <c r="N325" s="108"/>
      <c r="O325" s="108"/>
      <c r="P325" s="108"/>
      <c r="Q325" s="108"/>
      <c r="R325" s="108"/>
      <c r="S325" s="108"/>
      <c r="T325" s="108"/>
      <c r="U325" s="108"/>
      <c r="V325" s="108"/>
      <c r="W325" s="108"/>
      <c r="X325" s="108"/>
      <c r="Y325" s="108"/>
      <c r="Z325" s="109"/>
      <c r="AA325" s="109"/>
      <c r="AB325" s="109"/>
      <c r="AC325" s="109"/>
      <c r="AD325" s="109"/>
      <c r="AE325" s="109"/>
      <c r="AF325" s="109"/>
      <c r="AG325" s="109"/>
      <c r="AH325" s="109"/>
      <c r="AI325" s="109"/>
      <c r="AJ325" s="109"/>
      <c r="AK325" s="109"/>
      <c r="AL325" s="109"/>
      <c r="AM325" s="109"/>
      <c r="AN325" s="110"/>
      <c r="AO325" s="110"/>
      <c r="AP325" s="111"/>
      <c r="AQ325" s="112"/>
      <c r="AR325" s="112"/>
      <c r="AS325" s="112"/>
      <c r="AT325" s="112"/>
      <c r="AU325" s="112"/>
      <c r="AV325" s="112"/>
      <c r="AW325" s="112"/>
      <c r="AX325" s="112"/>
      <c r="AY325" s="112"/>
      <c r="AZ325" s="112"/>
      <c r="BA325" s="112"/>
      <c r="BB325" s="112"/>
      <c r="BC325" s="112"/>
      <c r="BD325" s="112"/>
      <c r="BE325" s="112"/>
    </row>
    <row r="326" spans="2:57" x14ac:dyDescent="0.35">
      <c r="B326" s="59"/>
      <c r="C326" s="59"/>
      <c r="D326" s="104"/>
      <c r="E326" s="105"/>
      <c r="F326" s="105"/>
      <c r="G326" s="105"/>
      <c r="H326" s="68"/>
      <c r="I326" s="106"/>
      <c r="J326" s="107"/>
      <c r="K326" s="108"/>
      <c r="L326" s="108"/>
      <c r="M326" s="108"/>
      <c r="N326" s="108"/>
      <c r="O326" s="108"/>
      <c r="P326" s="108"/>
      <c r="Q326" s="108"/>
      <c r="R326" s="108"/>
      <c r="S326" s="108"/>
      <c r="T326" s="108"/>
      <c r="U326" s="108"/>
      <c r="V326" s="108"/>
      <c r="W326" s="108"/>
      <c r="X326" s="108"/>
      <c r="Y326" s="108"/>
      <c r="Z326" s="109"/>
      <c r="AA326" s="109"/>
      <c r="AB326" s="109"/>
      <c r="AC326" s="109"/>
      <c r="AD326" s="109"/>
      <c r="AE326" s="109"/>
      <c r="AF326" s="109"/>
      <c r="AG326" s="109"/>
      <c r="AH326" s="109"/>
      <c r="AI326" s="109"/>
      <c r="AJ326" s="109"/>
      <c r="AK326" s="109"/>
      <c r="AL326" s="109"/>
      <c r="AM326" s="109"/>
      <c r="AN326" s="110"/>
      <c r="AO326" s="110"/>
      <c r="AP326" s="111"/>
      <c r="AQ326" s="112"/>
      <c r="AR326" s="112"/>
      <c r="AS326" s="112"/>
      <c r="AT326" s="112"/>
      <c r="AU326" s="112"/>
      <c r="AV326" s="112"/>
      <c r="AW326" s="112"/>
      <c r="AX326" s="112"/>
      <c r="AY326" s="112"/>
      <c r="AZ326" s="112"/>
      <c r="BA326" s="112"/>
      <c r="BB326" s="112"/>
      <c r="BC326" s="112"/>
      <c r="BD326" s="112"/>
      <c r="BE326" s="112"/>
    </row>
    <row r="327" spans="2:57" x14ac:dyDescent="0.35">
      <c r="B327" s="59"/>
      <c r="C327" s="59"/>
      <c r="D327" s="104"/>
      <c r="E327" s="105"/>
      <c r="F327" s="105"/>
      <c r="G327" s="105"/>
      <c r="H327" s="68"/>
      <c r="I327" s="106"/>
      <c r="J327" s="107"/>
      <c r="K327" s="108"/>
      <c r="L327" s="108"/>
      <c r="M327" s="108"/>
      <c r="N327" s="108"/>
      <c r="O327" s="108"/>
      <c r="P327" s="108"/>
      <c r="Q327" s="108"/>
      <c r="R327" s="108"/>
      <c r="S327" s="108"/>
      <c r="T327" s="108"/>
      <c r="U327" s="108"/>
      <c r="V327" s="108"/>
      <c r="W327" s="108"/>
      <c r="X327" s="108"/>
      <c r="Y327" s="108"/>
      <c r="Z327" s="109"/>
      <c r="AA327" s="109"/>
      <c r="AB327" s="109"/>
      <c r="AC327" s="109"/>
      <c r="AD327" s="109"/>
      <c r="AE327" s="109"/>
      <c r="AF327" s="109"/>
      <c r="AG327" s="109"/>
      <c r="AH327" s="109"/>
      <c r="AI327" s="109"/>
      <c r="AJ327" s="109"/>
      <c r="AK327" s="109"/>
      <c r="AL327" s="109"/>
      <c r="AM327" s="109"/>
      <c r="AN327" s="110"/>
      <c r="AO327" s="110"/>
      <c r="AP327" s="111"/>
      <c r="AQ327" s="112"/>
      <c r="AR327" s="112"/>
      <c r="AS327" s="112"/>
      <c r="AT327" s="112"/>
      <c r="AU327" s="112"/>
      <c r="AV327" s="112"/>
      <c r="AW327" s="112"/>
      <c r="AX327" s="112"/>
      <c r="AY327" s="112"/>
      <c r="AZ327" s="112"/>
      <c r="BA327" s="112"/>
      <c r="BB327" s="112"/>
      <c r="BC327" s="112"/>
      <c r="BD327" s="112"/>
      <c r="BE327" s="112"/>
    </row>
    <row r="328" spans="2:57" x14ac:dyDescent="0.35">
      <c r="B328" s="59"/>
      <c r="C328" s="59"/>
      <c r="D328" s="104"/>
      <c r="E328" s="105"/>
      <c r="F328" s="105"/>
      <c r="G328" s="105"/>
      <c r="H328" s="68"/>
      <c r="I328" s="106"/>
      <c r="J328" s="107"/>
      <c r="K328" s="108"/>
      <c r="L328" s="108"/>
      <c r="M328" s="108"/>
      <c r="N328" s="108"/>
      <c r="O328" s="108"/>
      <c r="P328" s="108"/>
      <c r="Q328" s="108"/>
      <c r="R328" s="108"/>
      <c r="S328" s="108"/>
      <c r="T328" s="108"/>
      <c r="U328" s="108"/>
      <c r="V328" s="108"/>
      <c r="W328" s="108"/>
      <c r="X328" s="108"/>
      <c r="Y328" s="108"/>
      <c r="Z328" s="109"/>
      <c r="AA328" s="109"/>
      <c r="AB328" s="109"/>
      <c r="AC328" s="109"/>
      <c r="AD328" s="109"/>
      <c r="AE328" s="109"/>
      <c r="AF328" s="109"/>
      <c r="AG328" s="109"/>
      <c r="AH328" s="109"/>
      <c r="AI328" s="109"/>
      <c r="AJ328" s="109"/>
      <c r="AK328" s="109"/>
      <c r="AL328" s="109"/>
      <c r="AM328" s="109"/>
      <c r="AN328" s="110"/>
      <c r="AO328" s="110"/>
      <c r="AP328" s="111"/>
      <c r="AQ328" s="112"/>
      <c r="AR328" s="112"/>
      <c r="AS328" s="112"/>
      <c r="AT328" s="112"/>
      <c r="AU328" s="112"/>
      <c r="AV328" s="112"/>
      <c r="AW328" s="112"/>
      <c r="AX328" s="112"/>
      <c r="AY328" s="112"/>
      <c r="AZ328" s="112"/>
      <c r="BA328" s="112"/>
      <c r="BB328" s="112"/>
      <c r="BC328" s="112"/>
      <c r="BD328" s="112"/>
      <c r="BE328" s="112"/>
    </row>
    <row r="329" spans="2:57" x14ac:dyDescent="0.35">
      <c r="B329" s="59"/>
      <c r="C329" s="59"/>
      <c r="D329" s="104"/>
      <c r="E329" s="105"/>
      <c r="F329" s="105"/>
      <c r="G329" s="105"/>
      <c r="H329" s="68"/>
      <c r="I329" s="106"/>
      <c r="J329" s="107"/>
      <c r="K329" s="108"/>
      <c r="L329" s="108"/>
      <c r="M329" s="108"/>
      <c r="N329" s="108"/>
      <c r="O329" s="108"/>
      <c r="P329" s="108"/>
      <c r="Q329" s="108"/>
      <c r="R329" s="108"/>
      <c r="S329" s="108"/>
      <c r="T329" s="108"/>
      <c r="U329" s="108"/>
      <c r="V329" s="108"/>
      <c r="W329" s="108"/>
      <c r="X329" s="108"/>
      <c r="Y329" s="108"/>
      <c r="Z329" s="109"/>
      <c r="AA329" s="109"/>
      <c r="AB329" s="109"/>
      <c r="AC329" s="109"/>
      <c r="AD329" s="109"/>
      <c r="AE329" s="109"/>
      <c r="AF329" s="109"/>
      <c r="AG329" s="109"/>
      <c r="AH329" s="109"/>
      <c r="AI329" s="109"/>
      <c r="AJ329" s="109"/>
      <c r="AK329" s="109"/>
      <c r="AL329" s="109"/>
      <c r="AM329" s="109"/>
      <c r="AN329" s="110"/>
      <c r="AO329" s="110"/>
      <c r="AP329" s="111"/>
      <c r="AQ329" s="112"/>
      <c r="AR329" s="112"/>
      <c r="AS329" s="112"/>
      <c r="AT329" s="112"/>
      <c r="AU329" s="112"/>
      <c r="AV329" s="112"/>
      <c r="AW329" s="112"/>
      <c r="AX329" s="112"/>
      <c r="AY329" s="112"/>
      <c r="AZ329" s="112"/>
      <c r="BA329" s="112"/>
      <c r="BB329" s="112"/>
      <c r="BC329" s="112"/>
      <c r="BD329" s="112"/>
      <c r="BE329" s="112"/>
    </row>
    <row r="330" spans="2:57" x14ac:dyDescent="0.35">
      <c r="B330" s="59"/>
      <c r="C330" s="59"/>
      <c r="D330" s="104"/>
      <c r="E330" s="105"/>
      <c r="F330" s="105"/>
      <c r="G330" s="105"/>
      <c r="H330" s="68"/>
      <c r="I330" s="106"/>
      <c r="J330" s="107"/>
      <c r="K330" s="108"/>
      <c r="L330" s="108"/>
      <c r="M330" s="108"/>
      <c r="N330" s="108"/>
      <c r="O330" s="108"/>
      <c r="P330" s="108"/>
      <c r="Q330" s="108"/>
      <c r="R330" s="108"/>
      <c r="S330" s="108"/>
      <c r="T330" s="108"/>
      <c r="U330" s="108"/>
      <c r="V330" s="108"/>
      <c r="W330" s="108"/>
      <c r="X330" s="108"/>
      <c r="Y330" s="108"/>
      <c r="Z330" s="109"/>
      <c r="AA330" s="109"/>
      <c r="AB330" s="109"/>
      <c r="AC330" s="109"/>
      <c r="AD330" s="109"/>
      <c r="AE330" s="109"/>
      <c r="AF330" s="109"/>
      <c r="AG330" s="109"/>
      <c r="AH330" s="109"/>
      <c r="AI330" s="109"/>
      <c r="AJ330" s="109"/>
      <c r="AK330" s="109"/>
      <c r="AL330" s="109"/>
      <c r="AM330" s="109"/>
      <c r="AN330" s="110"/>
      <c r="AO330" s="110"/>
      <c r="AP330" s="111"/>
      <c r="AQ330" s="112"/>
      <c r="AR330" s="112"/>
      <c r="AS330" s="112"/>
      <c r="AT330" s="112"/>
      <c r="AU330" s="112"/>
      <c r="AV330" s="112"/>
      <c r="AW330" s="112"/>
      <c r="AX330" s="112"/>
      <c r="AY330" s="112"/>
      <c r="AZ330" s="112"/>
      <c r="BA330" s="112"/>
      <c r="BB330" s="112"/>
      <c r="BC330" s="112"/>
      <c r="BD330" s="112"/>
      <c r="BE330" s="112"/>
    </row>
    <row r="331" spans="2:57" x14ac:dyDescent="0.35">
      <c r="B331" s="59"/>
      <c r="C331" s="59"/>
      <c r="D331" s="104"/>
      <c r="E331" s="105"/>
      <c r="F331" s="105"/>
      <c r="G331" s="105"/>
      <c r="H331" s="68"/>
      <c r="I331" s="106"/>
      <c r="J331" s="107"/>
      <c r="K331" s="108"/>
      <c r="L331" s="108"/>
      <c r="M331" s="108"/>
      <c r="N331" s="108"/>
      <c r="O331" s="108"/>
      <c r="P331" s="108"/>
      <c r="Q331" s="108"/>
      <c r="R331" s="108"/>
      <c r="S331" s="108"/>
      <c r="T331" s="108"/>
      <c r="U331" s="108"/>
      <c r="V331" s="108"/>
      <c r="W331" s="108"/>
      <c r="X331" s="108"/>
      <c r="Y331" s="108"/>
      <c r="Z331" s="109"/>
      <c r="AA331" s="109"/>
      <c r="AB331" s="109"/>
      <c r="AC331" s="109"/>
      <c r="AD331" s="109"/>
      <c r="AE331" s="109"/>
      <c r="AF331" s="109"/>
      <c r="AG331" s="109"/>
      <c r="AH331" s="109"/>
      <c r="AI331" s="109"/>
      <c r="AJ331" s="109"/>
      <c r="AK331" s="109"/>
      <c r="AL331" s="109"/>
      <c r="AM331" s="109"/>
      <c r="AN331" s="110"/>
      <c r="AO331" s="110"/>
      <c r="AP331" s="111"/>
      <c r="AQ331" s="112"/>
      <c r="AR331" s="112"/>
      <c r="AS331" s="112"/>
      <c r="AT331" s="112"/>
      <c r="AU331" s="112"/>
      <c r="AV331" s="112"/>
      <c r="AW331" s="112"/>
      <c r="AX331" s="112"/>
      <c r="AY331" s="112"/>
      <c r="AZ331" s="112"/>
      <c r="BA331" s="112"/>
      <c r="BB331" s="112"/>
      <c r="BC331" s="112"/>
      <c r="BD331" s="112"/>
      <c r="BE331" s="112"/>
    </row>
    <row r="332" spans="2:57" x14ac:dyDescent="0.35">
      <c r="B332" s="59"/>
      <c r="C332" s="59"/>
      <c r="D332" s="104"/>
      <c r="E332" s="105"/>
      <c r="F332" s="105"/>
      <c r="G332" s="105"/>
      <c r="H332" s="68"/>
      <c r="I332" s="106"/>
      <c r="J332" s="107"/>
      <c r="K332" s="108"/>
      <c r="L332" s="108"/>
      <c r="M332" s="108"/>
      <c r="N332" s="108"/>
      <c r="O332" s="108"/>
      <c r="P332" s="108"/>
      <c r="Q332" s="108"/>
      <c r="R332" s="108"/>
      <c r="S332" s="108"/>
      <c r="T332" s="108"/>
      <c r="U332" s="108"/>
      <c r="V332" s="108"/>
      <c r="W332" s="108"/>
      <c r="X332" s="108"/>
      <c r="Y332" s="108"/>
      <c r="Z332" s="109"/>
      <c r="AA332" s="109"/>
      <c r="AB332" s="109"/>
      <c r="AC332" s="109"/>
      <c r="AD332" s="109"/>
      <c r="AE332" s="109"/>
      <c r="AF332" s="109"/>
      <c r="AG332" s="109"/>
      <c r="AH332" s="109"/>
      <c r="AI332" s="109"/>
      <c r="AJ332" s="109"/>
      <c r="AK332" s="109"/>
      <c r="AL332" s="109"/>
      <c r="AM332" s="109"/>
      <c r="AN332" s="110"/>
      <c r="AO332" s="110"/>
      <c r="AP332" s="111"/>
      <c r="AQ332" s="112"/>
      <c r="AR332" s="112"/>
      <c r="AS332" s="112"/>
      <c r="AT332" s="112"/>
      <c r="AU332" s="112"/>
      <c r="AV332" s="112"/>
      <c r="AW332" s="112"/>
      <c r="AX332" s="112"/>
      <c r="AY332" s="112"/>
      <c r="AZ332" s="112"/>
      <c r="BA332" s="112"/>
      <c r="BB332" s="112"/>
      <c r="BC332" s="112"/>
      <c r="BD332" s="112"/>
      <c r="BE332" s="112"/>
    </row>
    <row r="333" spans="2:57" x14ac:dyDescent="0.35">
      <c r="B333" s="59"/>
      <c r="C333" s="59"/>
      <c r="D333" s="104"/>
      <c r="E333" s="105"/>
      <c r="F333" s="105"/>
      <c r="G333" s="105"/>
      <c r="H333" s="68"/>
      <c r="I333" s="106"/>
      <c r="J333" s="107"/>
      <c r="K333" s="108"/>
      <c r="L333" s="108"/>
      <c r="M333" s="108"/>
      <c r="N333" s="108"/>
      <c r="O333" s="108"/>
      <c r="P333" s="108"/>
      <c r="Q333" s="108"/>
      <c r="R333" s="108"/>
      <c r="S333" s="108"/>
      <c r="T333" s="108"/>
      <c r="U333" s="108"/>
      <c r="V333" s="108"/>
      <c r="W333" s="108"/>
      <c r="X333" s="108"/>
      <c r="Y333" s="108"/>
      <c r="Z333" s="109"/>
      <c r="AA333" s="109"/>
      <c r="AB333" s="109"/>
      <c r="AC333" s="109"/>
      <c r="AD333" s="109"/>
      <c r="AE333" s="109"/>
      <c r="AF333" s="109"/>
      <c r="AG333" s="109"/>
      <c r="AH333" s="109"/>
      <c r="AI333" s="109"/>
      <c r="AJ333" s="109"/>
      <c r="AK333" s="109"/>
      <c r="AL333" s="109"/>
      <c r="AM333" s="109"/>
      <c r="AN333" s="110"/>
      <c r="AO333" s="110"/>
      <c r="AP333" s="111"/>
      <c r="AQ333" s="112"/>
      <c r="AR333" s="112"/>
      <c r="AS333" s="112"/>
      <c r="AT333" s="112"/>
      <c r="AU333" s="112"/>
      <c r="AV333" s="112"/>
      <c r="AW333" s="112"/>
      <c r="AX333" s="112"/>
      <c r="AY333" s="112"/>
      <c r="AZ333" s="112"/>
      <c r="BA333" s="112"/>
      <c r="BB333" s="112"/>
      <c r="BC333" s="112"/>
      <c r="BD333" s="112"/>
      <c r="BE333" s="112"/>
    </row>
    <row r="334" spans="2:57" x14ac:dyDescent="0.35">
      <c r="B334" s="59"/>
      <c r="C334" s="59"/>
      <c r="D334" s="104"/>
      <c r="E334" s="105"/>
      <c r="F334" s="105"/>
      <c r="G334" s="105"/>
      <c r="H334" s="68"/>
      <c r="I334" s="106"/>
      <c r="J334" s="107"/>
      <c r="K334" s="108"/>
      <c r="L334" s="108"/>
      <c r="M334" s="108"/>
      <c r="N334" s="108"/>
      <c r="O334" s="108"/>
      <c r="P334" s="108"/>
      <c r="Q334" s="108"/>
      <c r="R334" s="108"/>
      <c r="S334" s="108"/>
      <c r="T334" s="108"/>
      <c r="U334" s="108"/>
      <c r="V334" s="108"/>
      <c r="W334" s="108"/>
      <c r="X334" s="108"/>
      <c r="Y334" s="108"/>
      <c r="Z334" s="109"/>
      <c r="AA334" s="109"/>
      <c r="AB334" s="109"/>
      <c r="AC334" s="109"/>
      <c r="AD334" s="109"/>
      <c r="AE334" s="109"/>
      <c r="AF334" s="109"/>
      <c r="AG334" s="109"/>
      <c r="AH334" s="109"/>
      <c r="AI334" s="109"/>
      <c r="AJ334" s="109"/>
      <c r="AK334" s="109"/>
      <c r="AL334" s="109"/>
      <c r="AM334" s="109"/>
      <c r="AN334" s="110"/>
      <c r="AO334" s="110"/>
      <c r="AP334" s="111"/>
      <c r="AQ334" s="112"/>
      <c r="AR334" s="112"/>
      <c r="AS334" s="112"/>
      <c r="AT334" s="112"/>
      <c r="AU334" s="112"/>
      <c r="AV334" s="112"/>
      <c r="AW334" s="112"/>
      <c r="AX334" s="112"/>
      <c r="AY334" s="112"/>
      <c r="AZ334" s="112"/>
      <c r="BA334" s="112"/>
      <c r="BB334" s="112"/>
      <c r="BC334" s="112"/>
      <c r="BD334" s="112"/>
      <c r="BE334" s="112"/>
    </row>
    <row r="335" spans="2:57" x14ac:dyDescent="0.35">
      <c r="B335" s="59"/>
      <c r="C335" s="59"/>
      <c r="D335" s="104"/>
      <c r="E335" s="105"/>
      <c r="F335" s="105"/>
      <c r="G335" s="105"/>
      <c r="H335" s="68"/>
      <c r="I335" s="106"/>
      <c r="J335" s="107"/>
      <c r="K335" s="108"/>
      <c r="L335" s="108"/>
      <c r="M335" s="108"/>
      <c r="N335" s="108"/>
      <c r="O335" s="108"/>
      <c r="P335" s="108"/>
      <c r="Q335" s="108"/>
      <c r="R335" s="108"/>
      <c r="S335" s="108"/>
      <c r="T335" s="108"/>
      <c r="U335" s="108"/>
      <c r="V335" s="108"/>
      <c r="W335" s="108"/>
      <c r="X335" s="108"/>
      <c r="Y335" s="108"/>
      <c r="Z335" s="109"/>
      <c r="AA335" s="109"/>
      <c r="AB335" s="109"/>
      <c r="AC335" s="109"/>
      <c r="AD335" s="109"/>
      <c r="AE335" s="109"/>
      <c r="AF335" s="109"/>
      <c r="AG335" s="109"/>
      <c r="AH335" s="109"/>
      <c r="AI335" s="109"/>
      <c r="AJ335" s="109"/>
      <c r="AK335" s="109"/>
      <c r="AL335" s="109"/>
      <c r="AM335" s="109"/>
      <c r="AN335" s="110"/>
      <c r="AO335" s="110"/>
      <c r="AP335" s="111"/>
      <c r="AQ335" s="112"/>
      <c r="AR335" s="112"/>
      <c r="AS335" s="112"/>
      <c r="AT335" s="112"/>
      <c r="AU335" s="112"/>
      <c r="AV335" s="112"/>
      <c r="AW335" s="112"/>
      <c r="AX335" s="112"/>
      <c r="AY335" s="112"/>
      <c r="AZ335" s="112"/>
      <c r="BA335" s="112"/>
      <c r="BB335" s="112"/>
      <c r="BC335" s="112"/>
      <c r="BD335" s="112"/>
      <c r="BE335" s="112"/>
    </row>
    <row r="336" spans="2:57" x14ac:dyDescent="0.35">
      <c r="B336" s="59"/>
      <c r="C336" s="59"/>
      <c r="D336" s="104"/>
      <c r="E336" s="105"/>
      <c r="F336" s="105"/>
      <c r="G336" s="105"/>
      <c r="H336" s="68"/>
      <c r="I336" s="106"/>
      <c r="J336" s="107"/>
      <c r="K336" s="108"/>
      <c r="L336" s="108"/>
      <c r="M336" s="108"/>
      <c r="N336" s="108"/>
      <c r="O336" s="108"/>
      <c r="P336" s="108"/>
      <c r="Q336" s="108"/>
      <c r="R336" s="108"/>
      <c r="S336" s="108"/>
      <c r="T336" s="108"/>
      <c r="U336" s="108"/>
      <c r="V336" s="108"/>
      <c r="W336" s="108"/>
      <c r="X336" s="108"/>
      <c r="Y336" s="108"/>
      <c r="Z336" s="109"/>
      <c r="AA336" s="109"/>
      <c r="AB336" s="109"/>
      <c r="AC336" s="109"/>
      <c r="AD336" s="109"/>
      <c r="AE336" s="109"/>
      <c r="AF336" s="109"/>
      <c r="AG336" s="109"/>
      <c r="AH336" s="109"/>
      <c r="AI336" s="109"/>
      <c r="AJ336" s="109"/>
      <c r="AK336" s="109"/>
      <c r="AL336" s="109"/>
      <c r="AM336" s="109"/>
      <c r="AN336" s="110"/>
      <c r="AO336" s="110"/>
      <c r="AP336" s="111"/>
      <c r="AQ336" s="112"/>
      <c r="AR336" s="112"/>
      <c r="AS336" s="112"/>
      <c r="AT336" s="112"/>
      <c r="AU336" s="112"/>
      <c r="AV336" s="112"/>
      <c r="AW336" s="112"/>
      <c r="AX336" s="112"/>
      <c r="AY336" s="112"/>
      <c r="AZ336" s="112"/>
      <c r="BA336" s="112"/>
      <c r="BB336" s="112"/>
      <c r="BC336" s="112"/>
      <c r="BD336" s="112"/>
      <c r="BE336" s="112"/>
    </row>
    <row r="337" spans="2:57" x14ac:dyDescent="0.35">
      <c r="B337" s="59"/>
      <c r="C337" s="59"/>
      <c r="D337" s="104"/>
      <c r="E337" s="105"/>
      <c r="F337" s="105"/>
      <c r="G337" s="105"/>
      <c r="H337" s="68"/>
      <c r="I337" s="106"/>
      <c r="J337" s="107"/>
      <c r="K337" s="108"/>
      <c r="L337" s="108"/>
      <c r="M337" s="108"/>
      <c r="N337" s="108"/>
      <c r="O337" s="108"/>
      <c r="P337" s="108"/>
      <c r="Q337" s="108"/>
      <c r="R337" s="108"/>
      <c r="S337" s="108"/>
      <c r="T337" s="108"/>
      <c r="U337" s="108"/>
      <c r="V337" s="108"/>
      <c r="W337" s="108"/>
      <c r="X337" s="108"/>
      <c r="Y337" s="108"/>
      <c r="Z337" s="109"/>
      <c r="AA337" s="109"/>
      <c r="AB337" s="109"/>
      <c r="AC337" s="109"/>
      <c r="AD337" s="109"/>
      <c r="AE337" s="109"/>
      <c r="AF337" s="109"/>
      <c r="AG337" s="109"/>
      <c r="AH337" s="109"/>
      <c r="AI337" s="109"/>
      <c r="AJ337" s="109"/>
      <c r="AK337" s="109"/>
      <c r="AL337" s="109"/>
      <c r="AM337" s="109"/>
      <c r="AN337" s="110"/>
      <c r="AO337" s="110"/>
      <c r="AP337" s="111"/>
      <c r="AQ337" s="112"/>
      <c r="AR337" s="112"/>
      <c r="AS337" s="112"/>
      <c r="AT337" s="112"/>
      <c r="AU337" s="112"/>
      <c r="AV337" s="112"/>
      <c r="AW337" s="112"/>
      <c r="AX337" s="112"/>
      <c r="AY337" s="112"/>
      <c r="AZ337" s="112"/>
      <c r="BA337" s="112"/>
      <c r="BB337" s="112"/>
      <c r="BC337" s="112"/>
      <c r="BD337" s="112"/>
      <c r="BE337" s="112"/>
    </row>
    <row r="338" spans="2:57" x14ac:dyDescent="0.35">
      <c r="B338" s="59"/>
      <c r="C338" s="59"/>
      <c r="D338" s="104"/>
      <c r="E338" s="105"/>
      <c r="F338" s="105"/>
      <c r="G338" s="105"/>
      <c r="H338" s="68"/>
      <c r="I338" s="106"/>
      <c r="J338" s="107"/>
      <c r="K338" s="108"/>
      <c r="L338" s="108"/>
      <c r="M338" s="108"/>
      <c r="N338" s="108"/>
      <c r="O338" s="108"/>
      <c r="P338" s="108"/>
      <c r="Q338" s="108"/>
      <c r="R338" s="108"/>
      <c r="S338" s="108"/>
      <c r="T338" s="108"/>
      <c r="U338" s="108"/>
      <c r="V338" s="108"/>
      <c r="W338" s="108"/>
      <c r="X338" s="108"/>
      <c r="Y338" s="108"/>
      <c r="Z338" s="109"/>
      <c r="AA338" s="109"/>
      <c r="AB338" s="109"/>
      <c r="AC338" s="109"/>
      <c r="AD338" s="109"/>
      <c r="AE338" s="109"/>
      <c r="AF338" s="109"/>
      <c r="AG338" s="109"/>
      <c r="AH338" s="109"/>
      <c r="AI338" s="109"/>
      <c r="AJ338" s="109"/>
      <c r="AK338" s="109"/>
      <c r="AL338" s="109"/>
      <c r="AM338" s="109"/>
      <c r="AN338" s="110"/>
      <c r="AO338" s="110"/>
      <c r="AP338" s="111"/>
      <c r="AQ338" s="112"/>
      <c r="AR338" s="112"/>
      <c r="AS338" s="112"/>
      <c r="AT338" s="112"/>
      <c r="AU338" s="112"/>
      <c r="AV338" s="112"/>
      <c r="AW338" s="112"/>
      <c r="AX338" s="112"/>
      <c r="AY338" s="112"/>
      <c r="AZ338" s="112"/>
      <c r="BA338" s="112"/>
      <c r="BB338" s="112"/>
      <c r="BC338" s="112"/>
      <c r="BD338" s="112"/>
      <c r="BE338" s="112"/>
    </row>
    <row r="339" spans="2:57" x14ac:dyDescent="0.35">
      <c r="B339" s="59"/>
      <c r="C339" s="59"/>
      <c r="D339" s="104"/>
      <c r="E339" s="105"/>
      <c r="F339" s="105"/>
      <c r="G339" s="105"/>
      <c r="H339" s="68"/>
      <c r="I339" s="106"/>
      <c r="J339" s="107"/>
      <c r="K339" s="108"/>
      <c r="L339" s="108"/>
      <c r="M339" s="108"/>
      <c r="N339" s="108"/>
      <c r="O339" s="108"/>
      <c r="P339" s="108"/>
      <c r="Q339" s="108"/>
      <c r="R339" s="108"/>
      <c r="S339" s="108"/>
      <c r="T339" s="108"/>
      <c r="U339" s="108"/>
      <c r="V339" s="108"/>
      <c r="W339" s="108"/>
      <c r="X339" s="108"/>
      <c r="Y339" s="108"/>
      <c r="Z339" s="109"/>
      <c r="AA339" s="109"/>
      <c r="AB339" s="109"/>
      <c r="AC339" s="109"/>
      <c r="AD339" s="109"/>
      <c r="AE339" s="109"/>
      <c r="AF339" s="109"/>
      <c r="AG339" s="109"/>
      <c r="AH339" s="109"/>
      <c r="AI339" s="109"/>
      <c r="AJ339" s="109"/>
      <c r="AK339" s="109"/>
      <c r="AL339" s="109"/>
      <c r="AM339" s="109"/>
      <c r="AN339" s="110"/>
      <c r="AO339" s="110"/>
      <c r="AP339" s="111"/>
      <c r="AQ339" s="112"/>
      <c r="AR339" s="112"/>
      <c r="AS339" s="112"/>
      <c r="AT339" s="112"/>
      <c r="AU339" s="112"/>
      <c r="AV339" s="112"/>
      <c r="AW339" s="112"/>
      <c r="AX339" s="112"/>
      <c r="AY339" s="112"/>
      <c r="AZ339" s="112"/>
      <c r="BA339" s="112"/>
      <c r="BB339" s="112"/>
      <c r="BC339" s="112"/>
      <c r="BD339" s="112"/>
      <c r="BE339" s="112"/>
    </row>
    <row r="340" spans="2:57" x14ac:dyDescent="0.35">
      <c r="B340" s="59"/>
      <c r="C340" s="59"/>
      <c r="D340" s="104"/>
      <c r="E340" s="105"/>
      <c r="F340" s="105"/>
      <c r="G340" s="105"/>
      <c r="H340" s="68"/>
      <c r="I340" s="106"/>
      <c r="J340" s="107"/>
      <c r="K340" s="108"/>
      <c r="L340" s="108"/>
      <c r="M340" s="108"/>
      <c r="N340" s="108"/>
      <c r="O340" s="108"/>
      <c r="P340" s="108"/>
      <c r="Q340" s="108"/>
      <c r="R340" s="108"/>
      <c r="S340" s="108"/>
      <c r="T340" s="108"/>
      <c r="U340" s="108"/>
      <c r="V340" s="108"/>
      <c r="W340" s="108"/>
      <c r="X340" s="108"/>
      <c r="Y340" s="108"/>
      <c r="Z340" s="109"/>
      <c r="AA340" s="109"/>
      <c r="AB340" s="109"/>
      <c r="AC340" s="109"/>
      <c r="AD340" s="109"/>
      <c r="AE340" s="109"/>
      <c r="AF340" s="109"/>
      <c r="AG340" s="109"/>
      <c r="AH340" s="109"/>
      <c r="AI340" s="109"/>
      <c r="AJ340" s="109"/>
      <c r="AK340" s="109"/>
      <c r="AL340" s="109"/>
      <c r="AM340" s="109"/>
      <c r="AN340" s="110"/>
      <c r="AO340" s="110"/>
      <c r="AP340" s="111"/>
      <c r="AQ340" s="112"/>
      <c r="AR340" s="112"/>
      <c r="AS340" s="112"/>
      <c r="AT340" s="112"/>
      <c r="AU340" s="112"/>
      <c r="AV340" s="112"/>
      <c r="AW340" s="112"/>
      <c r="AX340" s="112"/>
      <c r="AY340" s="112"/>
      <c r="AZ340" s="112"/>
      <c r="BA340" s="112"/>
      <c r="BB340" s="112"/>
      <c r="BC340" s="112"/>
      <c r="BD340" s="112"/>
      <c r="BE340" s="112"/>
    </row>
    <row r="341" spans="2:57" x14ac:dyDescent="0.35">
      <c r="B341" s="59"/>
      <c r="C341" s="59"/>
      <c r="D341" s="104"/>
      <c r="E341" s="105"/>
      <c r="F341" s="105"/>
      <c r="G341" s="105"/>
      <c r="H341" s="68"/>
      <c r="I341" s="106"/>
      <c r="J341" s="107"/>
      <c r="K341" s="108"/>
      <c r="L341" s="108"/>
      <c r="M341" s="108"/>
      <c r="N341" s="108"/>
      <c r="O341" s="108"/>
      <c r="P341" s="108"/>
      <c r="Q341" s="108"/>
      <c r="R341" s="108"/>
      <c r="S341" s="108"/>
      <c r="T341" s="108"/>
      <c r="U341" s="108"/>
      <c r="V341" s="108"/>
      <c r="W341" s="108"/>
      <c r="X341" s="108"/>
      <c r="Y341" s="108"/>
      <c r="Z341" s="109"/>
      <c r="AA341" s="109"/>
      <c r="AB341" s="109"/>
      <c r="AC341" s="109"/>
      <c r="AD341" s="109"/>
      <c r="AE341" s="109"/>
      <c r="AF341" s="109"/>
      <c r="AG341" s="109"/>
      <c r="AH341" s="109"/>
      <c r="AI341" s="109"/>
      <c r="AJ341" s="109"/>
      <c r="AK341" s="109"/>
      <c r="AL341" s="109"/>
      <c r="AM341" s="109"/>
      <c r="AN341" s="110"/>
      <c r="AO341" s="110"/>
      <c r="AP341" s="111"/>
      <c r="AQ341" s="112"/>
      <c r="AR341" s="112"/>
      <c r="AS341" s="112"/>
      <c r="AT341" s="112"/>
      <c r="AU341" s="112"/>
      <c r="AV341" s="112"/>
      <c r="AW341" s="112"/>
      <c r="AX341" s="112"/>
      <c r="AY341" s="112"/>
      <c r="AZ341" s="112"/>
      <c r="BA341" s="112"/>
      <c r="BB341" s="112"/>
      <c r="BC341" s="112"/>
      <c r="BD341" s="112"/>
      <c r="BE341" s="112"/>
    </row>
    <row r="342" spans="2:57" x14ac:dyDescent="0.35">
      <c r="B342" s="59"/>
      <c r="C342" s="59"/>
      <c r="D342" s="104"/>
      <c r="E342" s="105"/>
      <c r="F342" s="105"/>
      <c r="G342" s="105"/>
      <c r="H342" s="68"/>
      <c r="I342" s="106"/>
      <c r="J342" s="107"/>
      <c r="K342" s="108"/>
      <c r="L342" s="108"/>
      <c r="M342" s="108"/>
      <c r="N342" s="108"/>
      <c r="O342" s="108"/>
      <c r="P342" s="108"/>
      <c r="Q342" s="108"/>
      <c r="R342" s="108"/>
      <c r="S342" s="108"/>
      <c r="T342" s="108"/>
      <c r="U342" s="108"/>
      <c r="V342" s="108"/>
      <c r="W342" s="108"/>
      <c r="X342" s="108"/>
      <c r="Y342" s="108"/>
      <c r="Z342" s="109"/>
      <c r="AA342" s="109"/>
      <c r="AB342" s="109"/>
      <c r="AC342" s="109"/>
      <c r="AD342" s="109"/>
      <c r="AE342" s="109"/>
      <c r="AF342" s="109"/>
      <c r="AG342" s="109"/>
      <c r="AH342" s="109"/>
      <c r="AI342" s="109"/>
      <c r="AJ342" s="109"/>
      <c r="AK342" s="109"/>
      <c r="AL342" s="109"/>
      <c r="AM342" s="109"/>
      <c r="AN342" s="110"/>
      <c r="AO342" s="110"/>
      <c r="AP342" s="111"/>
      <c r="AQ342" s="112"/>
      <c r="AR342" s="112"/>
      <c r="AS342" s="112"/>
      <c r="AT342" s="112"/>
      <c r="AU342" s="112"/>
      <c r="AV342" s="112"/>
      <c r="AW342" s="112"/>
      <c r="AX342" s="112"/>
      <c r="AY342" s="112"/>
      <c r="AZ342" s="112"/>
      <c r="BA342" s="112"/>
      <c r="BB342" s="112"/>
      <c r="BC342" s="112"/>
      <c r="BD342" s="112"/>
      <c r="BE342" s="112"/>
    </row>
    <row r="343" spans="2:57" x14ac:dyDescent="0.35">
      <c r="B343" s="59"/>
      <c r="C343" s="59"/>
      <c r="D343" s="104"/>
      <c r="E343" s="105"/>
      <c r="F343" s="105"/>
      <c r="G343" s="105"/>
      <c r="H343" s="68"/>
      <c r="I343" s="106"/>
      <c r="J343" s="107"/>
      <c r="K343" s="108"/>
      <c r="L343" s="108"/>
      <c r="M343" s="108"/>
      <c r="N343" s="108"/>
      <c r="O343" s="108"/>
      <c r="P343" s="108"/>
      <c r="Q343" s="108"/>
      <c r="R343" s="108"/>
      <c r="S343" s="108"/>
      <c r="T343" s="108"/>
      <c r="U343" s="108"/>
      <c r="V343" s="108"/>
      <c r="W343" s="108"/>
      <c r="X343" s="108"/>
      <c r="Y343" s="108"/>
      <c r="Z343" s="109"/>
      <c r="AA343" s="109"/>
      <c r="AB343" s="109"/>
      <c r="AC343" s="109"/>
      <c r="AD343" s="109"/>
      <c r="AE343" s="109"/>
      <c r="AF343" s="109"/>
      <c r="AG343" s="109"/>
      <c r="AH343" s="109"/>
      <c r="AI343" s="109"/>
      <c r="AJ343" s="109"/>
      <c r="AK343" s="109"/>
      <c r="AL343" s="109"/>
      <c r="AM343" s="109"/>
      <c r="AN343" s="110"/>
      <c r="AO343" s="110"/>
      <c r="AP343" s="111"/>
      <c r="AQ343" s="112"/>
      <c r="AR343" s="112"/>
      <c r="AS343" s="112"/>
      <c r="AT343" s="112"/>
      <c r="AU343" s="112"/>
      <c r="AV343" s="112"/>
      <c r="AW343" s="112"/>
      <c r="AX343" s="112"/>
      <c r="AY343" s="112"/>
      <c r="AZ343" s="112"/>
      <c r="BA343" s="112"/>
      <c r="BB343" s="112"/>
      <c r="BC343" s="112"/>
      <c r="BD343" s="112"/>
      <c r="BE343" s="112"/>
    </row>
    <row r="344" spans="2:57" x14ac:dyDescent="0.35">
      <c r="B344" s="59"/>
      <c r="C344" s="59"/>
      <c r="D344" s="104"/>
      <c r="E344" s="105"/>
      <c r="F344" s="105"/>
      <c r="G344" s="105"/>
      <c r="H344" s="68"/>
      <c r="I344" s="106"/>
      <c r="J344" s="107"/>
      <c r="K344" s="108"/>
      <c r="L344" s="108"/>
      <c r="M344" s="108"/>
      <c r="N344" s="108"/>
      <c r="O344" s="108"/>
      <c r="P344" s="108"/>
      <c r="Q344" s="108"/>
      <c r="R344" s="108"/>
      <c r="S344" s="108"/>
      <c r="T344" s="108"/>
      <c r="U344" s="108"/>
      <c r="V344" s="108"/>
      <c r="W344" s="108"/>
      <c r="X344" s="108"/>
      <c r="Y344" s="108"/>
      <c r="Z344" s="109"/>
      <c r="AA344" s="109"/>
      <c r="AB344" s="109"/>
      <c r="AC344" s="109"/>
      <c r="AD344" s="109"/>
      <c r="AE344" s="109"/>
      <c r="AF344" s="109"/>
      <c r="AG344" s="109"/>
      <c r="AH344" s="109"/>
      <c r="AI344" s="109"/>
      <c r="AJ344" s="109"/>
      <c r="AK344" s="109"/>
      <c r="AL344" s="109"/>
      <c r="AM344" s="109"/>
      <c r="AN344" s="110"/>
      <c r="AO344" s="110"/>
      <c r="AP344" s="111"/>
      <c r="AQ344" s="112"/>
      <c r="AR344" s="112"/>
      <c r="AS344" s="112"/>
      <c r="AT344" s="112"/>
      <c r="AU344" s="112"/>
      <c r="AV344" s="112"/>
      <c r="AW344" s="112"/>
      <c r="AX344" s="112"/>
      <c r="AY344" s="112"/>
      <c r="AZ344" s="112"/>
      <c r="BA344" s="112"/>
      <c r="BB344" s="112"/>
      <c r="BC344" s="112"/>
      <c r="BD344" s="112"/>
      <c r="BE344" s="112"/>
    </row>
    <row r="345" spans="2:57" x14ac:dyDescent="0.35">
      <c r="B345" s="59"/>
      <c r="C345" s="59"/>
      <c r="D345" s="104"/>
      <c r="E345" s="105"/>
      <c r="F345" s="105"/>
      <c r="G345" s="105"/>
      <c r="H345" s="68"/>
      <c r="I345" s="106"/>
      <c r="J345" s="107"/>
      <c r="K345" s="108"/>
      <c r="L345" s="108"/>
      <c r="M345" s="108"/>
      <c r="N345" s="108"/>
      <c r="O345" s="108"/>
      <c r="P345" s="108"/>
      <c r="Q345" s="108"/>
      <c r="R345" s="108"/>
      <c r="S345" s="108"/>
      <c r="T345" s="108"/>
      <c r="U345" s="108"/>
      <c r="V345" s="108"/>
      <c r="W345" s="108"/>
      <c r="X345" s="108"/>
      <c r="Y345" s="108"/>
      <c r="Z345" s="109"/>
      <c r="AA345" s="109"/>
      <c r="AB345" s="109"/>
      <c r="AC345" s="109"/>
      <c r="AD345" s="109"/>
      <c r="AE345" s="109"/>
      <c r="AF345" s="109"/>
      <c r="AG345" s="109"/>
      <c r="AH345" s="109"/>
      <c r="AI345" s="109"/>
      <c r="AJ345" s="109"/>
      <c r="AK345" s="109"/>
      <c r="AL345" s="109"/>
      <c r="AM345" s="109"/>
      <c r="AN345" s="110"/>
      <c r="AO345" s="110"/>
      <c r="AP345" s="111"/>
      <c r="AQ345" s="112"/>
      <c r="AR345" s="112"/>
      <c r="AS345" s="112"/>
      <c r="AT345" s="112"/>
      <c r="AU345" s="112"/>
      <c r="AV345" s="112"/>
      <c r="AW345" s="112"/>
      <c r="AX345" s="112"/>
      <c r="AY345" s="112"/>
      <c r="AZ345" s="112"/>
      <c r="BA345" s="112"/>
      <c r="BB345" s="112"/>
      <c r="BC345" s="112"/>
      <c r="BD345" s="112"/>
      <c r="BE345" s="112"/>
    </row>
    <row r="346" spans="2:57" x14ac:dyDescent="0.35">
      <c r="B346" s="59"/>
      <c r="C346" s="59"/>
      <c r="D346" s="104"/>
      <c r="E346" s="105"/>
      <c r="F346" s="105"/>
      <c r="G346" s="105"/>
      <c r="H346" s="68"/>
      <c r="I346" s="106"/>
      <c r="J346" s="107"/>
      <c r="K346" s="108"/>
      <c r="L346" s="108"/>
      <c r="M346" s="108"/>
      <c r="N346" s="108"/>
      <c r="O346" s="108"/>
      <c r="P346" s="108"/>
      <c r="Q346" s="108"/>
      <c r="R346" s="108"/>
      <c r="S346" s="108"/>
      <c r="T346" s="108"/>
      <c r="U346" s="108"/>
      <c r="V346" s="108"/>
      <c r="W346" s="108"/>
      <c r="X346" s="108"/>
      <c r="Y346" s="108"/>
      <c r="Z346" s="109"/>
      <c r="AA346" s="109"/>
      <c r="AB346" s="109"/>
      <c r="AC346" s="109"/>
      <c r="AD346" s="109"/>
      <c r="AE346" s="109"/>
      <c r="AF346" s="109"/>
      <c r="AG346" s="109"/>
      <c r="AH346" s="109"/>
      <c r="AI346" s="109"/>
      <c r="AJ346" s="109"/>
      <c r="AK346" s="109"/>
      <c r="AL346" s="109"/>
      <c r="AM346" s="109"/>
      <c r="AN346" s="110"/>
      <c r="AO346" s="110"/>
      <c r="AP346" s="111"/>
      <c r="AQ346" s="112"/>
      <c r="AR346" s="112"/>
      <c r="AS346" s="112"/>
      <c r="AT346" s="112"/>
      <c r="AU346" s="112"/>
      <c r="AV346" s="112"/>
      <c r="AW346" s="112"/>
      <c r="AX346" s="112"/>
      <c r="AY346" s="112"/>
      <c r="AZ346" s="112"/>
      <c r="BA346" s="112"/>
      <c r="BB346" s="112"/>
      <c r="BC346" s="112"/>
      <c r="BD346" s="112"/>
      <c r="BE346" s="112"/>
    </row>
    <row r="347" spans="2:57" x14ac:dyDescent="0.35">
      <c r="B347" s="59"/>
      <c r="C347" s="59"/>
      <c r="D347" s="104"/>
      <c r="E347" s="105"/>
      <c r="F347" s="105"/>
      <c r="G347" s="105"/>
      <c r="H347" s="68"/>
      <c r="I347" s="106"/>
      <c r="J347" s="107"/>
      <c r="K347" s="108"/>
      <c r="L347" s="108"/>
      <c r="M347" s="108"/>
      <c r="N347" s="108"/>
      <c r="O347" s="108"/>
      <c r="P347" s="108"/>
      <c r="Q347" s="108"/>
      <c r="R347" s="108"/>
      <c r="S347" s="108"/>
      <c r="T347" s="108"/>
      <c r="U347" s="108"/>
      <c r="V347" s="108"/>
      <c r="W347" s="108"/>
      <c r="X347" s="108"/>
      <c r="Y347" s="108"/>
      <c r="Z347" s="109"/>
      <c r="AA347" s="109"/>
      <c r="AB347" s="109"/>
      <c r="AC347" s="109"/>
      <c r="AD347" s="109"/>
      <c r="AE347" s="109"/>
      <c r="AF347" s="109"/>
      <c r="AG347" s="109"/>
      <c r="AH347" s="109"/>
      <c r="AI347" s="109"/>
      <c r="AJ347" s="109"/>
      <c r="AK347" s="109"/>
      <c r="AL347" s="109"/>
      <c r="AM347" s="109"/>
      <c r="AN347" s="110"/>
      <c r="AO347" s="110"/>
      <c r="AP347" s="111"/>
      <c r="AQ347" s="112"/>
      <c r="AR347" s="112"/>
      <c r="AS347" s="112"/>
      <c r="AT347" s="112"/>
      <c r="AU347" s="112"/>
      <c r="AV347" s="112"/>
      <c r="AW347" s="112"/>
      <c r="AX347" s="112"/>
      <c r="AY347" s="112"/>
      <c r="AZ347" s="112"/>
      <c r="BA347" s="112"/>
      <c r="BB347" s="112"/>
      <c r="BC347" s="112"/>
      <c r="BD347" s="112"/>
      <c r="BE347" s="112"/>
    </row>
    <row r="348" spans="2:57" x14ac:dyDescent="0.35">
      <c r="B348" s="59"/>
      <c r="C348" s="59"/>
      <c r="D348" s="104"/>
      <c r="E348" s="105"/>
      <c r="F348" s="105"/>
      <c r="G348" s="105"/>
      <c r="H348" s="68"/>
      <c r="I348" s="106"/>
      <c r="J348" s="107"/>
      <c r="K348" s="108"/>
      <c r="L348" s="108"/>
      <c r="M348" s="108"/>
      <c r="N348" s="108"/>
      <c r="O348" s="108"/>
      <c r="P348" s="108"/>
      <c r="Q348" s="108"/>
      <c r="R348" s="108"/>
      <c r="S348" s="108"/>
      <c r="T348" s="108"/>
      <c r="U348" s="108"/>
      <c r="V348" s="108"/>
      <c r="W348" s="108"/>
      <c r="X348" s="108"/>
      <c r="Y348" s="108"/>
      <c r="Z348" s="109"/>
      <c r="AA348" s="109"/>
      <c r="AB348" s="109"/>
      <c r="AC348" s="109"/>
      <c r="AD348" s="109"/>
      <c r="AE348" s="109"/>
      <c r="AF348" s="109"/>
      <c r="AG348" s="109"/>
      <c r="AH348" s="109"/>
      <c r="AI348" s="109"/>
      <c r="AJ348" s="109"/>
      <c r="AK348" s="109"/>
      <c r="AL348" s="109"/>
      <c r="AM348" s="109"/>
      <c r="AN348" s="110"/>
      <c r="AO348" s="110"/>
      <c r="AP348" s="111"/>
      <c r="AQ348" s="112"/>
      <c r="AR348" s="112"/>
      <c r="AS348" s="112"/>
      <c r="AT348" s="112"/>
      <c r="AU348" s="112"/>
      <c r="AV348" s="112"/>
      <c r="AW348" s="112"/>
      <c r="AX348" s="112"/>
      <c r="AY348" s="112"/>
      <c r="AZ348" s="112"/>
      <c r="BA348" s="112"/>
      <c r="BB348" s="112"/>
      <c r="BC348" s="112"/>
      <c r="BD348" s="112"/>
      <c r="BE348" s="112"/>
    </row>
    <row r="349" spans="2:57" x14ac:dyDescent="0.35">
      <c r="B349" s="59"/>
      <c r="C349" s="59"/>
      <c r="D349" s="104"/>
      <c r="E349" s="105"/>
      <c r="F349" s="105"/>
      <c r="G349" s="105"/>
      <c r="H349" s="68"/>
      <c r="I349" s="106"/>
      <c r="J349" s="107"/>
      <c r="K349" s="108"/>
      <c r="L349" s="108"/>
      <c r="M349" s="108"/>
      <c r="N349" s="108"/>
      <c r="O349" s="108"/>
      <c r="P349" s="108"/>
      <c r="Q349" s="108"/>
      <c r="R349" s="108"/>
      <c r="S349" s="108"/>
      <c r="T349" s="108"/>
      <c r="U349" s="108"/>
      <c r="V349" s="108"/>
      <c r="W349" s="108"/>
      <c r="X349" s="108"/>
      <c r="Y349" s="108"/>
      <c r="Z349" s="109"/>
      <c r="AA349" s="109"/>
      <c r="AB349" s="109"/>
      <c r="AC349" s="109"/>
      <c r="AD349" s="109"/>
      <c r="AE349" s="109"/>
      <c r="AF349" s="109"/>
      <c r="AG349" s="109"/>
      <c r="AH349" s="109"/>
      <c r="AI349" s="109"/>
      <c r="AJ349" s="109"/>
      <c r="AK349" s="109"/>
      <c r="AL349" s="109"/>
      <c r="AM349" s="109"/>
      <c r="AN349" s="110"/>
      <c r="AO349" s="110"/>
      <c r="AP349" s="111"/>
      <c r="AQ349" s="112"/>
      <c r="AR349" s="112"/>
      <c r="AS349" s="112"/>
      <c r="AT349" s="112"/>
      <c r="AU349" s="112"/>
      <c r="AV349" s="112"/>
      <c r="AW349" s="112"/>
      <c r="AX349" s="112"/>
      <c r="AY349" s="112"/>
      <c r="AZ349" s="112"/>
      <c r="BA349" s="112"/>
      <c r="BB349" s="112"/>
      <c r="BC349" s="112"/>
      <c r="BD349" s="112"/>
      <c r="BE349" s="112"/>
    </row>
    <row r="350" spans="2:57" x14ac:dyDescent="0.35">
      <c r="B350" s="59"/>
      <c r="C350" s="59"/>
      <c r="D350" s="104"/>
      <c r="E350" s="105"/>
      <c r="F350" s="105"/>
      <c r="G350" s="105"/>
      <c r="H350" s="68"/>
      <c r="I350" s="106"/>
      <c r="J350" s="107"/>
      <c r="K350" s="108"/>
      <c r="L350" s="108"/>
      <c r="M350" s="108"/>
      <c r="N350" s="108"/>
      <c r="O350" s="108"/>
      <c r="P350" s="108"/>
      <c r="Q350" s="108"/>
      <c r="R350" s="108"/>
      <c r="S350" s="108"/>
      <c r="T350" s="108"/>
      <c r="U350" s="108"/>
      <c r="V350" s="108"/>
      <c r="W350" s="108"/>
      <c r="X350" s="108"/>
      <c r="Y350" s="108"/>
      <c r="Z350" s="109"/>
      <c r="AA350" s="109"/>
      <c r="AB350" s="109"/>
      <c r="AC350" s="109"/>
      <c r="AD350" s="109"/>
      <c r="AE350" s="109"/>
      <c r="AF350" s="109"/>
      <c r="AG350" s="109"/>
      <c r="AH350" s="109"/>
      <c r="AI350" s="109"/>
      <c r="AJ350" s="109"/>
      <c r="AK350" s="109"/>
      <c r="AL350" s="109"/>
      <c r="AM350" s="109"/>
      <c r="AN350" s="110"/>
      <c r="AO350" s="110"/>
      <c r="AP350" s="111"/>
      <c r="AQ350" s="112"/>
      <c r="AR350" s="112"/>
      <c r="AS350" s="112"/>
      <c r="AT350" s="112"/>
      <c r="AU350" s="112"/>
      <c r="AV350" s="112"/>
      <c r="AW350" s="112"/>
      <c r="AX350" s="112"/>
      <c r="AY350" s="112"/>
      <c r="AZ350" s="112"/>
      <c r="BA350" s="112"/>
      <c r="BB350" s="112"/>
      <c r="BC350" s="112"/>
      <c r="BD350" s="112"/>
      <c r="BE350" s="112"/>
    </row>
    <row r="351" spans="2:57" x14ac:dyDescent="0.35">
      <c r="B351" s="59"/>
      <c r="C351" s="59"/>
      <c r="D351" s="104"/>
      <c r="E351" s="105"/>
      <c r="F351" s="105"/>
      <c r="G351" s="105"/>
      <c r="H351" s="68"/>
      <c r="I351" s="106"/>
      <c r="J351" s="107"/>
      <c r="K351" s="108"/>
      <c r="L351" s="108"/>
      <c r="M351" s="108"/>
      <c r="N351" s="108"/>
      <c r="O351" s="108"/>
      <c r="P351" s="108"/>
      <c r="Q351" s="108"/>
      <c r="R351" s="108"/>
      <c r="S351" s="108"/>
      <c r="T351" s="108"/>
      <c r="U351" s="108"/>
      <c r="V351" s="108"/>
      <c r="W351" s="108"/>
      <c r="X351" s="108"/>
      <c r="Y351" s="108"/>
      <c r="Z351" s="109"/>
      <c r="AA351" s="109"/>
      <c r="AB351" s="109"/>
      <c r="AC351" s="109"/>
      <c r="AD351" s="109"/>
      <c r="AE351" s="109"/>
      <c r="AF351" s="109"/>
      <c r="AG351" s="109"/>
      <c r="AH351" s="109"/>
      <c r="AI351" s="109"/>
      <c r="AJ351" s="109"/>
      <c r="AK351" s="109"/>
      <c r="AL351" s="109"/>
      <c r="AM351" s="109"/>
      <c r="AN351" s="110"/>
      <c r="AO351" s="110"/>
      <c r="AP351" s="111"/>
      <c r="AQ351" s="112"/>
      <c r="AR351" s="112"/>
      <c r="AS351" s="112"/>
      <c r="AT351" s="112"/>
      <c r="AU351" s="112"/>
      <c r="AV351" s="112"/>
      <c r="AW351" s="112"/>
      <c r="AX351" s="112"/>
      <c r="AY351" s="112"/>
      <c r="AZ351" s="112"/>
      <c r="BA351" s="112"/>
      <c r="BB351" s="112"/>
      <c r="BC351" s="112"/>
      <c r="BD351" s="112"/>
      <c r="BE351" s="112"/>
    </row>
    <row r="352" spans="2:57" x14ac:dyDescent="0.35">
      <c r="B352" s="59"/>
      <c r="C352" s="59"/>
      <c r="D352" s="104"/>
      <c r="E352" s="105"/>
      <c r="F352" s="105"/>
      <c r="G352" s="105"/>
      <c r="H352" s="68"/>
      <c r="I352" s="106"/>
      <c r="J352" s="107"/>
      <c r="K352" s="108"/>
      <c r="L352" s="108"/>
      <c r="M352" s="108"/>
      <c r="N352" s="108"/>
      <c r="O352" s="108"/>
      <c r="P352" s="108"/>
      <c r="Q352" s="108"/>
      <c r="R352" s="108"/>
      <c r="S352" s="108"/>
      <c r="T352" s="108"/>
      <c r="U352" s="108"/>
      <c r="V352" s="108"/>
      <c r="W352" s="108"/>
      <c r="X352" s="108"/>
      <c r="Y352" s="108"/>
      <c r="Z352" s="109"/>
      <c r="AA352" s="109"/>
      <c r="AB352" s="109"/>
      <c r="AC352" s="109"/>
      <c r="AD352" s="109"/>
      <c r="AE352" s="109"/>
      <c r="AF352" s="109"/>
      <c r="AG352" s="109"/>
      <c r="AH352" s="109"/>
      <c r="AI352" s="109"/>
      <c r="AJ352" s="109"/>
      <c r="AK352" s="109"/>
      <c r="AL352" s="109"/>
      <c r="AM352" s="109"/>
      <c r="AN352" s="110"/>
      <c r="AO352" s="110"/>
      <c r="AP352" s="111"/>
      <c r="AQ352" s="112"/>
      <c r="AR352" s="112"/>
      <c r="AS352" s="112"/>
      <c r="AT352" s="112"/>
      <c r="AU352" s="112"/>
      <c r="AV352" s="112"/>
      <c r="AW352" s="112"/>
      <c r="AX352" s="112"/>
      <c r="AY352" s="112"/>
      <c r="AZ352" s="112"/>
      <c r="BA352" s="112"/>
      <c r="BB352" s="112"/>
      <c r="BC352" s="112"/>
      <c r="BD352" s="112"/>
      <c r="BE352" s="112"/>
    </row>
    <row r="353" spans="2:57" x14ac:dyDescent="0.35">
      <c r="B353" s="59"/>
      <c r="C353" s="59"/>
      <c r="D353" s="104"/>
      <c r="E353" s="105"/>
      <c r="F353" s="105"/>
      <c r="G353" s="105"/>
      <c r="H353" s="68"/>
      <c r="I353" s="106"/>
      <c r="J353" s="107"/>
      <c r="K353" s="108"/>
      <c r="L353" s="108"/>
      <c r="M353" s="108"/>
      <c r="N353" s="108"/>
      <c r="O353" s="108"/>
      <c r="P353" s="108"/>
      <c r="Q353" s="108"/>
      <c r="R353" s="108"/>
      <c r="S353" s="108"/>
      <c r="T353" s="108"/>
      <c r="U353" s="108"/>
      <c r="V353" s="108"/>
      <c r="W353" s="108"/>
      <c r="X353" s="108"/>
      <c r="Y353" s="108"/>
      <c r="Z353" s="109"/>
      <c r="AA353" s="109"/>
      <c r="AB353" s="109"/>
      <c r="AC353" s="109"/>
      <c r="AD353" s="109"/>
      <c r="AE353" s="109"/>
      <c r="AF353" s="109"/>
      <c r="AG353" s="109"/>
      <c r="AH353" s="109"/>
      <c r="AI353" s="109"/>
      <c r="AJ353" s="109"/>
      <c r="AK353" s="109"/>
      <c r="AL353" s="109"/>
      <c r="AM353" s="109"/>
      <c r="AN353" s="110"/>
      <c r="AO353" s="110"/>
      <c r="AP353" s="111"/>
      <c r="AQ353" s="112"/>
      <c r="AR353" s="112"/>
      <c r="AS353" s="112"/>
      <c r="AT353" s="112"/>
      <c r="AU353" s="112"/>
      <c r="AV353" s="112"/>
      <c r="AW353" s="112"/>
      <c r="AX353" s="112"/>
      <c r="AY353" s="112"/>
      <c r="AZ353" s="112"/>
      <c r="BA353" s="112"/>
      <c r="BB353" s="112"/>
      <c r="BC353" s="112"/>
      <c r="BD353" s="112"/>
      <c r="BE353" s="112"/>
    </row>
    <row r="354" spans="2:57" x14ac:dyDescent="0.35">
      <c r="B354" s="59"/>
      <c r="C354" s="59"/>
      <c r="D354" s="104"/>
      <c r="E354" s="105"/>
      <c r="F354" s="105"/>
      <c r="G354" s="105"/>
      <c r="H354" s="68"/>
      <c r="I354" s="106"/>
      <c r="J354" s="107"/>
      <c r="K354" s="108"/>
      <c r="L354" s="108"/>
      <c r="M354" s="108"/>
      <c r="N354" s="108"/>
      <c r="O354" s="108"/>
      <c r="P354" s="108"/>
      <c r="Q354" s="108"/>
      <c r="R354" s="108"/>
      <c r="S354" s="108"/>
      <c r="T354" s="108"/>
      <c r="U354" s="108"/>
      <c r="V354" s="108"/>
      <c r="W354" s="108"/>
      <c r="X354" s="108"/>
      <c r="Y354" s="108"/>
      <c r="Z354" s="109"/>
      <c r="AA354" s="109"/>
      <c r="AB354" s="109"/>
      <c r="AC354" s="109"/>
      <c r="AD354" s="109"/>
      <c r="AE354" s="109"/>
      <c r="AF354" s="109"/>
      <c r="AG354" s="109"/>
      <c r="AH354" s="109"/>
      <c r="AI354" s="109"/>
      <c r="AJ354" s="109"/>
      <c r="AK354" s="109"/>
      <c r="AL354" s="109"/>
      <c r="AM354" s="109"/>
      <c r="AN354" s="110"/>
      <c r="AO354" s="110"/>
      <c r="AP354" s="111"/>
      <c r="AQ354" s="112"/>
      <c r="AR354" s="112"/>
      <c r="AS354" s="112"/>
      <c r="AT354" s="112"/>
      <c r="AU354" s="112"/>
      <c r="AV354" s="112"/>
      <c r="AW354" s="112"/>
      <c r="AX354" s="112"/>
      <c r="AY354" s="112"/>
      <c r="AZ354" s="112"/>
      <c r="BA354" s="112"/>
      <c r="BB354" s="112"/>
      <c r="BC354" s="112"/>
      <c r="BD354" s="112"/>
      <c r="BE354" s="112"/>
    </row>
    <row r="355" spans="2:57" x14ac:dyDescent="0.35">
      <c r="B355" s="59"/>
      <c r="C355" s="59"/>
      <c r="D355" s="104"/>
      <c r="E355" s="105"/>
      <c r="F355" s="105"/>
      <c r="G355" s="105"/>
      <c r="H355" s="68"/>
      <c r="I355" s="106"/>
      <c r="J355" s="107"/>
      <c r="K355" s="108"/>
      <c r="L355" s="108"/>
      <c r="M355" s="108"/>
      <c r="N355" s="108"/>
      <c r="O355" s="108"/>
      <c r="P355" s="108"/>
      <c r="Q355" s="108"/>
      <c r="R355" s="108"/>
      <c r="S355" s="108"/>
      <c r="T355" s="108"/>
      <c r="U355" s="108"/>
      <c r="V355" s="108"/>
      <c r="W355" s="108"/>
      <c r="X355" s="108"/>
      <c r="Y355" s="108"/>
      <c r="Z355" s="109"/>
      <c r="AA355" s="109"/>
      <c r="AB355" s="109"/>
      <c r="AC355" s="109"/>
      <c r="AD355" s="109"/>
      <c r="AE355" s="109"/>
      <c r="AF355" s="109"/>
      <c r="AG355" s="109"/>
      <c r="AH355" s="109"/>
      <c r="AI355" s="109"/>
      <c r="AJ355" s="109"/>
      <c r="AK355" s="109"/>
      <c r="AL355" s="109"/>
      <c r="AM355" s="109"/>
      <c r="AN355" s="110"/>
      <c r="AO355" s="110"/>
      <c r="AP355" s="111"/>
      <c r="AQ355" s="112"/>
      <c r="AR355" s="112"/>
      <c r="AS355" s="112"/>
      <c r="AT355" s="112"/>
      <c r="AU355" s="112"/>
      <c r="AV355" s="112"/>
      <c r="AW355" s="112"/>
      <c r="AX355" s="112"/>
      <c r="AY355" s="112"/>
      <c r="AZ355" s="112"/>
      <c r="BA355" s="112"/>
      <c r="BB355" s="112"/>
      <c r="BC355" s="112"/>
      <c r="BD355" s="112"/>
      <c r="BE355" s="112"/>
    </row>
    <row r="356" spans="2:57" x14ac:dyDescent="0.35">
      <c r="B356" s="59"/>
      <c r="C356" s="59"/>
      <c r="D356" s="104"/>
      <c r="E356" s="105"/>
      <c r="F356" s="105"/>
      <c r="G356" s="105"/>
      <c r="H356" s="68"/>
      <c r="I356" s="106"/>
      <c r="J356" s="107"/>
      <c r="K356" s="108"/>
      <c r="L356" s="108"/>
      <c r="M356" s="108"/>
      <c r="N356" s="108"/>
      <c r="O356" s="108"/>
      <c r="P356" s="108"/>
      <c r="Q356" s="108"/>
      <c r="R356" s="108"/>
      <c r="S356" s="108"/>
      <c r="T356" s="108"/>
      <c r="U356" s="108"/>
      <c r="V356" s="108"/>
      <c r="W356" s="108"/>
      <c r="X356" s="108"/>
      <c r="Y356" s="108"/>
      <c r="Z356" s="109"/>
      <c r="AA356" s="109"/>
      <c r="AB356" s="109"/>
      <c r="AC356" s="109"/>
      <c r="AD356" s="109"/>
      <c r="AE356" s="109"/>
      <c r="AF356" s="109"/>
      <c r="AG356" s="109"/>
      <c r="AH356" s="109"/>
      <c r="AI356" s="109"/>
      <c r="AJ356" s="109"/>
      <c r="AK356" s="109"/>
      <c r="AL356" s="109"/>
      <c r="AM356" s="109"/>
      <c r="AN356" s="110"/>
      <c r="AO356" s="110"/>
      <c r="AP356" s="111"/>
      <c r="AQ356" s="112"/>
      <c r="AR356" s="112"/>
      <c r="AS356" s="112"/>
      <c r="AT356" s="112"/>
      <c r="AU356" s="112"/>
      <c r="AV356" s="112"/>
      <c r="AW356" s="112"/>
      <c r="AX356" s="112"/>
      <c r="AY356" s="112"/>
      <c r="AZ356" s="112"/>
      <c r="BA356" s="112"/>
      <c r="BB356" s="112"/>
      <c r="BC356" s="112"/>
      <c r="BD356" s="112"/>
      <c r="BE356" s="112"/>
    </row>
    <row r="357" spans="2:57" x14ac:dyDescent="0.35">
      <c r="B357" s="59"/>
      <c r="C357" s="59"/>
      <c r="D357" s="104"/>
      <c r="E357" s="105"/>
      <c r="F357" s="105"/>
      <c r="G357" s="105"/>
      <c r="H357" s="68"/>
      <c r="I357" s="106"/>
      <c r="J357" s="107"/>
      <c r="K357" s="108"/>
      <c r="L357" s="108"/>
      <c r="M357" s="108"/>
      <c r="N357" s="108"/>
      <c r="O357" s="108"/>
      <c r="P357" s="108"/>
      <c r="Q357" s="108"/>
      <c r="R357" s="108"/>
      <c r="S357" s="108"/>
      <c r="T357" s="108"/>
      <c r="U357" s="108"/>
      <c r="V357" s="108"/>
      <c r="W357" s="108"/>
      <c r="X357" s="108"/>
      <c r="Y357" s="108"/>
      <c r="Z357" s="109"/>
      <c r="AA357" s="109"/>
      <c r="AB357" s="109"/>
      <c r="AC357" s="109"/>
      <c r="AD357" s="109"/>
      <c r="AE357" s="109"/>
      <c r="AF357" s="109"/>
      <c r="AG357" s="109"/>
      <c r="AH357" s="109"/>
      <c r="AI357" s="109"/>
      <c r="AJ357" s="109"/>
      <c r="AK357" s="109"/>
      <c r="AL357" s="109"/>
      <c r="AM357" s="109"/>
      <c r="AN357" s="110"/>
      <c r="AO357" s="110"/>
      <c r="AP357" s="111"/>
      <c r="AQ357" s="112"/>
      <c r="AR357" s="112"/>
      <c r="AS357" s="112"/>
      <c r="AT357" s="112"/>
      <c r="AU357" s="112"/>
      <c r="AV357" s="112"/>
      <c r="AW357" s="112"/>
      <c r="AX357" s="112"/>
      <c r="AY357" s="112"/>
      <c r="AZ357" s="112"/>
      <c r="BA357" s="112"/>
      <c r="BB357" s="112"/>
      <c r="BC357" s="112"/>
      <c r="BD357" s="112"/>
      <c r="BE357" s="112"/>
    </row>
    <row r="358" spans="2:57" x14ac:dyDescent="0.35">
      <c r="B358" s="59"/>
      <c r="C358" s="59"/>
      <c r="D358" s="104"/>
      <c r="E358" s="105"/>
      <c r="F358" s="105"/>
      <c r="G358" s="105"/>
      <c r="H358" s="68"/>
      <c r="I358" s="106"/>
      <c r="J358" s="107"/>
      <c r="K358" s="108"/>
      <c r="L358" s="108"/>
      <c r="M358" s="108"/>
      <c r="N358" s="108"/>
      <c r="O358" s="108"/>
      <c r="P358" s="108"/>
      <c r="Q358" s="108"/>
      <c r="R358" s="108"/>
      <c r="S358" s="108"/>
      <c r="T358" s="108"/>
      <c r="U358" s="108"/>
      <c r="V358" s="108"/>
      <c r="W358" s="108"/>
      <c r="X358" s="108"/>
      <c r="Y358" s="108"/>
      <c r="Z358" s="109"/>
      <c r="AA358" s="109"/>
      <c r="AB358" s="109"/>
      <c r="AC358" s="109"/>
      <c r="AD358" s="109"/>
      <c r="AE358" s="109"/>
      <c r="AF358" s="109"/>
      <c r="AG358" s="109"/>
      <c r="AH358" s="109"/>
      <c r="AI358" s="109"/>
      <c r="AJ358" s="109"/>
      <c r="AK358" s="109"/>
      <c r="AL358" s="109"/>
      <c r="AM358" s="109"/>
      <c r="AN358" s="110"/>
      <c r="AO358" s="110"/>
      <c r="AP358" s="111"/>
      <c r="AQ358" s="112"/>
      <c r="AR358" s="112"/>
      <c r="AS358" s="112"/>
      <c r="AT358" s="112"/>
      <c r="AU358" s="112"/>
      <c r="AV358" s="112"/>
      <c r="AW358" s="112"/>
      <c r="AX358" s="112"/>
      <c r="AY358" s="112"/>
      <c r="AZ358" s="112"/>
      <c r="BA358" s="112"/>
      <c r="BB358" s="112"/>
      <c r="BC358" s="112"/>
      <c r="BD358" s="112"/>
      <c r="BE358" s="112"/>
    </row>
    <row r="359" spans="2:57" x14ac:dyDescent="0.35">
      <c r="B359" s="59"/>
      <c r="C359" s="59"/>
      <c r="D359" s="104"/>
      <c r="E359" s="105"/>
      <c r="F359" s="105"/>
      <c r="G359" s="105"/>
      <c r="H359" s="68"/>
      <c r="I359" s="106"/>
      <c r="J359" s="107"/>
      <c r="K359" s="108"/>
      <c r="L359" s="108"/>
      <c r="M359" s="108"/>
      <c r="N359" s="108"/>
      <c r="O359" s="108"/>
      <c r="P359" s="108"/>
      <c r="Q359" s="108"/>
      <c r="R359" s="108"/>
      <c r="S359" s="108"/>
      <c r="T359" s="108"/>
      <c r="U359" s="108"/>
      <c r="V359" s="108"/>
      <c r="W359" s="108"/>
      <c r="X359" s="108"/>
      <c r="Y359" s="108"/>
      <c r="Z359" s="109"/>
      <c r="AA359" s="109"/>
      <c r="AB359" s="109"/>
      <c r="AC359" s="109"/>
      <c r="AD359" s="109"/>
      <c r="AE359" s="109"/>
      <c r="AF359" s="109"/>
      <c r="AG359" s="109"/>
      <c r="AH359" s="109"/>
      <c r="AI359" s="109"/>
      <c r="AJ359" s="109"/>
      <c r="AK359" s="109"/>
      <c r="AL359" s="109"/>
      <c r="AM359" s="109"/>
      <c r="AN359" s="110"/>
      <c r="AO359" s="110"/>
      <c r="AP359" s="111"/>
      <c r="AQ359" s="112"/>
      <c r="AR359" s="112"/>
      <c r="AS359" s="112"/>
      <c r="AT359" s="112"/>
      <c r="AU359" s="112"/>
      <c r="AV359" s="112"/>
      <c r="AW359" s="112"/>
      <c r="AX359" s="112"/>
      <c r="AY359" s="112"/>
      <c r="AZ359" s="112"/>
      <c r="BA359" s="112"/>
      <c r="BB359" s="112"/>
      <c r="BC359" s="112"/>
      <c r="BD359" s="112"/>
      <c r="BE359" s="112"/>
    </row>
    <row r="360" spans="2:57" x14ac:dyDescent="0.35">
      <c r="B360" s="59"/>
      <c r="C360" s="59"/>
      <c r="D360" s="104"/>
      <c r="E360" s="105"/>
      <c r="F360" s="105"/>
      <c r="G360" s="105"/>
      <c r="H360" s="68"/>
      <c r="I360" s="106"/>
      <c r="J360" s="107"/>
      <c r="K360" s="108"/>
      <c r="L360" s="108"/>
      <c r="M360" s="108"/>
      <c r="N360" s="108"/>
      <c r="O360" s="108"/>
      <c r="P360" s="108"/>
      <c r="Q360" s="108"/>
      <c r="R360" s="108"/>
      <c r="S360" s="108"/>
      <c r="T360" s="108"/>
      <c r="U360" s="108"/>
      <c r="V360" s="108"/>
      <c r="W360" s="108"/>
      <c r="X360" s="108"/>
      <c r="Y360" s="108"/>
      <c r="Z360" s="109"/>
      <c r="AA360" s="109"/>
      <c r="AB360" s="109"/>
      <c r="AC360" s="109"/>
      <c r="AD360" s="109"/>
      <c r="AE360" s="109"/>
      <c r="AF360" s="109"/>
      <c r="AG360" s="109"/>
      <c r="AH360" s="109"/>
      <c r="AI360" s="109"/>
      <c r="AJ360" s="109"/>
      <c r="AK360" s="109"/>
      <c r="AL360" s="109"/>
      <c r="AM360" s="109"/>
      <c r="AN360" s="110"/>
      <c r="AO360" s="110"/>
      <c r="AP360" s="111"/>
      <c r="AQ360" s="112"/>
      <c r="AR360" s="112"/>
      <c r="AS360" s="112"/>
      <c r="AT360" s="112"/>
      <c r="AU360" s="112"/>
      <c r="AV360" s="112"/>
      <c r="AW360" s="112"/>
      <c r="AX360" s="112"/>
      <c r="AY360" s="112"/>
      <c r="AZ360" s="112"/>
      <c r="BA360" s="112"/>
      <c r="BB360" s="112"/>
      <c r="BC360" s="112"/>
      <c r="BD360" s="112"/>
      <c r="BE360" s="112"/>
    </row>
    <row r="361" spans="2:57" x14ac:dyDescent="0.35">
      <c r="B361" s="59"/>
      <c r="C361" s="59"/>
      <c r="D361" s="104"/>
      <c r="E361" s="105"/>
      <c r="F361" s="105"/>
      <c r="G361" s="105"/>
      <c r="H361" s="68"/>
      <c r="I361" s="106"/>
      <c r="J361" s="107"/>
      <c r="K361" s="108"/>
      <c r="L361" s="108"/>
      <c r="M361" s="108"/>
      <c r="N361" s="108"/>
      <c r="O361" s="108"/>
      <c r="P361" s="108"/>
      <c r="Q361" s="108"/>
      <c r="R361" s="108"/>
      <c r="S361" s="108"/>
      <c r="T361" s="108"/>
      <c r="U361" s="108"/>
      <c r="V361" s="108"/>
      <c r="W361" s="108"/>
      <c r="X361" s="108"/>
      <c r="Y361" s="108"/>
      <c r="Z361" s="109"/>
      <c r="AA361" s="109"/>
      <c r="AB361" s="109"/>
      <c r="AC361" s="109"/>
      <c r="AD361" s="109"/>
      <c r="AE361" s="109"/>
      <c r="AF361" s="109"/>
      <c r="AG361" s="109"/>
      <c r="AH361" s="109"/>
      <c r="AI361" s="109"/>
      <c r="AJ361" s="109"/>
      <c r="AK361" s="109"/>
      <c r="AL361" s="109"/>
      <c r="AM361" s="109"/>
      <c r="AN361" s="110"/>
      <c r="AO361" s="110"/>
      <c r="AP361" s="111"/>
      <c r="AQ361" s="112"/>
      <c r="AR361" s="112"/>
      <c r="AS361" s="112"/>
      <c r="AT361" s="112"/>
      <c r="AU361" s="112"/>
      <c r="AV361" s="112"/>
      <c r="AW361" s="112"/>
      <c r="AX361" s="112"/>
      <c r="AY361" s="112"/>
      <c r="AZ361" s="112"/>
      <c r="BA361" s="112"/>
      <c r="BB361" s="112"/>
      <c r="BC361" s="112"/>
      <c r="BD361" s="112"/>
      <c r="BE361" s="112"/>
    </row>
    <row r="362" spans="2:57" x14ac:dyDescent="0.35">
      <c r="B362" s="59"/>
      <c r="C362" s="59"/>
      <c r="D362" s="104"/>
      <c r="E362" s="105"/>
      <c r="F362" s="105"/>
      <c r="G362" s="105"/>
      <c r="H362" s="68"/>
      <c r="I362" s="106"/>
      <c r="J362" s="107"/>
      <c r="K362" s="108"/>
      <c r="L362" s="108"/>
      <c r="M362" s="108"/>
      <c r="N362" s="108"/>
      <c r="O362" s="108"/>
      <c r="P362" s="108"/>
      <c r="Q362" s="108"/>
      <c r="R362" s="108"/>
      <c r="S362" s="108"/>
      <c r="T362" s="108"/>
      <c r="U362" s="108"/>
      <c r="V362" s="108"/>
      <c r="W362" s="108"/>
      <c r="X362" s="108"/>
      <c r="Y362" s="108"/>
      <c r="Z362" s="109"/>
      <c r="AA362" s="109"/>
      <c r="AB362" s="109"/>
      <c r="AC362" s="109"/>
      <c r="AD362" s="109"/>
      <c r="AE362" s="109"/>
      <c r="AF362" s="109"/>
      <c r="AG362" s="109"/>
      <c r="AH362" s="109"/>
      <c r="AI362" s="109"/>
      <c r="AJ362" s="109"/>
      <c r="AK362" s="109"/>
      <c r="AL362" s="109"/>
      <c r="AM362" s="109"/>
      <c r="AN362" s="110"/>
      <c r="AO362" s="110"/>
      <c r="AP362" s="111"/>
      <c r="AQ362" s="112"/>
      <c r="AR362" s="112"/>
      <c r="AS362" s="112"/>
      <c r="AT362" s="112"/>
      <c r="AU362" s="112"/>
      <c r="AV362" s="112"/>
      <c r="AW362" s="112"/>
      <c r="AX362" s="112"/>
      <c r="AY362" s="112"/>
      <c r="AZ362" s="112"/>
      <c r="BA362" s="112"/>
      <c r="BB362" s="112"/>
      <c r="BC362" s="112"/>
      <c r="BD362" s="112"/>
      <c r="BE362" s="112"/>
    </row>
    <row r="363" spans="2:57" x14ac:dyDescent="0.35">
      <c r="B363" s="59"/>
      <c r="C363" s="59"/>
      <c r="D363" s="104"/>
      <c r="E363" s="105"/>
      <c r="F363" s="105"/>
      <c r="G363" s="105"/>
      <c r="H363" s="68"/>
      <c r="I363" s="106"/>
      <c r="J363" s="107"/>
      <c r="K363" s="108"/>
      <c r="L363" s="108"/>
      <c r="M363" s="108"/>
      <c r="N363" s="108"/>
      <c r="O363" s="108"/>
      <c r="P363" s="108"/>
      <c r="Q363" s="108"/>
      <c r="R363" s="108"/>
      <c r="S363" s="108"/>
      <c r="T363" s="108"/>
      <c r="U363" s="108"/>
      <c r="V363" s="108"/>
      <c r="W363" s="108"/>
      <c r="X363" s="108"/>
      <c r="Y363" s="108"/>
      <c r="Z363" s="109"/>
      <c r="AA363" s="109"/>
      <c r="AB363" s="109"/>
      <c r="AC363" s="109"/>
      <c r="AD363" s="109"/>
      <c r="AE363" s="109"/>
      <c r="AF363" s="109"/>
      <c r="AG363" s="109"/>
      <c r="AH363" s="109"/>
      <c r="AI363" s="109"/>
      <c r="AJ363" s="109"/>
      <c r="AK363" s="109"/>
      <c r="AL363" s="109"/>
      <c r="AM363" s="109"/>
      <c r="AN363" s="110"/>
      <c r="AO363" s="110"/>
      <c r="AP363" s="111"/>
      <c r="AQ363" s="112"/>
      <c r="AR363" s="112"/>
      <c r="AS363" s="112"/>
      <c r="AT363" s="112"/>
      <c r="AU363" s="112"/>
      <c r="AV363" s="112"/>
      <c r="AW363" s="112"/>
      <c r="AX363" s="112"/>
      <c r="AY363" s="112"/>
      <c r="AZ363" s="112"/>
      <c r="BA363" s="112"/>
      <c r="BB363" s="112"/>
      <c r="BC363" s="112"/>
      <c r="BD363" s="112"/>
      <c r="BE363" s="112"/>
    </row>
    <row r="364" spans="2:57" x14ac:dyDescent="0.35">
      <c r="B364" s="59"/>
      <c r="C364" s="59"/>
      <c r="D364" s="104"/>
      <c r="E364" s="105"/>
      <c r="F364" s="105"/>
      <c r="G364" s="105"/>
      <c r="H364" s="68"/>
      <c r="I364" s="106"/>
      <c r="J364" s="107"/>
      <c r="K364" s="108"/>
      <c r="L364" s="108"/>
      <c r="M364" s="108"/>
      <c r="N364" s="108"/>
      <c r="O364" s="108"/>
      <c r="P364" s="108"/>
      <c r="Q364" s="108"/>
      <c r="R364" s="108"/>
      <c r="S364" s="108"/>
      <c r="T364" s="108"/>
      <c r="U364" s="108"/>
      <c r="V364" s="108"/>
      <c r="W364" s="108"/>
      <c r="X364" s="108"/>
      <c r="Y364" s="108"/>
      <c r="Z364" s="109"/>
      <c r="AA364" s="109"/>
      <c r="AB364" s="109"/>
      <c r="AC364" s="109"/>
      <c r="AD364" s="109"/>
      <c r="AE364" s="109"/>
      <c r="AF364" s="109"/>
      <c r="AG364" s="109"/>
      <c r="AH364" s="109"/>
      <c r="AI364" s="109"/>
      <c r="AJ364" s="109"/>
      <c r="AK364" s="109"/>
      <c r="AL364" s="109"/>
      <c r="AM364" s="109"/>
      <c r="AN364" s="110"/>
      <c r="AO364" s="110"/>
      <c r="AP364" s="111"/>
      <c r="AQ364" s="112"/>
      <c r="AR364" s="112"/>
      <c r="AS364" s="112"/>
      <c r="AT364" s="112"/>
      <c r="AU364" s="112"/>
      <c r="AV364" s="112"/>
      <c r="AW364" s="112"/>
      <c r="AX364" s="112"/>
      <c r="AY364" s="112"/>
      <c r="AZ364" s="112"/>
      <c r="BA364" s="112"/>
      <c r="BB364" s="112"/>
      <c r="BC364" s="112"/>
      <c r="BD364" s="112"/>
      <c r="BE364" s="112"/>
    </row>
    <row r="365" spans="2:57" x14ac:dyDescent="0.35">
      <c r="B365" s="59"/>
      <c r="C365" s="59"/>
      <c r="D365" s="104"/>
      <c r="E365" s="105"/>
      <c r="F365" s="105"/>
      <c r="G365" s="105"/>
      <c r="H365" s="68"/>
      <c r="I365" s="106"/>
      <c r="J365" s="107"/>
      <c r="K365" s="108"/>
      <c r="L365" s="108"/>
      <c r="M365" s="108"/>
      <c r="N365" s="108"/>
      <c r="O365" s="108"/>
      <c r="P365" s="108"/>
      <c r="Q365" s="108"/>
      <c r="R365" s="108"/>
      <c r="S365" s="108"/>
      <c r="T365" s="108"/>
      <c r="U365" s="108"/>
      <c r="V365" s="108"/>
      <c r="W365" s="108"/>
      <c r="X365" s="108"/>
      <c r="Y365" s="108"/>
      <c r="Z365" s="109"/>
      <c r="AA365" s="109"/>
      <c r="AB365" s="109"/>
      <c r="AC365" s="109"/>
      <c r="AD365" s="109"/>
      <c r="AE365" s="109"/>
      <c r="AF365" s="109"/>
      <c r="AG365" s="109"/>
      <c r="AH365" s="109"/>
      <c r="AI365" s="109"/>
      <c r="AJ365" s="109"/>
      <c r="AK365" s="109"/>
      <c r="AL365" s="109"/>
      <c r="AM365" s="109"/>
      <c r="AN365" s="110"/>
      <c r="AO365" s="110"/>
      <c r="AP365" s="111"/>
      <c r="AQ365" s="112"/>
      <c r="AR365" s="112"/>
      <c r="AS365" s="112"/>
      <c r="AT365" s="112"/>
      <c r="AU365" s="112"/>
      <c r="AV365" s="112"/>
      <c r="AW365" s="112"/>
      <c r="AX365" s="112"/>
      <c r="AY365" s="112"/>
      <c r="AZ365" s="112"/>
      <c r="BA365" s="112"/>
      <c r="BB365" s="112"/>
      <c r="BC365" s="112"/>
      <c r="BD365" s="112"/>
      <c r="BE365" s="112"/>
    </row>
    <row r="366" spans="2:57" x14ac:dyDescent="0.35">
      <c r="B366" s="59"/>
      <c r="C366" s="59"/>
      <c r="D366" s="104"/>
      <c r="E366" s="105"/>
      <c r="F366" s="105"/>
      <c r="G366" s="105"/>
      <c r="H366" s="68"/>
      <c r="I366" s="106"/>
      <c r="J366" s="107"/>
      <c r="K366" s="108"/>
      <c r="L366" s="108"/>
      <c r="M366" s="108"/>
      <c r="N366" s="108"/>
      <c r="O366" s="108"/>
      <c r="P366" s="108"/>
      <c r="Q366" s="108"/>
      <c r="R366" s="108"/>
      <c r="S366" s="108"/>
      <c r="T366" s="108"/>
      <c r="U366" s="108"/>
      <c r="V366" s="108"/>
      <c r="W366" s="108"/>
      <c r="X366" s="108"/>
      <c r="Y366" s="108"/>
      <c r="Z366" s="109"/>
      <c r="AA366" s="109"/>
      <c r="AB366" s="109"/>
      <c r="AC366" s="109"/>
      <c r="AD366" s="109"/>
      <c r="AE366" s="109"/>
      <c r="AF366" s="109"/>
      <c r="AG366" s="109"/>
      <c r="AH366" s="109"/>
      <c r="AI366" s="109"/>
      <c r="AJ366" s="109"/>
      <c r="AK366" s="109"/>
      <c r="AL366" s="109"/>
      <c r="AM366" s="109"/>
      <c r="AN366" s="110"/>
      <c r="AO366" s="110"/>
      <c r="AP366" s="111"/>
      <c r="AQ366" s="112"/>
      <c r="AR366" s="112"/>
      <c r="AS366" s="112"/>
      <c r="AT366" s="112"/>
      <c r="AU366" s="112"/>
      <c r="AV366" s="112"/>
      <c r="AW366" s="112"/>
      <c r="AX366" s="112"/>
      <c r="AY366" s="112"/>
      <c r="AZ366" s="112"/>
      <c r="BA366" s="112"/>
      <c r="BB366" s="112"/>
      <c r="BC366" s="112"/>
      <c r="BD366" s="112"/>
      <c r="BE366" s="112"/>
    </row>
    <row r="367" spans="2:57" x14ac:dyDescent="0.35">
      <c r="B367" s="59"/>
      <c r="C367" s="59"/>
      <c r="D367" s="104"/>
      <c r="E367" s="105"/>
      <c r="F367" s="105"/>
      <c r="G367" s="105"/>
      <c r="H367" s="68"/>
      <c r="I367" s="106"/>
      <c r="J367" s="107"/>
      <c r="K367" s="108"/>
      <c r="L367" s="108"/>
      <c r="M367" s="108"/>
      <c r="N367" s="108"/>
      <c r="O367" s="108"/>
      <c r="P367" s="108"/>
      <c r="Q367" s="108"/>
      <c r="R367" s="108"/>
      <c r="S367" s="108"/>
      <c r="T367" s="108"/>
      <c r="U367" s="108"/>
      <c r="V367" s="108"/>
      <c r="W367" s="108"/>
      <c r="X367" s="108"/>
      <c r="Y367" s="108"/>
      <c r="Z367" s="109"/>
      <c r="AA367" s="109"/>
      <c r="AB367" s="109"/>
      <c r="AC367" s="109"/>
      <c r="AD367" s="109"/>
      <c r="AE367" s="109"/>
      <c r="AF367" s="109"/>
      <c r="AG367" s="109"/>
      <c r="AH367" s="109"/>
      <c r="AI367" s="109"/>
      <c r="AJ367" s="109"/>
      <c r="AK367" s="109"/>
      <c r="AL367" s="109"/>
      <c r="AM367" s="109"/>
      <c r="AN367" s="110"/>
      <c r="AO367" s="110"/>
      <c r="AP367" s="111"/>
      <c r="AQ367" s="112"/>
      <c r="AR367" s="112"/>
      <c r="AS367" s="112"/>
      <c r="AT367" s="112"/>
      <c r="AU367" s="112"/>
      <c r="AV367" s="112"/>
      <c r="AW367" s="112"/>
      <c r="AX367" s="112"/>
      <c r="AY367" s="112"/>
      <c r="AZ367" s="112"/>
      <c r="BA367" s="112"/>
      <c r="BB367" s="112"/>
      <c r="BC367" s="112"/>
      <c r="BD367" s="112"/>
      <c r="BE367" s="112"/>
    </row>
    <row r="368" spans="2:57" x14ac:dyDescent="0.35">
      <c r="B368" s="59"/>
      <c r="C368" s="59"/>
      <c r="D368" s="104"/>
      <c r="E368" s="105"/>
      <c r="F368" s="105"/>
      <c r="G368" s="105"/>
      <c r="H368" s="68"/>
      <c r="I368" s="106"/>
      <c r="J368" s="107"/>
      <c r="K368" s="108"/>
      <c r="L368" s="108"/>
      <c r="M368" s="108"/>
      <c r="N368" s="108"/>
      <c r="O368" s="108"/>
      <c r="P368" s="108"/>
      <c r="Q368" s="108"/>
      <c r="R368" s="108"/>
      <c r="S368" s="108"/>
      <c r="T368" s="108"/>
      <c r="U368" s="108"/>
      <c r="V368" s="108"/>
      <c r="W368" s="108"/>
      <c r="X368" s="108"/>
      <c r="Y368" s="108"/>
      <c r="Z368" s="109"/>
      <c r="AA368" s="109"/>
      <c r="AB368" s="109"/>
      <c r="AC368" s="109"/>
      <c r="AD368" s="109"/>
      <c r="AE368" s="109"/>
      <c r="AF368" s="109"/>
      <c r="AG368" s="109"/>
      <c r="AH368" s="109"/>
      <c r="AI368" s="109"/>
      <c r="AJ368" s="109"/>
      <c r="AK368" s="109"/>
      <c r="AL368" s="109"/>
      <c r="AM368" s="109"/>
      <c r="AN368" s="110"/>
      <c r="AO368" s="110"/>
      <c r="AP368" s="111"/>
      <c r="AQ368" s="112"/>
      <c r="AR368" s="112"/>
      <c r="AS368" s="112"/>
      <c r="AT368" s="112"/>
      <c r="AU368" s="112"/>
      <c r="AV368" s="112"/>
      <c r="AW368" s="112"/>
      <c r="AX368" s="112"/>
      <c r="AY368" s="112"/>
      <c r="AZ368" s="112"/>
      <c r="BA368" s="112"/>
      <c r="BB368" s="112"/>
      <c r="BC368" s="112"/>
      <c r="BD368" s="112"/>
      <c r="BE368" s="112"/>
    </row>
    <row r="369" spans="2:57" x14ac:dyDescent="0.35">
      <c r="B369" s="59"/>
      <c r="C369" s="59"/>
      <c r="D369" s="104"/>
      <c r="E369" s="105"/>
      <c r="F369" s="105"/>
      <c r="G369" s="105"/>
      <c r="H369" s="68"/>
      <c r="I369" s="106"/>
      <c r="J369" s="107"/>
      <c r="K369" s="108"/>
      <c r="L369" s="108"/>
      <c r="M369" s="108"/>
      <c r="N369" s="108"/>
      <c r="O369" s="108"/>
      <c r="P369" s="108"/>
      <c r="Q369" s="108"/>
      <c r="R369" s="108"/>
      <c r="S369" s="108"/>
      <c r="T369" s="108"/>
      <c r="U369" s="108"/>
      <c r="V369" s="108"/>
      <c r="W369" s="108"/>
      <c r="X369" s="108"/>
      <c r="Y369" s="108"/>
      <c r="Z369" s="109"/>
      <c r="AA369" s="109"/>
      <c r="AB369" s="109"/>
      <c r="AC369" s="109"/>
      <c r="AD369" s="109"/>
      <c r="AE369" s="109"/>
      <c r="AF369" s="109"/>
      <c r="AG369" s="109"/>
      <c r="AH369" s="109"/>
      <c r="AI369" s="109"/>
      <c r="AJ369" s="109"/>
      <c r="AK369" s="109"/>
      <c r="AL369" s="109"/>
      <c r="AM369" s="109"/>
      <c r="AN369" s="110"/>
      <c r="AO369" s="110"/>
      <c r="AP369" s="111"/>
      <c r="AQ369" s="112"/>
      <c r="AR369" s="112"/>
      <c r="AS369" s="112"/>
      <c r="AT369" s="112"/>
      <c r="AU369" s="112"/>
      <c r="AV369" s="112"/>
      <c r="AW369" s="112"/>
      <c r="AX369" s="112"/>
      <c r="AY369" s="112"/>
      <c r="AZ369" s="112"/>
      <c r="BA369" s="112"/>
      <c r="BB369" s="112"/>
      <c r="BC369" s="112"/>
      <c r="BD369" s="112"/>
      <c r="BE369" s="112"/>
    </row>
    <row r="370" spans="2:57" x14ac:dyDescent="0.35">
      <c r="B370" s="59"/>
      <c r="C370" s="59"/>
      <c r="D370" s="104"/>
      <c r="E370" s="105"/>
      <c r="F370" s="105"/>
      <c r="G370" s="105"/>
      <c r="H370" s="68"/>
      <c r="I370" s="106"/>
      <c r="J370" s="107"/>
      <c r="K370" s="108"/>
      <c r="L370" s="108"/>
      <c r="M370" s="108"/>
      <c r="N370" s="108"/>
      <c r="O370" s="108"/>
      <c r="P370" s="108"/>
      <c r="Q370" s="108"/>
      <c r="R370" s="108"/>
      <c r="S370" s="108"/>
      <c r="T370" s="108"/>
      <c r="U370" s="108"/>
      <c r="V370" s="108"/>
      <c r="W370" s="108"/>
      <c r="X370" s="108"/>
      <c r="Y370" s="108"/>
      <c r="Z370" s="109"/>
      <c r="AA370" s="109"/>
      <c r="AB370" s="109"/>
      <c r="AC370" s="109"/>
      <c r="AD370" s="109"/>
      <c r="AE370" s="109"/>
      <c r="AF370" s="109"/>
      <c r="AG370" s="109"/>
      <c r="AH370" s="109"/>
      <c r="AI370" s="109"/>
      <c r="AJ370" s="109"/>
      <c r="AK370" s="109"/>
      <c r="AL370" s="109"/>
      <c r="AM370" s="109"/>
      <c r="AN370" s="110"/>
      <c r="AO370" s="110"/>
      <c r="AP370" s="111"/>
      <c r="AQ370" s="112"/>
      <c r="AR370" s="112"/>
      <c r="AS370" s="112"/>
      <c r="AT370" s="112"/>
      <c r="AU370" s="112"/>
      <c r="AV370" s="112"/>
      <c r="AW370" s="112"/>
      <c r="AX370" s="112"/>
      <c r="AY370" s="112"/>
      <c r="AZ370" s="112"/>
      <c r="BA370" s="112"/>
      <c r="BB370" s="112"/>
      <c r="BC370" s="112"/>
      <c r="BD370" s="112"/>
      <c r="BE370" s="112"/>
    </row>
    <row r="371" spans="2:57" x14ac:dyDescent="0.35">
      <c r="B371" s="59"/>
      <c r="C371" s="59"/>
      <c r="D371" s="104"/>
      <c r="E371" s="105"/>
      <c r="F371" s="105"/>
      <c r="G371" s="105"/>
      <c r="H371" s="68"/>
      <c r="I371" s="106"/>
      <c r="J371" s="107"/>
      <c r="K371" s="108"/>
      <c r="L371" s="108"/>
      <c r="M371" s="108"/>
      <c r="N371" s="108"/>
      <c r="O371" s="108"/>
      <c r="P371" s="108"/>
      <c r="Q371" s="108"/>
      <c r="R371" s="108"/>
      <c r="S371" s="108"/>
      <c r="T371" s="108"/>
      <c r="U371" s="108"/>
      <c r="V371" s="108"/>
      <c r="W371" s="108"/>
      <c r="X371" s="108"/>
      <c r="Y371" s="108"/>
      <c r="Z371" s="109"/>
      <c r="AA371" s="109"/>
      <c r="AB371" s="109"/>
      <c r="AC371" s="109"/>
      <c r="AD371" s="109"/>
      <c r="AE371" s="109"/>
      <c r="AF371" s="109"/>
      <c r="AG371" s="109"/>
      <c r="AH371" s="109"/>
      <c r="AI371" s="109"/>
      <c r="AJ371" s="109"/>
      <c r="AK371" s="109"/>
      <c r="AL371" s="109"/>
      <c r="AM371" s="109"/>
      <c r="AN371" s="110"/>
      <c r="AO371" s="110"/>
      <c r="AP371" s="111"/>
      <c r="AQ371" s="112"/>
      <c r="AR371" s="112"/>
      <c r="AS371" s="112"/>
      <c r="AT371" s="112"/>
      <c r="AU371" s="112"/>
      <c r="AV371" s="112"/>
      <c r="AW371" s="112"/>
      <c r="AX371" s="112"/>
      <c r="AY371" s="112"/>
      <c r="AZ371" s="112"/>
      <c r="BA371" s="112"/>
      <c r="BB371" s="112"/>
      <c r="BC371" s="112"/>
      <c r="BD371" s="112"/>
      <c r="BE371" s="112"/>
    </row>
    <row r="372" spans="2:57" x14ac:dyDescent="0.35">
      <c r="B372" s="59"/>
      <c r="C372" s="59"/>
      <c r="D372" s="104"/>
      <c r="E372" s="105"/>
      <c r="F372" s="105"/>
      <c r="G372" s="105"/>
      <c r="H372" s="68"/>
      <c r="I372" s="106"/>
      <c r="J372" s="107"/>
      <c r="K372" s="108"/>
      <c r="L372" s="108"/>
      <c r="M372" s="108"/>
      <c r="N372" s="108"/>
      <c r="O372" s="108"/>
      <c r="P372" s="108"/>
      <c r="Q372" s="108"/>
      <c r="R372" s="108"/>
      <c r="S372" s="108"/>
      <c r="T372" s="108"/>
      <c r="U372" s="108"/>
      <c r="V372" s="108"/>
      <c r="W372" s="108"/>
      <c r="X372" s="108"/>
      <c r="Y372" s="108"/>
      <c r="Z372" s="109"/>
      <c r="AA372" s="109"/>
      <c r="AB372" s="109"/>
      <c r="AC372" s="109"/>
      <c r="AD372" s="109"/>
      <c r="AE372" s="109"/>
      <c r="AF372" s="109"/>
      <c r="AG372" s="109"/>
      <c r="AH372" s="109"/>
      <c r="AI372" s="109"/>
      <c r="AJ372" s="109"/>
      <c r="AK372" s="109"/>
      <c r="AL372" s="109"/>
      <c r="AM372" s="109"/>
      <c r="AN372" s="110"/>
      <c r="AO372" s="110"/>
      <c r="AP372" s="111"/>
      <c r="AQ372" s="112"/>
      <c r="AR372" s="112"/>
      <c r="AS372" s="112"/>
      <c r="AT372" s="112"/>
      <c r="AU372" s="112"/>
      <c r="AV372" s="112"/>
      <c r="AW372" s="112"/>
      <c r="AX372" s="112"/>
      <c r="AY372" s="112"/>
      <c r="AZ372" s="112"/>
      <c r="BA372" s="112"/>
      <c r="BB372" s="112"/>
      <c r="BC372" s="112"/>
      <c r="BD372" s="112"/>
      <c r="BE372" s="112"/>
    </row>
    <row r="373" spans="2:57" x14ac:dyDescent="0.35">
      <c r="B373" s="59"/>
      <c r="C373" s="59"/>
      <c r="D373" s="104"/>
      <c r="E373" s="105"/>
      <c r="F373" s="105"/>
      <c r="G373" s="105"/>
      <c r="H373" s="68"/>
      <c r="I373" s="106"/>
      <c r="J373" s="107"/>
      <c r="K373" s="108"/>
      <c r="L373" s="108"/>
      <c r="M373" s="108"/>
      <c r="N373" s="108"/>
      <c r="O373" s="108"/>
      <c r="P373" s="108"/>
      <c r="Q373" s="108"/>
      <c r="R373" s="108"/>
      <c r="S373" s="108"/>
      <c r="T373" s="108"/>
      <c r="U373" s="108"/>
      <c r="V373" s="108"/>
      <c r="W373" s="108"/>
      <c r="X373" s="108"/>
      <c r="Y373" s="108"/>
      <c r="Z373" s="109"/>
      <c r="AA373" s="109"/>
      <c r="AB373" s="109"/>
      <c r="AC373" s="109"/>
      <c r="AD373" s="109"/>
      <c r="AE373" s="109"/>
      <c r="AF373" s="109"/>
      <c r="AG373" s="109"/>
      <c r="AH373" s="109"/>
      <c r="AI373" s="109"/>
      <c r="AJ373" s="109"/>
      <c r="AK373" s="109"/>
      <c r="AL373" s="109"/>
      <c r="AM373" s="109"/>
      <c r="AN373" s="110"/>
      <c r="AO373" s="110"/>
      <c r="AP373" s="111"/>
      <c r="AQ373" s="112"/>
      <c r="AR373" s="112"/>
      <c r="AS373" s="112"/>
      <c r="AT373" s="112"/>
      <c r="AU373" s="112"/>
      <c r="AV373" s="112"/>
      <c r="AW373" s="112"/>
      <c r="AX373" s="112"/>
      <c r="AY373" s="112"/>
      <c r="AZ373" s="112"/>
      <c r="BA373" s="112"/>
      <c r="BB373" s="112"/>
      <c r="BC373" s="112"/>
      <c r="BD373" s="112"/>
      <c r="BE373" s="112"/>
    </row>
    <row r="374" spans="2:57" x14ac:dyDescent="0.35">
      <c r="B374" s="59"/>
      <c r="C374" s="59"/>
      <c r="D374" s="104"/>
      <c r="E374" s="105"/>
      <c r="F374" s="105"/>
      <c r="G374" s="105"/>
      <c r="H374" s="68"/>
      <c r="I374" s="106"/>
      <c r="J374" s="107"/>
      <c r="K374" s="108"/>
      <c r="L374" s="108"/>
      <c r="M374" s="108"/>
      <c r="N374" s="108"/>
      <c r="O374" s="108"/>
      <c r="P374" s="108"/>
      <c r="Q374" s="108"/>
      <c r="R374" s="108"/>
      <c r="S374" s="108"/>
      <c r="T374" s="108"/>
      <c r="U374" s="108"/>
      <c r="V374" s="108"/>
      <c r="W374" s="108"/>
      <c r="X374" s="108"/>
      <c r="Y374" s="108"/>
      <c r="Z374" s="109"/>
      <c r="AA374" s="109"/>
      <c r="AB374" s="109"/>
      <c r="AC374" s="109"/>
      <c r="AD374" s="109"/>
      <c r="AE374" s="109"/>
      <c r="AF374" s="109"/>
      <c r="AG374" s="109"/>
      <c r="AH374" s="109"/>
      <c r="AI374" s="109"/>
      <c r="AJ374" s="109"/>
      <c r="AK374" s="109"/>
      <c r="AL374" s="109"/>
      <c r="AM374" s="109"/>
      <c r="AN374" s="110"/>
      <c r="AO374" s="110"/>
      <c r="AP374" s="111"/>
      <c r="AQ374" s="112"/>
      <c r="AR374" s="112"/>
      <c r="AS374" s="112"/>
      <c r="AT374" s="112"/>
      <c r="AU374" s="112"/>
      <c r="AV374" s="112"/>
      <c r="AW374" s="112"/>
      <c r="AX374" s="112"/>
      <c r="AY374" s="112"/>
      <c r="AZ374" s="112"/>
      <c r="BA374" s="112"/>
      <c r="BB374" s="112"/>
      <c r="BC374" s="112"/>
      <c r="BD374" s="112"/>
      <c r="BE374" s="112"/>
    </row>
    <row r="375" spans="2:57" x14ac:dyDescent="0.35">
      <c r="B375" s="59"/>
      <c r="C375" s="59"/>
      <c r="D375" s="104"/>
      <c r="E375" s="105"/>
      <c r="F375" s="105"/>
      <c r="G375" s="105"/>
      <c r="H375" s="68"/>
      <c r="I375" s="106"/>
      <c r="J375" s="107"/>
      <c r="K375" s="108"/>
      <c r="L375" s="108"/>
      <c r="M375" s="108"/>
      <c r="N375" s="108"/>
      <c r="O375" s="108"/>
      <c r="P375" s="108"/>
      <c r="Q375" s="108"/>
      <c r="R375" s="108"/>
      <c r="S375" s="108"/>
      <c r="T375" s="108"/>
      <c r="U375" s="108"/>
      <c r="V375" s="108"/>
      <c r="W375" s="108"/>
      <c r="X375" s="108"/>
      <c r="Y375" s="108"/>
      <c r="Z375" s="109"/>
      <c r="AA375" s="109"/>
      <c r="AB375" s="109"/>
      <c r="AC375" s="109"/>
      <c r="AD375" s="109"/>
      <c r="AE375" s="109"/>
      <c r="AF375" s="109"/>
      <c r="AG375" s="109"/>
      <c r="AH375" s="109"/>
      <c r="AI375" s="109"/>
      <c r="AJ375" s="109"/>
      <c r="AK375" s="109"/>
      <c r="AL375" s="109"/>
      <c r="AM375" s="109"/>
      <c r="AN375" s="110"/>
      <c r="AO375" s="110"/>
      <c r="AP375" s="111"/>
      <c r="AQ375" s="112"/>
      <c r="AR375" s="112"/>
      <c r="AS375" s="112"/>
      <c r="AT375" s="112"/>
      <c r="AU375" s="112"/>
      <c r="AV375" s="112"/>
      <c r="AW375" s="112"/>
      <c r="AX375" s="112"/>
      <c r="AY375" s="112"/>
      <c r="AZ375" s="112"/>
      <c r="BA375" s="112"/>
      <c r="BB375" s="112"/>
      <c r="BC375" s="112"/>
      <c r="BD375" s="112"/>
      <c r="BE375" s="112"/>
    </row>
    <row r="376" spans="2:57" x14ac:dyDescent="0.35">
      <c r="B376" s="59"/>
      <c r="C376" s="59"/>
      <c r="D376" s="104"/>
      <c r="E376" s="105"/>
      <c r="F376" s="105"/>
      <c r="G376" s="105"/>
      <c r="H376" s="68"/>
      <c r="I376" s="106"/>
      <c r="J376" s="107"/>
      <c r="K376" s="108"/>
      <c r="L376" s="108"/>
      <c r="M376" s="108"/>
      <c r="N376" s="108"/>
      <c r="O376" s="108"/>
      <c r="P376" s="108"/>
      <c r="Q376" s="108"/>
      <c r="R376" s="108"/>
      <c r="S376" s="108"/>
      <c r="T376" s="108"/>
      <c r="U376" s="108"/>
      <c r="V376" s="108"/>
      <c r="W376" s="108"/>
      <c r="X376" s="108"/>
      <c r="Y376" s="108"/>
      <c r="Z376" s="109"/>
      <c r="AA376" s="109"/>
      <c r="AB376" s="109"/>
      <c r="AC376" s="109"/>
      <c r="AD376" s="109"/>
      <c r="AE376" s="109"/>
      <c r="AF376" s="109"/>
      <c r="AG376" s="109"/>
      <c r="AH376" s="109"/>
      <c r="AI376" s="109"/>
      <c r="AJ376" s="109"/>
      <c r="AK376" s="109"/>
      <c r="AL376" s="109"/>
      <c r="AM376" s="109"/>
      <c r="AN376" s="110"/>
      <c r="AO376" s="110"/>
      <c r="AP376" s="111"/>
      <c r="AQ376" s="112"/>
      <c r="AR376" s="112"/>
      <c r="AS376" s="112"/>
      <c r="AT376" s="112"/>
      <c r="AU376" s="112"/>
      <c r="AV376" s="112"/>
      <c r="AW376" s="112"/>
      <c r="AX376" s="112"/>
      <c r="AY376" s="112"/>
      <c r="AZ376" s="112"/>
      <c r="BA376" s="112"/>
      <c r="BB376" s="112"/>
      <c r="BC376" s="112"/>
      <c r="BD376" s="112"/>
      <c r="BE376" s="112"/>
    </row>
    <row r="377" spans="2:57" x14ac:dyDescent="0.35">
      <c r="B377" s="59"/>
      <c r="C377" s="59"/>
      <c r="D377" s="104"/>
      <c r="E377" s="105"/>
      <c r="F377" s="105"/>
      <c r="G377" s="105"/>
      <c r="H377" s="68"/>
      <c r="I377" s="106"/>
      <c r="J377" s="107"/>
      <c r="K377" s="108"/>
      <c r="L377" s="108"/>
      <c r="M377" s="108"/>
      <c r="N377" s="108"/>
      <c r="O377" s="108"/>
      <c r="P377" s="108"/>
      <c r="Q377" s="108"/>
      <c r="R377" s="108"/>
      <c r="S377" s="108"/>
      <c r="T377" s="108"/>
      <c r="U377" s="108"/>
      <c r="V377" s="108"/>
      <c r="W377" s="108"/>
      <c r="X377" s="108"/>
      <c r="Y377" s="108"/>
      <c r="Z377" s="109"/>
      <c r="AA377" s="109"/>
      <c r="AB377" s="109"/>
      <c r="AC377" s="109"/>
      <c r="AD377" s="109"/>
      <c r="AE377" s="109"/>
      <c r="AF377" s="109"/>
      <c r="AG377" s="109"/>
      <c r="AH377" s="109"/>
      <c r="AI377" s="109"/>
      <c r="AJ377" s="109"/>
      <c r="AK377" s="109"/>
      <c r="AL377" s="109"/>
      <c r="AM377" s="109"/>
      <c r="AN377" s="110"/>
      <c r="AO377" s="110"/>
      <c r="AP377" s="111"/>
      <c r="AQ377" s="112"/>
      <c r="AR377" s="112"/>
      <c r="AS377" s="112"/>
      <c r="AT377" s="112"/>
      <c r="AU377" s="112"/>
      <c r="AV377" s="112"/>
      <c r="AW377" s="112"/>
      <c r="AX377" s="112"/>
      <c r="AY377" s="112"/>
      <c r="AZ377" s="112"/>
      <c r="BA377" s="112"/>
      <c r="BB377" s="112"/>
      <c r="BC377" s="112"/>
      <c r="BD377" s="112"/>
      <c r="BE377" s="112"/>
    </row>
    <row r="378" spans="2:57" x14ac:dyDescent="0.35">
      <c r="B378" s="59"/>
      <c r="C378" s="59"/>
      <c r="D378" s="104"/>
      <c r="E378" s="105"/>
      <c r="F378" s="105"/>
      <c r="G378" s="105"/>
      <c r="H378" s="68"/>
      <c r="I378" s="106"/>
      <c r="J378" s="107"/>
      <c r="K378" s="108"/>
      <c r="L378" s="108"/>
      <c r="M378" s="108"/>
      <c r="N378" s="108"/>
      <c r="O378" s="108"/>
      <c r="P378" s="108"/>
      <c r="Q378" s="108"/>
      <c r="R378" s="108"/>
      <c r="S378" s="108"/>
      <c r="T378" s="108"/>
      <c r="U378" s="108"/>
      <c r="V378" s="108"/>
      <c r="W378" s="108"/>
      <c r="X378" s="108"/>
      <c r="Y378" s="108"/>
      <c r="Z378" s="109"/>
      <c r="AA378" s="109"/>
      <c r="AB378" s="109"/>
      <c r="AC378" s="109"/>
      <c r="AD378" s="109"/>
      <c r="AE378" s="109"/>
      <c r="AF378" s="109"/>
      <c r="AG378" s="109"/>
      <c r="AH378" s="109"/>
      <c r="AI378" s="109"/>
      <c r="AJ378" s="109"/>
      <c r="AK378" s="109"/>
      <c r="AL378" s="109"/>
      <c r="AM378" s="109"/>
      <c r="AN378" s="110"/>
      <c r="AO378" s="110"/>
      <c r="AP378" s="111"/>
      <c r="AQ378" s="112"/>
      <c r="AR378" s="112"/>
      <c r="AS378" s="112"/>
      <c r="AT378" s="112"/>
      <c r="AU378" s="112"/>
      <c r="AV378" s="112"/>
      <c r="AW378" s="112"/>
      <c r="AX378" s="112"/>
      <c r="AY378" s="112"/>
      <c r="AZ378" s="112"/>
      <c r="BA378" s="112"/>
      <c r="BB378" s="112"/>
      <c r="BC378" s="112"/>
      <c r="BD378" s="112"/>
      <c r="BE378" s="112"/>
    </row>
    <row r="379" spans="2:57" x14ac:dyDescent="0.35">
      <c r="B379" s="59"/>
      <c r="C379" s="59"/>
      <c r="D379" s="104"/>
      <c r="E379" s="105"/>
      <c r="F379" s="105"/>
      <c r="G379" s="105"/>
      <c r="H379" s="68"/>
      <c r="I379" s="106"/>
      <c r="J379" s="107"/>
      <c r="K379" s="108"/>
      <c r="L379" s="108"/>
      <c r="M379" s="108"/>
      <c r="N379" s="108"/>
      <c r="O379" s="108"/>
      <c r="P379" s="108"/>
      <c r="Q379" s="108"/>
      <c r="R379" s="108"/>
      <c r="S379" s="108"/>
      <c r="T379" s="108"/>
      <c r="U379" s="108"/>
      <c r="V379" s="108"/>
      <c r="W379" s="108"/>
      <c r="X379" s="108"/>
      <c r="Y379" s="108"/>
      <c r="Z379" s="109"/>
      <c r="AA379" s="109"/>
      <c r="AB379" s="109"/>
      <c r="AC379" s="109"/>
      <c r="AD379" s="109"/>
      <c r="AE379" s="109"/>
      <c r="AF379" s="109"/>
      <c r="AG379" s="109"/>
      <c r="AH379" s="109"/>
      <c r="AI379" s="109"/>
      <c r="AJ379" s="109"/>
      <c r="AK379" s="109"/>
      <c r="AL379" s="109"/>
      <c r="AM379" s="109"/>
      <c r="AN379" s="110"/>
      <c r="AO379" s="110"/>
      <c r="AP379" s="111"/>
      <c r="AQ379" s="112"/>
      <c r="AR379" s="112"/>
      <c r="AS379" s="112"/>
      <c r="AT379" s="112"/>
      <c r="AU379" s="112"/>
      <c r="AV379" s="112"/>
      <c r="AW379" s="112"/>
      <c r="AX379" s="112"/>
      <c r="AY379" s="112"/>
      <c r="AZ379" s="112"/>
      <c r="BA379" s="112"/>
      <c r="BB379" s="112"/>
      <c r="BC379" s="112"/>
      <c r="BD379" s="112"/>
      <c r="BE379" s="112"/>
    </row>
    <row r="380" spans="2:57" x14ac:dyDescent="0.35">
      <c r="B380" s="59"/>
      <c r="C380" s="59"/>
      <c r="D380" s="104"/>
      <c r="E380" s="105"/>
      <c r="F380" s="105"/>
      <c r="G380" s="105"/>
      <c r="H380" s="68"/>
      <c r="I380" s="106"/>
      <c r="J380" s="107"/>
      <c r="K380" s="108"/>
      <c r="L380" s="108"/>
      <c r="M380" s="108"/>
      <c r="N380" s="108"/>
      <c r="O380" s="108"/>
      <c r="P380" s="108"/>
      <c r="Q380" s="108"/>
      <c r="R380" s="108"/>
      <c r="S380" s="108"/>
      <c r="T380" s="108"/>
      <c r="U380" s="108"/>
      <c r="V380" s="108"/>
      <c r="W380" s="108"/>
      <c r="X380" s="108"/>
      <c r="Y380" s="108"/>
      <c r="Z380" s="109"/>
      <c r="AA380" s="109"/>
      <c r="AB380" s="109"/>
      <c r="AC380" s="109"/>
      <c r="AD380" s="109"/>
      <c r="AE380" s="109"/>
      <c r="AF380" s="109"/>
      <c r="AG380" s="109"/>
      <c r="AH380" s="109"/>
      <c r="AI380" s="109"/>
      <c r="AJ380" s="109"/>
      <c r="AK380" s="109"/>
      <c r="AL380" s="109"/>
      <c r="AM380" s="109"/>
      <c r="AN380" s="110"/>
      <c r="AO380" s="110"/>
      <c r="AP380" s="111"/>
      <c r="AQ380" s="112"/>
      <c r="AR380" s="112"/>
      <c r="AS380" s="112"/>
      <c r="AT380" s="112"/>
      <c r="AU380" s="112"/>
      <c r="AV380" s="112"/>
      <c r="AW380" s="112"/>
      <c r="AX380" s="112"/>
      <c r="AY380" s="112"/>
      <c r="AZ380" s="112"/>
      <c r="BA380" s="112"/>
      <c r="BB380" s="112"/>
      <c r="BC380" s="112"/>
      <c r="BD380" s="112"/>
      <c r="BE380" s="112"/>
    </row>
    <row r="381" spans="2:57" x14ac:dyDescent="0.35">
      <c r="B381" s="59"/>
      <c r="C381" s="59"/>
      <c r="D381" s="104"/>
      <c r="E381" s="105"/>
      <c r="F381" s="105"/>
      <c r="G381" s="105"/>
      <c r="H381" s="68"/>
      <c r="I381" s="106"/>
      <c r="J381" s="107"/>
      <c r="K381" s="108"/>
      <c r="L381" s="108"/>
      <c r="M381" s="108"/>
      <c r="N381" s="108"/>
      <c r="O381" s="108"/>
      <c r="P381" s="108"/>
      <c r="Q381" s="108"/>
      <c r="R381" s="108"/>
      <c r="S381" s="108"/>
      <c r="T381" s="108"/>
      <c r="U381" s="108"/>
      <c r="V381" s="108"/>
      <c r="W381" s="108"/>
      <c r="X381" s="108"/>
      <c r="Y381" s="108"/>
      <c r="Z381" s="109"/>
      <c r="AA381" s="109"/>
      <c r="AB381" s="109"/>
      <c r="AC381" s="109"/>
      <c r="AD381" s="109"/>
      <c r="AE381" s="109"/>
      <c r="AF381" s="109"/>
      <c r="AG381" s="109"/>
      <c r="AH381" s="109"/>
      <c r="AI381" s="109"/>
      <c r="AJ381" s="109"/>
      <c r="AK381" s="109"/>
      <c r="AL381" s="109"/>
      <c r="AM381" s="109"/>
      <c r="AN381" s="110"/>
      <c r="AO381" s="110"/>
      <c r="AP381" s="111"/>
      <c r="AQ381" s="112"/>
      <c r="AR381" s="112"/>
      <c r="AS381" s="112"/>
      <c r="AT381" s="112"/>
      <c r="AU381" s="112"/>
      <c r="AV381" s="112"/>
      <c r="AW381" s="112"/>
      <c r="AX381" s="112"/>
      <c r="AY381" s="112"/>
      <c r="AZ381" s="112"/>
      <c r="BA381" s="112"/>
      <c r="BB381" s="112"/>
      <c r="BC381" s="112"/>
      <c r="BD381" s="112"/>
      <c r="BE381" s="112"/>
    </row>
    <row r="382" spans="2:57" x14ac:dyDescent="0.35">
      <c r="B382" s="59"/>
      <c r="C382" s="59"/>
      <c r="D382" s="104"/>
      <c r="E382" s="105"/>
      <c r="F382" s="105"/>
      <c r="G382" s="105"/>
      <c r="H382" s="68"/>
      <c r="I382" s="106"/>
      <c r="J382" s="107"/>
      <c r="K382" s="108"/>
      <c r="L382" s="108"/>
      <c r="M382" s="108"/>
      <c r="N382" s="108"/>
      <c r="O382" s="108"/>
      <c r="P382" s="108"/>
      <c r="Q382" s="108"/>
      <c r="R382" s="108"/>
      <c r="S382" s="108"/>
      <c r="T382" s="108"/>
      <c r="U382" s="108"/>
      <c r="V382" s="108"/>
      <c r="W382" s="108"/>
      <c r="X382" s="108"/>
      <c r="Y382" s="108"/>
      <c r="Z382" s="109"/>
      <c r="AA382" s="109"/>
      <c r="AB382" s="109"/>
      <c r="AC382" s="109"/>
      <c r="AD382" s="109"/>
      <c r="AE382" s="109"/>
      <c r="AF382" s="109"/>
      <c r="AG382" s="109"/>
      <c r="AH382" s="109"/>
      <c r="AI382" s="109"/>
      <c r="AJ382" s="109"/>
      <c r="AK382" s="109"/>
      <c r="AL382" s="109"/>
      <c r="AM382" s="109"/>
      <c r="AN382" s="110"/>
      <c r="AO382" s="110"/>
      <c r="AP382" s="111"/>
      <c r="AQ382" s="112"/>
      <c r="AR382" s="112"/>
      <c r="AS382" s="112"/>
      <c r="AT382" s="112"/>
      <c r="AU382" s="112"/>
      <c r="AV382" s="112"/>
      <c r="AW382" s="112"/>
      <c r="AX382" s="112"/>
      <c r="AY382" s="112"/>
      <c r="AZ382" s="112"/>
      <c r="BA382" s="112"/>
      <c r="BB382" s="112"/>
      <c r="BC382" s="112"/>
      <c r="BD382" s="112"/>
      <c r="BE382" s="112"/>
    </row>
    <row r="383" spans="2:57" x14ac:dyDescent="0.35">
      <c r="B383" s="59"/>
      <c r="C383" s="59"/>
      <c r="D383" s="104"/>
      <c r="E383" s="105"/>
      <c r="F383" s="105"/>
      <c r="G383" s="105"/>
      <c r="H383" s="68"/>
      <c r="I383" s="106"/>
      <c r="J383" s="107"/>
      <c r="K383" s="108"/>
      <c r="L383" s="108"/>
      <c r="M383" s="108"/>
      <c r="N383" s="108"/>
      <c r="O383" s="108"/>
      <c r="P383" s="108"/>
      <c r="Q383" s="108"/>
      <c r="R383" s="108"/>
      <c r="S383" s="108"/>
      <c r="T383" s="108"/>
      <c r="U383" s="108"/>
      <c r="V383" s="108"/>
      <c r="W383" s="108"/>
      <c r="X383" s="108"/>
      <c r="Y383" s="108"/>
      <c r="Z383" s="109"/>
      <c r="AA383" s="109"/>
      <c r="AB383" s="109"/>
      <c r="AC383" s="109"/>
      <c r="AD383" s="109"/>
      <c r="AE383" s="109"/>
      <c r="AF383" s="109"/>
      <c r="AG383" s="109"/>
      <c r="AH383" s="109"/>
      <c r="AI383" s="109"/>
      <c r="AJ383" s="109"/>
      <c r="AK383" s="109"/>
      <c r="AL383" s="109"/>
      <c r="AM383" s="109"/>
      <c r="AN383" s="110"/>
      <c r="AO383" s="110"/>
      <c r="AP383" s="111"/>
      <c r="AQ383" s="112"/>
      <c r="AR383" s="112"/>
      <c r="AS383" s="112"/>
      <c r="AT383" s="112"/>
      <c r="AU383" s="112"/>
      <c r="AV383" s="112"/>
      <c r="AW383" s="112"/>
      <c r="AX383" s="112"/>
      <c r="AY383" s="112"/>
      <c r="AZ383" s="112"/>
      <c r="BA383" s="112"/>
      <c r="BB383" s="112"/>
      <c r="BC383" s="112"/>
      <c r="BD383" s="112"/>
      <c r="BE383" s="112"/>
    </row>
    <row r="384" spans="2:57" x14ac:dyDescent="0.35">
      <c r="B384" s="59"/>
      <c r="C384" s="59"/>
      <c r="D384" s="104"/>
      <c r="E384" s="105"/>
      <c r="F384" s="105"/>
      <c r="G384" s="105"/>
      <c r="H384" s="68"/>
      <c r="I384" s="106"/>
      <c r="J384" s="107"/>
      <c r="K384" s="108"/>
      <c r="L384" s="108"/>
      <c r="M384" s="108"/>
      <c r="N384" s="108"/>
      <c r="O384" s="108"/>
      <c r="P384" s="108"/>
      <c r="Q384" s="108"/>
      <c r="R384" s="108"/>
      <c r="S384" s="108"/>
      <c r="T384" s="108"/>
      <c r="U384" s="108"/>
      <c r="V384" s="108"/>
      <c r="W384" s="108"/>
      <c r="X384" s="108"/>
      <c r="Y384" s="108"/>
      <c r="Z384" s="109"/>
      <c r="AA384" s="109"/>
      <c r="AB384" s="109"/>
      <c r="AC384" s="109"/>
      <c r="AD384" s="109"/>
      <c r="AE384" s="109"/>
      <c r="AF384" s="109"/>
      <c r="AG384" s="109"/>
      <c r="AH384" s="109"/>
      <c r="AI384" s="109"/>
      <c r="AJ384" s="109"/>
      <c r="AK384" s="109"/>
      <c r="AL384" s="109"/>
      <c r="AM384" s="109"/>
      <c r="AN384" s="110"/>
      <c r="AO384" s="110"/>
      <c r="AP384" s="111"/>
      <c r="AQ384" s="112"/>
      <c r="AR384" s="112"/>
      <c r="AS384" s="112"/>
      <c r="AT384" s="112"/>
      <c r="AU384" s="112"/>
      <c r="AV384" s="112"/>
      <c r="AW384" s="112"/>
      <c r="AX384" s="112"/>
      <c r="AY384" s="112"/>
      <c r="AZ384" s="112"/>
      <c r="BA384" s="112"/>
      <c r="BB384" s="112"/>
      <c r="BC384" s="112"/>
      <c r="BD384" s="112"/>
      <c r="BE384" s="112"/>
    </row>
    <row r="385" spans="2:57" x14ac:dyDescent="0.35">
      <c r="B385" s="59"/>
      <c r="C385" s="59"/>
      <c r="D385" s="104"/>
      <c r="E385" s="105"/>
      <c r="F385" s="105"/>
      <c r="G385" s="105"/>
      <c r="H385" s="68"/>
      <c r="I385" s="106"/>
      <c r="J385" s="107"/>
      <c r="K385" s="108"/>
      <c r="L385" s="108"/>
      <c r="M385" s="108"/>
      <c r="N385" s="108"/>
      <c r="O385" s="108"/>
      <c r="P385" s="108"/>
      <c r="Q385" s="108"/>
      <c r="R385" s="108"/>
      <c r="S385" s="108"/>
      <c r="T385" s="108"/>
      <c r="U385" s="108"/>
      <c r="V385" s="108"/>
      <c r="W385" s="108"/>
      <c r="X385" s="108"/>
      <c r="Y385" s="108"/>
      <c r="Z385" s="109"/>
      <c r="AA385" s="109"/>
      <c r="AB385" s="109"/>
      <c r="AC385" s="109"/>
      <c r="AD385" s="109"/>
      <c r="AE385" s="109"/>
      <c r="AF385" s="109"/>
      <c r="AG385" s="109"/>
      <c r="AH385" s="109"/>
      <c r="AI385" s="109"/>
      <c r="AJ385" s="109"/>
      <c r="AK385" s="109"/>
      <c r="AL385" s="109"/>
      <c r="AM385" s="109"/>
      <c r="AN385" s="110"/>
      <c r="AO385" s="110"/>
      <c r="AP385" s="111"/>
      <c r="AQ385" s="112"/>
      <c r="AR385" s="112"/>
      <c r="AS385" s="112"/>
      <c r="AT385" s="112"/>
      <c r="AU385" s="112"/>
      <c r="AV385" s="112"/>
      <c r="AW385" s="112"/>
      <c r="AX385" s="112"/>
      <c r="AY385" s="112"/>
      <c r="AZ385" s="112"/>
      <c r="BA385" s="112"/>
      <c r="BB385" s="112"/>
      <c r="BC385" s="112"/>
      <c r="BD385" s="112"/>
      <c r="BE385" s="112"/>
    </row>
    <row r="386" spans="2:57" x14ac:dyDescent="0.35">
      <c r="B386" s="59"/>
      <c r="C386" s="59"/>
      <c r="D386" s="104"/>
      <c r="E386" s="105"/>
      <c r="F386" s="105"/>
      <c r="G386" s="105"/>
      <c r="H386" s="68"/>
      <c r="I386" s="106"/>
      <c r="J386" s="107"/>
      <c r="K386" s="108"/>
      <c r="L386" s="108"/>
      <c r="M386" s="108"/>
      <c r="N386" s="108"/>
      <c r="O386" s="108"/>
      <c r="P386" s="108"/>
      <c r="Q386" s="108"/>
      <c r="R386" s="108"/>
      <c r="S386" s="108"/>
      <c r="T386" s="108"/>
      <c r="U386" s="108"/>
      <c r="V386" s="108"/>
      <c r="W386" s="108"/>
      <c r="X386" s="108"/>
      <c r="Y386" s="108"/>
      <c r="Z386" s="109"/>
      <c r="AA386" s="109"/>
      <c r="AB386" s="109"/>
      <c r="AC386" s="109"/>
      <c r="AD386" s="109"/>
      <c r="AE386" s="109"/>
      <c r="AF386" s="109"/>
      <c r="AG386" s="109"/>
      <c r="AH386" s="109"/>
      <c r="AI386" s="109"/>
      <c r="AJ386" s="109"/>
      <c r="AK386" s="109"/>
      <c r="AL386" s="109"/>
      <c r="AM386" s="109"/>
      <c r="AN386" s="110"/>
      <c r="AO386" s="110"/>
      <c r="AP386" s="111"/>
      <c r="AQ386" s="112"/>
      <c r="AR386" s="112"/>
      <c r="AS386" s="112"/>
      <c r="AT386" s="112"/>
      <c r="AU386" s="112"/>
      <c r="AV386" s="112"/>
      <c r="AW386" s="112"/>
      <c r="AX386" s="112"/>
      <c r="AY386" s="112"/>
      <c r="AZ386" s="112"/>
      <c r="BA386" s="112"/>
      <c r="BB386" s="112"/>
      <c r="BC386" s="112"/>
      <c r="BD386" s="112"/>
      <c r="BE386" s="112"/>
    </row>
    <row r="387" spans="2:57" x14ac:dyDescent="0.35">
      <c r="B387" s="59"/>
      <c r="C387" s="59"/>
      <c r="D387" s="104"/>
      <c r="E387" s="105"/>
      <c r="F387" s="105"/>
      <c r="G387" s="105"/>
      <c r="H387" s="68"/>
      <c r="I387" s="106"/>
      <c r="J387" s="107"/>
      <c r="K387" s="108"/>
      <c r="L387" s="108"/>
      <c r="M387" s="108"/>
      <c r="N387" s="108"/>
      <c r="O387" s="108"/>
      <c r="P387" s="108"/>
      <c r="Q387" s="108"/>
      <c r="R387" s="108"/>
      <c r="S387" s="108"/>
      <c r="T387" s="108"/>
      <c r="U387" s="108"/>
      <c r="V387" s="108"/>
      <c r="W387" s="108"/>
      <c r="X387" s="108"/>
      <c r="Y387" s="108"/>
      <c r="Z387" s="109"/>
      <c r="AA387" s="109"/>
      <c r="AB387" s="109"/>
      <c r="AC387" s="109"/>
      <c r="AD387" s="109"/>
      <c r="AE387" s="109"/>
      <c r="AF387" s="109"/>
      <c r="AG387" s="109"/>
      <c r="AH387" s="109"/>
      <c r="AI387" s="109"/>
      <c r="AJ387" s="109"/>
      <c r="AK387" s="109"/>
      <c r="AL387" s="109"/>
      <c r="AM387" s="109"/>
      <c r="AN387" s="110"/>
      <c r="AO387" s="110"/>
      <c r="AP387" s="111"/>
      <c r="AQ387" s="112"/>
      <c r="AR387" s="112"/>
      <c r="AS387" s="112"/>
      <c r="AT387" s="112"/>
      <c r="AU387" s="112"/>
      <c r="AV387" s="112"/>
      <c r="AW387" s="112"/>
      <c r="AX387" s="112"/>
      <c r="AY387" s="112"/>
      <c r="AZ387" s="112"/>
      <c r="BA387" s="112"/>
      <c r="BB387" s="112"/>
      <c r="BC387" s="112"/>
      <c r="BD387" s="112"/>
      <c r="BE387" s="112"/>
    </row>
    <row r="388" spans="2:57" x14ac:dyDescent="0.35">
      <c r="B388" s="59"/>
      <c r="C388" s="59"/>
      <c r="D388" s="104"/>
      <c r="E388" s="105"/>
      <c r="F388" s="105"/>
      <c r="G388" s="105"/>
      <c r="H388" s="68"/>
      <c r="I388" s="106"/>
      <c r="J388" s="107"/>
      <c r="K388" s="108"/>
      <c r="L388" s="108"/>
      <c r="M388" s="108"/>
      <c r="N388" s="108"/>
      <c r="O388" s="108"/>
      <c r="P388" s="108"/>
      <c r="Q388" s="108"/>
      <c r="R388" s="108"/>
      <c r="S388" s="108"/>
      <c r="T388" s="108"/>
      <c r="U388" s="108"/>
      <c r="V388" s="108"/>
      <c r="W388" s="108"/>
      <c r="X388" s="108"/>
      <c r="Y388" s="108"/>
      <c r="Z388" s="109"/>
      <c r="AA388" s="109"/>
      <c r="AB388" s="109"/>
      <c r="AC388" s="109"/>
      <c r="AD388" s="109"/>
      <c r="AE388" s="109"/>
      <c r="AF388" s="109"/>
      <c r="AG388" s="109"/>
      <c r="AH388" s="109"/>
      <c r="AI388" s="109"/>
      <c r="AJ388" s="109"/>
      <c r="AK388" s="109"/>
      <c r="AL388" s="109"/>
      <c r="AM388" s="109"/>
      <c r="AN388" s="110"/>
      <c r="AO388" s="110"/>
      <c r="AP388" s="111"/>
      <c r="AQ388" s="112"/>
      <c r="AR388" s="112"/>
      <c r="AS388" s="112"/>
      <c r="AT388" s="112"/>
      <c r="AU388" s="112"/>
      <c r="AV388" s="112"/>
      <c r="AW388" s="112"/>
      <c r="AX388" s="112"/>
      <c r="AY388" s="112"/>
      <c r="AZ388" s="112"/>
      <c r="BA388" s="112"/>
      <c r="BB388" s="112"/>
      <c r="BC388" s="112"/>
      <c r="BD388" s="112"/>
      <c r="BE388" s="112"/>
    </row>
    <row r="389" spans="2:57" x14ac:dyDescent="0.35">
      <c r="B389" s="59"/>
      <c r="C389" s="59"/>
      <c r="D389" s="104"/>
      <c r="E389" s="105"/>
      <c r="F389" s="105"/>
      <c r="G389" s="105"/>
      <c r="H389" s="68"/>
      <c r="I389" s="106"/>
      <c r="J389" s="107"/>
      <c r="K389" s="108"/>
      <c r="L389" s="108"/>
      <c r="M389" s="108"/>
      <c r="N389" s="108"/>
      <c r="O389" s="108"/>
      <c r="P389" s="108"/>
      <c r="Q389" s="108"/>
      <c r="R389" s="108"/>
      <c r="S389" s="108"/>
      <c r="T389" s="108"/>
      <c r="U389" s="108"/>
      <c r="V389" s="108"/>
      <c r="W389" s="108"/>
      <c r="X389" s="108"/>
      <c r="Y389" s="108"/>
      <c r="Z389" s="109"/>
      <c r="AA389" s="109"/>
      <c r="AB389" s="109"/>
      <c r="AC389" s="109"/>
      <c r="AD389" s="109"/>
      <c r="AE389" s="109"/>
      <c r="AF389" s="109"/>
      <c r="AG389" s="109"/>
      <c r="AH389" s="109"/>
      <c r="AI389" s="109"/>
      <c r="AJ389" s="109"/>
      <c r="AK389" s="109"/>
      <c r="AL389" s="109"/>
      <c r="AM389" s="109"/>
      <c r="AN389" s="110"/>
      <c r="AO389" s="110"/>
      <c r="AP389" s="111"/>
      <c r="AQ389" s="112"/>
      <c r="AR389" s="112"/>
      <c r="AS389" s="112"/>
      <c r="AT389" s="112"/>
      <c r="AU389" s="112"/>
      <c r="AV389" s="112"/>
      <c r="AW389" s="112"/>
      <c r="AX389" s="112"/>
      <c r="AY389" s="112"/>
      <c r="AZ389" s="112"/>
      <c r="BA389" s="112"/>
      <c r="BB389" s="112"/>
      <c r="BC389" s="112"/>
      <c r="BD389" s="112"/>
      <c r="BE389" s="112"/>
    </row>
    <row r="390" spans="2:57" x14ac:dyDescent="0.35">
      <c r="B390" s="59"/>
      <c r="C390" s="59"/>
      <c r="D390" s="104"/>
      <c r="E390" s="105"/>
      <c r="F390" s="105"/>
      <c r="G390" s="105"/>
      <c r="H390" s="68"/>
      <c r="I390" s="106"/>
      <c r="J390" s="107"/>
      <c r="K390" s="108"/>
      <c r="L390" s="108"/>
      <c r="M390" s="108"/>
      <c r="N390" s="108"/>
      <c r="O390" s="108"/>
      <c r="P390" s="108"/>
      <c r="Q390" s="108"/>
      <c r="R390" s="108"/>
      <c r="S390" s="108"/>
      <c r="T390" s="108"/>
      <c r="U390" s="108"/>
      <c r="V390" s="108"/>
      <c r="W390" s="108"/>
      <c r="X390" s="108"/>
      <c r="Y390" s="108"/>
      <c r="Z390" s="109"/>
      <c r="AA390" s="109"/>
      <c r="AB390" s="109"/>
      <c r="AC390" s="109"/>
      <c r="AD390" s="109"/>
      <c r="AE390" s="109"/>
      <c r="AF390" s="109"/>
      <c r="AG390" s="109"/>
      <c r="AH390" s="109"/>
      <c r="AI390" s="109"/>
      <c r="AJ390" s="109"/>
      <c r="AK390" s="109"/>
      <c r="AL390" s="109"/>
      <c r="AM390" s="109"/>
      <c r="AN390" s="110"/>
      <c r="AO390" s="110"/>
      <c r="AP390" s="111"/>
      <c r="AQ390" s="112"/>
      <c r="AR390" s="112"/>
      <c r="AS390" s="112"/>
      <c r="AT390" s="112"/>
      <c r="AU390" s="112"/>
      <c r="AV390" s="112"/>
      <c r="AW390" s="112"/>
      <c r="AX390" s="112"/>
      <c r="AY390" s="112"/>
      <c r="AZ390" s="112"/>
      <c r="BA390" s="112"/>
      <c r="BB390" s="112"/>
      <c r="BC390" s="112"/>
      <c r="BD390" s="112"/>
      <c r="BE390" s="112"/>
    </row>
    <row r="391" spans="2:57" x14ac:dyDescent="0.35">
      <c r="B391" s="59"/>
      <c r="C391" s="59"/>
      <c r="D391" s="104"/>
      <c r="E391" s="105"/>
      <c r="F391" s="105"/>
      <c r="G391" s="105"/>
      <c r="H391" s="68"/>
      <c r="I391" s="106"/>
      <c r="J391" s="107"/>
      <c r="K391" s="108"/>
      <c r="L391" s="108"/>
      <c r="M391" s="108"/>
      <c r="N391" s="108"/>
      <c r="O391" s="108"/>
      <c r="P391" s="108"/>
      <c r="Q391" s="108"/>
      <c r="R391" s="108"/>
      <c r="S391" s="108"/>
      <c r="T391" s="108"/>
      <c r="U391" s="108"/>
      <c r="V391" s="108"/>
      <c r="W391" s="108"/>
      <c r="X391" s="108"/>
      <c r="Y391" s="108"/>
      <c r="Z391" s="109"/>
      <c r="AA391" s="109"/>
      <c r="AB391" s="109"/>
      <c r="AC391" s="109"/>
      <c r="AD391" s="109"/>
      <c r="AE391" s="109"/>
      <c r="AF391" s="109"/>
      <c r="AG391" s="109"/>
      <c r="AH391" s="109"/>
      <c r="AI391" s="109"/>
      <c r="AJ391" s="109"/>
      <c r="AK391" s="109"/>
      <c r="AL391" s="109"/>
      <c r="AM391" s="109"/>
      <c r="AN391" s="110"/>
      <c r="AO391" s="110"/>
      <c r="AP391" s="111"/>
      <c r="AQ391" s="112"/>
      <c r="AR391" s="112"/>
      <c r="AS391" s="112"/>
      <c r="AT391" s="112"/>
      <c r="AU391" s="112"/>
      <c r="AV391" s="112"/>
      <c r="AW391" s="112"/>
      <c r="AX391" s="112"/>
      <c r="AY391" s="112"/>
      <c r="AZ391" s="112"/>
      <c r="BA391" s="112"/>
      <c r="BB391" s="112"/>
      <c r="BC391" s="112"/>
      <c r="BD391" s="112"/>
      <c r="BE391" s="112"/>
    </row>
    <row r="392" spans="2:57" x14ac:dyDescent="0.35">
      <c r="B392" s="59"/>
      <c r="C392" s="59"/>
      <c r="D392" s="104"/>
      <c r="E392" s="105"/>
      <c r="F392" s="105"/>
      <c r="G392" s="105"/>
      <c r="H392" s="68"/>
      <c r="I392" s="106"/>
      <c r="J392" s="107"/>
      <c r="K392" s="108"/>
      <c r="L392" s="108"/>
      <c r="M392" s="108"/>
      <c r="N392" s="108"/>
      <c r="O392" s="108"/>
      <c r="P392" s="108"/>
      <c r="Q392" s="108"/>
      <c r="R392" s="108"/>
      <c r="S392" s="108"/>
      <c r="T392" s="108"/>
      <c r="U392" s="108"/>
      <c r="V392" s="108"/>
      <c r="W392" s="108"/>
      <c r="X392" s="108"/>
      <c r="Y392" s="108"/>
      <c r="Z392" s="109"/>
      <c r="AA392" s="109"/>
      <c r="AB392" s="109"/>
      <c r="AC392" s="109"/>
      <c r="AD392" s="109"/>
      <c r="AE392" s="109"/>
      <c r="AF392" s="109"/>
      <c r="AG392" s="109"/>
      <c r="AH392" s="109"/>
      <c r="AI392" s="109"/>
      <c r="AJ392" s="109"/>
      <c r="AK392" s="109"/>
      <c r="AL392" s="109"/>
      <c r="AM392" s="109"/>
      <c r="AN392" s="110"/>
      <c r="AO392" s="110"/>
      <c r="AP392" s="111"/>
      <c r="AQ392" s="112"/>
      <c r="AR392" s="112"/>
      <c r="AS392" s="112"/>
      <c r="AT392" s="112"/>
      <c r="AU392" s="112"/>
      <c r="AV392" s="112"/>
      <c r="AW392" s="112"/>
      <c r="AX392" s="112"/>
      <c r="AY392" s="112"/>
      <c r="AZ392" s="112"/>
      <c r="BA392" s="112"/>
      <c r="BB392" s="112"/>
      <c r="BC392" s="112"/>
      <c r="BD392" s="112"/>
      <c r="BE392" s="112"/>
    </row>
    <row r="393" spans="2:57" x14ac:dyDescent="0.35">
      <c r="B393" s="59"/>
      <c r="C393" s="59"/>
      <c r="D393" s="104"/>
      <c r="E393" s="105"/>
      <c r="F393" s="105"/>
      <c r="G393" s="105"/>
      <c r="H393" s="68"/>
      <c r="I393" s="106"/>
      <c r="J393" s="107"/>
      <c r="K393" s="108"/>
      <c r="L393" s="108"/>
      <c r="M393" s="108"/>
      <c r="N393" s="108"/>
      <c r="O393" s="108"/>
      <c r="P393" s="108"/>
      <c r="Q393" s="108"/>
      <c r="R393" s="108"/>
      <c r="S393" s="108"/>
      <c r="T393" s="108"/>
      <c r="U393" s="108"/>
      <c r="V393" s="108"/>
      <c r="W393" s="108"/>
      <c r="X393" s="108"/>
      <c r="Y393" s="108"/>
      <c r="Z393" s="109"/>
      <c r="AA393" s="109"/>
      <c r="AB393" s="109"/>
      <c r="AC393" s="109"/>
      <c r="AD393" s="109"/>
      <c r="AE393" s="109"/>
      <c r="AF393" s="109"/>
      <c r="AG393" s="109"/>
      <c r="AH393" s="109"/>
      <c r="AI393" s="109"/>
      <c r="AJ393" s="109"/>
      <c r="AK393" s="109"/>
      <c r="AL393" s="109"/>
      <c r="AM393" s="109"/>
      <c r="AN393" s="110"/>
      <c r="AO393" s="110"/>
      <c r="AP393" s="111"/>
      <c r="AQ393" s="112"/>
      <c r="AR393" s="112"/>
      <c r="AS393" s="112"/>
      <c r="AT393" s="112"/>
      <c r="AU393" s="112"/>
      <c r="AV393" s="112"/>
      <c r="AW393" s="112"/>
      <c r="AX393" s="112"/>
      <c r="AY393" s="112"/>
      <c r="AZ393" s="112"/>
      <c r="BA393" s="112"/>
      <c r="BB393" s="112"/>
      <c r="BC393" s="112"/>
      <c r="BD393" s="112"/>
      <c r="BE393" s="112"/>
    </row>
    <row r="394" spans="2:57" x14ac:dyDescent="0.35">
      <c r="B394" s="59"/>
      <c r="C394" s="59"/>
      <c r="D394" s="104"/>
      <c r="E394" s="105"/>
      <c r="F394" s="105"/>
      <c r="G394" s="105"/>
      <c r="H394" s="68"/>
      <c r="I394" s="106"/>
      <c r="J394" s="107"/>
      <c r="K394" s="108"/>
      <c r="L394" s="108"/>
      <c r="M394" s="108"/>
      <c r="N394" s="108"/>
      <c r="O394" s="108"/>
      <c r="P394" s="108"/>
      <c r="Q394" s="108"/>
      <c r="R394" s="108"/>
      <c r="S394" s="108"/>
      <c r="T394" s="108"/>
      <c r="U394" s="108"/>
      <c r="V394" s="108"/>
      <c r="W394" s="108"/>
      <c r="X394" s="108"/>
      <c r="Y394" s="108"/>
      <c r="Z394" s="109"/>
      <c r="AA394" s="109"/>
      <c r="AB394" s="109"/>
      <c r="AC394" s="109"/>
      <c r="AD394" s="109"/>
      <c r="AE394" s="109"/>
      <c r="AF394" s="109"/>
      <c r="AG394" s="109"/>
      <c r="AH394" s="109"/>
      <c r="AI394" s="109"/>
      <c r="AJ394" s="109"/>
      <c r="AK394" s="109"/>
      <c r="AL394" s="109"/>
      <c r="AM394" s="109"/>
      <c r="AN394" s="110"/>
      <c r="AO394" s="110"/>
      <c r="AP394" s="111"/>
      <c r="AQ394" s="112"/>
      <c r="AR394" s="112"/>
      <c r="AS394" s="112"/>
      <c r="AT394" s="112"/>
      <c r="AU394" s="112"/>
      <c r="AV394" s="112"/>
      <c r="AW394" s="112"/>
      <c r="AX394" s="112"/>
      <c r="AY394" s="112"/>
      <c r="AZ394" s="112"/>
      <c r="BA394" s="112"/>
      <c r="BB394" s="112"/>
      <c r="BC394" s="112"/>
      <c r="BD394" s="112"/>
      <c r="BE394" s="112"/>
    </row>
    <row r="395" spans="2:57" x14ac:dyDescent="0.35">
      <c r="B395" s="59"/>
      <c r="C395" s="59"/>
      <c r="D395" s="104"/>
      <c r="E395" s="105"/>
      <c r="F395" s="105"/>
      <c r="G395" s="105"/>
      <c r="H395" s="68"/>
      <c r="I395" s="106"/>
      <c r="J395" s="107"/>
      <c r="K395" s="108"/>
      <c r="L395" s="108"/>
      <c r="M395" s="108"/>
      <c r="N395" s="108"/>
      <c r="O395" s="108"/>
      <c r="P395" s="108"/>
      <c r="Q395" s="108"/>
      <c r="R395" s="108"/>
      <c r="S395" s="108"/>
      <c r="T395" s="108"/>
      <c r="U395" s="108"/>
      <c r="V395" s="108"/>
      <c r="W395" s="108"/>
      <c r="X395" s="108"/>
      <c r="Y395" s="108"/>
      <c r="Z395" s="109"/>
      <c r="AA395" s="109"/>
      <c r="AB395" s="109"/>
      <c r="AC395" s="109"/>
      <c r="AD395" s="109"/>
      <c r="AE395" s="109"/>
      <c r="AF395" s="109"/>
      <c r="AG395" s="109"/>
      <c r="AH395" s="109"/>
      <c r="AI395" s="109"/>
      <c r="AJ395" s="109"/>
      <c r="AK395" s="109"/>
      <c r="AL395" s="109"/>
      <c r="AM395" s="109"/>
      <c r="AN395" s="110"/>
      <c r="AO395" s="110"/>
      <c r="AP395" s="111"/>
      <c r="AQ395" s="112"/>
      <c r="AR395" s="112"/>
      <c r="AS395" s="112"/>
      <c r="AT395" s="112"/>
      <c r="AU395" s="112"/>
      <c r="AV395" s="112"/>
      <c r="AW395" s="112"/>
      <c r="AX395" s="112"/>
      <c r="AY395" s="112"/>
      <c r="AZ395" s="112"/>
      <c r="BA395" s="112"/>
      <c r="BB395" s="112"/>
      <c r="BC395" s="112"/>
      <c r="BD395" s="112"/>
      <c r="BE395" s="112"/>
    </row>
    <row r="396" spans="2:57" x14ac:dyDescent="0.35">
      <c r="B396" s="59"/>
      <c r="C396" s="59"/>
      <c r="D396" s="104"/>
      <c r="E396" s="105"/>
      <c r="F396" s="105"/>
      <c r="G396" s="105"/>
      <c r="H396" s="68"/>
      <c r="I396" s="106"/>
      <c r="J396" s="107"/>
      <c r="K396" s="108"/>
      <c r="L396" s="108"/>
      <c r="M396" s="108"/>
      <c r="N396" s="108"/>
      <c r="O396" s="108"/>
      <c r="P396" s="108"/>
      <c r="Q396" s="108"/>
      <c r="R396" s="108"/>
      <c r="S396" s="108"/>
      <c r="T396" s="108"/>
      <c r="U396" s="108"/>
      <c r="V396" s="108"/>
      <c r="W396" s="108"/>
      <c r="X396" s="108"/>
      <c r="Y396" s="108"/>
      <c r="Z396" s="109"/>
      <c r="AA396" s="109"/>
      <c r="AB396" s="109"/>
      <c r="AC396" s="109"/>
      <c r="AD396" s="109"/>
      <c r="AE396" s="109"/>
      <c r="AF396" s="109"/>
      <c r="AG396" s="109"/>
      <c r="AH396" s="109"/>
      <c r="AI396" s="109"/>
      <c r="AJ396" s="109"/>
      <c r="AK396" s="109"/>
      <c r="AL396" s="109"/>
      <c r="AM396" s="109"/>
      <c r="AN396" s="110"/>
      <c r="AO396" s="110"/>
      <c r="AP396" s="111"/>
      <c r="AQ396" s="112"/>
      <c r="AR396" s="112"/>
      <c r="AS396" s="112"/>
      <c r="AT396" s="112"/>
      <c r="AU396" s="112"/>
      <c r="AV396" s="112"/>
      <c r="AW396" s="112"/>
      <c r="AX396" s="112"/>
      <c r="AY396" s="112"/>
      <c r="AZ396" s="112"/>
      <c r="BA396" s="112"/>
      <c r="BB396" s="112"/>
      <c r="BC396" s="112"/>
      <c r="BD396" s="112"/>
      <c r="BE396" s="112"/>
    </row>
    <row r="397" spans="2:57" x14ac:dyDescent="0.35">
      <c r="B397" s="59"/>
      <c r="C397" s="59"/>
      <c r="D397" s="104"/>
      <c r="E397" s="105"/>
      <c r="F397" s="105"/>
      <c r="G397" s="105"/>
      <c r="H397" s="68"/>
      <c r="I397" s="106"/>
      <c r="J397" s="107"/>
      <c r="K397" s="108"/>
      <c r="L397" s="108"/>
      <c r="M397" s="108"/>
      <c r="N397" s="108"/>
      <c r="O397" s="108"/>
      <c r="P397" s="108"/>
      <c r="Q397" s="108"/>
      <c r="R397" s="108"/>
      <c r="S397" s="108"/>
      <c r="T397" s="108"/>
      <c r="U397" s="108"/>
      <c r="V397" s="108"/>
      <c r="W397" s="108"/>
      <c r="X397" s="108"/>
      <c r="Y397" s="108"/>
      <c r="Z397" s="109"/>
      <c r="AA397" s="109"/>
      <c r="AB397" s="109"/>
      <c r="AC397" s="109"/>
      <c r="AD397" s="109"/>
      <c r="AE397" s="109"/>
      <c r="AF397" s="109"/>
      <c r="AG397" s="109"/>
      <c r="AH397" s="109"/>
      <c r="AI397" s="109"/>
      <c r="AJ397" s="109"/>
      <c r="AK397" s="109"/>
      <c r="AL397" s="109"/>
      <c r="AM397" s="109"/>
      <c r="AN397" s="110"/>
      <c r="AO397" s="110"/>
      <c r="AP397" s="111"/>
      <c r="AQ397" s="112"/>
      <c r="AR397" s="112"/>
      <c r="AS397" s="112"/>
      <c r="AT397" s="112"/>
      <c r="AU397" s="112"/>
      <c r="AV397" s="112"/>
      <c r="AW397" s="112"/>
      <c r="AX397" s="112"/>
      <c r="AY397" s="112"/>
      <c r="AZ397" s="112"/>
      <c r="BA397" s="112"/>
      <c r="BB397" s="112"/>
      <c r="BC397" s="112"/>
      <c r="BD397" s="112"/>
      <c r="BE397" s="112"/>
    </row>
    <row r="398" spans="2:57" x14ac:dyDescent="0.35">
      <c r="B398" s="59"/>
      <c r="C398" s="59"/>
      <c r="D398" s="104"/>
      <c r="E398" s="105"/>
      <c r="F398" s="105"/>
      <c r="G398" s="105"/>
      <c r="H398" s="68"/>
      <c r="I398" s="106"/>
      <c r="J398" s="107"/>
      <c r="K398" s="108"/>
      <c r="L398" s="108"/>
      <c r="M398" s="108"/>
      <c r="N398" s="108"/>
      <c r="O398" s="108"/>
      <c r="P398" s="108"/>
      <c r="Q398" s="108"/>
      <c r="R398" s="108"/>
      <c r="S398" s="108"/>
      <c r="T398" s="108"/>
      <c r="U398" s="108"/>
      <c r="V398" s="108"/>
      <c r="W398" s="108"/>
      <c r="X398" s="108"/>
      <c r="Y398" s="108"/>
      <c r="Z398" s="109"/>
      <c r="AA398" s="109"/>
      <c r="AB398" s="109"/>
      <c r="AC398" s="109"/>
      <c r="AD398" s="109"/>
      <c r="AE398" s="109"/>
      <c r="AF398" s="109"/>
      <c r="AG398" s="109"/>
      <c r="AH398" s="109"/>
      <c r="AI398" s="109"/>
      <c r="AJ398" s="109"/>
      <c r="AK398" s="109"/>
      <c r="AL398" s="109"/>
      <c r="AM398" s="109"/>
      <c r="AN398" s="110"/>
      <c r="AO398" s="110"/>
      <c r="AP398" s="111"/>
      <c r="AQ398" s="112"/>
      <c r="AR398" s="112"/>
      <c r="AS398" s="112"/>
      <c r="AT398" s="112"/>
      <c r="AU398" s="112"/>
      <c r="AV398" s="112"/>
      <c r="AW398" s="112"/>
      <c r="AX398" s="112"/>
      <c r="AY398" s="112"/>
      <c r="AZ398" s="112"/>
      <c r="BA398" s="112"/>
      <c r="BB398" s="112"/>
      <c r="BC398" s="112"/>
      <c r="BD398" s="112"/>
      <c r="BE398" s="112"/>
    </row>
    <row r="399" spans="2:57" x14ac:dyDescent="0.35">
      <c r="B399" s="59"/>
      <c r="C399" s="59"/>
      <c r="D399" s="104"/>
      <c r="E399" s="105"/>
      <c r="F399" s="105"/>
      <c r="G399" s="105"/>
      <c r="H399" s="68"/>
      <c r="I399" s="106"/>
      <c r="J399" s="107"/>
      <c r="K399" s="108"/>
      <c r="L399" s="108"/>
      <c r="M399" s="108"/>
      <c r="N399" s="108"/>
      <c r="O399" s="108"/>
      <c r="P399" s="108"/>
      <c r="Q399" s="108"/>
      <c r="R399" s="108"/>
      <c r="S399" s="108"/>
      <c r="T399" s="108"/>
      <c r="U399" s="108"/>
      <c r="V399" s="108"/>
      <c r="W399" s="108"/>
      <c r="X399" s="108"/>
      <c r="Y399" s="108"/>
      <c r="Z399" s="109"/>
      <c r="AA399" s="109"/>
      <c r="AB399" s="109"/>
      <c r="AC399" s="109"/>
      <c r="AD399" s="109"/>
      <c r="AE399" s="109"/>
      <c r="AF399" s="109"/>
      <c r="AG399" s="109"/>
      <c r="AH399" s="109"/>
      <c r="AI399" s="109"/>
      <c r="AJ399" s="109"/>
      <c r="AK399" s="109"/>
      <c r="AL399" s="109"/>
      <c r="AM399" s="109"/>
      <c r="AN399" s="110"/>
      <c r="AO399" s="110"/>
      <c r="AP399" s="111"/>
      <c r="AQ399" s="112"/>
      <c r="AR399" s="112"/>
      <c r="AS399" s="112"/>
      <c r="AT399" s="112"/>
      <c r="AU399" s="112"/>
      <c r="AV399" s="112"/>
      <c r="AW399" s="112"/>
      <c r="AX399" s="112"/>
      <c r="AY399" s="112"/>
      <c r="AZ399" s="112"/>
      <c r="BA399" s="112"/>
      <c r="BB399" s="112"/>
      <c r="BC399" s="112"/>
      <c r="BD399" s="112"/>
      <c r="BE399" s="112"/>
    </row>
    <row r="400" spans="2:57" x14ac:dyDescent="0.35">
      <c r="B400" s="59"/>
      <c r="C400" s="59"/>
      <c r="D400" s="104"/>
      <c r="E400" s="105"/>
      <c r="F400" s="105"/>
      <c r="G400" s="105"/>
      <c r="H400" s="68"/>
      <c r="I400" s="106"/>
      <c r="J400" s="107"/>
      <c r="K400" s="108"/>
      <c r="L400" s="108"/>
      <c r="M400" s="108"/>
      <c r="N400" s="108"/>
      <c r="O400" s="108"/>
      <c r="P400" s="108"/>
      <c r="Q400" s="108"/>
      <c r="R400" s="108"/>
      <c r="S400" s="108"/>
      <c r="T400" s="108"/>
      <c r="U400" s="108"/>
      <c r="V400" s="108"/>
      <c r="W400" s="108"/>
      <c r="X400" s="108"/>
      <c r="Y400" s="108"/>
      <c r="Z400" s="109"/>
      <c r="AA400" s="109"/>
      <c r="AB400" s="109"/>
      <c r="AC400" s="109"/>
      <c r="AD400" s="109"/>
      <c r="AE400" s="109"/>
      <c r="AF400" s="109"/>
      <c r="AG400" s="109"/>
      <c r="AH400" s="109"/>
      <c r="AI400" s="109"/>
      <c r="AJ400" s="109"/>
      <c r="AK400" s="109"/>
      <c r="AL400" s="109"/>
      <c r="AM400" s="109"/>
      <c r="AN400" s="110"/>
      <c r="AO400" s="110"/>
      <c r="AP400" s="111"/>
      <c r="AQ400" s="112"/>
      <c r="AR400" s="112"/>
      <c r="AS400" s="112"/>
      <c r="AT400" s="112"/>
      <c r="AU400" s="112"/>
      <c r="AV400" s="112"/>
      <c r="AW400" s="112"/>
      <c r="AX400" s="112"/>
      <c r="AY400" s="112"/>
      <c r="AZ400" s="112"/>
      <c r="BA400" s="112"/>
      <c r="BB400" s="112"/>
      <c r="BC400" s="112"/>
      <c r="BD400" s="112"/>
      <c r="BE400" s="112"/>
    </row>
    <row r="401" spans="2:57" x14ac:dyDescent="0.35">
      <c r="B401" s="59"/>
      <c r="C401" s="59"/>
      <c r="D401" s="104"/>
      <c r="E401" s="105"/>
      <c r="F401" s="105"/>
      <c r="G401" s="105"/>
      <c r="H401" s="68"/>
      <c r="I401" s="106"/>
      <c r="J401" s="107"/>
      <c r="K401" s="108"/>
      <c r="L401" s="108"/>
      <c r="M401" s="108"/>
      <c r="N401" s="108"/>
      <c r="O401" s="108"/>
      <c r="P401" s="108"/>
      <c r="Q401" s="108"/>
      <c r="R401" s="108"/>
      <c r="S401" s="108"/>
      <c r="T401" s="108"/>
      <c r="U401" s="108"/>
      <c r="V401" s="108"/>
      <c r="W401" s="108"/>
      <c r="X401" s="108"/>
      <c r="Y401" s="108"/>
      <c r="Z401" s="109"/>
      <c r="AA401" s="109"/>
      <c r="AB401" s="109"/>
      <c r="AC401" s="109"/>
      <c r="AD401" s="109"/>
      <c r="AE401" s="109"/>
      <c r="AF401" s="109"/>
      <c r="AG401" s="109"/>
      <c r="AH401" s="109"/>
      <c r="AI401" s="109"/>
      <c r="AJ401" s="109"/>
      <c r="AK401" s="109"/>
      <c r="AL401" s="109"/>
      <c r="AM401" s="109"/>
      <c r="AN401" s="110"/>
      <c r="AO401" s="110"/>
      <c r="AP401" s="111"/>
      <c r="AQ401" s="112"/>
      <c r="AR401" s="112"/>
      <c r="AS401" s="112"/>
      <c r="AT401" s="112"/>
      <c r="AU401" s="112"/>
      <c r="AV401" s="112"/>
      <c r="AW401" s="112"/>
      <c r="AX401" s="112"/>
      <c r="AY401" s="112"/>
      <c r="AZ401" s="112"/>
      <c r="BA401" s="112"/>
      <c r="BB401" s="112"/>
      <c r="BC401" s="112"/>
      <c r="BD401" s="112"/>
      <c r="BE401" s="112"/>
    </row>
    <row r="402" spans="2:57" x14ac:dyDescent="0.35">
      <c r="B402" s="59"/>
      <c r="C402" s="59"/>
      <c r="D402" s="104"/>
      <c r="E402" s="105"/>
      <c r="F402" s="105"/>
      <c r="G402" s="105"/>
      <c r="H402" s="68"/>
      <c r="I402" s="106"/>
      <c r="J402" s="107"/>
      <c r="K402" s="108"/>
      <c r="L402" s="108"/>
      <c r="M402" s="108"/>
      <c r="N402" s="108"/>
      <c r="O402" s="108"/>
      <c r="P402" s="108"/>
      <c r="Q402" s="108"/>
      <c r="R402" s="108"/>
      <c r="S402" s="108"/>
      <c r="T402" s="108"/>
      <c r="U402" s="108"/>
      <c r="V402" s="108"/>
      <c r="W402" s="108"/>
      <c r="X402" s="108"/>
      <c r="Y402" s="108"/>
      <c r="Z402" s="109"/>
      <c r="AA402" s="109"/>
      <c r="AB402" s="109"/>
      <c r="AC402" s="109"/>
      <c r="AD402" s="109"/>
      <c r="AE402" s="109"/>
      <c r="AF402" s="109"/>
      <c r="AG402" s="109"/>
      <c r="AH402" s="109"/>
      <c r="AI402" s="109"/>
      <c r="AJ402" s="109"/>
      <c r="AK402" s="109"/>
      <c r="AL402" s="109"/>
      <c r="AM402" s="109"/>
      <c r="AN402" s="110"/>
      <c r="AO402" s="110"/>
      <c r="AP402" s="111"/>
      <c r="AQ402" s="112"/>
      <c r="AR402" s="112"/>
      <c r="AS402" s="112"/>
      <c r="AT402" s="112"/>
      <c r="AU402" s="112"/>
      <c r="AV402" s="112"/>
      <c r="AW402" s="112"/>
      <c r="AX402" s="112"/>
      <c r="AY402" s="112"/>
      <c r="AZ402" s="112"/>
      <c r="BA402" s="112"/>
      <c r="BB402" s="112"/>
      <c r="BC402" s="112"/>
      <c r="BD402" s="112"/>
      <c r="BE402" s="112"/>
    </row>
    <row r="403" spans="2:57" x14ac:dyDescent="0.35">
      <c r="B403" s="59"/>
      <c r="C403" s="59"/>
      <c r="D403" s="104"/>
      <c r="E403" s="105"/>
      <c r="F403" s="105"/>
      <c r="G403" s="105"/>
      <c r="H403" s="68"/>
      <c r="I403" s="106"/>
      <c r="J403" s="107"/>
      <c r="K403" s="108"/>
      <c r="L403" s="108"/>
      <c r="M403" s="108"/>
      <c r="N403" s="108"/>
      <c r="O403" s="108"/>
      <c r="P403" s="108"/>
      <c r="Q403" s="108"/>
      <c r="R403" s="108"/>
      <c r="S403" s="108"/>
      <c r="T403" s="108"/>
      <c r="U403" s="108"/>
      <c r="V403" s="108"/>
      <c r="W403" s="108"/>
      <c r="X403" s="108"/>
      <c r="Y403" s="108"/>
      <c r="Z403" s="109"/>
      <c r="AA403" s="109"/>
      <c r="AB403" s="109"/>
      <c r="AC403" s="109"/>
      <c r="AD403" s="109"/>
      <c r="AE403" s="109"/>
      <c r="AF403" s="109"/>
      <c r="AG403" s="109"/>
      <c r="AH403" s="109"/>
      <c r="AI403" s="109"/>
      <c r="AJ403" s="109"/>
      <c r="AK403" s="109"/>
      <c r="AL403" s="109"/>
      <c r="AM403" s="109"/>
      <c r="AN403" s="110"/>
      <c r="AO403" s="110"/>
      <c r="AP403" s="111"/>
      <c r="AQ403" s="112"/>
      <c r="AR403" s="112"/>
      <c r="AS403" s="112"/>
      <c r="AT403" s="112"/>
      <c r="AU403" s="112"/>
      <c r="AV403" s="112"/>
      <c r="AW403" s="112"/>
      <c r="AX403" s="112"/>
      <c r="AY403" s="112"/>
      <c r="AZ403" s="112"/>
      <c r="BA403" s="112"/>
      <c r="BB403" s="112"/>
      <c r="BC403" s="112"/>
      <c r="BD403" s="112"/>
      <c r="BE403" s="112"/>
    </row>
    <row r="404" spans="2:57" x14ac:dyDescent="0.35">
      <c r="B404" s="59"/>
      <c r="C404" s="59"/>
      <c r="D404" s="104"/>
      <c r="E404" s="105"/>
      <c r="F404" s="105"/>
      <c r="G404" s="105"/>
      <c r="H404" s="68"/>
      <c r="I404" s="106"/>
      <c r="J404" s="107"/>
      <c r="K404" s="108"/>
      <c r="L404" s="108"/>
      <c r="M404" s="108"/>
      <c r="N404" s="108"/>
      <c r="O404" s="108"/>
      <c r="P404" s="108"/>
      <c r="Q404" s="108"/>
      <c r="R404" s="108"/>
      <c r="S404" s="108"/>
      <c r="T404" s="108"/>
      <c r="U404" s="108"/>
      <c r="V404" s="108"/>
      <c r="W404" s="108"/>
      <c r="X404" s="108"/>
      <c r="Y404" s="108"/>
      <c r="Z404" s="109"/>
      <c r="AA404" s="109"/>
      <c r="AB404" s="109"/>
      <c r="AC404" s="109"/>
      <c r="AD404" s="109"/>
      <c r="AE404" s="109"/>
      <c r="AF404" s="109"/>
      <c r="AG404" s="109"/>
      <c r="AH404" s="109"/>
      <c r="AI404" s="109"/>
      <c r="AJ404" s="109"/>
      <c r="AK404" s="109"/>
      <c r="AL404" s="109"/>
      <c r="AM404" s="109"/>
      <c r="AN404" s="110"/>
      <c r="AO404" s="110"/>
      <c r="AP404" s="111"/>
      <c r="AQ404" s="112"/>
      <c r="AR404" s="112"/>
      <c r="AS404" s="112"/>
      <c r="AT404" s="112"/>
      <c r="AU404" s="112"/>
      <c r="AV404" s="112"/>
      <c r="AW404" s="112"/>
      <c r="AX404" s="112"/>
      <c r="AY404" s="112"/>
      <c r="AZ404" s="112"/>
      <c r="BA404" s="112"/>
      <c r="BB404" s="112"/>
      <c r="BC404" s="112"/>
      <c r="BD404" s="112"/>
      <c r="BE404" s="112"/>
    </row>
    <row r="405" spans="2:57" x14ac:dyDescent="0.35">
      <c r="B405" s="59"/>
      <c r="C405" s="59"/>
      <c r="D405" s="104"/>
      <c r="E405" s="105"/>
      <c r="F405" s="105"/>
      <c r="G405" s="105"/>
      <c r="H405" s="68"/>
      <c r="I405" s="106"/>
      <c r="J405" s="107"/>
      <c r="K405" s="108"/>
      <c r="L405" s="108"/>
      <c r="M405" s="108"/>
      <c r="N405" s="108"/>
      <c r="O405" s="108"/>
      <c r="P405" s="108"/>
      <c r="Q405" s="108"/>
      <c r="R405" s="108"/>
      <c r="S405" s="108"/>
      <c r="T405" s="108"/>
      <c r="U405" s="108"/>
      <c r="V405" s="108"/>
      <c r="W405" s="108"/>
      <c r="X405" s="108"/>
      <c r="Y405" s="108"/>
      <c r="Z405" s="109"/>
      <c r="AA405" s="109"/>
      <c r="AB405" s="109"/>
      <c r="AC405" s="109"/>
      <c r="AD405" s="109"/>
      <c r="AE405" s="109"/>
      <c r="AF405" s="109"/>
      <c r="AG405" s="109"/>
      <c r="AH405" s="109"/>
      <c r="AI405" s="109"/>
      <c r="AJ405" s="109"/>
      <c r="AK405" s="109"/>
      <c r="AL405" s="109"/>
      <c r="AM405" s="109"/>
      <c r="AN405" s="110"/>
      <c r="AO405" s="110"/>
      <c r="AP405" s="111"/>
      <c r="AQ405" s="112"/>
      <c r="AR405" s="112"/>
      <c r="AS405" s="112"/>
      <c r="AT405" s="112"/>
      <c r="AU405" s="112"/>
      <c r="AV405" s="112"/>
      <c r="AW405" s="112"/>
      <c r="AX405" s="112"/>
      <c r="AY405" s="112"/>
      <c r="AZ405" s="112"/>
      <c r="BA405" s="112"/>
      <c r="BB405" s="112"/>
      <c r="BC405" s="112"/>
      <c r="BD405" s="112"/>
      <c r="BE405" s="112"/>
    </row>
    <row r="406" spans="2:57" x14ac:dyDescent="0.35">
      <c r="B406" s="59"/>
      <c r="C406" s="59"/>
      <c r="D406" s="104"/>
      <c r="E406" s="105"/>
      <c r="F406" s="105"/>
      <c r="G406" s="105"/>
      <c r="H406" s="68"/>
      <c r="I406" s="106"/>
      <c r="J406" s="107"/>
      <c r="K406" s="108"/>
      <c r="L406" s="108"/>
      <c r="M406" s="108"/>
      <c r="N406" s="108"/>
      <c r="O406" s="108"/>
      <c r="P406" s="108"/>
      <c r="Q406" s="108"/>
      <c r="R406" s="108"/>
      <c r="S406" s="108"/>
      <c r="T406" s="108"/>
      <c r="U406" s="108"/>
      <c r="V406" s="108"/>
      <c r="W406" s="108"/>
      <c r="X406" s="108"/>
      <c r="Y406" s="108"/>
      <c r="Z406" s="109"/>
      <c r="AA406" s="109"/>
      <c r="AB406" s="109"/>
      <c r="AC406" s="109"/>
      <c r="AD406" s="109"/>
      <c r="AE406" s="109"/>
      <c r="AF406" s="109"/>
      <c r="AG406" s="109"/>
      <c r="AH406" s="109"/>
      <c r="AI406" s="109"/>
      <c r="AJ406" s="109"/>
      <c r="AK406" s="109"/>
      <c r="AL406" s="109"/>
      <c r="AM406" s="109"/>
      <c r="AN406" s="110"/>
      <c r="AO406" s="110"/>
      <c r="AP406" s="111"/>
      <c r="AQ406" s="112"/>
      <c r="AR406" s="112"/>
      <c r="AS406" s="112"/>
      <c r="AT406" s="112"/>
      <c r="AU406" s="112"/>
      <c r="AV406" s="112"/>
      <c r="AW406" s="112"/>
      <c r="AX406" s="112"/>
      <c r="AY406" s="112"/>
      <c r="AZ406" s="112"/>
      <c r="BA406" s="112"/>
      <c r="BB406" s="112"/>
      <c r="BC406" s="112"/>
      <c r="BD406" s="112"/>
      <c r="BE406" s="112"/>
    </row>
    <row r="407" spans="2:57" x14ac:dyDescent="0.35">
      <c r="B407" s="59"/>
      <c r="C407" s="59"/>
      <c r="D407" s="104"/>
      <c r="E407" s="105"/>
      <c r="F407" s="105"/>
      <c r="G407" s="105"/>
      <c r="H407" s="68"/>
      <c r="I407" s="106"/>
      <c r="J407" s="107"/>
      <c r="K407" s="108"/>
      <c r="L407" s="108"/>
      <c r="M407" s="108"/>
      <c r="N407" s="108"/>
      <c r="O407" s="108"/>
      <c r="P407" s="108"/>
      <c r="Q407" s="108"/>
      <c r="R407" s="108"/>
      <c r="S407" s="108"/>
      <c r="T407" s="108"/>
      <c r="U407" s="108"/>
      <c r="V407" s="108"/>
      <c r="W407" s="108"/>
      <c r="X407" s="108"/>
      <c r="Y407" s="108"/>
      <c r="Z407" s="109"/>
      <c r="AA407" s="109"/>
      <c r="AB407" s="109"/>
      <c r="AC407" s="109"/>
      <c r="AD407" s="109"/>
      <c r="AE407" s="109"/>
      <c r="AF407" s="109"/>
      <c r="AG407" s="109"/>
      <c r="AH407" s="109"/>
      <c r="AI407" s="109"/>
      <c r="AJ407" s="109"/>
      <c r="AK407" s="109"/>
      <c r="AL407" s="109"/>
      <c r="AM407" s="109"/>
      <c r="AN407" s="110"/>
      <c r="AO407" s="110"/>
      <c r="AP407" s="111"/>
      <c r="AQ407" s="112"/>
      <c r="AR407" s="112"/>
      <c r="AS407" s="112"/>
      <c r="AT407" s="112"/>
      <c r="AU407" s="112"/>
      <c r="AV407" s="112"/>
      <c r="AW407" s="112"/>
      <c r="AX407" s="112"/>
      <c r="AY407" s="112"/>
      <c r="AZ407" s="112"/>
      <c r="BA407" s="112"/>
      <c r="BB407" s="112"/>
      <c r="BC407" s="112"/>
      <c r="BD407" s="112"/>
      <c r="BE407" s="112"/>
    </row>
    <row r="408" spans="2:57" x14ac:dyDescent="0.35">
      <c r="B408" s="59"/>
      <c r="C408" s="59"/>
      <c r="D408" s="104"/>
      <c r="E408" s="105"/>
      <c r="F408" s="105"/>
      <c r="G408" s="105"/>
      <c r="H408" s="68"/>
      <c r="I408" s="106"/>
      <c r="J408" s="107"/>
      <c r="K408" s="108"/>
      <c r="L408" s="108"/>
      <c r="M408" s="108"/>
      <c r="N408" s="108"/>
      <c r="O408" s="108"/>
      <c r="P408" s="108"/>
      <c r="Q408" s="108"/>
      <c r="R408" s="108"/>
      <c r="S408" s="108"/>
      <c r="T408" s="108"/>
      <c r="U408" s="108"/>
      <c r="V408" s="108"/>
      <c r="W408" s="108"/>
      <c r="X408" s="108"/>
      <c r="Y408" s="108"/>
      <c r="Z408" s="109"/>
      <c r="AA408" s="109"/>
      <c r="AB408" s="109"/>
      <c r="AC408" s="109"/>
      <c r="AD408" s="109"/>
      <c r="AE408" s="109"/>
      <c r="AF408" s="109"/>
      <c r="AG408" s="109"/>
      <c r="AH408" s="109"/>
      <c r="AI408" s="109"/>
      <c r="AJ408" s="109"/>
      <c r="AK408" s="109"/>
      <c r="AL408" s="109"/>
      <c r="AM408" s="109"/>
      <c r="AN408" s="110"/>
      <c r="AO408" s="110"/>
      <c r="AP408" s="111"/>
      <c r="AQ408" s="112"/>
      <c r="AR408" s="112"/>
      <c r="AS408" s="112"/>
      <c r="AT408" s="112"/>
      <c r="AU408" s="112"/>
      <c r="AV408" s="112"/>
      <c r="AW408" s="112"/>
      <c r="AX408" s="112"/>
      <c r="AY408" s="112"/>
      <c r="AZ408" s="112"/>
      <c r="BA408" s="112"/>
      <c r="BB408" s="112"/>
      <c r="BC408" s="112"/>
      <c r="BD408" s="112"/>
      <c r="BE408" s="112"/>
    </row>
    <row r="409" spans="2:57" x14ac:dyDescent="0.35">
      <c r="B409" s="59"/>
      <c r="C409" s="59"/>
      <c r="D409" s="104"/>
      <c r="E409" s="105"/>
      <c r="F409" s="105"/>
      <c r="G409" s="105"/>
      <c r="H409" s="68"/>
      <c r="I409" s="106"/>
      <c r="J409" s="107"/>
      <c r="K409" s="108"/>
      <c r="L409" s="108"/>
      <c r="M409" s="108"/>
      <c r="N409" s="108"/>
      <c r="O409" s="108"/>
      <c r="P409" s="108"/>
      <c r="Q409" s="108"/>
      <c r="R409" s="108"/>
      <c r="S409" s="108"/>
      <c r="T409" s="108"/>
      <c r="U409" s="108"/>
      <c r="V409" s="108"/>
      <c r="W409" s="108"/>
      <c r="X409" s="108"/>
      <c r="Y409" s="108"/>
      <c r="Z409" s="109"/>
      <c r="AA409" s="109"/>
      <c r="AB409" s="109"/>
      <c r="AC409" s="109"/>
      <c r="AD409" s="109"/>
      <c r="AE409" s="109"/>
      <c r="AF409" s="109"/>
      <c r="AG409" s="109"/>
      <c r="AH409" s="109"/>
      <c r="AI409" s="109"/>
      <c r="AJ409" s="109"/>
      <c r="AK409" s="109"/>
      <c r="AL409" s="109"/>
      <c r="AM409" s="109"/>
      <c r="AN409" s="110"/>
      <c r="AO409" s="110"/>
      <c r="AP409" s="111"/>
      <c r="AQ409" s="112"/>
      <c r="AR409" s="112"/>
      <c r="AS409" s="112"/>
      <c r="AT409" s="112"/>
      <c r="AU409" s="112"/>
      <c r="AV409" s="112"/>
      <c r="AW409" s="112"/>
      <c r="AX409" s="112"/>
      <c r="AY409" s="112"/>
      <c r="AZ409" s="112"/>
      <c r="BA409" s="112"/>
      <c r="BB409" s="112"/>
      <c r="BC409" s="112"/>
      <c r="BD409" s="112"/>
      <c r="BE409" s="112"/>
    </row>
    <row r="410" spans="2:57" x14ac:dyDescent="0.35">
      <c r="B410" s="59"/>
      <c r="C410" s="59"/>
      <c r="D410" s="104"/>
      <c r="E410" s="105"/>
      <c r="F410" s="105"/>
      <c r="G410" s="105"/>
      <c r="H410" s="68"/>
      <c r="I410" s="106"/>
      <c r="J410" s="107"/>
      <c r="K410" s="108"/>
      <c r="L410" s="108"/>
      <c r="M410" s="108"/>
      <c r="N410" s="108"/>
      <c r="O410" s="108"/>
      <c r="P410" s="108"/>
      <c r="Q410" s="108"/>
      <c r="R410" s="108"/>
      <c r="S410" s="108"/>
      <c r="T410" s="108"/>
      <c r="U410" s="108"/>
      <c r="V410" s="108"/>
      <c r="W410" s="108"/>
      <c r="X410" s="108"/>
      <c r="Y410" s="108"/>
      <c r="Z410" s="109"/>
      <c r="AA410" s="109"/>
      <c r="AB410" s="109"/>
      <c r="AC410" s="109"/>
      <c r="AD410" s="109"/>
      <c r="AE410" s="109"/>
      <c r="AF410" s="109"/>
      <c r="AG410" s="109"/>
      <c r="AH410" s="109"/>
      <c r="AI410" s="109"/>
      <c r="AJ410" s="109"/>
      <c r="AK410" s="109"/>
      <c r="AL410" s="109"/>
      <c r="AM410" s="109"/>
      <c r="AN410" s="110"/>
      <c r="AO410" s="110"/>
      <c r="AP410" s="111"/>
      <c r="AQ410" s="112"/>
      <c r="AR410" s="112"/>
      <c r="AS410" s="112"/>
      <c r="AT410" s="112"/>
      <c r="AU410" s="112"/>
      <c r="AV410" s="112"/>
      <c r="AW410" s="112"/>
      <c r="AX410" s="112"/>
      <c r="AY410" s="112"/>
      <c r="AZ410" s="112"/>
      <c r="BA410" s="112"/>
      <c r="BB410" s="112"/>
      <c r="BC410" s="112"/>
      <c r="BD410" s="112"/>
      <c r="BE410" s="112"/>
    </row>
    <row r="411" spans="2:57" x14ac:dyDescent="0.35">
      <c r="B411" s="59"/>
      <c r="C411" s="59"/>
      <c r="D411" s="104"/>
      <c r="E411" s="105"/>
      <c r="F411" s="105"/>
      <c r="G411" s="105"/>
      <c r="H411" s="68"/>
      <c r="I411" s="106"/>
      <c r="J411" s="107"/>
      <c r="K411" s="108"/>
      <c r="L411" s="108"/>
      <c r="M411" s="108"/>
      <c r="N411" s="108"/>
      <c r="O411" s="108"/>
      <c r="P411" s="108"/>
      <c r="Q411" s="108"/>
      <c r="R411" s="108"/>
      <c r="S411" s="108"/>
      <c r="T411" s="108"/>
      <c r="U411" s="108"/>
      <c r="V411" s="108"/>
      <c r="W411" s="108"/>
      <c r="X411" s="108"/>
      <c r="Y411" s="108"/>
      <c r="Z411" s="109"/>
      <c r="AA411" s="109"/>
      <c r="AB411" s="109"/>
      <c r="AC411" s="109"/>
      <c r="AD411" s="109"/>
      <c r="AE411" s="109"/>
      <c r="AF411" s="109"/>
      <c r="AG411" s="109"/>
      <c r="AH411" s="109"/>
      <c r="AI411" s="109"/>
      <c r="AJ411" s="109"/>
      <c r="AK411" s="109"/>
      <c r="AL411" s="109"/>
      <c r="AM411" s="109"/>
      <c r="AN411" s="110"/>
      <c r="AO411" s="110"/>
      <c r="AP411" s="111"/>
      <c r="AQ411" s="112"/>
      <c r="AR411" s="112"/>
      <c r="AS411" s="112"/>
      <c r="AT411" s="112"/>
      <c r="AU411" s="112"/>
      <c r="AV411" s="112"/>
      <c r="AW411" s="112"/>
      <c r="AX411" s="112"/>
      <c r="AY411" s="112"/>
      <c r="AZ411" s="112"/>
      <c r="BA411" s="112"/>
      <c r="BB411" s="112"/>
      <c r="BC411" s="112"/>
      <c r="BD411" s="112"/>
      <c r="BE411" s="112"/>
    </row>
    <row r="412" spans="2:57" x14ac:dyDescent="0.35">
      <c r="B412" s="59"/>
      <c r="C412" s="59"/>
      <c r="D412" s="104"/>
      <c r="E412" s="105"/>
      <c r="F412" s="105"/>
      <c r="G412" s="105"/>
      <c r="H412" s="68"/>
      <c r="I412" s="106"/>
      <c r="J412" s="107"/>
      <c r="K412" s="108"/>
      <c r="L412" s="108"/>
      <c r="M412" s="108"/>
      <c r="N412" s="108"/>
      <c r="O412" s="108"/>
      <c r="P412" s="108"/>
      <c r="Q412" s="108"/>
      <c r="R412" s="108"/>
      <c r="S412" s="108"/>
      <c r="T412" s="108"/>
      <c r="U412" s="108"/>
      <c r="V412" s="108"/>
      <c r="W412" s="108"/>
      <c r="X412" s="108"/>
      <c r="Y412" s="108"/>
      <c r="Z412" s="109"/>
      <c r="AA412" s="109"/>
      <c r="AB412" s="109"/>
      <c r="AC412" s="109"/>
      <c r="AD412" s="109"/>
      <c r="AE412" s="109"/>
      <c r="AF412" s="109"/>
      <c r="AG412" s="109"/>
      <c r="AH412" s="109"/>
      <c r="AI412" s="109"/>
      <c r="AJ412" s="109"/>
      <c r="AK412" s="109"/>
      <c r="AL412" s="109"/>
      <c r="AM412" s="109"/>
      <c r="AN412" s="110"/>
      <c r="AO412" s="110"/>
      <c r="AP412" s="111"/>
      <c r="AQ412" s="112"/>
      <c r="AR412" s="112"/>
      <c r="AS412" s="112"/>
      <c r="AT412" s="112"/>
      <c r="AU412" s="112"/>
      <c r="AV412" s="112"/>
      <c r="AW412" s="112"/>
      <c r="AX412" s="112"/>
      <c r="AY412" s="112"/>
      <c r="AZ412" s="112"/>
      <c r="BA412" s="112"/>
      <c r="BB412" s="112"/>
      <c r="BC412" s="112"/>
      <c r="BD412" s="112"/>
      <c r="BE412" s="112"/>
    </row>
    <row r="413" spans="2:57" x14ac:dyDescent="0.35">
      <c r="B413" s="59"/>
      <c r="C413" s="59"/>
      <c r="D413" s="104"/>
      <c r="E413" s="105"/>
      <c r="F413" s="105"/>
      <c r="G413" s="105"/>
      <c r="H413" s="68"/>
      <c r="I413" s="106"/>
      <c r="J413" s="107"/>
      <c r="K413" s="108"/>
      <c r="L413" s="108"/>
      <c r="M413" s="108"/>
      <c r="N413" s="108"/>
      <c r="O413" s="108"/>
      <c r="P413" s="108"/>
      <c r="Q413" s="108"/>
      <c r="R413" s="108"/>
      <c r="S413" s="108"/>
      <c r="T413" s="108"/>
      <c r="U413" s="108"/>
      <c r="V413" s="108"/>
      <c r="W413" s="108"/>
      <c r="X413" s="108"/>
      <c r="Y413" s="108"/>
      <c r="Z413" s="109"/>
      <c r="AA413" s="109"/>
      <c r="AB413" s="109"/>
      <c r="AC413" s="109"/>
      <c r="AD413" s="109"/>
      <c r="AE413" s="109"/>
      <c r="AF413" s="109"/>
      <c r="AG413" s="109"/>
      <c r="AH413" s="109"/>
      <c r="AI413" s="109"/>
      <c r="AJ413" s="109"/>
      <c r="AK413" s="109"/>
      <c r="AL413" s="109"/>
      <c r="AM413" s="109"/>
      <c r="AN413" s="110"/>
      <c r="AO413" s="110"/>
      <c r="AP413" s="111"/>
      <c r="AQ413" s="112"/>
      <c r="AR413" s="112"/>
      <c r="AS413" s="112"/>
      <c r="AT413" s="112"/>
      <c r="AU413" s="112"/>
      <c r="AV413" s="112"/>
      <c r="AW413" s="112"/>
      <c r="AX413" s="112"/>
      <c r="AY413" s="112"/>
      <c r="AZ413" s="112"/>
      <c r="BA413" s="112"/>
      <c r="BB413" s="112"/>
      <c r="BC413" s="112"/>
      <c r="BD413" s="112"/>
      <c r="BE413" s="112"/>
    </row>
    <row r="414" spans="2:57" x14ac:dyDescent="0.35">
      <c r="B414" s="59"/>
      <c r="C414" s="59"/>
      <c r="D414" s="104"/>
      <c r="E414" s="105"/>
      <c r="F414" s="105"/>
      <c r="G414" s="105"/>
      <c r="H414" s="68"/>
      <c r="I414" s="106"/>
      <c r="J414" s="107"/>
      <c r="K414" s="108"/>
      <c r="L414" s="108"/>
      <c r="M414" s="108"/>
      <c r="N414" s="108"/>
      <c r="O414" s="108"/>
      <c r="P414" s="108"/>
      <c r="Q414" s="108"/>
      <c r="R414" s="108"/>
      <c r="S414" s="108"/>
      <c r="T414" s="108"/>
      <c r="U414" s="108"/>
      <c r="V414" s="108"/>
      <c r="W414" s="108"/>
      <c r="X414" s="108"/>
      <c r="Y414" s="108"/>
      <c r="Z414" s="109"/>
      <c r="AA414" s="109"/>
      <c r="AB414" s="109"/>
      <c r="AC414" s="109"/>
      <c r="AD414" s="109"/>
      <c r="AE414" s="109"/>
      <c r="AF414" s="109"/>
      <c r="AG414" s="109"/>
      <c r="AH414" s="109"/>
      <c r="AI414" s="109"/>
      <c r="AJ414" s="109"/>
      <c r="AK414" s="109"/>
      <c r="AL414" s="109"/>
      <c r="AM414" s="109"/>
      <c r="AN414" s="110"/>
      <c r="AO414" s="110"/>
      <c r="AP414" s="111"/>
      <c r="AQ414" s="112"/>
      <c r="AR414" s="112"/>
      <c r="AS414" s="112"/>
      <c r="AT414" s="112"/>
      <c r="AU414" s="112"/>
      <c r="AV414" s="112"/>
      <c r="AW414" s="112"/>
      <c r="AX414" s="112"/>
      <c r="AY414" s="112"/>
      <c r="AZ414" s="112"/>
      <c r="BA414" s="112"/>
      <c r="BB414" s="112"/>
      <c r="BC414" s="112"/>
      <c r="BD414" s="112"/>
      <c r="BE414" s="112"/>
    </row>
    <row r="415" spans="2:57" x14ac:dyDescent="0.35">
      <c r="B415" s="59"/>
      <c r="C415" s="59"/>
      <c r="D415" s="104"/>
      <c r="E415" s="105"/>
      <c r="F415" s="105"/>
      <c r="G415" s="105"/>
      <c r="H415" s="68"/>
      <c r="I415" s="106"/>
      <c r="J415" s="107"/>
      <c r="K415" s="108"/>
      <c r="L415" s="108"/>
      <c r="M415" s="108"/>
      <c r="N415" s="108"/>
      <c r="O415" s="108"/>
      <c r="P415" s="108"/>
      <c r="Q415" s="108"/>
      <c r="R415" s="108"/>
      <c r="S415" s="108"/>
      <c r="T415" s="108"/>
      <c r="U415" s="108"/>
      <c r="V415" s="108"/>
      <c r="W415" s="108"/>
      <c r="X415" s="108"/>
      <c r="Y415" s="108"/>
      <c r="Z415" s="109"/>
      <c r="AA415" s="109"/>
      <c r="AB415" s="109"/>
      <c r="AC415" s="109"/>
      <c r="AD415" s="109"/>
      <c r="AE415" s="109"/>
      <c r="AF415" s="109"/>
      <c r="AG415" s="109"/>
      <c r="AH415" s="109"/>
      <c r="AI415" s="109"/>
      <c r="AJ415" s="109"/>
      <c r="AK415" s="109"/>
      <c r="AL415" s="109"/>
      <c r="AM415" s="109"/>
      <c r="AN415" s="110"/>
      <c r="AO415" s="110"/>
      <c r="AP415" s="111"/>
      <c r="AQ415" s="112"/>
      <c r="AR415" s="112"/>
      <c r="AS415" s="112"/>
      <c r="AT415" s="112"/>
      <c r="AU415" s="112"/>
      <c r="AV415" s="112"/>
      <c r="AW415" s="112"/>
      <c r="AX415" s="112"/>
      <c r="AY415" s="112"/>
      <c r="AZ415" s="112"/>
      <c r="BA415" s="112"/>
      <c r="BB415" s="112"/>
      <c r="BC415" s="112"/>
      <c r="BD415" s="112"/>
      <c r="BE415" s="112"/>
    </row>
    <row r="416" spans="2:57" x14ac:dyDescent="0.35">
      <c r="B416" s="59"/>
      <c r="C416" s="59"/>
      <c r="D416" s="104"/>
      <c r="E416" s="105"/>
      <c r="F416" s="105"/>
      <c r="G416" s="105"/>
      <c r="H416" s="68"/>
      <c r="I416" s="106"/>
      <c r="J416" s="107"/>
      <c r="K416" s="108"/>
      <c r="L416" s="108"/>
      <c r="M416" s="108"/>
      <c r="N416" s="108"/>
      <c r="O416" s="108"/>
      <c r="P416" s="108"/>
      <c r="Q416" s="108"/>
      <c r="R416" s="108"/>
      <c r="S416" s="108"/>
      <c r="T416" s="108"/>
      <c r="U416" s="108"/>
      <c r="V416" s="108"/>
      <c r="W416" s="108"/>
      <c r="X416" s="108"/>
      <c r="Y416" s="108"/>
      <c r="Z416" s="109"/>
      <c r="AA416" s="109"/>
      <c r="AB416" s="109"/>
      <c r="AC416" s="109"/>
      <c r="AD416" s="109"/>
      <c r="AE416" s="109"/>
      <c r="AF416" s="109"/>
      <c r="AG416" s="109"/>
      <c r="AH416" s="109"/>
      <c r="AI416" s="109"/>
      <c r="AJ416" s="109"/>
      <c r="AK416" s="109"/>
      <c r="AL416" s="109"/>
      <c r="AM416" s="109"/>
      <c r="AN416" s="110"/>
      <c r="AO416" s="110"/>
      <c r="AP416" s="111"/>
      <c r="AQ416" s="112"/>
      <c r="AR416" s="112"/>
      <c r="AS416" s="112"/>
      <c r="AT416" s="112"/>
      <c r="AU416" s="112"/>
      <c r="AV416" s="112"/>
      <c r="AW416" s="112"/>
      <c r="AX416" s="112"/>
      <c r="AY416" s="112"/>
      <c r="AZ416" s="112"/>
      <c r="BA416" s="112"/>
      <c r="BB416" s="112"/>
      <c r="BC416" s="112"/>
      <c r="BD416" s="112"/>
      <c r="BE416" s="112"/>
    </row>
    <row r="417" spans="2:57" x14ac:dyDescent="0.35">
      <c r="B417" s="59"/>
      <c r="C417" s="59"/>
      <c r="D417" s="104"/>
      <c r="E417" s="105"/>
      <c r="F417" s="105"/>
      <c r="G417" s="105"/>
      <c r="H417" s="68"/>
      <c r="I417" s="106"/>
      <c r="J417" s="107"/>
      <c r="K417" s="108"/>
      <c r="L417" s="108"/>
      <c r="M417" s="108"/>
      <c r="N417" s="108"/>
      <c r="O417" s="108"/>
      <c r="P417" s="108"/>
      <c r="Q417" s="108"/>
      <c r="R417" s="108"/>
      <c r="S417" s="108"/>
      <c r="T417" s="108"/>
      <c r="U417" s="108"/>
      <c r="V417" s="108"/>
      <c r="W417" s="108"/>
      <c r="X417" s="108"/>
      <c r="Y417" s="108"/>
      <c r="Z417" s="109"/>
      <c r="AA417" s="109"/>
      <c r="AB417" s="109"/>
      <c r="AC417" s="109"/>
      <c r="AD417" s="109"/>
      <c r="AE417" s="109"/>
      <c r="AF417" s="109"/>
      <c r="AG417" s="109"/>
      <c r="AH417" s="109"/>
      <c r="AI417" s="109"/>
      <c r="AJ417" s="109"/>
      <c r="AK417" s="109"/>
      <c r="AL417" s="109"/>
      <c r="AM417" s="109"/>
      <c r="AN417" s="110"/>
      <c r="AO417" s="110"/>
      <c r="AP417" s="111"/>
      <c r="AQ417" s="112"/>
      <c r="AR417" s="112"/>
      <c r="AS417" s="112"/>
      <c r="AT417" s="112"/>
      <c r="AU417" s="112"/>
      <c r="AV417" s="112"/>
      <c r="AW417" s="112"/>
      <c r="AX417" s="112"/>
      <c r="AY417" s="112"/>
      <c r="AZ417" s="112"/>
      <c r="BA417" s="112"/>
      <c r="BB417" s="112"/>
      <c r="BC417" s="112"/>
      <c r="BD417" s="112"/>
      <c r="BE417" s="112"/>
    </row>
    <row r="418" spans="2:57" x14ac:dyDescent="0.35">
      <c r="B418" s="59"/>
      <c r="C418" s="59"/>
      <c r="D418" s="104"/>
      <c r="E418" s="105"/>
      <c r="F418" s="105"/>
      <c r="G418" s="105"/>
      <c r="H418" s="68"/>
      <c r="I418" s="106"/>
      <c r="J418" s="107"/>
      <c r="K418" s="108"/>
      <c r="L418" s="108"/>
      <c r="M418" s="108"/>
      <c r="N418" s="108"/>
      <c r="O418" s="108"/>
      <c r="P418" s="108"/>
      <c r="Q418" s="108"/>
      <c r="R418" s="108"/>
      <c r="S418" s="108"/>
      <c r="T418" s="108"/>
      <c r="U418" s="108"/>
      <c r="V418" s="108"/>
      <c r="W418" s="108"/>
      <c r="X418" s="108"/>
      <c r="Y418" s="108"/>
      <c r="Z418" s="109"/>
      <c r="AA418" s="109"/>
      <c r="AB418" s="109"/>
      <c r="AC418" s="109"/>
      <c r="AD418" s="109"/>
      <c r="AE418" s="109"/>
      <c r="AF418" s="109"/>
      <c r="AG418" s="109"/>
      <c r="AH418" s="109"/>
      <c r="AI418" s="109"/>
      <c r="AJ418" s="109"/>
      <c r="AK418" s="109"/>
      <c r="AL418" s="109"/>
      <c r="AM418" s="109"/>
      <c r="AN418" s="110"/>
      <c r="AO418" s="110"/>
      <c r="AP418" s="111"/>
      <c r="AQ418" s="112"/>
      <c r="AR418" s="112"/>
      <c r="AS418" s="112"/>
      <c r="AT418" s="112"/>
      <c r="AU418" s="112"/>
      <c r="AV418" s="112"/>
      <c r="AW418" s="112"/>
      <c r="AX418" s="112"/>
      <c r="AY418" s="112"/>
      <c r="AZ418" s="112"/>
      <c r="BA418" s="112"/>
      <c r="BB418" s="112"/>
      <c r="BC418" s="112"/>
      <c r="BD418" s="112"/>
      <c r="BE418" s="112"/>
    </row>
    <row r="419" spans="2:57" x14ac:dyDescent="0.35">
      <c r="B419" s="59"/>
      <c r="C419" s="59"/>
      <c r="D419" s="104"/>
      <c r="E419" s="105"/>
      <c r="F419" s="105"/>
      <c r="G419" s="105"/>
      <c r="H419" s="68"/>
      <c r="I419" s="106"/>
      <c r="J419" s="107"/>
      <c r="K419" s="108"/>
      <c r="L419" s="108"/>
      <c r="M419" s="108"/>
      <c r="N419" s="108"/>
      <c r="O419" s="108"/>
      <c r="P419" s="108"/>
      <c r="Q419" s="108"/>
      <c r="R419" s="108"/>
      <c r="S419" s="108"/>
      <c r="T419" s="108"/>
      <c r="U419" s="108"/>
      <c r="V419" s="108"/>
      <c r="W419" s="108"/>
      <c r="X419" s="108"/>
      <c r="Y419" s="108"/>
      <c r="Z419" s="109"/>
      <c r="AA419" s="109"/>
      <c r="AB419" s="109"/>
      <c r="AC419" s="109"/>
      <c r="AD419" s="109"/>
      <c r="AE419" s="109"/>
      <c r="AF419" s="109"/>
      <c r="AG419" s="109"/>
      <c r="AH419" s="109"/>
      <c r="AI419" s="109"/>
      <c r="AJ419" s="109"/>
      <c r="AK419" s="109"/>
      <c r="AL419" s="109"/>
      <c r="AM419" s="109"/>
      <c r="AN419" s="110"/>
      <c r="AO419" s="110"/>
      <c r="AP419" s="111"/>
      <c r="AQ419" s="112"/>
      <c r="AR419" s="112"/>
      <c r="AS419" s="112"/>
      <c r="AT419" s="112"/>
      <c r="AU419" s="112"/>
      <c r="AV419" s="112"/>
      <c r="AW419" s="112"/>
      <c r="AX419" s="112"/>
      <c r="AY419" s="112"/>
      <c r="AZ419" s="112"/>
      <c r="BA419" s="112"/>
      <c r="BB419" s="112"/>
      <c r="BC419" s="112"/>
      <c r="BD419" s="112"/>
      <c r="BE419" s="112"/>
    </row>
    <row r="420" spans="2:57" x14ac:dyDescent="0.35">
      <c r="B420" s="59"/>
      <c r="C420" s="59"/>
      <c r="D420" s="104"/>
      <c r="E420" s="105"/>
      <c r="F420" s="105"/>
      <c r="G420" s="105"/>
      <c r="H420" s="68"/>
      <c r="I420" s="106"/>
      <c r="J420" s="107"/>
      <c r="K420" s="108"/>
      <c r="L420" s="108"/>
      <c r="M420" s="108"/>
      <c r="N420" s="108"/>
      <c r="O420" s="108"/>
      <c r="P420" s="108"/>
      <c r="Q420" s="108"/>
      <c r="R420" s="108"/>
      <c r="S420" s="108"/>
      <c r="T420" s="108"/>
      <c r="U420" s="108"/>
      <c r="V420" s="108"/>
      <c r="W420" s="108"/>
      <c r="X420" s="108"/>
      <c r="Y420" s="108"/>
      <c r="Z420" s="109"/>
      <c r="AA420" s="109"/>
      <c r="AB420" s="109"/>
      <c r="AC420" s="109"/>
      <c r="AD420" s="109"/>
      <c r="AE420" s="109"/>
      <c r="AF420" s="109"/>
      <c r="AG420" s="109"/>
      <c r="AH420" s="109"/>
      <c r="AI420" s="109"/>
      <c r="AJ420" s="109"/>
      <c r="AK420" s="109"/>
      <c r="AL420" s="109"/>
      <c r="AM420" s="109"/>
      <c r="AN420" s="110"/>
      <c r="AO420" s="110"/>
      <c r="AP420" s="111"/>
      <c r="AQ420" s="112"/>
      <c r="AR420" s="112"/>
      <c r="AS420" s="112"/>
      <c r="AT420" s="112"/>
      <c r="AU420" s="112"/>
      <c r="AV420" s="112"/>
      <c r="AW420" s="112"/>
      <c r="AX420" s="112"/>
      <c r="AY420" s="112"/>
      <c r="AZ420" s="112"/>
      <c r="BA420" s="112"/>
      <c r="BB420" s="112"/>
      <c r="BC420" s="112"/>
      <c r="BD420" s="112"/>
      <c r="BE420" s="112"/>
    </row>
    <row r="421" spans="2:57" x14ac:dyDescent="0.35">
      <c r="B421" s="59"/>
      <c r="C421" s="59"/>
      <c r="D421" s="104"/>
      <c r="E421" s="105"/>
      <c r="F421" s="105"/>
      <c r="G421" s="105"/>
      <c r="H421" s="68"/>
      <c r="I421" s="106"/>
      <c r="J421" s="107"/>
      <c r="K421" s="108"/>
      <c r="L421" s="108"/>
      <c r="M421" s="108"/>
      <c r="N421" s="108"/>
      <c r="O421" s="108"/>
      <c r="P421" s="108"/>
      <c r="Q421" s="108"/>
      <c r="R421" s="108"/>
      <c r="S421" s="108"/>
      <c r="T421" s="108"/>
      <c r="U421" s="108"/>
      <c r="V421" s="108"/>
      <c r="W421" s="108"/>
      <c r="X421" s="108"/>
      <c r="Y421" s="108"/>
      <c r="Z421" s="109"/>
      <c r="AA421" s="109"/>
      <c r="AB421" s="109"/>
      <c r="AC421" s="109"/>
      <c r="AD421" s="109"/>
      <c r="AE421" s="109"/>
      <c r="AF421" s="109"/>
      <c r="AG421" s="109"/>
      <c r="AH421" s="109"/>
      <c r="AI421" s="109"/>
      <c r="AJ421" s="109"/>
      <c r="AK421" s="109"/>
      <c r="AL421" s="109"/>
      <c r="AM421" s="109"/>
      <c r="AN421" s="110"/>
      <c r="AO421" s="110"/>
      <c r="AP421" s="111"/>
      <c r="AQ421" s="112"/>
      <c r="AR421" s="112"/>
      <c r="AS421" s="112"/>
      <c r="AT421" s="112"/>
      <c r="AU421" s="112"/>
      <c r="AV421" s="112"/>
      <c r="AW421" s="112"/>
      <c r="AX421" s="112"/>
      <c r="AY421" s="112"/>
      <c r="AZ421" s="112"/>
      <c r="BA421" s="112"/>
      <c r="BB421" s="112"/>
      <c r="BC421" s="112"/>
      <c r="BD421" s="112"/>
      <c r="BE421" s="112"/>
    </row>
    <row r="422" spans="2:57" x14ac:dyDescent="0.35">
      <c r="B422" s="59"/>
      <c r="C422" s="59"/>
      <c r="D422" s="104"/>
      <c r="E422" s="105"/>
      <c r="F422" s="105"/>
      <c r="G422" s="105"/>
      <c r="H422" s="68"/>
      <c r="I422" s="106"/>
      <c r="J422" s="107"/>
      <c r="K422" s="108"/>
      <c r="L422" s="108"/>
      <c r="M422" s="108"/>
      <c r="N422" s="108"/>
      <c r="O422" s="108"/>
      <c r="P422" s="108"/>
      <c r="Q422" s="108"/>
      <c r="R422" s="108"/>
      <c r="S422" s="108"/>
      <c r="T422" s="108"/>
      <c r="U422" s="108"/>
      <c r="V422" s="108"/>
      <c r="W422" s="108"/>
      <c r="X422" s="108"/>
      <c r="Y422" s="108"/>
      <c r="Z422" s="109"/>
      <c r="AA422" s="109"/>
      <c r="AB422" s="109"/>
      <c r="AC422" s="109"/>
      <c r="AD422" s="109"/>
      <c r="AE422" s="109"/>
      <c r="AF422" s="109"/>
      <c r="AG422" s="109"/>
      <c r="AH422" s="109"/>
      <c r="AI422" s="109"/>
      <c r="AJ422" s="109"/>
      <c r="AK422" s="109"/>
      <c r="AL422" s="109"/>
      <c r="AM422" s="109"/>
      <c r="AN422" s="110"/>
      <c r="AO422" s="110"/>
      <c r="AP422" s="111"/>
      <c r="AQ422" s="112"/>
      <c r="AR422" s="112"/>
      <c r="AS422" s="112"/>
      <c r="AT422" s="112"/>
      <c r="AU422" s="112"/>
      <c r="AV422" s="112"/>
      <c r="AW422" s="112"/>
      <c r="AX422" s="112"/>
      <c r="AY422" s="112"/>
      <c r="AZ422" s="112"/>
      <c r="BA422" s="112"/>
      <c r="BB422" s="112"/>
      <c r="BC422" s="112"/>
      <c r="BD422" s="112"/>
      <c r="BE422" s="112"/>
    </row>
    <row r="423" spans="2:57" x14ac:dyDescent="0.35">
      <c r="B423" s="59"/>
      <c r="C423" s="59"/>
      <c r="D423" s="104"/>
      <c r="E423" s="105"/>
      <c r="F423" s="105"/>
      <c r="G423" s="105"/>
      <c r="H423" s="68"/>
      <c r="I423" s="106"/>
      <c r="J423" s="107"/>
      <c r="K423" s="108"/>
      <c r="L423" s="108"/>
      <c r="M423" s="108"/>
      <c r="N423" s="108"/>
      <c r="O423" s="108"/>
      <c r="P423" s="108"/>
      <c r="Q423" s="108"/>
      <c r="R423" s="108"/>
      <c r="S423" s="108"/>
      <c r="T423" s="108"/>
      <c r="U423" s="108"/>
      <c r="V423" s="108"/>
      <c r="W423" s="108"/>
      <c r="X423" s="108"/>
      <c r="Y423" s="108"/>
      <c r="Z423" s="109"/>
      <c r="AA423" s="109"/>
      <c r="AB423" s="109"/>
      <c r="AC423" s="109"/>
      <c r="AD423" s="109"/>
      <c r="AE423" s="109"/>
      <c r="AF423" s="109"/>
      <c r="AG423" s="109"/>
      <c r="AH423" s="109"/>
      <c r="AI423" s="109"/>
      <c r="AJ423" s="109"/>
      <c r="AK423" s="109"/>
      <c r="AL423" s="109"/>
      <c r="AM423" s="109"/>
      <c r="AN423" s="110"/>
      <c r="AO423" s="110"/>
      <c r="AP423" s="111"/>
      <c r="AQ423" s="112"/>
      <c r="AR423" s="112"/>
      <c r="AS423" s="112"/>
      <c r="AT423" s="112"/>
      <c r="AU423" s="112"/>
      <c r="AV423" s="112"/>
      <c r="AW423" s="112"/>
      <c r="AX423" s="112"/>
      <c r="AY423" s="112"/>
      <c r="AZ423" s="112"/>
      <c r="BA423" s="112"/>
      <c r="BB423" s="112"/>
      <c r="BC423" s="112"/>
      <c r="BD423" s="112"/>
      <c r="BE423" s="112"/>
    </row>
    <row r="424" spans="2:57" x14ac:dyDescent="0.35">
      <c r="B424" s="59"/>
      <c r="C424" s="59"/>
      <c r="D424" s="104"/>
      <c r="E424" s="105"/>
      <c r="F424" s="105"/>
      <c r="G424" s="105"/>
      <c r="H424" s="68"/>
      <c r="I424" s="106"/>
      <c r="J424" s="107"/>
      <c r="K424" s="108"/>
      <c r="L424" s="108"/>
      <c r="M424" s="108"/>
      <c r="N424" s="108"/>
      <c r="O424" s="108"/>
      <c r="P424" s="108"/>
      <c r="Q424" s="108"/>
      <c r="R424" s="108"/>
      <c r="S424" s="108"/>
      <c r="T424" s="108"/>
      <c r="U424" s="108"/>
      <c r="V424" s="108"/>
      <c r="W424" s="108"/>
      <c r="X424" s="108"/>
      <c r="Y424" s="108"/>
      <c r="Z424" s="109"/>
      <c r="AA424" s="109"/>
      <c r="AB424" s="109"/>
      <c r="AC424" s="109"/>
      <c r="AD424" s="109"/>
      <c r="AE424" s="109"/>
      <c r="AF424" s="109"/>
      <c r="AG424" s="109"/>
      <c r="AH424" s="109"/>
      <c r="AI424" s="109"/>
      <c r="AJ424" s="109"/>
      <c r="AK424" s="109"/>
      <c r="AL424" s="109"/>
      <c r="AM424" s="109"/>
      <c r="AN424" s="110"/>
      <c r="AO424" s="110"/>
      <c r="AP424" s="111"/>
      <c r="AQ424" s="112"/>
      <c r="AR424" s="112"/>
      <c r="AS424" s="112"/>
      <c r="AT424" s="112"/>
      <c r="AU424" s="112"/>
      <c r="AV424" s="112"/>
      <c r="AW424" s="112"/>
      <c r="AX424" s="112"/>
      <c r="AY424" s="112"/>
      <c r="AZ424" s="112"/>
      <c r="BA424" s="112"/>
      <c r="BB424" s="112"/>
      <c r="BC424" s="112"/>
      <c r="BD424" s="112"/>
      <c r="BE424" s="112"/>
    </row>
    <row r="425" spans="2:57" x14ac:dyDescent="0.35">
      <c r="B425" s="59"/>
      <c r="C425" s="59"/>
      <c r="D425" s="104"/>
      <c r="E425" s="105"/>
      <c r="F425" s="105"/>
      <c r="G425" s="105"/>
      <c r="H425" s="68"/>
      <c r="I425" s="106"/>
      <c r="J425" s="107"/>
      <c r="K425" s="108"/>
      <c r="L425" s="108"/>
      <c r="M425" s="108"/>
      <c r="N425" s="108"/>
      <c r="O425" s="108"/>
      <c r="P425" s="108"/>
      <c r="Q425" s="108"/>
      <c r="R425" s="108"/>
      <c r="S425" s="108"/>
      <c r="T425" s="108"/>
      <c r="U425" s="108"/>
      <c r="V425" s="108"/>
      <c r="W425" s="108"/>
      <c r="X425" s="108"/>
      <c r="Y425" s="108"/>
      <c r="Z425" s="109"/>
      <c r="AA425" s="109"/>
      <c r="AB425" s="109"/>
      <c r="AC425" s="109"/>
      <c r="AD425" s="109"/>
      <c r="AE425" s="109"/>
      <c r="AF425" s="109"/>
      <c r="AG425" s="109"/>
      <c r="AH425" s="109"/>
      <c r="AI425" s="109"/>
      <c r="AJ425" s="109"/>
      <c r="AK425" s="109"/>
      <c r="AL425" s="109"/>
      <c r="AM425" s="109"/>
      <c r="AN425" s="110"/>
      <c r="AO425" s="110"/>
      <c r="AP425" s="111"/>
      <c r="AQ425" s="112"/>
      <c r="AR425" s="112"/>
      <c r="AS425" s="112"/>
      <c r="AT425" s="112"/>
      <c r="AU425" s="112"/>
      <c r="AV425" s="112"/>
      <c r="AW425" s="112"/>
      <c r="AX425" s="112"/>
      <c r="AY425" s="112"/>
      <c r="AZ425" s="112"/>
      <c r="BA425" s="112"/>
      <c r="BB425" s="112"/>
      <c r="BC425" s="112"/>
      <c r="BD425" s="112"/>
      <c r="BE425" s="112"/>
    </row>
    <row r="426" spans="2:57" x14ac:dyDescent="0.35">
      <c r="B426" s="59"/>
      <c r="C426" s="59"/>
      <c r="D426" s="104"/>
      <c r="E426" s="105"/>
      <c r="F426" s="105"/>
      <c r="G426" s="105"/>
      <c r="H426" s="68"/>
      <c r="I426" s="106"/>
      <c r="J426" s="107"/>
      <c r="K426" s="108"/>
      <c r="L426" s="108"/>
      <c r="M426" s="108"/>
      <c r="N426" s="108"/>
      <c r="O426" s="108"/>
      <c r="P426" s="108"/>
      <c r="Q426" s="108"/>
      <c r="R426" s="108"/>
      <c r="S426" s="108"/>
      <c r="T426" s="108"/>
      <c r="U426" s="108"/>
      <c r="V426" s="108"/>
      <c r="W426" s="108"/>
      <c r="X426" s="108"/>
      <c r="Y426" s="108"/>
      <c r="Z426" s="109"/>
      <c r="AA426" s="109"/>
      <c r="AB426" s="109"/>
      <c r="AC426" s="109"/>
      <c r="AD426" s="109"/>
      <c r="AE426" s="109"/>
      <c r="AF426" s="109"/>
      <c r="AG426" s="109"/>
      <c r="AH426" s="109"/>
      <c r="AI426" s="109"/>
      <c r="AJ426" s="109"/>
      <c r="AK426" s="109"/>
      <c r="AL426" s="109"/>
      <c r="AM426" s="109"/>
      <c r="AN426" s="110"/>
      <c r="AO426" s="110"/>
      <c r="AP426" s="111"/>
      <c r="AQ426" s="112"/>
      <c r="AR426" s="112"/>
      <c r="AS426" s="112"/>
      <c r="AT426" s="112"/>
      <c r="AU426" s="112"/>
      <c r="AV426" s="112"/>
      <c r="AW426" s="112"/>
      <c r="AX426" s="112"/>
      <c r="AY426" s="112"/>
      <c r="AZ426" s="112"/>
      <c r="BA426" s="112"/>
      <c r="BB426" s="112"/>
      <c r="BC426" s="112"/>
      <c r="BD426" s="112"/>
      <c r="BE426" s="112"/>
    </row>
    <row r="427" spans="2:57" x14ac:dyDescent="0.35">
      <c r="B427" s="59"/>
      <c r="C427" s="59"/>
      <c r="D427" s="104"/>
      <c r="E427" s="105"/>
      <c r="F427" s="105"/>
      <c r="G427" s="105"/>
      <c r="H427" s="68"/>
      <c r="I427" s="106"/>
      <c r="J427" s="107"/>
      <c r="K427" s="108"/>
      <c r="L427" s="108"/>
      <c r="M427" s="108"/>
      <c r="N427" s="108"/>
      <c r="O427" s="108"/>
      <c r="P427" s="108"/>
      <c r="Q427" s="108"/>
      <c r="R427" s="108"/>
      <c r="S427" s="108"/>
      <c r="T427" s="108"/>
      <c r="U427" s="108"/>
      <c r="V427" s="108"/>
      <c r="W427" s="108"/>
      <c r="X427" s="108"/>
      <c r="Y427" s="108"/>
      <c r="Z427" s="109"/>
      <c r="AA427" s="109"/>
      <c r="AB427" s="109"/>
      <c r="AC427" s="109"/>
      <c r="AD427" s="109"/>
      <c r="AE427" s="109"/>
      <c r="AF427" s="109"/>
      <c r="AG427" s="109"/>
      <c r="AH427" s="109"/>
      <c r="AI427" s="109"/>
      <c r="AJ427" s="109"/>
      <c r="AK427" s="109"/>
      <c r="AL427" s="109"/>
      <c r="AM427" s="109"/>
      <c r="AN427" s="110"/>
      <c r="AO427" s="110"/>
      <c r="AP427" s="111"/>
      <c r="AQ427" s="112"/>
      <c r="AR427" s="112"/>
      <c r="AS427" s="112"/>
      <c r="AT427" s="112"/>
      <c r="AU427" s="112"/>
      <c r="AV427" s="112"/>
      <c r="AW427" s="112"/>
      <c r="AX427" s="112"/>
      <c r="AY427" s="112"/>
      <c r="AZ427" s="112"/>
      <c r="BA427" s="112"/>
      <c r="BB427" s="112"/>
      <c r="BC427" s="112"/>
      <c r="BD427" s="112"/>
      <c r="BE427" s="112"/>
    </row>
    <row r="428" spans="2:57" x14ac:dyDescent="0.35">
      <c r="B428" s="59"/>
      <c r="C428" s="59"/>
      <c r="D428" s="104"/>
      <c r="E428" s="105"/>
      <c r="F428" s="105"/>
      <c r="G428" s="105"/>
      <c r="H428" s="68"/>
      <c r="I428" s="106"/>
      <c r="J428" s="107"/>
      <c r="K428" s="108"/>
      <c r="L428" s="108"/>
      <c r="M428" s="108"/>
      <c r="N428" s="108"/>
      <c r="O428" s="108"/>
      <c r="P428" s="108"/>
      <c r="Q428" s="108"/>
      <c r="R428" s="108"/>
      <c r="S428" s="108"/>
      <c r="T428" s="108"/>
      <c r="U428" s="108"/>
      <c r="V428" s="108"/>
      <c r="W428" s="108"/>
      <c r="X428" s="108"/>
      <c r="Y428" s="108"/>
      <c r="Z428" s="109"/>
      <c r="AA428" s="109"/>
      <c r="AB428" s="109"/>
      <c r="AC428" s="109"/>
      <c r="AD428" s="109"/>
      <c r="AE428" s="109"/>
      <c r="AF428" s="109"/>
      <c r="AG428" s="109"/>
      <c r="AH428" s="109"/>
      <c r="AI428" s="109"/>
      <c r="AJ428" s="109"/>
      <c r="AK428" s="109"/>
      <c r="AL428" s="109"/>
      <c r="AM428" s="109"/>
      <c r="AN428" s="110"/>
      <c r="AO428" s="110"/>
      <c r="AP428" s="111"/>
      <c r="AQ428" s="112"/>
      <c r="AR428" s="112"/>
      <c r="AS428" s="112"/>
      <c r="AT428" s="112"/>
      <c r="AU428" s="112"/>
      <c r="AV428" s="112"/>
      <c r="AW428" s="112"/>
      <c r="AX428" s="112"/>
      <c r="AY428" s="112"/>
      <c r="AZ428" s="112"/>
      <c r="BA428" s="112"/>
      <c r="BB428" s="112"/>
      <c r="BC428" s="112"/>
      <c r="BD428" s="112"/>
      <c r="BE428" s="112"/>
    </row>
    <row r="429" spans="2:57" x14ac:dyDescent="0.35">
      <c r="B429" s="59"/>
      <c r="C429" s="59"/>
      <c r="D429" s="104"/>
      <c r="E429" s="105"/>
      <c r="F429" s="105"/>
      <c r="G429" s="105"/>
      <c r="H429" s="68"/>
      <c r="I429" s="106"/>
      <c r="J429" s="107"/>
      <c r="K429" s="108"/>
      <c r="L429" s="108"/>
      <c r="M429" s="108"/>
      <c r="N429" s="108"/>
      <c r="O429" s="108"/>
      <c r="P429" s="108"/>
      <c r="Q429" s="108"/>
      <c r="R429" s="108"/>
      <c r="S429" s="108"/>
      <c r="T429" s="108"/>
      <c r="U429" s="108"/>
      <c r="V429" s="108"/>
      <c r="W429" s="108"/>
      <c r="X429" s="108"/>
      <c r="Y429" s="108"/>
      <c r="Z429" s="109"/>
      <c r="AA429" s="109"/>
      <c r="AB429" s="109"/>
      <c r="AC429" s="109"/>
      <c r="AD429" s="109"/>
      <c r="AE429" s="109"/>
      <c r="AF429" s="109"/>
      <c r="AG429" s="109"/>
      <c r="AH429" s="109"/>
      <c r="AI429" s="109"/>
      <c r="AJ429" s="109"/>
      <c r="AK429" s="109"/>
      <c r="AL429" s="109"/>
      <c r="AM429" s="109"/>
      <c r="AN429" s="110"/>
      <c r="AO429" s="110"/>
      <c r="AP429" s="111"/>
      <c r="AQ429" s="112"/>
      <c r="AR429" s="112"/>
      <c r="AS429" s="112"/>
      <c r="AT429" s="112"/>
      <c r="AU429" s="112"/>
      <c r="AV429" s="112"/>
      <c r="AW429" s="112"/>
      <c r="AX429" s="112"/>
      <c r="AY429" s="112"/>
      <c r="AZ429" s="112"/>
      <c r="BA429" s="112"/>
      <c r="BB429" s="112"/>
      <c r="BC429" s="112"/>
      <c r="BD429" s="112"/>
      <c r="BE429" s="112"/>
    </row>
    <row r="430" spans="2:57" x14ac:dyDescent="0.35">
      <c r="B430" s="59"/>
      <c r="C430" s="59"/>
      <c r="D430" s="104"/>
      <c r="E430" s="105"/>
      <c r="F430" s="105"/>
      <c r="G430" s="105"/>
      <c r="H430" s="68"/>
      <c r="I430" s="106"/>
      <c r="J430" s="107"/>
      <c r="K430" s="108"/>
      <c r="L430" s="108"/>
      <c r="M430" s="108"/>
      <c r="N430" s="108"/>
      <c r="O430" s="108"/>
      <c r="P430" s="108"/>
      <c r="Q430" s="108"/>
      <c r="R430" s="108"/>
      <c r="S430" s="108"/>
      <c r="T430" s="108"/>
      <c r="U430" s="108"/>
      <c r="V430" s="108"/>
      <c r="W430" s="108"/>
      <c r="X430" s="108"/>
      <c r="Y430" s="108"/>
      <c r="Z430" s="109"/>
      <c r="AA430" s="109"/>
      <c r="AB430" s="109"/>
      <c r="AC430" s="109"/>
      <c r="AD430" s="109"/>
      <c r="AE430" s="109"/>
      <c r="AF430" s="109"/>
      <c r="AG430" s="109"/>
      <c r="AH430" s="109"/>
      <c r="AI430" s="109"/>
      <c r="AJ430" s="109"/>
      <c r="AK430" s="109"/>
      <c r="AL430" s="109"/>
      <c r="AM430" s="109"/>
      <c r="AN430" s="110"/>
      <c r="AO430" s="110"/>
      <c r="AP430" s="111"/>
      <c r="AQ430" s="112"/>
      <c r="AR430" s="112"/>
      <c r="AS430" s="112"/>
      <c r="AT430" s="112"/>
      <c r="AU430" s="112"/>
      <c r="AV430" s="112"/>
      <c r="AW430" s="112"/>
      <c r="AX430" s="112"/>
      <c r="AY430" s="112"/>
      <c r="AZ430" s="112"/>
      <c r="BA430" s="112"/>
      <c r="BB430" s="112"/>
      <c r="BC430" s="112"/>
      <c r="BD430" s="112"/>
      <c r="BE430" s="112"/>
    </row>
    <row r="431" spans="2:57" x14ac:dyDescent="0.35">
      <c r="B431" s="59"/>
      <c r="C431" s="59"/>
      <c r="D431" s="104"/>
      <c r="E431" s="105"/>
      <c r="F431" s="105"/>
      <c r="G431" s="105"/>
      <c r="H431" s="68"/>
      <c r="I431" s="106"/>
      <c r="J431" s="107"/>
      <c r="K431" s="108"/>
      <c r="L431" s="108"/>
      <c r="M431" s="108"/>
      <c r="N431" s="108"/>
      <c r="O431" s="108"/>
      <c r="P431" s="108"/>
      <c r="Q431" s="108"/>
      <c r="R431" s="108"/>
      <c r="S431" s="108"/>
      <c r="T431" s="108"/>
      <c r="U431" s="108"/>
      <c r="V431" s="108"/>
      <c r="W431" s="108"/>
      <c r="X431" s="108"/>
      <c r="Y431" s="108"/>
      <c r="Z431" s="109"/>
      <c r="AA431" s="109"/>
      <c r="AB431" s="109"/>
      <c r="AC431" s="109"/>
      <c r="AD431" s="109"/>
      <c r="AE431" s="109"/>
      <c r="AF431" s="109"/>
      <c r="AG431" s="109"/>
      <c r="AH431" s="109"/>
      <c r="AI431" s="109"/>
      <c r="AJ431" s="109"/>
      <c r="AK431" s="109"/>
      <c r="AL431" s="109"/>
      <c r="AM431" s="109"/>
      <c r="AN431" s="110"/>
      <c r="AO431" s="110"/>
      <c r="AP431" s="111"/>
      <c r="AQ431" s="112"/>
      <c r="AR431" s="112"/>
      <c r="AS431" s="112"/>
      <c r="AT431" s="112"/>
      <c r="AU431" s="112"/>
      <c r="AV431" s="112"/>
      <c r="AW431" s="112"/>
      <c r="AX431" s="112"/>
      <c r="AY431" s="112"/>
      <c r="AZ431" s="112"/>
      <c r="BA431" s="112"/>
      <c r="BB431" s="112"/>
      <c r="BC431" s="112"/>
      <c r="BD431" s="112"/>
      <c r="BE431" s="112"/>
    </row>
    <row r="432" spans="2:57" x14ac:dyDescent="0.35">
      <c r="B432" s="59"/>
      <c r="C432" s="59"/>
      <c r="D432" s="104"/>
      <c r="E432" s="105"/>
      <c r="F432" s="105"/>
      <c r="G432" s="105"/>
      <c r="H432" s="68"/>
      <c r="I432" s="106"/>
      <c r="J432" s="107"/>
      <c r="K432" s="108"/>
      <c r="L432" s="108"/>
      <c r="M432" s="108"/>
      <c r="N432" s="108"/>
      <c r="O432" s="108"/>
      <c r="P432" s="108"/>
      <c r="Q432" s="108"/>
      <c r="R432" s="108"/>
      <c r="S432" s="108"/>
      <c r="T432" s="108"/>
      <c r="U432" s="108"/>
      <c r="V432" s="108"/>
      <c r="W432" s="108"/>
      <c r="X432" s="108"/>
      <c r="Y432" s="108"/>
      <c r="Z432" s="109"/>
      <c r="AA432" s="109"/>
      <c r="AB432" s="109"/>
      <c r="AC432" s="109"/>
      <c r="AD432" s="109"/>
      <c r="AE432" s="109"/>
      <c r="AF432" s="109"/>
      <c r="AG432" s="109"/>
      <c r="AH432" s="109"/>
      <c r="AI432" s="109"/>
      <c r="AJ432" s="109"/>
      <c r="AK432" s="109"/>
      <c r="AL432" s="109"/>
      <c r="AM432" s="109"/>
      <c r="AN432" s="110"/>
      <c r="AO432" s="110"/>
      <c r="AP432" s="111"/>
      <c r="AQ432" s="112"/>
      <c r="AR432" s="112"/>
      <c r="AS432" s="112"/>
      <c r="AT432" s="112"/>
      <c r="AU432" s="112"/>
      <c r="AV432" s="112"/>
      <c r="AW432" s="112"/>
      <c r="AX432" s="112"/>
      <c r="AY432" s="112"/>
      <c r="AZ432" s="112"/>
      <c r="BA432" s="112"/>
      <c r="BB432" s="112"/>
      <c r="BC432" s="112"/>
      <c r="BD432" s="112"/>
      <c r="BE432" s="112"/>
    </row>
    <row r="433" spans="2:57" x14ac:dyDescent="0.35">
      <c r="B433" s="59"/>
      <c r="C433" s="59"/>
      <c r="D433" s="104"/>
      <c r="E433" s="105"/>
      <c r="F433" s="105"/>
      <c r="G433" s="105"/>
      <c r="H433" s="68"/>
      <c r="I433" s="106"/>
      <c r="J433" s="107"/>
      <c r="K433" s="108"/>
      <c r="L433" s="108"/>
      <c r="M433" s="108"/>
      <c r="N433" s="108"/>
      <c r="O433" s="108"/>
      <c r="P433" s="108"/>
      <c r="Q433" s="108"/>
      <c r="R433" s="108"/>
      <c r="S433" s="108"/>
      <c r="T433" s="108"/>
      <c r="U433" s="108"/>
      <c r="V433" s="108"/>
      <c r="W433" s="108"/>
      <c r="X433" s="108"/>
      <c r="Y433" s="108"/>
      <c r="Z433" s="109"/>
      <c r="AA433" s="109"/>
      <c r="AB433" s="109"/>
      <c r="AC433" s="109"/>
      <c r="AD433" s="109"/>
      <c r="AE433" s="109"/>
      <c r="AF433" s="109"/>
      <c r="AG433" s="109"/>
      <c r="AH433" s="109"/>
      <c r="AI433" s="109"/>
      <c r="AJ433" s="109"/>
      <c r="AK433" s="109"/>
      <c r="AL433" s="109"/>
      <c r="AM433" s="109"/>
      <c r="AN433" s="110"/>
      <c r="AO433" s="110"/>
      <c r="AP433" s="111"/>
      <c r="AQ433" s="112"/>
      <c r="AR433" s="112"/>
      <c r="AS433" s="112"/>
      <c r="AT433" s="112"/>
      <c r="AU433" s="112"/>
      <c r="AV433" s="112"/>
      <c r="AW433" s="112"/>
      <c r="AX433" s="112"/>
      <c r="AY433" s="112"/>
      <c r="AZ433" s="112"/>
      <c r="BA433" s="112"/>
      <c r="BB433" s="112"/>
      <c r="BC433" s="112"/>
      <c r="BD433" s="112"/>
      <c r="BE433" s="112"/>
    </row>
    <row r="434" spans="2:57" x14ac:dyDescent="0.35">
      <c r="B434" s="59"/>
      <c r="C434" s="59"/>
      <c r="D434" s="104"/>
      <c r="E434" s="105"/>
      <c r="F434" s="105"/>
      <c r="G434" s="105"/>
      <c r="H434" s="68"/>
      <c r="I434" s="106"/>
      <c r="J434" s="107"/>
      <c r="K434" s="108"/>
      <c r="L434" s="108"/>
      <c r="M434" s="108"/>
      <c r="N434" s="108"/>
      <c r="O434" s="108"/>
      <c r="P434" s="108"/>
      <c r="Q434" s="108"/>
      <c r="R434" s="108"/>
      <c r="S434" s="108"/>
      <c r="T434" s="108"/>
      <c r="U434" s="108"/>
      <c r="V434" s="108"/>
      <c r="W434" s="108"/>
      <c r="X434" s="108"/>
      <c r="Y434" s="108"/>
      <c r="Z434" s="109"/>
      <c r="AA434" s="109"/>
      <c r="AB434" s="109"/>
      <c r="AC434" s="109"/>
      <c r="AD434" s="109"/>
      <c r="AE434" s="109"/>
      <c r="AF434" s="109"/>
      <c r="AG434" s="109"/>
      <c r="AH434" s="109"/>
      <c r="AI434" s="109"/>
      <c r="AJ434" s="109"/>
      <c r="AK434" s="109"/>
      <c r="AL434" s="109"/>
      <c r="AM434" s="109"/>
      <c r="AN434" s="110"/>
      <c r="AO434" s="110"/>
      <c r="AP434" s="111"/>
      <c r="AQ434" s="112"/>
      <c r="AR434" s="112"/>
      <c r="AS434" s="112"/>
      <c r="AT434" s="112"/>
      <c r="AU434" s="112"/>
      <c r="AV434" s="112"/>
      <c r="AW434" s="112"/>
      <c r="AX434" s="112"/>
      <c r="AY434" s="112"/>
      <c r="AZ434" s="112"/>
      <c r="BA434" s="112"/>
      <c r="BB434" s="112"/>
      <c r="BC434" s="112"/>
      <c r="BD434" s="112"/>
      <c r="BE434" s="112"/>
    </row>
    <row r="435" spans="2:57" x14ac:dyDescent="0.35">
      <c r="B435" s="59"/>
      <c r="C435" s="59"/>
      <c r="D435" s="104"/>
      <c r="E435" s="105"/>
      <c r="F435" s="105"/>
      <c r="G435" s="105"/>
      <c r="H435" s="68"/>
      <c r="I435" s="106"/>
      <c r="J435" s="107"/>
      <c r="K435" s="108"/>
      <c r="L435" s="108"/>
      <c r="M435" s="108"/>
      <c r="N435" s="108"/>
      <c r="O435" s="108"/>
      <c r="P435" s="108"/>
      <c r="Q435" s="108"/>
      <c r="R435" s="108"/>
      <c r="S435" s="108"/>
      <c r="T435" s="108"/>
      <c r="U435" s="108"/>
      <c r="V435" s="108"/>
      <c r="W435" s="108"/>
      <c r="X435" s="108"/>
      <c r="Y435" s="108"/>
      <c r="Z435" s="109"/>
      <c r="AA435" s="109"/>
      <c r="AB435" s="109"/>
      <c r="AC435" s="109"/>
      <c r="AD435" s="109"/>
      <c r="AE435" s="109"/>
      <c r="AF435" s="109"/>
      <c r="AG435" s="109"/>
      <c r="AH435" s="109"/>
      <c r="AI435" s="109"/>
      <c r="AJ435" s="109"/>
      <c r="AK435" s="109"/>
      <c r="AL435" s="109"/>
      <c r="AM435" s="109"/>
      <c r="AN435" s="110"/>
      <c r="AO435" s="110"/>
      <c r="AP435" s="111"/>
      <c r="AQ435" s="112"/>
      <c r="AR435" s="112"/>
      <c r="AS435" s="112"/>
      <c r="AT435" s="112"/>
      <c r="AU435" s="112"/>
      <c r="AV435" s="112"/>
      <c r="AW435" s="112"/>
      <c r="AX435" s="112"/>
      <c r="AY435" s="112"/>
      <c r="AZ435" s="112"/>
      <c r="BA435" s="112"/>
      <c r="BB435" s="112"/>
      <c r="BC435" s="112"/>
      <c r="BD435" s="112"/>
      <c r="BE435" s="112"/>
    </row>
    <row r="436" spans="2:57" x14ac:dyDescent="0.35">
      <c r="B436" s="59"/>
      <c r="C436" s="59"/>
      <c r="D436" s="104"/>
      <c r="E436" s="105"/>
      <c r="F436" s="105"/>
      <c r="G436" s="105"/>
      <c r="H436" s="68"/>
      <c r="I436" s="106"/>
      <c r="J436" s="107"/>
      <c r="K436" s="108"/>
      <c r="L436" s="108"/>
      <c r="M436" s="108"/>
      <c r="N436" s="108"/>
      <c r="O436" s="108"/>
      <c r="P436" s="108"/>
      <c r="Q436" s="108"/>
      <c r="R436" s="108"/>
      <c r="S436" s="108"/>
      <c r="T436" s="108"/>
      <c r="U436" s="108"/>
      <c r="V436" s="108"/>
      <c r="W436" s="108"/>
      <c r="X436" s="108"/>
      <c r="Y436" s="108"/>
      <c r="Z436" s="109"/>
      <c r="AA436" s="109"/>
      <c r="AB436" s="109"/>
      <c r="AC436" s="109"/>
      <c r="AD436" s="109"/>
      <c r="AE436" s="109"/>
      <c r="AF436" s="109"/>
      <c r="AG436" s="109"/>
      <c r="AH436" s="109"/>
      <c r="AI436" s="109"/>
      <c r="AJ436" s="109"/>
      <c r="AK436" s="109"/>
      <c r="AL436" s="109"/>
      <c r="AM436" s="109"/>
      <c r="AN436" s="110"/>
      <c r="AO436" s="110"/>
      <c r="AP436" s="111"/>
      <c r="AQ436" s="112"/>
      <c r="AR436" s="112"/>
      <c r="AS436" s="112"/>
      <c r="AT436" s="112"/>
      <c r="AU436" s="112"/>
      <c r="AV436" s="112"/>
      <c r="AW436" s="112"/>
      <c r="AX436" s="112"/>
      <c r="AY436" s="112"/>
      <c r="AZ436" s="112"/>
      <c r="BA436" s="112"/>
      <c r="BB436" s="112"/>
      <c r="BC436" s="112"/>
      <c r="BD436" s="112"/>
      <c r="BE436" s="112"/>
    </row>
    <row r="437" spans="2:57" x14ac:dyDescent="0.35">
      <c r="B437" s="59"/>
      <c r="C437" s="59"/>
      <c r="D437" s="104"/>
      <c r="E437" s="105"/>
      <c r="F437" s="105"/>
      <c r="G437" s="105"/>
      <c r="H437" s="68"/>
      <c r="I437" s="106"/>
      <c r="J437" s="107"/>
      <c r="K437" s="108"/>
      <c r="L437" s="108"/>
      <c r="M437" s="108"/>
      <c r="N437" s="108"/>
      <c r="O437" s="108"/>
      <c r="P437" s="108"/>
      <c r="Q437" s="108"/>
      <c r="R437" s="108"/>
      <c r="S437" s="108"/>
      <c r="T437" s="108"/>
      <c r="U437" s="108"/>
      <c r="V437" s="108"/>
      <c r="W437" s="108"/>
      <c r="X437" s="108"/>
      <c r="Y437" s="108"/>
      <c r="Z437" s="109"/>
      <c r="AA437" s="109"/>
      <c r="AB437" s="109"/>
      <c r="AC437" s="109"/>
      <c r="AD437" s="109"/>
      <c r="AE437" s="109"/>
      <c r="AF437" s="109"/>
      <c r="AG437" s="109"/>
      <c r="AH437" s="109"/>
      <c r="AI437" s="109"/>
      <c r="AJ437" s="109"/>
      <c r="AK437" s="109"/>
      <c r="AL437" s="109"/>
      <c r="AM437" s="109"/>
      <c r="AN437" s="110"/>
      <c r="AO437" s="110"/>
      <c r="AP437" s="111"/>
      <c r="AQ437" s="112"/>
      <c r="AR437" s="112"/>
      <c r="AS437" s="112"/>
      <c r="AT437" s="112"/>
      <c r="AU437" s="112"/>
      <c r="AV437" s="112"/>
      <c r="AW437" s="112"/>
      <c r="AX437" s="112"/>
      <c r="AY437" s="112"/>
      <c r="AZ437" s="112"/>
      <c r="BA437" s="112"/>
      <c r="BB437" s="112"/>
      <c r="BC437" s="112"/>
      <c r="BD437" s="112"/>
      <c r="BE437" s="112"/>
    </row>
    <row r="438" spans="2:57" x14ac:dyDescent="0.35">
      <c r="B438" s="59"/>
      <c r="C438" s="59"/>
      <c r="D438" s="104"/>
      <c r="E438" s="105"/>
      <c r="F438" s="105"/>
      <c r="G438" s="105"/>
      <c r="H438" s="68"/>
      <c r="I438" s="106"/>
      <c r="J438" s="107"/>
      <c r="K438" s="108"/>
      <c r="L438" s="108"/>
      <c r="M438" s="108"/>
      <c r="N438" s="108"/>
      <c r="O438" s="108"/>
      <c r="P438" s="108"/>
      <c r="Q438" s="108"/>
      <c r="R438" s="108"/>
      <c r="S438" s="108"/>
      <c r="T438" s="108"/>
      <c r="U438" s="108"/>
      <c r="V438" s="108"/>
      <c r="W438" s="108"/>
      <c r="X438" s="108"/>
      <c r="Y438" s="108"/>
      <c r="Z438" s="109"/>
      <c r="AA438" s="109"/>
      <c r="AB438" s="109"/>
      <c r="AC438" s="109"/>
      <c r="AD438" s="109"/>
      <c r="AE438" s="109"/>
      <c r="AF438" s="109"/>
      <c r="AG438" s="109"/>
      <c r="AH438" s="109"/>
      <c r="AI438" s="109"/>
      <c r="AJ438" s="109"/>
      <c r="AK438" s="109"/>
      <c r="AL438" s="109"/>
      <c r="AM438" s="109"/>
      <c r="AN438" s="110"/>
      <c r="AO438" s="110"/>
      <c r="AP438" s="111"/>
      <c r="AQ438" s="112"/>
      <c r="AR438" s="112"/>
      <c r="AS438" s="112"/>
      <c r="AT438" s="112"/>
      <c r="AU438" s="112"/>
      <c r="AV438" s="112"/>
      <c r="AW438" s="112"/>
      <c r="AX438" s="112"/>
      <c r="AY438" s="112"/>
      <c r="AZ438" s="112"/>
      <c r="BA438" s="112"/>
      <c r="BB438" s="112"/>
      <c r="BC438" s="112"/>
      <c r="BD438" s="112"/>
      <c r="BE438" s="112"/>
    </row>
    <row r="439" spans="2:57" x14ac:dyDescent="0.35">
      <c r="B439" s="59"/>
      <c r="C439" s="59"/>
      <c r="D439" s="104"/>
      <c r="E439" s="105"/>
      <c r="F439" s="105"/>
      <c r="G439" s="105"/>
      <c r="H439" s="68"/>
      <c r="I439" s="106"/>
      <c r="J439" s="107"/>
      <c r="K439" s="108"/>
      <c r="L439" s="108"/>
      <c r="M439" s="108"/>
      <c r="N439" s="108"/>
      <c r="O439" s="108"/>
      <c r="P439" s="108"/>
      <c r="Q439" s="108"/>
      <c r="R439" s="108"/>
      <c r="S439" s="108"/>
      <c r="T439" s="108"/>
      <c r="U439" s="108"/>
      <c r="V439" s="108"/>
      <c r="W439" s="108"/>
      <c r="X439" s="108"/>
      <c r="Y439" s="108"/>
      <c r="Z439" s="109"/>
      <c r="AA439" s="109"/>
      <c r="AB439" s="109"/>
      <c r="AC439" s="109"/>
      <c r="AD439" s="109"/>
      <c r="AE439" s="109"/>
      <c r="AF439" s="109"/>
      <c r="AG439" s="109"/>
      <c r="AH439" s="109"/>
      <c r="AI439" s="109"/>
      <c r="AJ439" s="109"/>
      <c r="AK439" s="109"/>
      <c r="AL439" s="109"/>
      <c r="AM439" s="109"/>
      <c r="AN439" s="110"/>
      <c r="AO439" s="110"/>
      <c r="AP439" s="111"/>
      <c r="AQ439" s="112"/>
      <c r="AR439" s="112"/>
      <c r="AS439" s="112"/>
      <c r="AT439" s="112"/>
      <c r="AU439" s="112"/>
      <c r="AV439" s="112"/>
      <c r="AW439" s="112"/>
      <c r="AX439" s="112"/>
      <c r="AY439" s="112"/>
      <c r="AZ439" s="112"/>
      <c r="BA439" s="112"/>
      <c r="BB439" s="112"/>
      <c r="BC439" s="112"/>
      <c r="BD439" s="112"/>
      <c r="BE439" s="112"/>
    </row>
    <row r="440" spans="2:57" x14ac:dyDescent="0.35">
      <c r="B440" s="59"/>
      <c r="C440" s="59"/>
      <c r="D440" s="104"/>
      <c r="E440" s="105"/>
      <c r="F440" s="105"/>
      <c r="G440" s="105"/>
      <c r="H440" s="68"/>
      <c r="I440" s="106"/>
      <c r="J440" s="107"/>
      <c r="K440" s="108"/>
      <c r="L440" s="108"/>
      <c r="M440" s="108"/>
      <c r="N440" s="108"/>
      <c r="O440" s="108"/>
      <c r="P440" s="108"/>
      <c r="Q440" s="108"/>
      <c r="R440" s="108"/>
      <c r="S440" s="108"/>
      <c r="T440" s="108"/>
      <c r="U440" s="108"/>
      <c r="V440" s="108"/>
      <c r="W440" s="108"/>
      <c r="X440" s="108"/>
      <c r="Y440" s="108"/>
      <c r="Z440" s="109"/>
      <c r="AA440" s="109"/>
      <c r="AB440" s="109"/>
      <c r="AC440" s="109"/>
      <c r="AD440" s="109"/>
      <c r="AE440" s="109"/>
      <c r="AF440" s="109"/>
      <c r="AG440" s="109"/>
      <c r="AH440" s="109"/>
      <c r="AI440" s="109"/>
      <c r="AJ440" s="109"/>
      <c r="AK440" s="109"/>
      <c r="AL440" s="109"/>
      <c r="AM440" s="109"/>
      <c r="AN440" s="110"/>
      <c r="AO440" s="110"/>
      <c r="AP440" s="111"/>
      <c r="AQ440" s="112"/>
      <c r="AR440" s="112"/>
      <c r="AS440" s="112"/>
      <c r="AT440" s="112"/>
      <c r="AU440" s="112"/>
      <c r="AV440" s="112"/>
      <c r="AW440" s="112"/>
      <c r="AX440" s="112"/>
      <c r="AY440" s="112"/>
      <c r="AZ440" s="112"/>
      <c r="BA440" s="112"/>
      <c r="BB440" s="112"/>
      <c r="BC440" s="112"/>
      <c r="BD440" s="112"/>
      <c r="BE440" s="112"/>
    </row>
    <row r="441" spans="2:57" x14ac:dyDescent="0.35">
      <c r="B441" s="59"/>
      <c r="C441" s="59"/>
      <c r="D441" s="104"/>
      <c r="E441" s="105"/>
      <c r="F441" s="105"/>
      <c r="G441" s="105"/>
      <c r="H441" s="68"/>
      <c r="I441" s="106"/>
      <c r="J441" s="107"/>
      <c r="K441" s="108"/>
      <c r="L441" s="108"/>
      <c r="M441" s="108"/>
      <c r="N441" s="108"/>
      <c r="O441" s="108"/>
      <c r="P441" s="108"/>
      <c r="Q441" s="108"/>
      <c r="R441" s="108"/>
      <c r="S441" s="108"/>
      <c r="T441" s="108"/>
      <c r="U441" s="108"/>
      <c r="V441" s="108"/>
      <c r="W441" s="108"/>
      <c r="X441" s="108"/>
      <c r="Y441" s="108"/>
      <c r="Z441" s="109"/>
      <c r="AA441" s="109"/>
      <c r="AB441" s="109"/>
      <c r="AC441" s="109"/>
      <c r="AD441" s="109"/>
      <c r="AE441" s="109"/>
      <c r="AF441" s="109"/>
      <c r="AG441" s="109"/>
      <c r="AH441" s="109"/>
      <c r="AI441" s="109"/>
      <c r="AJ441" s="109"/>
      <c r="AK441" s="109"/>
      <c r="AL441" s="109"/>
      <c r="AM441" s="109"/>
      <c r="AN441" s="110"/>
      <c r="AO441" s="110"/>
      <c r="AP441" s="111"/>
      <c r="AQ441" s="112"/>
      <c r="AR441" s="112"/>
      <c r="AS441" s="112"/>
      <c r="AT441" s="112"/>
      <c r="AU441" s="112"/>
      <c r="AV441" s="112"/>
      <c r="AW441" s="112"/>
      <c r="AX441" s="112"/>
      <c r="AY441" s="112"/>
      <c r="AZ441" s="112"/>
      <c r="BA441" s="112"/>
      <c r="BB441" s="112"/>
      <c r="BC441" s="112"/>
      <c r="BD441" s="112"/>
      <c r="BE441" s="112"/>
    </row>
    <row r="442" spans="2:57" x14ac:dyDescent="0.35">
      <c r="B442" s="59"/>
      <c r="C442" s="59"/>
      <c r="D442" s="104"/>
      <c r="E442" s="105"/>
      <c r="F442" s="105"/>
      <c r="G442" s="105"/>
      <c r="H442" s="68"/>
      <c r="I442" s="106"/>
      <c r="J442" s="107"/>
      <c r="K442" s="108"/>
      <c r="L442" s="108"/>
      <c r="M442" s="108"/>
      <c r="N442" s="108"/>
      <c r="O442" s="108"/>
      <c r="P442" s="108"/>
      <c r="Q442" s="108"/>
      <c r="R442" s="108"/>
      <c r="S442" s="108"/>
      <c r="T442" s="108"/>
      <c r="U442" s="108"/>
      <c r="V442" s="108"/>
      <c r="W442" s="108"/>
      <c r="X442" s="108"/>
      <c r="Y442" s="108"/>
      <c r="Z442" s="109"/>
      <c r="AA442" s="109"/>
      <c r="AB442" s="109"/>
      <c r="AC442" s="109"/>
      <c r="AD442" s="109"/>
      <c r="AE442" s="109"/>
      <c r="AF442" s="109"/>
      <c r="AG442" s="109"/>
      <c r="AH442" s="109"/>
      <c r="AI442" s="109"/>
      <c r="AJ442" s="109"/>
      <c r="AK442" s="109"/>
      <c r="AL442" s="109"/>
      <c r="AM442" s="109"/>
      <c r="AN442" s="110"/>
      <c r="AO442" s="110"/>
      <c r="AP442" s="111"/>
      <c r="AQ442" s="112"/>
      <c r="AR442" s="112"/>
      <c r="AS442" s="112"/>
      <c r="AT442" s="112"/>
      <c r="AU442" s="112"/>
      <c r="AV442" s="112"/>
      <c r="AW442" s="112"/>
      <c r="AX442" s="112"/>
      <c r="AY442" s="112"/>
      <c r="AZ442" s="112"/>
      <c r="BA442" s="112"/>
      <c r="BB442" s="112"/>
      <c r="BC442" s="112"/>
      <c r="BD442" s="112"/>
      <c r="BE442" s="112"/>
    </row>
    <row r="443" spans="2:57" x14ac:dyDescent="0.35">
      <c r="B443" s="59"/>
      <c r="C443" s="59"/>
      <c r="D443" s="104"/>
      <c r="E443" s="105"/>
      <c r="F443" s="105"/>
      <c r="G443" s="105"/>
      <c r="H443" s="68"/>
      <c r="I443" s="106"/>
      <c r="J443" s="107"/>
      <c r="K443" s="108"/>
      <c r="L443" s="108"/>
      <c r="M443" s="108"/>
      <c r="N443" s="108"/>
      <c r="O443" s="108"/>
      <c r="P443" s="108"/>
      <c r="Q443" s="108"/>
      <c r="R443" s="108"/>
      <c r="S443" s="108"/>
      <c r="T443" s="108"/>
      <c r="U443" s="108"/>
      <c r="V443" s="108"/>
      <c r="W443" s="108"/>
      <c r="X443" s="108"/>
      <c r="Y443" s="108"/>
      <c r="Z443" s="109"/>
      <c r="AA443" s="109"/>
      <c r="AB443" s="109"/>
      <c r="AC443" s="109"/>
      <c r="AD443" s="109"/>
      <c r="AE443" s="109"/>
      <c r="AF443" s="109"/>
      <c r="AG443" s="109"/>
      <c r="AH443" s="109"/>
      <c r="AI443" s="109"/>
      <c r="AJ443" s="109"/>
      <c r="AK443" s="109"/>
      <c r="AL443" s="109"/>
      <c r="AM443" s="109"/>
      <c r="AN443" s="110"/>
      <c r="AO443" s="110"/>
      <c r="AP443" s="111"/>
      <c r="AQ443" s="112"/>
      <c r="AR443" s="112"/>
      <c r="AS443" s="112"/>
      <c r="AT443" s="112"/>
      <c r="AU443" s="112"/>
      <c r="AV443" s="112"/>
      <c r="AW443" s="112"/>
      <c r="AX443" s="112"/>
      <c r="AY443" s="112"/>
      <c r="AZ443" s="112"/>
      <c r="BA443" s="112"/>
      <c r="BB443" s="112"/>
      <c r="BC443" s="112"/>
      <c r="BD443" s="112"/>
      <c r="BE443" s="112"/>
    </row>
    <row r="444" spans="2:57" x14ac:dyDescent="0.35">
      <c r="B444" s="59"/>
      <c r="C444" s="59"/>
      <c r="D444" s="104"/>
      <c r="E444" s="105"/>
      <c r="F444" s="105"/>
      <c r="G444" s="105"/>
      <c r="H444" s="68"/>
      <c r="I444" s="106"/>
      <c r="J444" s="107"/>
      <c r="K444" s="108"/>
      <c r="L444" s="108"/>
      <c r="M444" s="108"/>
      <c r="N444" s="108"/>
      <c r="O444" s="108"/>
      <c r="P444" s="108"/>
      <c r="Q444" s="108"/>
      <c r="R444" s="108"/>
      <c r="S444" s="108"/>
      <c r="T444" s="108"/>
      <c r="U444" s="108"/>
      <c r="V444" s="108"/>
      <c r="W444" s="108"/>
      <c r="X444" s="108"/>
      <c r="Y444" s="108"/>
      <c r="Z444" s="109"/>
      <c r="AA444" s="109"/>
      <c r="AB444" s="109"/>
      <c r="AC444" s="109"/>
      <c r="AD444" s="109"/>
      <c r="AE444" s="109"/>
      <c r="AF444" s="109"/>
      <c r="AG444" s="109"/>
      <c r="AH444" s="109"/>
      <c r="AI444" s="109"/>
      <c r="AJ444" s="109"/>
      <c r="AK444" s="109"/>
      <c r="AL444" s="109"/>
      <c r="AM444" s="109"/>
      <c r="AN444" s="110"/>
      <c r="AO444" s="110"/>
      <c r="AP444" s="111"/>
      <c r="AQ444" s="112"/>
      <c r="AR444" s="112"/>
      <c r="AS444" s="112"/>
      <c r="AT444" s="112"/>
      <c r="AU444" s="112"/>
      <c r="AV444" s="112"/>
      <c r="AW444" s="112"/>
      <c r="AX444" s="112"/>
      <c r="AY444" s="112"/>
      <c r="AZ444" s="112"/>
      <c r="BA444" s="112"/>
      <c r="BB444" s="112"/>
      <c r="BC444" s="112"/>
      <c r="BD444" s="112"/>
      <c r="BE444" s="112"/>
    </row>
    <row r="445" spans="2:57" x14ac:dyDescent="0.35">
      <c r="B445" s="59"/>
      <c r="C445" s="59"/>
      <c r="D445" s="104"/>
      <c r="E445" s="105"/>
      <c r="F445" s="105"/>
      <c r="G445" s="105"/>
      <c r="H445" s="68"/>
      <c r="I445" s="106"/>
      <c r="J445" s="107"/>
      <c r="K445" s="108"/>
      <c r="L445" s="108"/>
      <c r="M445" s="108"/>
      <c r="N445" s="108"/>
      <c r="O445" s="108"/>
      <c r="P445" s="108"/>
      <c r="Q445" s="108"/>
      <c r="R445" s="108"/>
      <c r="S445" s="108"/>
      <c r="T445" s="108"/>
      <c r="U445" s="108"/>
      <c r="V445" s="108"/>
      <c r="W445" s="108"/>
      <c r="X445" s="108"/>
      <c r="Y445" s="108"/>
      <c r="Z445" s="109"/>
      <c r="AA445" s="109"/>
      <c r="AB445" s="109"/>
      <c r="AC445" s="109"/>
      <c r="AD445" s="109"/>
      <c r="AE445" s="109"/>
      <c r="AF445" s="109"/>
      <c r="AG445" s="109"/>
      <c r="AH445" s="109"/>
      <c r="AI445" s="109"/>
      <c r="AJ445" s="109"/>
      <c r="AK445" s="109"/>
      <c r="AL445" s="109"/>
      <c r="AM445" s="109"/>
      <c r="AN445" s="110"/>
      <c r="AO445" s="110"/>
      <c r="AP445" s="111"/>
      <c r="AQ445" s="112"/>
      <c r="AR445" s="112"/>
      <c r="AS445" s="112"/>
      <c r="AT445" s="112"/>
      <c r="AU445" s="112"/>
      <c r="AV445" s="112"/>
      <c r="AW445" s="112"/>
      <c r="AX445" s="112"/>
      <c r="AY445" s="112"/>
      <c r="AZ445" s="112"/>
      <c r="BA445" s="112"/>
      <c r="BB445" s="112"/>
      <c r="BC445" s="112"/>
      <c r="BD445" s="112"/>
      <c r="BE445" s="112"/>
    </row>
    <row r="446" spans="2:57" x14ac:dyDescent="0.35">
      <c r="B446" s="59"/>
      <c r="C446" s="59"/>
      <c r="D446" s="104"/>
      <c r="E446" s="105"/>
      <c r="F446" s="105"/>
      <c r="G446" s="105"/>
      <c r="H446" s="68"/>
      <c r="I446" s="106"/>
      <c r="J446" s="107"/>
      <c r="K446" s="108"/>
      <c r="L446" s="108"/>
      <c r="M446" s="108"/>
      <c r="N446" s="108"/>
      <c r="O446" s="108"/>
      <c r="P446" s="108"/>
      <c r="Q446" s="108"/>
      <c r="R446" s="108"/>
      <c r="S446" s="108"/>
      <c r="T446" s="108"/>
      <c r="U446" s="108"/>
      <c r="V446" s="108"/>
      <c r="W446" s="108"/>
      <c r="X446" s="108"/>
      <c r="Y446" s="108"/>
      <c r="Z446" s="109"/>
      <c r="AA446" s="109"/>
      <c r="AB446" s="109"/>
      <c r="AC446" s="109"/>
      <c r="AD446" s="109"/>
      <c r="AE446" s="109"/>
      <c r="AF446" s="109"/>
      <c r="AG446" s="109"/>
      <c r="AH446" s="109"/>
      <c r="AI446" s="109"/>
      <c r="AJ446" s="109"/>
      <c r="AK446" s="109"/>
      <c r="AL446" s="109"/>
      <c r="AM446" s="109"/>
      <c r="AN446" s="110"/>
      <c r="AO446" s="110"/>
      <c r="AP446" s="111"/>
      <c r="AQ446" s="112"/>
      <c r="AR446" s="112"/>
      <c r="AS446" s="112"/>
      <c r="AT446" s="112"/>
      <c r="AU446" s="112"/>
      <c r="AV446" s="112"/>
      <c r="AW446" s="112"/>
      <c r="AX446" s="112"/>
      <c r="AY446" s="112"/>
      <c r="AZ446" s="112"/>
      <c r="BA446" s="112"/>
      <c r="BB446" s="112"/>
      <c r="BC446" s="112"/>
      <c r="BD446" s="112"/>
      <c r="BE446" s="112"/>
    </row>
    <row r="447" spans="2:57" x14ac:dyDescent="0.35">
      <c r="B447" s="59"/>
      <c r="C447" s="59"/>
      <c r="D447" s="104"/>
      <c r="E447" s="105"/>
      <c r="F447" s="105"/>
      <c r="G447" s="105"/>
      <c r="H447" s="68"/>
      <c r="I447" s="106"/>
      <c r="J447" s="107"/>
      <c r="K447" s="108"/>
      <c r="L447" s="108"/>
      <c r="M447" s="108"/>
      <c r="N447" s="108"/>
      <c r="O447" s="108"/>
      <c r="P447" s="108"/>
      <c r="Q447" s="108"/>
      <c r="R447" s="108"/>
      <c r="S447" s="108"/>
      <c r="T447" s="108"/>
      <c r="U447" s="108"/>
      <c r="V447" s="108"/>
      <c r="W447" s="108"/>
      <c r="X447" s="108"/>
      <c r="Y447" s="108"/>
      <c r="Z447" s="109"/>
      <c r="AA447" s="109"/>
      <c r="AB447" s="109"/>
      <c r="AC447" s="109"/>
      <c r="AD447" s="109"/>
      <c r="AE447" s="109"/>
      <c r="AF447" s="109"/>
      <c r="AG447" s="109"/>
      <c r="AH447" s="109"/>
      <c r="AI447" s="109"/>
      <c r="AJ447" s="109"/>
      <c r="AK447" s="109"/>
      <c r="AL447" s="109"/>
      <c r="AM447" s="109"/>
      <c r="AN447" s="110"/>
      <c r="AO447" s="110"/>
      <c r="AP447" s="111"/>
      <c r="AQ447" s="112"/>
      <c r="AR447" s="112"/>
      <c r="AS447" s="112"/>
      <c r="AT447" s="112"/>
      <c r="AU447" s="112"/>
      <c r="AV447" s="112"/>
      <c r="AW447" s="112"/>
      <c r="AX447" s="112"/>
      <c r="AY447" s="112"/>
      <c r="AZ447" s="112"/>
      <c r="BA447" s="112"/>
      <c r="BB447" s="112"/>
      <c r="BC447" s="112"/>
      <c r="BD447" s="112"/>
      <c r="BE447" s="112"/>
    </row>
    <row r="448" spans="2:57" x14ac:dyDescent="0.35">
      <c r="B448" s="59"/>
      <c r="C448" s="59"/>
      <c r="D448" s="104"/>
      <c r="E448" s="105"/>
      <c r="F448" s="105"/>
      <c r="G448" s="105"/>
      <c r="H448" s="68"/>
      <c r="I448" s="106"/>
      <c r="J448" s="107"/>
      <c r="K448" s="108"/>
      <c r="L448" s="108"/>
      <c r="M448" s="108"/>
      <c r="N448" s="108"/>
      <c r="O448" s="108"/>
      <c r="P448" s="108"/>
      <c r="Q448" s="108"/>
      <c r="R448" s="108"/>
      <c r="S448" s="108"/>
      <c r="T448" s="108"/>
      <c r="U448" s="108"/>
      <c r="V448" s="108"/>
      <c r="W448" s="108"/>
      <c r="X448" s="108"/>
      <c r="Y448" s="108"/>
      <c r="Z448" s="109"/>
      <c r="AA448" s="109"/>
      <c r="AB448" s="109"/>
      <c r="AC448" s="109"/>
      <c r="AD448" s="109"/>
      <c r="AE448" s="109"/>
      <c r="AF448" s="109"/>
      <c r="AG448" s="109"/>
      <c r="AH448" s="109"/>
      <c r="AI448" s="109"/>
      <c r="AJ448" s="109"/>
      <c r="AK448" s="109"/>
      <c r="AL448" s="109"/>
      <c r="AM448" s="109"/>
      <c r="AN448" s="110"/>
      <c r="AO448" s="110"/>
      <c r="AP448" s="111"/>
      <c r="AQ448" s="112"/>
      <c r="AR448" s="112"/>
      <c r="AS448" s="112"/>
      <c r="AT448" s="112"/>
      <c r="AU448" s="112"/>
      <c r="AV448" s="112"/>
      <c r="AW448" s="112"/>
      <c r="AX448" s="112"/>
      <c r="AY448" s="112"/>
      <c r="AZ448" s="112"/>
      <c r="BA448" s="112"/>
      <c r="BB448" s="112"/>
      <c r="BC448" s="112"/>
      <c r="BD448" s="112"/>
      <c r="BE448" s="112"/>
    </row>
    <row r="449" spans="2:57" x14ac:dyDescent="0.35">
      <c r="B449" s="59"/>
      <c r="C449" s="59"/>
      <c r="D449" s="104"/>
      <c r="E449" s="105"/>
      <c r="F449" s="105"/>
      <c r="G449" s="105"/>
      <c r="H449" s="68"/>
      <c r="I449" s="106"/>
      <c r="J449" s="107"/>
      <c r="K449" s="108"/>
      <c r="L449" s="108"/>
      <c r="M449" s="108"/>
      <c r="N449" s="108"/>
      <c r="O449" s="108"/>
      <c r="P449" s="108"/>
      <c r="Q449" s="108"/>
      <c r="R449" s="108"/>
      <c r="S449" s="108"/>
      <c r="T449" s="108"/>
      <c r="U449" s="108"/>
      <c r="V449" s="108"/>
      <c r="W449" s="108"/>
      <c r="X449" s="108"/>
      <c r="Y449" s="108"/>
      <c r="Z449" s="109"/>
      <c r="AA449" s="109"/>
      <c r="AB449" s="109"/>
      <c r="AC449" s="109"/>
      <c r="AD449" s="109"/>
      <c r="AE449" s="109"/>
      <c r="AF449" s="109"/>
      <c r="AG449" s="109"/>
      <c r="AH449" s="109"/>
      <c r="AI449" s="109"/>
      <c r="AJ449" s="109"/>
      <c r="AK449" s="109"/>
      <c r="AL449" s="109"/>
      <c r="AM449" s="109"/>
      <c r="AN449" s="110"/>
      <c r="AO449" s="110"/>
      <c r="AP449" s="111"/>
      <c r="AQ449" s="112"/>
      <c r="AR449" s="112"/>
      <c r="AS449" s="112"/>
      <c r="AT449" s="112"/>
      <c r="AU449" s="112"/>
      <c r="AV449" s="112"/>
      <c r="AW449" s="112"/>
      <c r="AX449" s="112"/>
      <c r="AY449" s="112"/>
      <c r="AZ449" s="112"/>
      <c r="BA449" s="112"/>
      <c r="BB449" s="112"/>
      <c r="BC449" s="112"/>
      <c r="BD449" s="112"/>
      <c r="BE449" s="112"/>
    </row>
    <row r="450" spans="2:57" x14ac:dyDescent="0.35">
      <c r="B450" s="59"/>
      <c r="C450" s="59"/>
      <c r="D450" s="104"/>
      <c r="E450" s="105"/>
      <c r="F450" s="105"/>
      <c r="G450" s="105"/>
      <c r="H450" s="68"/>
      <c r="I450" s="106"/>
      <c r="J450" s="107"/>
      <c r="K450" s="108"/>
      <c r="L450" s="108"/>
      <c r="M450" s="108"/>
      <c r="N450" s="108"/>
      <c r="O450" s="108"/>
      <c r="P450" s="108"/>
      <c r="Q450" s="108"/>
      <c r="R450" s="108"/>
      <c r="S450" s="108"/>
      <c r="T450" s="108"/>
      <c r="U450" s="108"/>
      <c r="V450" s="108"/>
      <c r="W450" s="108"/>
      <c r="X450" s="108"/>
      <c r="Y450" s="108"/>
      <c r="Z450" s="109"/>
      <c r="AA450" s="109"/>
      <c r="AB450" s="109"/>
      <c r="AC450" s="109"/>
      <c r="AD450" s="109"/>
      <c r="AE450" s="109"/>
      <c r="AF450" s="109"/>
      <c r="AG450" s="109"/>
      <c r="AH450" s="109"/>
      <c r="AI450" s="109"/>
      <c r="AJ450" s="109"/>
      <c r="AK450" s="109"/>
      <c r="AL450" s="109"/>
      <c r="AM450" s="109"/>
      <c r="AN450" s="110"/>
      <c r="AO450" s="110"/>
      <c r="AP450" s="111"/>
      <c r="AQ450" s="112"/>
      <c r="AR450" s="112"/>
      <c r="AS450" s="112"/>
      <c r="AT450" s="112"/>
      <c r="AU450" s="112"/>
      <c r="AV450" s="112"/>
      <c r="AW450" s="112"/>
      <c r="AX450" s="112"/>
      <c r="AY450" s="112"/>
      <c r="AZ450" s="112"/>
      <c r="BA450" s="112"/>
      <c r="BB450" s="112"/>
      <c r="BC450" s="112"/>
      <c r="BD450" s="112"/>
      <c r="BE450" s="112"/>
    </row>
    <row r="451" spans="2:57" x14ac:dyDescent="0.35">
      <c r="B451" s="59"/>
      <c r="C451" s="59"/>
      <c r="D451" s="104"/>
      <c r="E451" s="105"/>
      <c r="F451" s="105"/>
      <c r="G451" s="105"/>
      <c r="H451" s="68"/>
      <c r="I451" s="106"/>
      <c r="J451" s="107"/>
      <c r="K451" s="108"/>
      <c r="L451" s="108"/>
      <c r="M451" s="108"/>
      <c r="N451" s="108"/>
      <c r="O451" s="108"/>
      <c r="P451" s="108"/>
      <c r="Q451" s="108"/>
      <c r="R451" s="108"/>
      <c r="S451" s="108"/>
      <c r="T451" s="108"/>
      <c r="U451" s="108"/>
      <c r="V451" s="108"/>
      <c r="W451" s="108"/>
      <c r="X451" s="108"/>
      <c r="Y451" s="108"/>
      <c r="Z451" s="109"/>
      <c r="AA451" s="109"/>
      <c r="AB451" s="109"/>
      <c r="AC451" s="109"/>
      <c r="AD451" s="109"/>
      <c r="AE451" s="109"/>
      <c r="AF451" s="109"/>
      <c r="AG451" s="109"/>
      <c r="AH451" s="109"/>
      <c r="AI451" s="109"/>
      <c r="AJ451" s="109"/>
      <c r="AK451" s="109"/>
      <c r="AL451" s="109"/>
      <c r="AM451" s="109"/>
      <c r="AN451" s="110"/>
      <c r="AO451" s="110"/>
      <c r="AP451" s="111"/>
      <c r="AQ451" s="112"/>
      <c r="AR451" s="112"/>
      <c r="AS451" s="112"/>
      <c r="AT451" s="112"/>
      <c r="AU451" s="112"/>
      <c r="AV451" s="112"/>
      <c r="AW451" s="112"/>
      <c r="AX451" s="112"/>
      <c r="AY451" s="112"/>
      <c r="AZ451" s="112"/>
      <c r="BA451" s="112"/>
      <c r="BB451" s="112"/>
      <c r="BC451" s="112"/>
      <c r="BD451" s="112"/>
      <c r="BE451" s="112"/>
    </row>
    <row r="452" spans="2:57" x14ac:dyDescent="0.35">
      <c r="B452" s="59"/>
      <c r="C452" s="59"/>
      <c r="D452" s="104"/>
      <c r="E452" s="105"/>
      <c r="F452" s="105"/>
      <c r="G452" s="105"/>
      <c r="H452" s="68"/>
      <c r="I452" s="106"/>
      <c r="J452" s="107"/>
      <c r="K452" s="108"/>
      <c r="L452" s="108"/>
      <c r="M452" s="108"/>
      <c r="N452" s="108"/>
      <c r="O452" s="108"/>
      <c r="P452" s="108"/>
      <c r="Q452" s="108"/>
      <c r="R452" s="108"/>
      <c r="S452" s="108"/>
      <c r="T452" s="108"/>
      <c r="U452" s="108"/>
      <c r="V452" s="108"/>
      <c r="W452" s="108"/>
      <c r="X452" s="108"/>
      <c r="Y452" s="108"/>
      <c r="Z452" s="109"/>
      <c r="AA452" s="109"/>
      <c r="AB452" s="109"/>
      <c r="AC452" s="109"/>
      <c r="AD452" s="109"/>
      <c r="AE452" s="109"/>
      <c r="AF452" s="109"/>
      <c r="AG452" s="109"/>
      <c r="AH452" s="109"/>
      <c r="AI452" s="109"/>
      <c r="AJ452" s="109"/>
      <c r="AK452" s="109"/>
      <c r="AL452" s="109"/>
      <c r="AM452" s="109"/>
      <c r="AN452" s="110"/>
      <c r="AO452" s="110"/>
      <c r="AP452" s="111"/>
      <c r="AQ452" s="112"/>
      <c r="AR452" s="112"/>
      <c r="AS452" s="112"/>
      <c r="AT452" s="112"/>
      <c r="AU452" s="112"/>
      <c r="AV452" s="112"/>
      <c r="AW452" s="112"/>
      <c r="AX452" s="112"/>
      <c r="AY452" s="112"/>
      <c r="AZ452" s="112"/>
      <c r="BA452" s="112"/>
      <c r="BB452" s="112"/>
      <c r="BC452" s="112"/>
      <c r="BD452" s="112"/>
      <c r="BE452" s="112"/>
    </row>
    <row r="453" spans="2:57" x14ac:dyDescent="0.35">
      <c r="B453" s="59"/>
      <c r="C453" s="59"/>
      <c r="D453" s="104"/>
      <c r="E453" s="105"/>
      <c r="F453" s="105"/>
      <c r="G453" s="105"/>
      <c r="H453" s="68"/>
      <c r="I453" s="106"/>
      <c r="J453" s="107"/>
      <c r="K453" s="108"/>
      <c r="L453" s="108"/>
      <c r="M453" s="108"/>
      <c r="N453" s="108"/>
      <c r="O453" s="108"/>
      <c r="P453" s="108"/>
      <c r="Q453" s="108"/>
      <c r="R453" s="108"/>
      <c r="S453" s="108"/>
      <c r="T453" s="108"/>
      <c r="U453" s="108"/>
      <c r="V453" s="108"/>
      <c r="W453" s="108"/>
      <c r="X453" s="108"/>
      <c r="Y453" s="108"/>
      <c r="Z453" s="109"/>
      <c r="AA453" s="109"/>
      <c r="AB453" s="109"/>
      <c r="AC453" s="109"/>
      <c r="AD453" s="109"/>
      <c r="AE453" s="109"/>
      <c r="AF453" s="109"/>
      <c r="AG453" s="109"/>
      <c r="AH453" s="109"/>
      <c r="AI453" s="109"/>
      <c r="AJ453" s="109"/>
      <c r="AK453" s="109"/>
      <c r="AL453" s="109"/>
      <c r="AM453" s="109"/>
      <c r="AN453" s="110"/>
      <c r="AO453" s="110"/>
      <c r="AP453" s="111"/>
      <c r="AQ453" s="112"/>
      <c r="AR453" s="112"/>
      <c r="AS453" s="112"/>
      <c r="AT453" s="112"/>
      <c r="AU453" s="112"/>
      <c r="AV453" s="112"/>
      <c r="AW453" s="112"/>
      <c r="AX453" s="112"/>
      <c r="AY453" s="112"/>
      <c r="AZ453" s="112"/>
      <c r="BA453" s="112"/>
      <c r="BB453" s="112"/>
      <c r="BC453" s="112"/>
      <c r="BD453" s="112"/>
      <c r="BE453" s="112"/>
    </row>
    <row r="454" spans="2:57" x14ac:dyDescent="0.35">
      <c r="B454" s="59"/>
      <c r="C454" s="59"/>
      <c r="D454" s="104"/>
      <c r="E454" s="105"/>
      <c r="F454" s="105"/>
      <c r="G454" s="105"/>
      <c r="H454" s="68"/>
      <c r="I454" s="106"/>
      <c r="J454" s="107"/>
      <c r="K454" s="108"/>
      <c r="L454" s="108"/>
      <c r="M454" s="108"/>
      <c r="N454" s="108"/>
      <c r="O454" s="108"/>
      <c r="P454" s="108"/>
      <c r="Q454" s="108"/>
      <c r="R454" s="108"/>
      <c r="S454" s="108"/>
      <c r="T454" s="108"/>
      <c r="U454" s="108"/>
      <c r="V454" s="108"/>
      <c r="W454" s="108"/>
      <c r="X454" s="108"/>
      <c r="Y454" s="108"/>
      <c r="Z454" s="109"/>
      <c r="AA454" s="109"/>
      <c r="AB454" s="109"/>
      <c r="AC454" s="109"/>
      <c r="AD454" s="109"/>
      <c r="AE454" s="109"/>
      <c r="AF454" s="109"/>
      <c r="AG454" s="109"/>
      <c r="AH454" s="109"/>
      <c r="AI454" s="109"/>
      <c r="AJ454" s="109"/>
      <c r="AK454" s="109"/>
      <c r="AL454" s="109"/>
      <c r="AM454" s="109"/>
      <c r="AN454" s="110"/>
      <c r="AO454" s="110"/>
      <c r="AP454" s="111"/>
      <c r="AQ454" s="112"/>
      <c r="AR454" s="112"/>
      <c r="AS454" s="112"/>
      <c r="AT454" s="112"/>
      <c r="AU454" s="112"/>
      <c r="AV454" s="112"/>
      <c r="AW454" s="112"/>
      <c r="AX454" s="112"/>
      <c r="AY454" s="112"/>
      <c r="AZ454" s="112"/>
      <c r="BA454" s="112"/>
      <c r="BB454" s="112"/>
      <c r="BC454" s="112"/>
      <c r="BD454" s="112"/>
      <c r="BE454" s="112"/>
    </row>
    <row r="455" spans="2:57" x14ac:dyDescent="0.35">
      <c r="B455" s="59"/>
      <c r="C455" s="59"/>
      <c r="D455" s="104"/>
      <c r="E455" s="105"/>
      <c r="F455" s="105"/>
      <c r="G455" s="105"/>
      <c r="H455" s="68"/>
      <c r="I455" s="106"/>
      <c r="J455" s="107"/>
      <c r="K455" s="108"/>
      <c r="L455" s="108"/>
      <c r="M455" s="108"/>
      <c r="N455" s="108"/>
      <c r="O455" s="108"/>
      <c r="P455" s="108"/>
      <c r="Q455" s="108"/>
      <c r="R455" s="108"/>
      <c r="S455" s="108"/>
      <c r="T455" s="108"/>
      <c r="U455" s="108"/>
      <c r="V455" s="108"/>
      <c r="W455" s="108"/>
      <c r="X455" s="108"/>
      <c r="Y455" s="108"/>
      <c r="Z455" s="109"/>
      <c r="AA455" s="109"/>
      <c r="AB455" s="109"/>
      <c r="AC455" s="109"/>
      <c r="AD455" s="109"/>
      <c r="AE455" s="109"/>
      <c r="AF455" s="109"/>
      <c r="AG455" s="109"/>
      <c r="AH455" s="109"/>
      <c r="AI455" s="109"/>
      <c r="AJ455" s="109"/>
      <c r="AK455" s="109"/>
      <c r="AL455" s="109"/>
      <c r="AM455" s="109"/>
      <c r="AN455" s="110"/>
      <c r="AO455" s="110"/>
      <c r="AP455" s="111"/>
      <c r="AQ455" s="112"/>
      <c r="AR455" s="112"/>
      <c r="AS455" s="112"/>
      <c r="AT455" s="112"/>
      <c r="AU455" s="112"/>
      <c r="AV455" s="112"/>
      <c r="AW455" s="112"/>
      <c r="AX455" s="112"/>
      <c r="AY455" s="112"/>
      <c r="AZ455" s="112"/>
      <c r="BA455" s="112"/>
      <c r="BB455" s="112"/>
      <c r="BC455" s="112"/>
      <c r="BD455" s="112"/>
      <c r="BE455" s="112"/>
    </row>
    <row r="456" spans="2:57" x14ac:dyDescent="0.35">
      <c r="B456" s="59"/>
      <c r="C456" s="59"/>
      <c r="D456" s="104"/>
      <c r="E456" s="105"/>
      <c r="F456" s="105"/>
      <c r="G456" s="105"/>
      <c r="H456" s="68"/>
      <c r="I456" s="106"/>
      <c r="J456" s="107"/>
      <c r="K456" s="108"/>
      <c r="L456" s="108"/>
      <c r="M456" s="108"/>
      <c r="N456" s="108"/>
      <c r="O456" s="108"/>
      <c r="P456" s="108"/>
      <c r="Q456" s="108"/>
      <c r="R456" s="108"/>
      <c r="S456" s="108"/>
      <c r="T456" s="108"/>
      <c r="U456" s="108"/>
      <c r="V456" s="108"/>
      <c r="W456" s="108"/>
      <c r="X456" s="108"/>
      <c r="Y456" s="108"/>
      <c r="Z456" s="109"/>
      <c r="AA456" s="109"/>
      <c r="AB456" s="109"/>
      <c r="AC456" s="109"/>
      <c r="AD456" s="109"/>
      <c r="AE456" s="109"/>
      <c r="AF456" s="109"/>
      <c r="AG456" s="109"/>
      <c r="AH456" s="109"/>
      <c r="AI456" s="109"/>
      <c r="AJ456" s="109"/>
      <c r="AK456" s="109"/>
      <c r="AL456" s="109"/>
      <c r="AM456" s="109"/>
      <c r="AN456" s="110"/>
      <c r="AO456" s="110"/>
      <c r="AP456" s="111"/>
      <c r="AQ456" s="112"/>
      <c r="AR456" s="112"/>
      <c r="AS456" s="112"/>
      <c r="AT456" s="112"/>
      <c r="AU456" s="112"/>
      <c r="AV456" s="112"/>
      <c r="AW456" s="112"/>
      <c r="AX456" s="112"/>
      <c r="AY456" s="112"/>
      <c r="AZ456" s="112"/>
      <c r="BA456" s="112"/>
      <c r="BB456" s="112"/>
      <c r="BC456" s="112"/>
      <c r="BD456" s="112"/>
      <c r="BE456" s="112"/>
    </row>
    <row r="457" spans="2:57" x14ac:dyDescent="0.35">
      <c r="B457" s="59"/>
      <c r="C457" s="59"/>
      <c r="D457" s="104"/>
      <c r="E457" s="105"/>
      <c r="F457" s="105"/>
      <c r="G457" s="105"/>
      <c r="H457" s="68"/>
      <c r="I457" s="106"/>
      <c r="J457" s="107"/>
      <c r="K457" s="108"/>
      <c r="L457" s="108"/>
      <c r="M457" s="108"/>
      <c r="N457" s="108"/>
      <c r="O457" s="108"/>
      <c r="P457" s="108"/>
      <c r="Q457" s="108"/>
      <c r="R457" s="108"/>
      <c r="S457" s="108"/>
      <c r="T457" s="108"/>
      <c r="U457" s="108"/>
      <c r="V457" s="108"/>
      <c r="W457" s="108"/>
      <c r="X457" s="108"/>
      <c r="Y457" s="108"/>
      <c r="Z457" s="109"/>
      <c r="AA457" s="109"/>
      <c r="AB457" s="109"/>
      <c r="AC457" s="109"/>
      <c r="AD457" s="109"/>
      <c r="AE457" s="109"/>
      <c r="AF457" s="109"/>
      <c r="AG457" s="109"/>
      <c r="AH457" s="109"/>
      <c r="AI457" s="109"/>
      <c r="AJ457" s="109"/>
      <c r="AK457" s="109"/>
      <c r="AL457" s="109"/>
      <c r="AM457" s="109"/>
      <c r="AN457" s="110"/>
      <c r="AO457" s="110"/>
      <c r="AP457" s="111"/>
      <c r="AQ457" s="112"/>
      <c r="AR457" s="112"/>
      <c r="AS457" s="112"/>
      <c r="AT457" s="112"/>
      <c r="AU457" s="112"/>
      <c r="AV457" s="112"/>
      <c r="AW457" s="112"/>
      <c r="AX457" s="112"/>
      <c r="AY457" s="112"/>
      <c r="AZ457" s="112"/>
      <c r="BA457" s="112"/>
      <c r="BB457" s="112"/>
      <c r="BC457" s="112"/>
      <c r="BD457" s="112"/>
      <c r="BE457" s="112"/>
    </row>
    <row r="458" spans="2:57" x14ac:dyDescent="0.35">
      <c r="B458" s="59"/>
      <c r="C458" s="59"/>
      <c r="D458" s="104"/>
      <c r="E458" s="105"/>
      <c r="F458" s="105"/>
      <c r="G458" s="105"/>
      <c r="H458" s="68"/>
      <c r="I458" s="106"/>
      <c r="J458" s="107"/>
      <c r="K458" s="108"/>
      <c r="L458" s="108"/>
      <c r="M458" s="108"/>
      <c r="N458" s="108"/>
      <c r="O458" s="108"/>
      <c r="P458" s="108"/>
      <c r="Q458" s="108"/>
      <c r="R458" s="108"/>
      <c r="S458" s="108"/>
      <c r="T458" s="108"/>
      <c r="U458" s="108"/>
      <c r="V458" s="108"/>
      <c r="W458" s="108"/>
      <c r="X458" s="108"/>
      <c r="Y458" s="108"/>
      <c r="Z458" s="109"/>
      <c r="AA458" s="109"/>
      <c r="AB458" s="109"/>
      <c r="AC458" s="109"/>
      <c r="AD458" s="109"/>
      <c r="AE458" s="109"/>
      <c r="AF458" s="109"/>
      <c r="AG458" s="109"/>
      <c r="AH458" s="109"/>
      <c r="AI458" s="109"/>
      <c r="AJ458" s="109"/>
      <c r="AK458" s="109"/>
      <c r="AL458" s="109"/>
      <c r="AM458" s="109"/>
      <c r="AN458" s="110"/>
      <c r="AO458" s="110"/>
      <c r="AP458" s="111"/>
      <c r="AQ458" s="112"/>
      <c r="AR458" s="112"/>
      <c r="AS458" s="112"/>
      <c r="AT458" s="112"/>
      <c r="AU458" s="112"/>
      <c r="AV458" s="112"/>
      <c r="AW458" s="112"/>
      <c r="AX458" s="112"/>
      <c r="AY458" s="112"/>
      <c r="AZ458" s="112"/>
      <c r="BA458" s="112"/>
      <c r="BB458" s="112"/>
      <c r="BC458" s="112"/>
      <c r="BD458" s="112"/>
      <c r="BE458" s="112"/>
    </row>
    <row r="459" spans="2:57" x14ac:dyDescent="0.35">
      <c r="B459" s="59"/>
      <c r="C459" s="59"/>
      <c r="D459" s="104"/>
      <c r="E459" s="105"/>
      <c r="F459" s="105"/>
      <c r="G459" s="105"/>
      <c r="H459" s="68"/>
      <c r="I459" s="106"/>
      <c r="J459" s="107"/>
      <c r="K459" s="108"/>
      <c r="L459" s="108"/>
      <c r="M459" s="108"/>
      <c r="N459" s="108"/>
      <c r="O459" s="108"/>
      <c r="P459" s="108"/>
      <c r="Q459" s="108"/>
      <c r="R459" s="108"/>
      <c r="S459" s="108"/>
      <c r="T459" s="108"/>
      <c r="U459" s="108"/>
      <c r="V459" s="108"/>
      <c r="W459" s="108"/>
      <c r="X459" s="108"/>
      <c r="Y459" s="108"/>
      <c r="Z459" s="109"/>
      <c r="AA459" s="109"/>
      <c r="AB459" s="109"/>
      <c r="AC459" s="109"/>
      <c r="AD459" s="109"/>
      <c r="AE459" s="109"/>
      <c r="AF459" s="109"/>
      <c r="AG459" s="109"/>
      <c r="AH459" s="109"/>
      <c r="AI459" s="109"/>
      <c r="AJ459" s="109"/>
      <c r="AK459" s="109"/>
      <c r="AL459" s="109"/>
      <c r="AM459" s="109"/>
      <c r="AN459" s="110"/>
      <c r="AO459" s="110"/>
      <c r="AP459" s="111"/>
      <c r="AQ459" s="112"/>
      <c r="AR459" s="112"/>
      <c r="AS459" s="112"/>
      <c r="AT459" s="112"/>
      <c r="AU459" s="112"/>
      <c r="AV459" s="112"/>
      <c r="AW459" s="112"/>
      <c r="AX459" s="112"/>
      <c r="AY459" s="112"/>
      <c r="AZ459" s="112"/>
      <c r="BA459" s="112"/>
      <c r="BB459" s="112"/>
      <c r="BC459" s="112"/>
      <c r="BD459" s="112"/>
      <c r="BE459" s="112"/>
    </row>
    <row r="460" spans="2:57" x14ac:dyDescent="0.35">
      <c r="B460" s="59"/>
      <c r="C460" s="59"/>
      <c r="D460" s="104"/>
      <c r="E460" s="105"/>
      <c r="F460" s="105"/>
      <c r="G460" s="105"/>
      <c r="H460" s="68"/>
      <c r="I460" s="106"/>
      <c r="J460" s="107"/>
      <c r="K460" s="108"/>
      <c r="L460" s="108"/>
      <c r="M460" s="108"/>
      <c r="N460" s="108"/>
      <c r="O460" s="108"/>
      <c r="P460" s="108"/>
      <c r="Q460" s="108"/>
      <c r="R460" s="108"/>
      <c r="S460" s="108"/>
      <c r="T460" s="108"/>
      <c r="U460" s="108"/>
      <c r="V460" s="108"/>
      <c r="W460" s="108"/>
      <c r="X460" s="108"/>
      <c r="Y460" s="108"/>
      <c r="Z460" s="109"/>
      <c r="AA460" s="109"/>
      <c r="AB460" s="109"/>
      <c r="AC460" s="109"/>
      <c r="AD460" s="109"/>
      <c r="AE460" s="109"/>
      <c r="AF460" s="109"/>
      <c r="AG460" s="109"/>
      <c r="AH460" s="109"/>
      <c r="AI460" s="109"/>
      <c r="AJ460" s="109"/>
      <c r="AK460" s="109"/>
      <c r="AL460" s="109"/>
      <c r="AM460" s="109"/>
      <c r="AN460" s="110"/>
      <c r="AO460" s="110"/>
      <c r="AP460" s="111"/>
      <c r="AQ460" s="112"/>
      <c r="AR460" s="112"/>
      <c r="AS460" s="112"/>
      <c r="AT460" s="112"/>
      <c r="AU460" s="112"/>
      <c r="AV460" s="112"/>
      <c r="AW460" s="112"/>
      <c r="AX460" s="112"/>
      <c r="AY460" s="112"/>
      <c r="AZ460" s="112"/>
      <c r="BA460" s="112"/>
      <c r="BB460" s="112"/>
      <c r="BC460" s="112"/>
      <c r="BD460" s="112"/>
      <c r="BE460" s="112"/>
    </row>
    <row r="461" spans="2:57" x14ac:dyDescent="0.35">
      <c r="B461" s="59"/>
      <c r="C461" s="59"/>
      <c r="D461" s="104"/>
      <c r="E461" s="105"/>
      <c r="F461" s="105"/>
      <c r="G461" s="105"/>
      <c r="H461" s="68"/>
      <c r="I461" s="106"/>
      <c r="J461" s="107"/>
      <c r="K461" s="108"/>
      <c r="L461" s="108"/>
      <c r="M461" s="108"/>
      <c r="N461" s="108"/>
      <c r="O461" s="108"/>
      <c r="P461" s="108"/>
      <c r="Q461" s="108"/>
      <c r="R461" s="108"/>
      <c r="S461" s="108"/>
      <c r="T461" s="108"/>
      <c r="U461" s="108"/>
      <c r="V461" s="108"/>
      <c r="W461" s="108"/>
      <c r="X461" s="108"/>
      <c r="Y461" s="108"/>
      <c r="Z461" s="109"/>
      <c r="AA461" s="109"/>
      <c r="AB461" s="109"/>
      <c r="AC461" s="109"/>
      <c r="AD461" s="109"/>
      <c r="AE461" s="109"/>
      <c r="AF461" s="109"/>
      <c r="AG461" s="109"/>
      <c r="AH461" s="109"/>
      <c r="AI461" s="109"/>
      <c r="AJ461" s="109"/>
      <c r="AK461" s="109"/>
      <c r="AL461" s="109"/>
      <c r="AM461" s="109"/>
      <c r="AN461" s="110"/>
      <c r="AO461" s="110"/>
      <c r="AP461" s="111"/>
      <c r="AQ461" s="112"/>
      <c r="AR461" s="112"/>
      <c r="AS461" s="112"/>
      <c r="AT461" s="112"/>
      <c r="AU461" s="112"/>
      <c r="AV461" s="112"/>
      <c r="AW461" s="112"/>
      <c r="AX461" s="112"/>
      <c r="AY461" s="112"/>
      <c r="AZ461" s="112"/>
      <c r="BA461" s="112"/>
      <c r="BB461" s="112"/>
      <c r="BC461" s="112"/>
      <c r="BD461" s="112"/>
      <c r="BE461" s="112"/>
    </row>
    <row r="462" spans="2:57" x14ac:dyDescent="0.35">
      <c r="B462" s="59"/>
      <c r="C462" s="59"/>
      <c r="D462" s="104"/>
      <c r="E462" s="105"/>
      <c r="F462" s="105"/>
      <c r="G462" s="105"/>
      <c r="H462" s="68"/>
      <c r="I462" s="106"/>
      <c r="J462" s="107"/>
      <c r="K462" s="108"/>
      <c r="L462" s="108"/>
      <c r="M462" s="108"/>
      <c r="N462" s="108"/>
      <c r="O462" s="108"/>
      <c r="P462" s="108"/>
      <c r="Q462" s="108"/>
      <c r="R462" s="108"/>
      <c r="S462" s="108"/>
      <c r="T462" s="108"/>
      <c r="U462" s="108"/>
      <c r="V462" s="108"/>
      <c r="W462" s="108"/>
      <c r="X462" s="108"/>
      <c r="Y462" s="108"/>
      <c r="Z462" s="109"/>
      <c r="AA462" s="109"/>
      <c r="AB462" s="109"/>
      <c r="AC462" s="109"/>
      <c r="AD462" s="109"/>
      <c r="AE462" s="109"/>
      <c r="AF462" s="109"/>
      <c r="AG462" s="109"/>
      <c r="AH462" s="109"/>
      <c r="AI462" s="109"/>
      <c r="AJ462" s="109"/>
      <c r="AK462" s="109"/>
      <c r="AL462" s="109"/>
      <c r="AM462" s="109"/>
      <c r="AN462" s="110"/>
      <c r="AO462" s="110"/>
      <c r="AP462" s="111"/>
      <c r="AQ462" s="112"/>
      <c r="AR462" s="112"/>
      <c r="AS462" s="112"/>
      <c r="AT462" s="112"/>
      <c r="AU462" s="112"/>
      <c r="AV462" s="112"/>
      <c r="AW462" s="112"/>
      <c r="AX462" s="112"/>
      <c r="AY462" s="112"/>
      <c r="AZ462" s="112"/>
      <c r="BA462" s="112"/>
      <c r="BB462" s="112"/>
      <c r="BC462" s="112"/>
      <c r="BD462" s="112"/>
      <c r="BE462" s="112"/>
    </row>
    <row r="463" spans="2:57" x14ac:dyDescent="0.35">
      <c r="B463" s="59"/>
      <c r="C463" s="59"/>
      <c r="D463" s="104"/>
      <c r="E463" s="105"/>
      <c r="F463" s="105"/>
      <c r="G463" s="105"/>
      <c r="H463" s="68"/>
      <c r="I463" s="106"/>
      <c r="J463" s="107"/>
      <c r="K463" s="108"/>
      <c r="L463" s="108"/>
      <c r="M463" s="108"/>
      <c r="N463" s="108"/>
      <c r="O463" s="108"/>
      <c r="P463" s="108"/>
      <c r="Q463" s="108"/>
      <c r="R463" s="108"/>
      <c r="S463" s="108"/>
      <c r="T463" s="108"/>
      <c r="U463" s="108"/>
      <c r="V463" s="108"/>
      <c r="W463" s="108"/>
      <c r="X463" s="108"/>
      <c r="Y463" s="108"/>
      <c r="Z463" s="109"/>
      <c r="AA463" s="109"/>
      <c r="AB463" s="109"/>
      <c r="AC463" s="109"/>
      <c r="AD463" s="109"/>
      <c r="AE463" s="109"/>
      <c r="AF463" s="109"/>
      <c r="AG463" s="109"/>
      <c r="AH463" s="109"/>
      <c r="AI463" s="109"/>
      <c r="AJ463" s="109"/>
      <c r="AK463" s="109"/>
      <c r="AL463" s="109"/>
      <c r="AM463" s="109"/>
      <c r="AN463" s="110"/>
      <c r="AO463" s="110"/>
      <c r="AP463" s="111"/>
      <c r="AQ463" s="112"/>
      <c r="AR463" s="112"/>
      <c r="AS463" s="112"/>
      <c r="AT463" s="112"/>
      <c r="AU463" s="112"/>
      <c r="AV463" s="112"/>
      <c r="AW463" s="112"/>
      <c r="AX463" s="112"/>
      <c r="AY463" s="112"/>
      <c r="AZ463" s="112"/>
      <c r="BA463" s="112"/>
      <c r="BB463" s="112"/>
      <c r="BC463" s="112"/>
      <c r="BD463" s="112"/>
      <c r="BE463" s="112"/>
    </row>
    <row r="464" spans="2:57" x14ac:dyDescent="0.35">
      <c r="B464" s="59"/>
      <c r="C464" s="59"/>
      <c r="D464" s="104"/>
      <c r="E464" s="105"/>
      <c r="F464" s="105"/>
      <c r="G464" s="105"/>
      <c r="H464" s="68"/>
      <c r="I464" s="106"/>
      <c r="J464" s="107"/>
      <c r="K464" s="108"/>
      <c r="L464" s="108"/>
      <c r="M464" s="108"/>
      <c r="N464" s="108"/>
      <c r="O464" s="108"/>
      <c r="P464" s="108"/>
      <c r="Q464" s="108"/>
      <c r="R464" s="108"/>
      <c r="S464" s="108"/>
      <c r="T464" s="108"/>
      <c r="U464" s="108"/>
      <c r="V464" s="108"/>
      <c r="W464" s="108"/>
      <c r="X464" s="108"/>
      <c r="Y464" s="108"/>
      <c r="Z464" s="109"/>
      <c r="AA464" s="109"/>
      <c r="AB464" s="109"/>
      <c r="AC464" s="109"/>
      <c r="AD464" s="109"/>
      <c r="AE464" s="109"/>
      <c r="AF464" s="109"/>
      <c r="AG464" s="109"/>
      <c r="AH464" s="109"/>
      <c r="AI464" s="109"/>
      <c r="AJ464" s="109"/>
      <c r="AK464" s="109"/>
      <c r="AL464" s="109"/>
      <c r="AM464" s="109"/>
      <c r="AN464" s="110"/>
      <c r="AO464" s="110"/>
      <c r="AP464" s="111"/>
      <c r="AQ464" s="112"/>
      <c r="AR464" s="112"/>
      <c r="AS464" s="112"/>
      <c r="AT464" s="112"/>
      <c r="AU464" s="112"/>
      <c r="AV464" s="112"/>
      <c r="AW464" s="112"/>
      <c r="AX464" s="112"/>
      <c r="AY464" s="112"/>
      <c r="AZ464" s="112"/>
      <c r="BA464" s="112"/>
      <c r="BB464" s="112"/>
      <c r="BC464" s="112"/>
      <c r="BD464" s="112"/>
      <c r="BE464" s="112"/>
    </row>
    <row r="465" spans="2:57" x14ac:dyDescent="0.35">
      <c r="B465" s="59"/>
      <c r="C465" s="59"/>
      <c r="D465" s="104"/>
      <c r="E465" s="105"/>
      <c r="F465" s="105"/>
      <c r="G465" s="105"/>
      <c r="H465" s="68"/>
      <c r="I465" s="106"/>
      <c r="J465" s="107"/>
      <c r="K465" s="108"/>
      <c r="L465" s="108"/>
      <c r="M465" s="108"/>
      <c r="N465" s="108"/>
      <c r="O465" s="108"/>
      <c r="P465" s="108"/>
      <c r="Q465" s="108"/>
      <c r="R465" s="108"/>
      <c r="S465" s="108"/>
      <c r="T465" s="108"/>
      <c r="U465" s="108"/>
      <c r="V465" s="108"/>
      <c r="W465" s="108"/>
      <c r="X465" s="108"/>
      <c r="Y465" s="108"/>
      <c r="Z465" s="109"/>
      <c r="AA465" s="109"/>
      <c r="AB465" s="109"/>
      <c r="AC465" s="109"/>
      <c r="AD465" s="109"/>
      <c r="AE465" s="109"/>
      <c r="AF465" s="109"/>
      <c r="AG465" s="109"/>
      <c r="AH465" s="109"/>
      <c r="AI465" s="109"/>
      <c r="AJ465" s="109"/>
      <c r="AK465" s="109"/>
      <c r="AL465" s="109"/>
      <c r="AM465" s="109"/>
      <c r="AN465" s="110"/>
      <c r="AO465" s="110"/>
      <c r="AP465" s="111"/>
      <c r="AQ465" s="112"/>
      <c r="AR465" s="112"/>
      <c r="AS465" s="112"/>
      <c r="AT465" s="112"/>
      <c r="AU465" s="112"/>
      <c r="AV465" s="112"/>
      <c r="AW465" s="112"/>
      <c r="AX465" s="112"/>
      <c r="AY465" s="112"/>
      <c r="AZ465" s="112"/>
      <c r="BA465" s="112"/>
      <c r="BB465" s="112"/>
      <c r="BC465" s="112"/>
      <c r="BD465" s="112"/>
      <c r="BE465" s="112"/>
    </row>
    <row r="466" spans="2:57" x14ac:dyDescent="0.35">
      <c r="B466" s="59"/>
      <c r="C466" s="59"/>
      <c r="D466" s="104"/>
      <c r="E466" s="105"/>
      <c r="F466" s="105"/>
      <c r="G466" s="105"/>
      <c r="H466" s="68"/>
      <c r="I466" s="106"/>
      <c r="J466" s="107"/>
      <c r="K466" s="108"/>
      <c r="L466" s="108"/>
      <c r="M466" s="108"/>
      <c r="N466" s="108"/>
      <c r="O466" s="108"/>
      <c r="P466" s="108"/>
      <c r="Q466" s="108"/>
      <c r="R466" s="108"/>
      <c r="S466" s="108"/>
      <c r="T466" s="108"/>
      <c r="U466" s="108"/>
      <c r="V466" s="108"/>
      <c r="W466" s="108"/>
      <c r="X466" s="108"/>
      <c r="Y466" s="108"/>
      <c r="Z466" s="109"/>
      <c r="AA466" s="109"/>
      <c r="AB466" s="109"/>
      <c r="AC466" s="109"/>
      <c r="AD466" s="109"/>
      <c r="AE466" s="109"/>
      <c r="AF466" s="109"/>
      <c r="AG466" s="109"/>
      <c r="AH466" s="109"/>
      <c r="AI466" s="109"/>
      <c r="AJ466" s="109"/>
      <c r="AK466" s="109"/>
      <c r="AL466" s="109"/>
      <c r="AM466" s="109"/>
      <c r="AN466" s="110"/>
      <c r="AO466" s="110"/>
      <c r="AP466" s="111"/>
      <c r="AQ466" s="112"/>
      <c r="AR466" s="112"/>
      <c r="AS466" s="112"/>
      <c r="AT466" s="112"/>
      <c r="AU466" s="112"/>
      <c r="AV466" s="112"/>
      <c r="AW466" s="112"/>
      <c r="AX466" s="112"/>
      <c r="AY466" s="112"/>
      <c r="AZ466" s="112"/>
      <c r="BA466" s="112"/>
      <c r="BB466" s="112"/>
      <c r="BC466" s="112"/>
      <c r="BD466" s="112"/>
      <c r="BE466" s="112"/>
    </row>
    <row r="467" spans="2:57" x14ac:dyDescent="0.35">
      <c r="B467" s="59"/>
      <c r="C467" s="59"/>
      <c r="D467" s="104"/>
      <c r="E467" s="105"/>
      <c r="F467" s="105"/>
      <c r="G467" s="105"/>
      <c r="H467" s="68"/>
      <c r="I467" s="106"/>
      <c r="J467" s="107"/>
      <c r="K467" s="108"/>
      <c r="L467" s="108"/>
      <c r="M467" s="108"/>
      <c r="N467" s="108"/>
      <c r="O467" s="108"/>
      <c r="P467" s="108"/>
      <c r="Q467" s="108"/>
      <c r="R467" s="108"/>
      <c r="S467" s="108"/>
      <c r="T467" s="108"/>
      <c r="U467" s="108"/>
      <c r="V467" s="108"/>
      <c r="W467" s="108"/>
      <c r="X467" s="108"/>
      <c r="Y467" s="108"/>
      <c r="Z467" s="109"/>
      <c r="AA467" s="109"/>
      <c r="AB467" s="109"/>
      <c r="AC467" s="109"/>
      <c r="AD467" s="109"/>
      <c r="AE467" s="109"/>
      <c r="AF467" s="109"/>
      <c r="AG467" s="109"/>
      <c r="AH467" s="109"/>
      <c r="AI467" s="109"/>
      <c r="AJ467" s="109"/>
      <c r="AK467" s="109"/>
      <c r="AL467" s="109"/>
      <c r="AM467" s="109"/>
      <c r="AN467" s="110"/>
      <c r="AO467" s="110"/>
      <c r="AP467" s="111"/>
      <c r="AQ467" s="112"/>
      <c r="AR467" s="112"/>
      <c r="AS467" s="112"/>
      <c r="AT467" s="112"/>
      <c r="AU467" s="112"/>
      <c r="AV467" s="112"/>
      <c r="AW467" s="112"/>
      <c r="AX467" s="112"/>
      <c r="AY467" s="112"/>
      <c r="AZ467" s="112"/>
      <c r="BA467" s="112"/>
      <c r="BB467" s="112"/>
      <c r="BC467" s="112"/>
      <c r="BD467" s="112"/>
      <c r="BE467" s="112"/>
    </row>
    <row r="468" spans="2:57" x14ac:dyDescent="0.35">
      <c r="B468" s="59"/>
      <c r="C468" s="59"/>
      <c r="D468" s="104"/>
      <c r="E468" s="105"/>
      <c r="F468" s="105"/>
      <c r="G468" s="105"/>
      <c r="H468" s="68"/>
      <c r="I468" s="106"/>
      <c r="J468" s="107"/>
      <c r="K468" s="108"/>
      <c r="L468" s="108"/>
      <c r="M468" s="108"/>
      <c r="N468" s="108"/>
      <c r="O468" s="108"/>
      <c r="P468" s="108"/>
      <c r="Q468" s="108"/>
      <c r="R468" s="108"/>
      <c r="S468" s="108"/>
      <c r="T468" s="108"/>
      <c r="U468" s="108"/>
      <c r="V468" s="108"/>
      <c r="W468" s="108"/>
      <c r="X468" s="108"/>
      <c r="Y468" s="108"/>
      <c r="Z468" s="109"/>
      <c r="AA468" s="109"/>
      <c r="AB468" s="109"/>
      <c r="AC468" s="109"/>
      <c r="AD468" s="109"/>
      <c r="AE468" s="109"/>
      <c r="AF468" s="109"/>
      <c r="AG468" s="109"/>
      <c r="AH468" s="109"/>
      <c r="AI468" s="109"/>
      <c r="AJ468" s="109"/>
      <c r="AK468" s="109"/>
      <c r="AL468" s="109"/>
      <c r="AM468" s="109"/>
      <c r="AN468" s="110"/>
      <c r="AO468" s="110"/>
      <c r="AP468" s="111"/>
      <c r="AQ468" s="112"/>
      <c r="AR468" s="112"/>
      <c r="AS468" s="112"/>
      <c r="AT468" s="112"/>
      <c r="AU468" s="112"/>
      <c r="AV468" s="112"/>
      <c r="AW468" s="112"/>
      <c r="AX468" s="112"/>
      <c r="AY468" s="112"/>
      <c r="AZ468" s="112"/>
      <c r="BA468" s="112"/>
      <c r="BB468" s="112"/>
      <c r="BC468" s="112"/>
      <c r="BD468" s="112"/>
      <c r="BE468" s="112"/>
    </row>
    <row r="469" spans="2:57" x14ac:dyDescent="0.35">
      <c r="B469" s="59"/>
      <c r="C469" s="59"/>
      <c r="D469" s="104"/>
      <c r="E469" s="105"/>
      <c r="F469" s="105"/>
      <c r="G469" s="105"/>
      <c r="H469" s="68"/>
      <c r="I469" s="106"/>
      <c r="J469" s="107"/>
      <c r="K469" s="108"/>
      <c r="L469" s="108"/>
      <c r="M469" s="108"/>
      <c r="N469" s="108"/>
      <c r="O469" s="108"/>
      <c r="P469" s="108"/>
      <c r="Q469" s="108"/>
      <c r="R469" s="108"/>
      <c r="S469" s="108"/>
      <c r="T469" s="108"/>
      <c r="U469" s="108"/>
      <c r="V469" s="108"/>
      <c r="W469" s="108"/>
      <c r="X469" s="108"/>
      <c r="Y469" s="108"/>
      <c r="Z469" s="109"/>
      <c r="AA469" s="109"/>
      <c r="AB469" s="109"/>
      <c r="AC469" s="109"/>
      <c r="AD469" s="109"/>
      <c r="AE469" s="109"/>
      <c r="AF469" s="109"/>
      <c r="AG469" s="109"/>
      <c r="AH469" s="109"/>
      <c r="AI469" s="109"/>
      <c r="AJ469" s="109"/>
      <c r="AK469" s="109"/>
      <c r="AL469" s="109"/>
      <c r="AM469" s="109"/>
      <c r="AN469" s="110"/>
      <c r="AO469" s="110"/>
      <c r="AP469" s="111"/>
      <c r="AQ469" s="112"/>
      <c r="AR469" s="112"/>
      <c r="AS469" s="112"/>
      <c r="AT469" s="112"/>
      <c r="AU469" s="112"/>
      <c r="AV469" s="112"/>
      <c r="AW469" s="112"/>
      <c r="AX469" s="112"/>
      <c r="AY469" s="112"/>
      <c r="AZ469" s="112"/>
      <c r="BA469" s="112"/>
      <c r="BB469" s="112"/>
      <c r="BC469" s="112"/>
      <c r="BD469" s="112"/>
      <c r="BE469" s="112"/>
    </row>
    <row r="470" spans="2:57" x14ac:dyDescent="0.35">
      <c r="B470" s="59"/>
      <c r="C470" s="59"/>
      <c r="D470" s="104"/>
      <c r="E470" s="105"/>
      <c r="F470" s="105"/>
      <c r="G470" s="105"/>
      <c r="H470" s="68"/>
      <c r="I470" s="106"/>
      <c r="J470" s="107"/>
      <c r="K470" s="108"/>
      <c r="L470" s="108"/>
      <c r="M470" s="108"/>
      <c r="N470" s="108"/>
      <c r="O470" s="108"/>
      <c r="P470" s="108"/>
      <c r="Q470" s="108"/>
      <c r="R470" s="108"/>
      <c r="S470" s="108"/>
      <c r="T470" s="108"/>
      <c r="U470" s="108"/>
      <c r="V470" s="108"/>
      <c r="W470" s="108"/>
      <c r="X470" s="108"/>
      <c r="Y470" s="108"/>
      <c r="Z470" s="109"/>
      <c r="AA470" s="109"/>
      <c r="AB470" s="109"/>
      <c r="AC470" s="109"/>
      <c r="AD470" s="109"/>
      <c r="AE470" s="109"/>
      <c r="AF470" s="109"/>
      <c r="AG470" s="109"/>
      <c r="AH470" s="109"/>
      <c r="AI470" s="109"/>
      <c r="AJ470" s="109"/>
      <c r="AK470" s="109"/>
      <c r="AL470" s="109"/>
      <c r="AM470" s="109"/>
      <c r="AN470" s="110"/>
      <c r="AO470" s="110"/>
      <c r="AP470" s="111"/>
      <c r="AQ470" s="112"/>
      <c r="AR470" s="112"/>
      <c r="AS470" s="112"/>
      <c r="AT470" s="112"/>
      <c r="AU470" s="112"/>
      <c r="AV470" s="112"/>
      <c r="AW470" s="112"/>
      <c r="AX470" s="112"/>
      <c r="AY470" s="112"/>
      <c r="AZ470" s="112"/>
      <c r="BA470" s="112"/>
      <c r="BB470" s="112"/>
      <c r="BC470" s="112"/>
      <c r="BD470" s="112"/>
      <c r="BE470" s="112"/>
    </row>
    <row r="471" spans="2:57" x14ac:dyDescent="0.35">
      <c r="B471" s="59"/>
      <c r="C471" s="59"/>
      <c r="D471" s="104"/>
      <c r="E471" s="105"/>
      <c r="F471" s="105"/>
      <c r="G471" s="105"/>
      <c r="H471" s="68"/>
      <c r="I471" s="106"/>
      <c r="J471" s="107"/>
      <c r="K471" s="108"/>
      <c r="L471" s="108"/>
      <c r="M471" s="108"/>
      <c r="N471" s="108"/>
      <c r="O471" s="108"/>
      <c r="P471" s="108"/>
      <c r="Q471" s="108"/>
      <c r="R471" s="108"/>
      <c r="S471" s="108"/>
      <c r="T471" s="108"/>
      <c r="U471" s="108"/>
      <c r="V471" s="108"/>
      <c r="W471" s="108"/>
      <c r="X471" s="108"/>
      <c r="Y471" s="108"/>
      <c r="Z471" s="109"/>
      <c r="AA471" s="109"/>
      <c r="AB471" s="109"/>
      <c r="AC471" s="109"/>
      <c r="AD471" s="109"/>
      <c r="AE471" s="109"/>
      <c r="AF471" s="109"/>
      <c r="AG471" s="109"/>
      <c r="AH471" s="109"/>
      <c r="AI471" s="109"/>
      <c r="AJ471" s="109"/>
      <c r="AK471" s="109"/>
      <c r="AL471" s="109"/>
      <c r="AM471" s="109"/>
      <c r="AN471" s="110"/>
      <c r="AO471" s="110"/>
      <c r="AP471" s="111"/>
      <c r="AQ471" s="112"/>
      <c r="AR471" s="112"/>
      <c r="AS471" s="112"/>
      <c r="AT471" s="112"/>
      <c r="AU471" s="112"/>
      <c r="AV471" s="112"/>
      <c r="AW471" s="112"/>
      <c r="AX471" s="112"/>
      <c r="AY471" s="112"/>
      <c r="AZ471" s="112"/>
      <c r="BA471" s="112"/>
      <c r="BB471" s="112"/>
      <c r="BC471" s="112"/>
      <c r="BD471" s="112"/>
      <c r="BE471" s="112"/>
    </row>
    <row r="472" spans="2:57" x14ac:dyDescent="0.35">
      <c r="B472" s="59"/>
      <c r="C472" s="59"/>
      <c r="D472" s="104"/>
      <c r="E472" s="105"/>
      <c r="F472" s="105"/>
      <c r="G472" s="105"/>
      <c r="H472" s="68"/>
      <c r="I472" s="106"/>
      <c r="J472" s="107"/>
      <c r="K472" s="108"/>
      <c r="L472" s="108"/>
      <c r="M472" s="108"/>
      <c r="N472" s="108"/>
      <c r="O472" s="108"/>
      <c r="P472" s="108"/>
      <c r="Q472" s="108"/>
      <c r="R472" s="108"/>
      <c r="S472" s="108"/>
      <c r="T472" s="108"/>
      <c r="U472" s="108"/>
      <c r="V472" s="108"/>
      <c r="W472" s="108"/>
      <c r="X472" s="108"/>
      <c r="Y472" s="108"/>
      <c r="Z472" s="109"/>
      <c r="AA472" s="109"/>
      <c r="AB472" s="109"/>
      <c r="AC472" s="109"/>
      <c r="AD472" s="109"/>
      <c r="AE472" s="109"/>
      <c r="AF472" s="109"/>
      <c r="AG472" s="109"/>
      <c r="AH472" s="109"/>
      <c r="AI472" s="109"/>
      <c r="AJ472" s="109"/>
      <c r="AK472" s="109"/>
      <c r="AL472" s="109"/>
      <c r="AM472" s="109"/>
      <c r="AN472" s="110"/>
      <c r="AO472" s="110"/>
      <c r="AP472" s="111"/>
      <c r="AQ472" s="112"/>
      <c r="AR472" s="112"/>
      <c r="AS472" s="112"/>
      <c r="AT472" s="112"/>
      <c r="AU472" s="112"/>
      <c r="AV472" s="112"/>
      <c r="AW472" s="112"/>
      <c r="AX472" s="112"/>
      <c r="AY472" s="112"/>
      <c r="AZ472" s="112"/>
      <c r="BA472" s="112"/>
      <c r="BB472" s="112"/>
      <c r="BC472" s="112"/>
      <c r="BD472" s="112"/>
      <c r="BE472" s="112"/>
    </row>
    <row r="473" spans="2:57" x14ac:dyDescent="0.35">
      <c r="B473" s="59"/>
      <c r="C473" s="59"/>
      <c r="D473" s="104"/>
      <c r="E473" s="105"/>
      <c r="F473" s="105"/>
      <c r="G473" s="105"/>
      <c r="H473" s="68"/>
      <c r="I473" s="106"/>
      <c r="J473" s="107"/>
      <c r="K473" s="108"/>
      <c r="L473" s="108"/>
      <c r="M473" s="108"/>
      <c r="N473" s="108"/>
      <c r="O473" s="108"/>
      <c r="P473" s="108"/>
      <c r="Q473" s="108"/>
      <c r="R473" s="108"/>
      <c r="S473" s="108"/>
      <c r="T473" s="108"/>
      <c r="U473" s="108"/>
      <c r="V473" s="108"/>
      <c r="W473" s="108"/>
      <c r="X473" s="108"/>
      <c r="Y473" s="108"/>
      <c r="Z473" s="109"/>
      <c r="AA473" s="109"/>
      <c r="AB473" s="109"/>
      <c r="AC473" s="109"/>
      <c r="AD473" s="109"/>
      <c r="AE473" s="109"/>
      <c r="AF473" s="109"/>
      <c r="AG473" s="109"/>
      <c r="AH473" s="109"/>
      <c r="AI473" s="109"/>
      <c r="AJ473" s="109"/>
      <c r="AK473" s="109"/>
      <c r="AL473" s="109"/>
      <c r="AM473" s="109"/>
      <c r="AN473" s="110"/>
      <c r="AO473" s="110"/>
      <c r="AP473" s="111"/>
      <c r="AQ473" s="112"/>
      <c r="AR473" s="112"/>
      <c r="AS473" s="112"/>
      <c r="AT473" s="112"/>
      <c r="AU473" s="112"/>
      <c r="AV473" s="112"/>
      <c r="AW473" s="112"/>
      <c r="AX473" s="112"/>
      <c r="AY473" s="112"/>
      <c r="AZ473" s="112"/>
      <c r="BA473" s="112"/>
      <c r="BB473" s="112"/>
      <c r="BC473" s="112"/>
      <c r="BD473" s="112"/>
      <c r="BE473" s="112"/>
    </row>
    <row r="474" spans="2:57" x14ac:dyDescent="0.35">
      <c r="B474" s="59"/>
      <c r="C474" s="59"/>
      <c r="D474" s="104"/>
      <c r="E474" s="105"/>
      <c r="F474" s="105"/>
      <c r="G474" s="105"/>
      <c r="H474" s="68"/>
      <c r="I474" s="106"/>
      <c r="J474" s="107"/>
      <c r="K474" s="108"/>
      <c r="L474" s="108"/>
      <c r="M474" s="108"/>
      <c r="N474" s="108"/>
      <c r="O474" s="108"/>
      <c r="P474" s="108"/>
      <c r="Q474" s="108"/>
      <c r="R474" s="108"/>
      <c r="S474" s="108"/>
      <c r="T474" s="108"/>
      <c r="U474" s="108"/>
      <c r="V474" s="108"/>
      <c r="W474" s="108"/>
      <c r="X474" s="108"/>
      <c r="Y474" s="108"/>
      <c r="Z474" s="109"/>
      <c r="AA474" s="109"/>
      <c r="AB474" s="109"/>
      <c r="AC474" s="109"/>
      <c r="AD474" s="109"/>
      <c r="AE474" s="109"/>
      <c r="AF474" s="109"/>
      <c r="AG474" s="109"/>
      <c r="AH474" s="109"/>
      <c r="AI474" s="109"/>
      <c r="AJ474" s="109"/>
      <c r="AK474" s="109"/>
      <c r="AL474" s="109"/>
      <c r="AM474" s="109"/>
      <c r="AN474" s="110"/>
      <c r="AO474" s="110"/>
      <c r="AP474" s="111"/>
      <c r="AQ474" s="112"/>
      <c r="AR474" s="112"/>
      <c r="AS474" s="112"/>
      <c r="AT474" s="112"/>
      <c r="AU474" s="112"/>
      <c r="AV474" s="112"/>
      <c r="AW474" s="112"/>
      <c r="AX474" s="112"/>
      <c r="AY474" s="112"/>
      <c r="AZ474" s="112"/>
      <c r="BA474" s="112"/>
      <c r="BB474" s="112"/>
      <c r="BC474" s="112"/>
      <c r="BD474" s="112"/>
      <c r="BE474" s="112"/>
    </row>
    <row r="475" spans="2:57" x14ac:dyDescent="0.35">
      <c r="B475" s="59"/>
      <c r="C475" s="59"/>
      <c r="D475" s="104"/>
      <c r="E475" s="105"/>
      <c r="F475" s="105"/>
      <c r="G475" s="105"/>
      <c r="H475" s="68"/>
      <c r="I475" s="106"/>
      <c r="J475" s="107"/>
      <c r="K475" s="108"/>
      <c r="L475" s="108"/>
      <c r="M475" s="108"/>
      <c r="N475" s="108"/>
      <c r="O475" s="108"/>
      <c r="P475" s="108"/>
      <c r="Q475" s="108"/>
      <c r="R475" s="108"/>
      <c r="S475" s="108"/>
      <c r="T475" s="108"/>
      <c r="U475" s="108"/>
      <c r="V475" s="108"/>
      <c r="W475" s="108"/>
      <c r="X475" s="108"/>
      <c r="Y475" s="108"/>
      <c r="Z475" s="109"/>
      <c r="AA475" s="109"/>
      <c r="AB475" s="109"/>
      <c r="AC475" s="109"/>
      <c r="AD475" s="109"/>
      <c r="AE475" s="109"/>
      <c r="AF475" s="109"/>
      <c r="AG475" s="109"/>
      <c r="AH475" s="109"/>
      <c r="AI475" s="109"/>
      <c r="AJ475" s="109"/>
      <c r="AK475" s="109"/>
      <c r="AL475" s="109"/>
      <c r="AM475" s="109"/>
      <c r="AN475" s="110"/>
      <c r="AO475" s="110"/>
      <c r="AP475" s="111"/>
      <c r="AQ475" s="112"/>
      <c r="AR475" s="112"/>
      <c r="AS475" s="112"/>
      <c r="AT475" s="112"/>
      <c r="AU475" s="112"/>
      <c r="AV475" s="112"/>
      <c r="AW475" s="112"/>
      <c r="AX475" s="112"/>
      <c r="AY475" s="112"/>
      <c r="AZ475" s="112"/>
      <c r="BA475" s="112"/>
      <c r="BB475" s="112"/>
      <c r="BC475" s="112"/>
      <c r="BD475" s="112"/>
      <c r="BE475" s="112"/>
    </row>
    <row r="476" spans="2:57" x14ac:dyDescent="0.35">
      <c r="B476" s="59"/>
      <c r="C476" s="59"/>
      <c r="D476" s="104"/>
      <c r="E476" s="105"/>
      <c r="F476" s="105"/>
      <c r="G476" s="105"/>
      <c r="H476" s="68"/>
      <c r="I476" s="106"/>
      <c r="J476" s="107"/>
      <c r="K476" s="108"/>
      <c r="L476" s="108"/>
      <c r="M476" s="108"/>
      <c r="N476" s="108"/>
      <c r="O476" s="108"/>
      <c r="P476" s="108"/>
      <c r="Q476" s="108"/>
      <c r="R476" s="108"/>
      <c r="S476" s="108"/>
      <c r="T476" s="108"/>
      <c r="U476" s="108"/>
      <c r="V476" s="108"/>
      <c r="W476" s="108"/>
      <c r="X476" s="108"/>
      <c r="Y476" s="108"/>
      <c r="Z476" s="109"/>
      <c r="AA476" s="109"/>
      <c r="AB476" s="109"/>
      <c r="AC476" s="109"/>
      <c r="AD476" s="109"/>
      <c r="AE476" s="109"/>
      <c r="AF476" s="109"/>
      <c r="AG476" s="109"/>
      <c r="AH476" s="109"/>
      <c r="AI476" s="109"/>
      <c r="AJ476" s="109"/>
      <c r="AK476" s="109"/>
      <c r="AL476" s="109"/>
      <c r="AM476" s="109"/>
      <c r="AN476" s="110"/>
      <c r="AO476" s="110"/>
      <c r="AP476" s="111"/>
      <c r="AQ476" s="112"/>
      <c r="AR476" s="112"/>
      <c r="AS476" s="112"/>
      <c r="AT476" s="112"/>
      <c r="AU476" s="112"/>
      <c r="AV476" s="112"/>
      <c r="AW476" s="112"/>
      <c r="AX476" s="112"/>
      <c r="AY476" s="112"/>
      <c r="AZ476" s="112"/>
      <c r="BA476" s="112"/>
      <c r="BB476" s="112"/>
      <c r="BC476" s="112"/>
      <c r="BD476" s="112"/>
      <c r="BE476" s="112"/>
    </row>
    <row r="477" spans="2:57" x14ac:dyDescent="0.35">
      <c r="B477" s="59"/>
      <c r="C477" s="59"/>
      <c r="D477" s="104"/>
      <c r="E477" s="105"/>
      <c r="F477" s="105"/>
      <c r="G477" s="105"/>
      <c r="H477" s="68"/>
      <c r="I477" s="106"/>
      <c r="J477" s="107"/>
      <c r="K477" s="108"/>
      <c r="L477" s="108"/>
      <c r="M477" s="108"/>
      <c r="N477" s="108"/>
      <c r="O477" s="108"/>
      <c r="P477" s="108"/>
      <c r="Q477" s="108"/>
      <c r="R477" s="108"/>
      <c r="S477" s="108"/>
      <c r="T477" s="108"/>
      <c r="U477" s="108"/>
      <c r="V477" s="108"/>
      <c r="W477" s="108"/>
      <c r="X477" s="108"/>
      <c r="Y477" s="108"/>
      <c r="Z477" s="109"/>
      <c r="AA477" s="109"/>
      <c r="AB477" s="109"/>
      <c r="AC477" s="109"/>
      <c r="AD477" s="109"/>
      <c r="AE477" s="109"/>
      <c r="AF477" s="109"/>
      <c r="AG477" s="109"/>
      <c r="AH477" s="109"/>
      <c r="AI477" s="109"/>
      <c r="AJ477" s="109"/>
      <c r="AK477" s="109"/>
      <c r="AL477" s="109"/>
      <c r="AM477" s="109"/>
      <c r="AN477" s="110"/>
      <c r="AO477" s="110"/>
      <c r="AP477" s="111"/>
      <c r="AQ477" s="112"/>
      <c r="AR477" s="112"/>
      <c r="AS477" s="112"/>
      <c r="AT477" s="112"/>
      <c r="AU477" s="112"/>
      <c r="AV477" s="112"/>
      <c r="AW477" s="112"/>
      <c r="AX477" s="112"/>
      <c r="AY477" s="112"/>
      <c r="AZ477" s="112"/>
      <c r="BA477" s="112"/>
      <c r="BB477" s="112"/>
      <c r="BC477" s="112"/>
      <c r="BD477" s="112"/>
      <c r="BE477" s="112"/>
    </row>
    <row r="478" spans="2:57" x14ac:dyDescent="0.35">
      <c r="B478" s="59"/>
      <c r="C478" s="59"/>
      <c r="D478" s="104"/>
      <c r="E478" s="105"/>
      <c r="F478" s="105"/>
      <c r="G478" s="105"/>
      <c r="H478" s="68"/>
      <c r="I478" s="106"/>
      <c r="J478" s="107"/>
      <c r="K478" s="108"/>
      <c r="L478" s="108"/>
      <c r="M478" s="108"/>
      <c r="N478" s="108"/>
      <c r="O478" s="108"/>
      <c r="P478" s="108"/>
      <c r="Q478" s="108"/>
      <c r="R478" s="108"/>
      <c r="S478" s="108"/>
      <c r="T478" s="108"/>
      <c r="U478" s="108"/>
      <c r="V478" s="108"/>
      <c r="W478" s="108"/>
      <c r="X478" s="108"/>
      <c r="Y478" s="108"/>
      <c r="Z478" s="109"/>
      <c r="AA478" s="109"/>
      <c r="AB478" s="109"/>
      <c r="AC478" s="109"/>
      <c r="AD478" s="109"/>
      <c r="AE478" s="109"/>
      <c r="AF478" s="109"/>
      <c r="AG478" s="109"/>
      <c r="AH478" s="109"/>
      <c r="AI478" s="109"/>
      <c r="AJ478" s="109"/>
      <c r="AK478" s="109"/>
      <c r="AL478" s="109"/>
      <c r="AM478" s="109"/>
      <c r="AN478" s="110"/>
      <c r="AO478" s="110"/>
      <c r="AP478" s="111"/>
      <c r="AQ478" s="112"/>
      <c r="AR478" s="112"/>
      <c r="AS478" s="112"/>
      <c r="AT478" s="112"/>
      <c r="AU478" s="112"/>
      <c r="AV478" s="112"/>
      <c r="AW478" s="112"/>
      <c r="AX478" s="112"/>
      <c r="AY478" s="112"/>
      <c r="AZ478" s="112"/>
      <c r="BA478" s="112"/>
      <c r="BB478" s="112"/>
      <c r="BC478" s="112"/>
      <c r="BD478" s="112"/>
      <c r="BE478" s="112"/>
    </row>
    <row r="479" spans="2:57" x14ac:dyDescent="0.35">
      <c r="B479" s="59"/>
      <c r="C479" s="59"/>
      <c r="D479" s="104"/>
      <c r="E479" s="105"/>
      <c r="F479" s="105"/>
      <c r="G479" s="105"/>
      <c r="H479" s="68"/>
      <c r="I479" s="106"/>
      <c r="J479" s="107"/>
      <c r="K479" s="108"/>
      <c r="L479" s="108"/>
      <c r="M479" s="108"/>
      <c r="N479" s="108"/>
      <c r="O479" s="108"/>
      <c r="P479" s="108"/>
      <c r="Q479" s="108"/>
      <c r="R479" s="108"/>
      <c r="S479" s="108"/>
      <c r="T479" s="108"/>
      <c r="U479" s="108"/>
      <c r="V479" s="108"/>
      <c r="W479" s="108"/>
      <c r="X479" s="108"/>
      <c r="Y479" s="108"/>
      <c r="Z479" s="109"/>
      <c r="AA479" s="109"/>
      <c r="AB479" s="109"/>
      <c r="AC479" s="109"/>
      <c r="AD479" s="109"/>
      <c r="AE479" s="109"/>
      <c r="AF479" s="109"/>
      <c r="AG479" s="109"/>
      <c r="AH479" s="109"/>
      <c r="AI479" s="109"/>
      <c r="AJ479" s="109"/>
      <c r="AK479" s="109"/>
      <c r="AL479" s="109"/>
      <c r="AM479" s="109"/>
      <c r="AN479" s="110"/>
      <c r="AO479" s="110"/>
      <c r="AP479" s="111"/>
      <c r="AQ479" s="112"/>
      <c r="AR479" s="112"/>
      <c r="AS479" s="112"/>
      <c r="AT479" s="112"/>
      <c r="AU479" s="112"/>
      <c r="AV479" s="112"/>
      <c r="AW479" s="112"/>
      <c r="AX479" s="112"/>
      <c r="AY479" s="112"/>
      <c r="AZ479" s="112"/>
      <c r="BA479" s="112"/>
      <c r="BB479" s="112"/>
      <c r="BC479" s="112"/>
      <c r="BD479" s="112"/>
      <c r="BE479" s="112"/>
    </row>
    <row r="480" spans="2:57" x14ac:dyDescent="0.35">
      <c r="B480" s="59"/>
      <c r="C480" s="59"/>
      <c r="D480" s="104"/>
      <c r="E480" s="105"/>
      <c r="F480" s="105"/>
      <c r="G480" s="105"/>
      <c r="H480" s="68"/>
      <c r="I480" s="106"/>
      <c r="J480" s="107"/>
      <c r="K480" s="108"/>
      <c r="L480" s="108"/>
      <c r="M480" s="108"/>
      <c r="N480" s="108"/>
      <c r="O480" s="108"/>
      <c r="P480" s="108"/>
      <c r="Q480" s="108"/>
      <c r="R480" s="108"/>
      <c r="S480" s="108"/>
      <c r="T480" s="108"/>
      <c r="U480" s="108"/>
      <c r="V480" s="108"/>
      <c r="W480" s="108"/>
      <c r="X480" s="108"/>
      <c r="Y480" s="108"/>
      <c r="Z480" s="109"/>
      <c r="AA480" s="109"/>
      <c r="AB480" s="109"/>
      <c r="AC480" s="109"/>
      <c r="AD480" s="109"/>
      <c r="AE480" s="109"/>
      <c r="AF480" s="109"/>
      <c r="AG480" s="109"/>
      <c r="AH480" s="109"/>
      <c r="AI480" s="109"/>
      <c r="AJ480" s="109"/>
      <c r="AK480" s="109"/>
      <c r="AL480" s="109"/>
      <c r="AM480" s="109"/>
      <c r="AN480" s="110"/>
      <c r="AO480" s="110"/>
      <c r="AP480" s="111"/>
      <c r="AQ480" s="112"/>
      <c r="AR480" s="112"/>
      <c r="AS480" s="112"/>
      <c r="AT480" s="112"/>
      <c r="AU480" s="112"/>
      <c r="AV480" s="112"/>
      <c r="AW480" s="112"/>
      <c r="AX480" s="112"/>
      <c r="AY480" s="112"/>
      <c r="AZ480" s="112"/>
      <c r="BA480" s="112"/>
      <c r="BB480" s="112"/>
      <c r="BC480" s="112"/>
      <c r="BD480" s="112"/>
      <c r="BE480" s="112"/>
    </row>
    <row r="481" spans="2:57" x14ac:dyDescent="0.35">
      <c r="B481" s="59"/>
      <c r="C481" s="59"/>
      <c r="D481" s="104"/>
      <c r="E481" s="105"/>
      <c r="F481" s="105"/>
      <c r="G481" s="105"/>
      <c r="H481" s="68"/>
      <c r="I481" s="106"/>
      <c r="J481" s="107"/>
      <c r="K481" s="108"/>
      <c r="L481" s="108"/>
      <c r="M481" s="108"/>
      <c r="N481" s="108"/>
      <c r="O481" s="108"/>
      <c r="P481" s="108"/>
      <c r="Q481" s="108"/>
      <c r="R481" s="108"/>
      <c r="S481" s="108"/>
      <c r="T481" s="108"/>
      <c r="U481" s="108"/>
      <c r="V481" s="108"/>
      <c r="W481" s="108"/>
      <c r="X481" s="108"/>
      <c r="Y481" s="108"/>
      <c r="Z481" s="109"/>
      <c r="AA481" s="109"/>
      <c r="AB481" s="109"/>
      <c r="AC481" s="109"/>
      <c r="AD481" s="109"/>
      <c r="AE481" s="109"/>
      <c r="AF481" s="109"/>
      <c r="AG481" s="109"/>
      <c r="AH481" s="109"/>
      <c r="AI481" s="109"/>
      <c r="AJ481" s="109"/>
      <c r="AK481" s="109"/>
      <c r="AL481" s="109"/>
      <c r="AM481" s="109"/>
      <c r="AN481" s="110"/>
      <c r="AO481" s="110"/>
      <c r="AP481" s="111"/>
      <c r="AQ481" s="112"/>
      <c r="AR481" s="112"/>
      <c r="AS481" s="112"/>
      <c r="AT481" s="112"/>
      <c r="AU481" s="112"/>
      <c r="AV481" s="112"/>
      <c r="AW481" s="112"/>
      <c r="AX481" s="112"/>
      <c r="AY481" s="112"/>
      <c r="AZ481" s="112"/>
      <c r="BA481" s="112"/>
      <c r="BB481" s="112"/>
      <c r="BC481" s="112"/>
      <c r="BD481" s="112"/>
      <c r="BE481" s="112"/>
    </row>
    <row r="482" spans="2:57" x14ac:dyDescent="0.35">
      <c r="B482" s="59"/>
      <c r="C482" s="59"/>
      <c r="D482" s="104"/>
      <c r="E482" s="105"/>
      <c r="F482" s="105"/>
      <c r="G482" s="105"/>
      <c r="H482" s="68"/>
      <c r="I482" s="106"/>
      <c r="J482" s="107"/>
      <c r="K482" s="108"/>
      <c r="L482" s="108"/>
      <c r="M482" s="108"/>
      <c r="N482" s="108"/>
      <c r="O482" s="108"/>
      <c r="P482" s="108"/>
      <c r="Q482" s="108"/>
      <c r="R482" s="108"/>
      <c r="S482" s="108"/>
      <c r="T482" s="108"/>
      <c r="U482" s="108"/>
      <c r="V482" s="108"/>
      <c r="W482" s="108"/>
      <c r="X482" s="108"/>
      <c r="Y482" s="108"/>
      <c r="Z482" s="109"/>
      <c r="AA482" s="109"/>
      <c r="AB482" s="109"/>
      <c r="AC482" s="109"/>
      <c r="AD482" s="109"/>
      <c r="AE482" s="109"/>
      <c r="AF482" s="109"/>
      <c r="AG482" s="109"/>
      <c r="AH482" s="109"/>
      <c r="AI482" s="109"/>
      <c r="AJ482" s="109"/>
      <c r="AK482" s="109"/>
      <c r="AL482" s="109"/>
      <c r="AM482" s="109"/>
      <c r="AN482" s="110"/>
      <c r="AO482" s="110"/>
      <c r="AP482" s="111"/>
      <c r="AQ482" s="112"/>
      <c r="AR482" s="112"/>
      <c r="AS482" s="112"/>
      <c r="AT482" s="112"/>
      <c r="AU482" s="112"/>
      <c r="AV482" s="112"/>
      <c r="AW482" s="112"/>
      <c r="AX482" s="112"/>
      <c r="AY482" s="112"/>
      <c r="AZ482" s="112"/>
      <c r="BA482" s="112"/>
      <c r="BB482" s="112"/>
      <c r="BC482" s="112"/>
      <c r="BD482" s="112"/>
      <c r="BE482" s="112"/>
    </row>
    <row r="483" spans="2:57" x14ac:dyDescent="0.35">
      <c r="B483" s="59"/>
      <c r="C483" s="59"/>
      <c r="D483" s="104"/>
      <c r="E483" s="105"/>
      <c r="F483" s="105"/>
      <c r="G483" s="105"/>
      <c r="H483" s="68"/>
      <c r="I483" s="106"/>
      <c r="J483" s="107"/>
      <c r="K483" s="108"/>
      <c r="L483" s="108"/>
      <c r="M483" s="108"/>
      <c r="N483" s="108"/>
      <c r="O483" s="108"/>
      <c r="P483" s="108"/>
      <c r="Q483" s="108"/>
      <c r="R483" s="108"/>
      <c r="S483" s="108"/>
      <c r="T483" s="108"/>
      <c r="U483" s="108"/>
      <c r="V483" s="108"/>
      <c r="W483" s="108"/>
      <c r="X483" s="108"/>
      <c r="Y483" s="108"/>
      <c r="Z483" s="109"/>
      <c r="AA483" s="109"/>
      <c r="AB483" s="109"/>
      <c r="AC483" s="109"/>
      <c r="AD483" s="109"/>
      <c r="AE483" s="109"/>
      <c r="AF483" s="109"/>
      <c r="AG483" s="109"/>
      <c r="AH483" s="109"/>
      <c r="AI483" s="109"/>
      <c r="AJ483" s="109"/>
      <c r="AK483" s="109"/>
      <c r="AL483" s="109"/>
      <c r="AM483" s="109"/>
      <c r="AN483" s="110"/>
      <c r="AO483" s="110"/>
      <c r="AP483" s="111"/>
      <c r="AQ483" s="112"/>
      <c r="AR483" s="112"/>
      <c r="AS483" s="112"/>
      <c r="AT483" s="112"/>
      <c r="AU483" s="112"/>
      <c r="AV483" s="112"/>
      <c r="AW483" s="112"/>
      <c r="AX483" s="112"/>
      <c r="AY483" s="112"/>
      <c r="AZ483" s="112"/>
      <c r="BA483" s="112"/>
      <c r="BB483" s="112"/>
      <c r="BC483" s="112"/>
      <c r="BD483" s="112"/>
      <c r="BE483" s="112"/>
    </row>
    <row r="484" spans="2:57" x14ac:dyDescent="0.35">
      <c r="B484" s="59"/>
      <c r="C484" s="59"/>
      <c r="D484" s="104"/>
      <c r="E484" s="105"/>
      <c r="F484" s="105"/>
      <c r="G484" s="105"/>
      <c r="H484" s="68"/>
      <c r="I484" s="106"/>
      <c r="J484" s="107"/>
      <c r="K484" s="108"/>
      <c r="L484" s="108"/>
      <c r="M484" s="108"/>
      <c r="N484" s="108"/>
      <c r="O484" s="108"/>
      <c r="P484" s="108"/>
      <c r="Q484" s="108"/>
      <c r="R484" s="108"/>
      <c r="S484" s="108"/>
      <c r="T484" s="108"/>
      <c r="U484" s="108"/>
      <c r="V484" s="108"/>
      <c r="W484" s="108"/>
      <c r="X484" s="108"/>
      <c r="Y484" s="108"/>
      <c r="Z484" s="109"/>
      <c r="AA484" s="109"/>
      <c r="AB484" s="109"/>
      <c r="AC484" s="109"/>
      <c r="AD484" s="109"/>
      <c r="AE484" s="109"/>
      <c r="AF484" s="109"/>
      <c r="AG484" s="109"/>
      <c r="AH484" s="109"/>
      <c r="AI484" s="109"/>
      <c r="AJ484" s="109"/>
      <c r="AK484" s="109"/>
      <c r="AL484" s="109"/>
      <c r="AM484" s="109"/>
      <c r="AN484" s="110"/>
      <c r="AO484" s="110"/>
      <c r="AP484" s="111"/>
      <c r="AQ484" s="112"/>
      <c r="AR484" s="112"/>
      <c r="AS484" s="112"/>
      <c r="AT484" s="112"/>
      <c r="AU484" s="112"/>
      <c r="AV484" s="112"/>
      <c r="AW484" s="112"/>
      <c r="AX484" s="112"/>
      <c r="AY484" s="112"/>
      <c r="AZ484" s="112"/>
      <c r="BA484" s="112"/>
      <c r="BB484" s="112"/>
      <c r="BC484" s="112"/>
      <c r="BD484" s="112"/>
      <c r="BE484" s="112"/>
    </row>
    <row r="485" spans="2:57" x14ac:dyDescent="0.35">
      <c r="B485" s="59"/>
      <c r="C485" s="59"/>
      <c r="D485" s="104"/>
      <c r="E485" s="105"/>
      <c r="F485" s="105"/>
      <c r="G485" s="105"/>
      <c r="H485" s="68"/>
      <c r="I485" s="106"/>
      <c r="J485" s="107"/>
      <c r="K485" s="108"/>
      <c r="L485" s="108"/>
      <c r="M485" s="108"/>
      <c r="N485" s="108"/>
      <c r="O485" s="108"/>
      <c r="P485" s="108"/>
      <c r="Q485" s="108"/>
      <c r="R485" s="108"/>
      <c r="S485" s="108"/>
      <c r="T485" s="108"/>
      <c r="U485" s="108"/>
      <c r="V485" s="108"/>
      <c r="W485" s="108"/>
      <c r="X485" s="108"/>
      <c r="Y485" s="108"/>
      <c r="Z485" s="109"/>
      <c r="AA485" s="109"/>
      <c r="AB485" s="109"/>
      <c r="AC485" s="109"/>
      <c r="AD485" s="109"/>
      <c r="AE485" s="109"/>
      <c r="AF485" s="109"/>
      <c r="AG485" s="109"/>
      <c r="AH485" s="109"/>
      <c r="AI485" s="109"/>
      <c r="AJ485" s="109"/>
      <c r="AK485" s="109"/>
      <c r="AL485" s="109"/>
      <c r="AM485" s="109"/>
      <c r="AN485" s="110"/>
      <c r="AO485" s="110"/>
      <c r="AP485" s="111"/>
      <c r="AQ485" s="112"/>
      <c r="AR485" s="112"/>
      <c r="AS485" s="112"/>
      <c r="AT485" s="112"/>
      <c r="AU485" s="112"/>
      <c r="AV485" s="112"/>
      <c r="AW485" s="112"/>
      <c r="AX485" s="112"/>
      <c r="AY485" s="112"/>
      <c r="AZ485" s="112"/>
      <c r="BA485" s="112"/>
      <c r="BB485" s="112"/>
      <c r="BC485" s="112"/>
      <c r="BD485" s="112"/>
      <c r="BE485" s="112"/>
    </row>
    <row r="486" spans="2:57" x14ac:dyDescent="0.35">
      <c r="B486" s="59"/>
      <c r="C486" s="59"/>
      <c r="D486" s="104"/>
      <c r="E486" s="105"/>
      <c r="F486" s="105"/>
      <c r="G486" s="105"/>
      <c r="H486" s="68"/>
      <c r="I486" s="106"/>
      <c r="J486" s="107"/>
      <c r="K486" s="108"/>
      <c r="L486" s="108"/>
      <c r="M486" s="108"/>
      <c r="N486" s="108"/>
      <c r="O486" s="108"/>
      <c r="P486" s="108"/>
      <c r="Q486" s="108"/>
      <c r="R486" s="108"/>
      <c r="S486" s="108"/>
      <c r="T486" s="108"/>
      <c r="U486" s="108"/>
      <c r="V486" s="108"/>
      <c r="W486" s="108"/>
      <c r="X486" s="108"/>
      <c r="Y486" s="108"/>
      <c r="Z486" s="109"/>
      <c r="AA486" s="109"/>
      <c r="AB486" s="109"/>
      <c r="AC486" s="109"/>
      <c r="AD486" s="109"/>
      <c r="AE486" s="109"/>
      <c r="AF486" s="109"/>
      <c r="AG486" s="109"/>
      <c r="AH486" s="109"/>
      <c r="AI486" s="109"/>
      <c r="AJ486" s="109"/>
      <c r="AK486" s="109"/>
      <c r="AL486" s="109"/>
      <c r="AM486" s="109"/>
      <c r="AN486" s="110"/>
      <c r="AO486" s="110"/>
      <c r="AP486" s="111"/>
      <c r="AQ486" s="112"/>
      <c r="AR486" s="112"/>
      <c r="AS486" s="112"/>
      <c r="AT486" s="112"/>
      <c r="AU486" s="112"/>
      <c r="AV486" s="112"/>
      <c r="AW486" s="112"/>
      <c r="AX486" s="112"/>
      <c r="AY486" s="112"/>
      <c r="AZ486" s="112"/>
      <c r="BA486" s="112"/>
      <c r="BB486" s="112"/>
      <c r="BC486" s="112"/>
      <c r="BD486" s="112"/>
      <c r="BE486" s="112"/>
    </row>
    <row r="487" spans="2:57" x14ac:dyDescent="0.35">
      <c r="B487" s="59"/>
      <c r="C487" s="59"/>
      <c r="D487" s="104"/>
      <c r="E487" s="105"/>
      <c r="F487" s="105"/>
      <c r="G487" s="105"/>
      <c r="H487" s="68"/>
      <c r="I487" s="106"/>
      <c r="J487" s="107"/>
      <c r="K487" s="108"/>
      <c r="L487" s="108"/>
      <c r="M487" s="108"/>
      <c r="N487" s="108"/>
      <c r="O487" s="108"/>
      <c r="P487" s="108"/>
      <c r="Q487" s="108"/>
      <c r="R487" s="108"/>
      <c r="S487" s="108"/>
      <c r="T487" s="108"/>
      <c r="U487" s="108"/>
      <c r="V487" s="108"/>
      <c r="W487" s="108"/>
      <c r="X487" s="108"/>
      <c r="Y487" s="108"/>
      <c r="Z487" s="109"/>
      <c r="AA487" s="109"/>
      <c r="AB487" s="109"/>
      <c r="AC487" s="109"/>
      <c r="AD487" s="109"/>
      <c r="AE487" s="109"/>
      <c r="AF487" s="109"/>
      <c r="AG487" s="109"/>
      <c r="AH487" s="109"/>
      <c r="AI487" s="109"/>
      <c r="AJ487" s="109"/>
      <c r="AK487" s="109"/>
      <c r="AL487" s="109"/>
      <c r="AM487" s="109"/>
      <c r="AN487" s="110"/>
      <c r="AO487" s="110"/>
      <c r="AP487" s="111"/>
      <c r="AQ487" s="112"/>
      <c r="AR487" s="112"/>
      <c r="AS487" s="112"/>
      <c r="AT487" s="112"/>
      <c r="AU487" s="112"/>
      <c r="AV487" s="112"/>
      <c r="AW487" s="112"/>
      <c r="AX487" s="112"/>
      <c r="AY487" s="112"/>
      <c r="AZ487" s="112"/>
      <c r="BA487" s="112"/>
      <c r="BB487" s="112"/>
      <c r="BC487" s="112"/>
      <c r="BD487" s="112"/>
      <c r="BE487" s="112"/>
    </row>
    <row r="488" spans="2:57" x14ac:dyDescent="0.35">
      <c r="B488" s="59"/>
      <c r="C488" s="59"/>
      <c r="D488" s="104"/>
      <c r="E488" s="105"/>
      <c r="F488" s="105"/>
      <c r="G488" s="105"/>
      <c r="H488" s="68"/>
      <c r="I488" s="106"/>
      <c r="J488" s="107"/>
      <c r="K488" s="108"/>
      <c r="L488" s="108"/>
      <c r="M488" s="108"/>
      <c r="N488" s="108"/>
      <c r="O488" s="108"/>
      <c r="P488" s="108"/>
      <c r="Q488" s="108"/>
      <c r="R488" s="108"/>
      <c r="S488" s="108"/>
      <c r="T488" s="108"/>
      <c r="U488" s="108"/>
      <c r="V488" s="108"/>
      <c r="W488" s="108"/>
      <c r="X488" s="108"/>
      <c r="Y488" s="108"/>
      <c r="Z488" s="109"/>
      <c r="AA488" s="109"/>
      <c r="AB488" s="109"/>
      <c r="AC488" s="109"/>
      <c r="AD488" s="109"/>
      <c r="AE488" s="109"/>
      <c r="AF488" s="109"/>
      <c r="AG488" s="109"/>
      <c r="AH488" s="109"/>
      <c r="AI488" s="109"/>
      <c r="AJ488" s="109"/>
      <c r="AK488" s="109"/>
      <c r="AL488" s="109"/>
      <c r="AM488" s="109"/>
      <c r="AN488" s="110"/>
      <c r="AO488" s="110"/>
      <c r="AP488" s="111"/>
      <c r="AQ488" s="112"/>
      <c r="AR488" s="112"/>
      <c r="AS488" s="112"/>
      <c r="AT488" s="112"/>
      <c r="AU488" s="112"/>
      <c r="AV488" s="112"/>
      <c r="AW488" s="112"/>
      <c r="AX488" s="112"/>
      <c r="AY488" s="112"/>
      <c r="AZ488" s="112"/>
      <c r="BA488" s="112"/>
      <c r="BB488" s="112"/>
      <c r="BC488" s="112"/>
      <c r="BD488" s="112"/>
      <c r="BE488" s="112"/>
    </row>
    <row r="489" spans="2:57" x14ac:dyDescent="0.35">
      <c r="B489" s="59"/>
      <c r="C489" s="59"/>
      <c r="D489" s="104"/>
      <c r="E489" s="105"/>
      <c r="F489" s="105"/>
      <c r="G489" s="105"/>
      <c r="H489" s="68"/>
      <c r="I489" s="106"/>
      <c r="J489" s="107"/>
      <c r="K489" s="108"/>
      <c r="L489" s="108"/>
      <c r="M489" s="108"/>
      <c r="N489" s="108"/>
      <c r="O489" s="108"/>
      <c r="P489" s="108"/>
      <c r="Q489" s="108"/>
      <c r="R489" s="108"/>
      <c r="S489" s="108"/>
      <c r="T489" s="108"/>
      <c r="U489" s="108"/>
      <c r="V489" s="108"/>
      <c r="W489" s="108"/>
      <c r="X489" s="108"/>
      <c r="Y489" s="108"/>
      <c r="Z489" s="109"/>
      <c r="AA489" s="109"/>
      <c r="AB489" s="109"/>
      <c r="AC489" s="109"/>
      <c r="AD489" s="109"/>
      <c r="AE489" s="109"/>
      <c r="AF489" s="109"/>
      <c r="AG489" s="109"/>
      <c r="AH489" s="109"/>
      <c r="AI489" s="109"/>
      <c r="AJ489" s="109"/>
      <c r="AK489" s="109"/>
      <c r="AL489" s="109"/>
      <c r="AM489" s="109"/>
      <c r="AN489" s="110"/>
      <c r="AO489" s="110"/>
      <c r="AP489" s="111"/>
      <c r="AQ489" s="112"/>
      <c r="AR489" s="112"/>
      <c r="AS489" s="112"/>
      <c r="AT489" s="112"/>
      <c r="AU489" s="112"/>
      <c r="AV489" s="112"/>
      <c r="AW489" s="112"/>
      <c r="AX489" s="112"/>
      <c r="AY489" s="112"/>
      <c r="AZ489" s="112"/>
      <c r="BA489" s="112"/>
      <c r="BB489" s="112"/>
      <c r="BC489" s="112"/>
      <c r="BD489" s="112"/>
      <c r="BE489" s="112"/>
    </row>
    <row r="490" spans="2:57" x14ac:dyDescent="0.35">
      <c r="B490" s="59"/>
      <c r="C490" s="59"/>
      <c r="D490" s="104"/>
      <c r="E490" s="105"/>
      <c r="F490" s="105"/>
      <c r="G490" s="105"/>
      <c r="H490" s="68"/>
      <c r="I490" s="106"/>
      <c r="J490" s="107"/>
      <c r="K490" s="108"/>
      <c r="L490" s="108"/>
      <c r="M490" s="108"/>
      <c r="N490" s="108"/>
      <c r="O490" s="108"/>
      <c r="P490" s="108"/>
      <c r="Q490" s="108"/>
      <c r="R490" s="108"/>
      <c r="S490" s="108"/>
      <c r="T490" s="108"/>
      <c r="U490" s="108"/>
      <c r="V490" s="108"/>
      <c r="W490" s="108"/>
      <c r="X490" s="108"/>
      <c r="Y490" s="108"/>
      <c r="Z490" s="109"/>
      <c r="AA490" s="109"/>
      <c r="AB490" s="109"/>
      <c r="AC490" s="109"/>
      <c r="AD490" s="109"/>
      <c r="AE490" s="109"/>
      <c r="AF490" s="109"/>
      <c r="AG490" s="109"/>
      <c r="AH490" s="109"/>
      <c r="AI490" s="109"/>
      <c r="AJ490" s="109"/>
      <c r="AK490" s="109"/>
      <c r="AL490" s="109"/>
      <c r="AM490" s="109"/>
      <c r="AN490" s="110"/>
      <c r="AO490" s="110"/>
      <c r="AP490" s="111"/>
      <c r="AQ490" s="112"/>
      <c r="AR490" s="112"/>
      <c r="AS490" s="112"/>
      <c r="AT490" s="112"/>
      <c r="AU490" s="112"/>
      <c r="AV490" s="112"/>
      <c r="AW490" s="112"/>
      <c r="AX490" s="112"/>
      <c r="AY490" s="112"/>
      <c r="AZ490" s="112"/>
      <c r="BA490" s="112"/>
      <c r="BB490" s="112"/>
      <c r="BC490" s="112"/>
      <c r="BD490" s="112"/>
      <c r="BE490" s="112"/>
    </row>
    <row r="491" spans="2:57" x14ac:dyDescent="0.35">
      <c r="B491" s="59"/>
      <c r="C491" s="59"/>
      <c r="D491" s="104"/>
      <c r="E491" s="105"/>
      <c r="F491" s="105"/>
      <c r="G491" s="105"/>
      <c r="H491" s="68"/>
      <c r="I491" s="106"/>
      <c r="J491" s="107"/>
      <c r="K491" s="108"/>
      <c r="L491" s="108"/>
      <c r="M491" s="108"/>
      <c r="N491" s="108"/>
      <c r="O491" s="108"/>
      <c r="P491" s="108"/>
      <c r="Q491" s="108"/>
      <c r="R491" s="108"/>
      <c r="S491" s="108"/>
      <c r="T491" s="108"/>
      <c r="U491" s="108"/>
      <c r="V491" s="108"/>
      <c r="W491" s="108"/>
      <c r="X491" s="108"/>
      <c r="Y491" s="108"/>
      <c r="Z491" s="109"/>
      <c r="AA491" s="109"/>
      <c r="AB491" s="109"/>
      <c r="AC491" s="109"/>
      <c r="AD491" s="109"/>
      <c r="AE491" s="109"/>
      <c r="AF491" s="109"/>
      <c r="AG491" s="109"/>
      <c r="AH491" s="109"/>
      <c r="AI491" s="109"/>
      <c r="AJ491" s="109"/>
      <c r="AK491" s="109"/>
      <c r="AL491" s="109"/>
      <c r="AM491" s="109"/>
      <c r="AN491" s="110"/>
      <c r="AO491" s="110"/>
      <c r="AP491" s="111"/>
      <c r="AQ491" s="112"/>
      <c r="AR491" s="112"/>
      <c r="AS491" s="112"/>
      <c r="AT491" s="112"/>
      <c r="AU491" s="112"/>
      <c r="AV491" s="112"/>
      <c r="AW491" s="112"/>
      <c r="AX491" s="112"/>
      <c r="AY491" s="112"/>
      <c r="AZ491" s="112"/>
      <c r="BA491" s="112"/>
      <c r="BB491" s="112"/>
      <c r="BC491" s="112"/>
      <c r="BD491" s="112"/>
      <c r="BE491" s="112"/>
    </row>
    <row r="492" spans="2:57" x14ac:dyDescent="0.35">
      <c r="B492" s="59"/>
      <c r="C492" s="59"/>
      <c r="D492" s="104"/>
      <c r="E492" s="105"/>
      <c r="F492" s="105"/>
      <c r="G492" s="105"/>
      <c r="H492" s="68"/>
      <c r="I492" s="106"/>
      <c r="J492" s="107"/>
      <c r="K492" s="108"/>
      <c r="L492" s="108"/>
      <c r="M492" s="108"/>
      <c r="N492" s="108"/>
      <c r="O492" s="108"/>
      <c r="P492" s="108"/>
      <c r="Q492" s="108"/>
      <c r="R492" s="108"/>
      <c r="S492" s="108"/>
      <c r="T492" s="108"/>
      <c r="U492" s="108"/>
      <c r="V492" s="108"/>
      <c r="W492" s="108"/>
      <c r="X492" s="108"/>
      <c r="Y492" s="108"/>
      <c r="Z492" s="109"/>
      <c r="AA492" s="109"/>
      <c r="AB492" s="109"/>
      <c r="AC492" s="109"/>
      <c r="AD492" s="109"/>
      <c r="AE492" s="109"/>
      <c r="AF492" s="109"/>
      <c r="AG492" s="109"/>
      <c r="AH492" s="109"/>
      <c r="AI492" s="109"/>
      <c r="AJ492" s="109"/>
      <c r="AK492" s="109"/>
      <c r="AL492" s="109"/>
      <c r="AM492" s="109"/>
      <c r="AN492" s="110"/>
      <c r="AO492" s="110"/>
      <c r="AP492" s="111"/>
      <c r="AQ492" s="112"/>
      <c r="AR492" s="112"/>
      <c r="AS492" s="112"/>
      <c r="AT492" s="112"/>
      <c r="AU492" s="112"/>
      <c r="AV492" s="112"/>
      <c r="AW492" s="112"/>
      <c r="AX492" s="112"/>
      <c r="AY492" s="112"/>
      <c r="AZ492" s="112"/>
      <c r="BA492" s="112"/>
      <c r="BB492" s="112"/>
      <c r="BC492" s="112"/>
      <c r="BD492" s="112"/>
      <c r="BE492" s="112"/>
    </row>
    <row r="493" spans="2:57" x14ac:dyDescent="0.35">
      <c r="B493" s="59"/>
      <c r="C493" s="59"/>
      <c r="D493" s="104"/>
      <c r="E493" s="105"/>
      <c r="F493" s="105"/>
      <c r="G493" s="105"/>
      <c r="H493" s="68"/>
      <c r="I493" s="106"/>
      <c r="J493" s="107"/>
      <c r="K493" s="108"/>
      <c r="L493" s="108"/>
      <c r="M493" s="108"/>
      <c r="N493" s="108"/>
      <c r="O493" s="108"/>
      <c r="P493" s="108"/>
      <c r="Q493" s="108"/>
      <c r="R493" s="108"/>
      <c r="S493" s="108"/>
      <c r="T493" s="108"/>
      <c r="U493" s="108"/>
      <c r="V493" s="108"/>
      <c r="W493" s="108"/>
      <c r="X493" s="108"/>
      <c r="Y493" s="108"/>
      <c r="Z493" s="109"/>
      <c r="AA493" s="109"/>
      <c r="AB493" s="109"/>
      <c r="AC493" s="109"/>
      <c r="AD493" s="109"/>
      <c r="AE493" s="109"/>
      <c r="AF493" s="109"/>
      <c r="AG493" s="109"/>
      <c r="AH493" s="109"/>
      <c r="AI493" s="109"/>
      <c r="AJ493" s="109"/>
      <c r="AK493" s="109"/>
      <c r="AL493" s="109"/>
      <c r="AM493" s="109"/>
      <c r="AN493" s="110"/>
      <c r="AO493" s="110"/>
      <c r="AP493" s="111"/>
      <c r="AQ493" s="112"/>
      <c r="AR493" s="112"/>
      <c r="AS493" s="112"/>
      <c r="AT493" s="112"/>
      <c r="AU493" s="112"/>
      <c r="AV493" s="112"/>
      <c r="AW493" s="112"/>
      <c r="AX493" s="112"/>
      <c r="AY493" s="112"/>
      <c r="AZ493" s="112"/>
      <c r="BA493" s="112"/>
      <c r="BB493" s="112"/>
      <c r="BC493" s="112"/>
      <c r="BD493" s="112"/>
      <c r="BE493" s="112"/>
    </row>
    <row r="494" spans="2:57" x14ac:dyDescent="0.35">
      <c r="B494" s="59"/>
      <c r="C494" s="59"/>
      <c r="D494" s="104"/>
      <c r="E494" s="105"/>
      <c r="F494" s="105"/>
      <c r="G494" s="105"/>
      <c r="H494" s="68"/>
      <c r="I494" s="106"/>
      <c r="J494" s="107"/>
      <c r="K494" s="108"/>
      <c r="L494" s="108"/>
      <c r="M494" s="108"/>
      <c r="N494" s="108"/>
      <c r="O494" s="108"/>
      <c r="P494" s="108"/>
      <c r="Q494" s="108"/>
      <c r="R494" s="108"/>
      <c r="S494" s="108"/>
      <c r="T494" s="108"/>
      <c r="U494" s="108"/>
      <c r="V494" s="108"/>
      <c r="W494" s="108"/>
      <c r="X494" s="108"/>
      <c r="Y494" s="108"/>
      <c r="Z494" s="109"/>
      <c r="AA494" s="109"/>
      <c r="AB494" s="109"/>
      <c r="AC494" s="109"/>
      <c r="AD494" s="109"/>
      <c r="AE494" s="109"/>
      <c r="AF494" s="109"/>
      <c r="AG494" s="109"/>
      <c r="AH494" s="109"/>
      <c r="AI494" s="109"/>
      <c r="AJ494" s="109"/>
      <c r="AK494" s="109"/>
      <c r="AL494" s="109"/>
      <c r="AM494" s="109"/>
      <c r="AN494" s="110"/>
      <c r="AO494" s="110"/>
      <c r="AP494" s="111"/>
      <c r="AQ494" s="112"/>
      <c r="AR494" s="112"/>
      <c r="AS494" s="112"/>
      <c r="AT494" s="112"/>
      <c r="AU494" s="112"/>
      <c r="AV494" s="112"/>
      <c r="AW494" s="112"/>
      <c r="AX494" s="112"/>
      <c r="AY494" s="112"/>
      <c r="AZ494" s="112"/>
      <c r="BA494" s="112"/>
      <c r="BB494" s="112"/>
      <c r="BC494" s="112"/>
      <c r="BD494" s="112"/>
      <c r="BE494" s="112"/>
    </row>
    <row r="495" spans="2:57" x14ac:dyDescent="0.35">
      <c r="B495" s="59"/>
      <c r="C495" s="59"/>
      <c r="D495" s="104"/>
      <c r="E495" s="105"/>
      <c r="F495" s="105"/>
      <c r="G495" s="105"/>
      <c r="H495" s="68"/>
      <c r="I495" s="106"/>
      <c r="J495" s="107"/>
      <c r="K495" s="108"/>
      <c r="L495" s="108"/>
      <c r="M495" s="108"/>
      <c r="N495" s="108"/>
      <c r="O495" s="108"/>
      <c r="P495" s="108"/>
      <c r="Q495" s="108"/>
      <c r="R495" s="108"/>
      <c r="S495" s="108"/>
      <c r="T495" s="108"/>
      <c r="U495" s="108"/>
      <c r="V495" s="108"/>
      <c r="W495" s="108"/>
      <c r="X495" s="108"/>
      <c r="Y495" s="108"/>
      <c r="Z495" s="109"/>
      <c r="AA495" s="109"/>
      <c r="AB495" s="109"/>
      <c r="AC495" s="109"/>
      <c r="AD495" s="109"/>
      <c r="AE495" s="109"/>
      <c r="AF495" s="109"/>
      <c r="AG495" s="109"/>
      <c r="AH495" s="109"/>
      <c r="AI495" s="109"/>
      <c r="AJ495" s="109"/>
      <c r="AK495" s="109"/>
      <c r="AL495" s="109"/>
      <c r="AM495" s="109"/>
      <c r="AN495" s="110"/>
      <c r="AO495" s="110"/>
      <c r="AP495" s="111"/>
      <c r="AQ495" s="112"/>
      <c r="AR495" s="112"/>
      <c r="AS495" s="112"/>
      <c r="AT495" s="112"/>
      <c r="AU495" s="112"/>
      <c r="AV495" s="112"/>
      <c r="AW495" s="112"/>
      <c r="AX495" s="112"/>
      <c r="AY495" s="112"/>
      <c r="AZ495" s="112"/>
      <c r="BA495" s="112"/>
      <c r="BB495" s="112"/>
      <c r="BC495" s="112"/>
      <c r="BD495" s="112"/>
      <c r="BE495" s="112"/>
    </row>
    <row r="496" spans="2:57" x14ac:dyDescent="0.35">
      <c r="B496" s="59"/>
      <c r="C496" s="59"/>
      <c r="D496" s="104"/>
      <c r="E496" s="105"/>
      <c r="F496" s="105"/>
      <c r="G496" s="105"/>
      <c r="H496" s="68"/>
      <c r="I496" s="106"/>
      <c r="J496" s="107"/>
      <c r="K496" s="108"/>
      <c r="L496" s="108"/>
      <c r="M496" s="108"/>
      <c r="N496" s="108"/>
      <c r="O496" s="108"/>
      <c r="P496" s="108"/>
      <c r="Q496" s="108"/>
      <c r="R496" s="108"/>
      <c r="S496" s="108"/>
      <c r="T496" s="108"/>
      <c r="U496" s="108"/>
      <c r="V496" s="108"/>
      <c r="W496" s="108"/>
      <c r="X496" s="108"/>
      <c r="Y496" s="108"/>
      <c r="Z496" s="109"/>
      <c r="AA496" s="109"/>
      <c r="AB496" s="109"/>
      <c r="AC496" s="109"/>
      <c r="AD496" s="109"/>
      <c r="AE496" s="109"/>
      <c r="AF496" s="109"/>
      <c r="AG496" s="109"/>
      <c r="AH496" s="109"/>
      <c r="AI496" s="109"/>
      <c r="AJ496" s="109"/>
      <c r="AK496" s="109"/>
      <c r="AL496" s="109"/>
      <c r="AM496" s="109"/>
      <c r="AN496" s="110"/>
      <c r="AO496" s="110"/>
      <c r="AP496" s="111"/>
      <c r="AQ496" s="112"/>
      <c r="AR496" s="112"/>
      <c r="AS496" s="112"/>
      <c r="AT496" s="112"/>
      <c r="AU496" s="112"/>
      <c r="AV496" s="112"/>
      <c r="AW496" s="112"/>
      <c r="AX496" s="112"/>
      <c r="AY496" s="112"/>
      <c r="AZ496" s="112"/>
      <c r="BA496" s="112"/>
      <c r="BB496" s="112"/>
      <c r="BC496" s="112"/>
      <c r="BD496" s="112"/>
      <c r="BE496" s="112"/>
    </row>
    <row r="497" spans="2:57" x14ac:dyDescent="0.35">
      <c r="B497" s="59"/>
      <c r="C497" s="59"/>
      <c r="D497" s="104"/>
      <c r="E497" s="105"/>
      <c r="F497" s="105"/>
      <c r="G497" s="105"/>
      <c r="H497" s="68"/>
      <c r="I497" s="106"/>
      <c r="J497" s="107"/>
      <c r="K497" s="108"/>
      <c r="L497" s="108"/>
      <c r="M497" s="108"/>
      <c r="N497" s="108"/>
      <c r="O497" s="108"/>
      <c r="P497" s="108"/>
      <c r="Q497" s="108"/>
      <c r="R497" s="108"/>
      <c r="S497" s="108"/>
      <c r="T497" s="108"/>
      <c r="U497" s="108"/>
      <c r="V497" s="108"/>
      <c r="W497" s="108"/>
      <c r="X497" s="108"/>
      <c r="Y497" s="108"/>
      <c r="Z497" s="109"/>
      <c r="AA497" s="109"/>
      <c r="AB497" s="109"/>
      <c r="AC497" s="109"/>
      <c r="AD497" s="109"/>
      <c r="AE497" s="109"/>
      <c r="AF497" s="109"/>
      <c r="AG497" s="109"/>
      <c r="AH497" s="109"/>
      <c r="AI497" s="109"/>
      <c r="AJ497" s="109"/>
      <c r="AK497" s="109"/>
      <c r="AL497" s="109"/>
      <c r="AM497" s="109"/>
      <c r="AN497" s="110"/>
      <c r="AO497" s="110"/>
      <c r="AP497" s="111"/>
      <c r="AQ497" s="112"/>
      <c r="AR497" s="112"/>
      <c r="AS497" s="112"/>
      <c r="AT497" s="112"/>
      <c r="AU497" s="112"/>
      <c r="AV497" s="112"/>
      <c r="AW497" s="112"/>
      <c r="AX497" s="112"/>
      <c r="AY497" s="112"/>
      <c r="AZ497" s="112"/>
      <c r="BA497" s="112"/>
      <c r="BB497" s="112"/>
      <c r="BC497" s="112"/>
      <c r="BD497" s="112"/>
      <c r="BE497" s="112"/>
    </row>
    <row r="498" spans="2:57" x14ac:dyDescent="0.35">
      <c r="B498" s="59"/>
      <c r="C498" s="59"/>
      <c r="D498" s="104"/>
      <c r="E498" s="105"/>
      <c r="F498" s="105"/>
      <c r="G498" s="105"/>
      <c r="H498" s="68"/>
      <c r="I498" s="106"/>
      <c r="J498" s="107"/>
      <c r="K498" s="108"/>
      <c r="L498" s="108"/>
      <c r="M498" s="108"/>
      <c r="N498" s="108"/>
      <c r="O498" s="108"/>
      <c r="P498" s="108"/>
      <c r="Q498" s="108"/>
      <c r="R498" s="108"/>
      <c r="S498" s="108"/>
      <c r="T498" s="108"/>
      <c r="U498" s="108"/>
      <c r="V498" s="108"/>
      <c r="W498" s="108"/>
      <c r="X498" s="108"/>
      <c r="Y498" s="108"/>
      <c r="Z498" s="109"/>
      <c r="AA498" s="109"/>
      <c r="AB498" s="109"/>
      <c r="AC498" s="109"/>
      <c r="AD498" s="109"/>
      <c r="AE498" s="109"/>
      <c r="AF498" s="109"/>
      <c r="AG498" s="109"/>
      <c r="AH498" s="109"/>
      <c r="AI498" s="109"/>
      <c r="AJ498" s="109"/>
      <c r="AK498" s="109"/>
      <c r="AL498" s="109"/>
      <c r="AM498" s="109"/>
      <c r="AN498" s="110"/>
      <c r="AO498" s="110"/>
      <c r="AP498" s="111"/>
      <c r="AQ498" s="112"/>
      <c r="AR498" s="112"/>
      <c r="AS498" s="112"/>
      <c r="AT498" s="112"/>
      <c r="AU498" s="112"/>
      <c r="AV498" s="112"/>
      <c r="AW498" s="112"/>
      <c r="AX498" s="112"/>
      <c r="AY498" s="112"/>
      <c r="AZ498" s="112"/>
      <c r="BA498" s="112"/>
      <c r="BB498" s="112"/>
      <c r="BC498" s="112"/>
      <c r="BD498" s="112"/>
      <c r="BE498" s="112"/>
    </row>
    <row r="499" spans="2:57" x14ac:dyDescent="0.35">
      <c r="B499" s="59"/>
      <c r="C499" s="59"/>
      <c r="D499" s="104"/>
      <c r="E499" s="105"/>
      <c r="F499" s="105"/>
      <c r="G499" s="105"/>
      <c r="H499" s="68"/>
      <c r="I499" s="106"/>
      <c r="J499" s="107"/>
      <c r="K499" s="108"/>
      <c r="L499" s="108"/>
      <c r="M499" s="108"/>
      <c r="N499" s="108"/>
      <c r="O499" s="108"/>
      <c r="P499" s="108"/>
      <c r="Q499" s="108"/>
      <c r="R499" s="108"/>
      <c r="S499" s="108"/>
      <c r="T499" s="108"/>
      <c r="U499" s="108"/>
      <c r="V499" s="108"/>
      <c r="W499" s="108"/>
      <c r="X499" s="108"/>
      <c r="Y499" s="108"/>
      <c r="Z499" s="109"/>
      <c r="AA499" s="109"/>
      <c r="AB499" s="109"/>
      <c r="AC499" s="109"/>
      <c r="AD499" s="109"/>
      <c r="AE499" s="109"/>
      <c r="AF499" s="109"/>
      <c r="AG499" s="109"/>
      <c r="AH499" s="109"/>
      <c r="AI499" s="109"/>
      <c r="AJ499" s="109"/>
      <c r="AK499" s="109"/>
      <c r="AL499" s="109"/>
      <c r="AM499" s="109"/>
      <c r="AN499" s="110"/>
      <c r="AO499" s="110"/>
      <c r="AP499" s="111"/>
      <c r="AQ499" s="112"/>
      <c r="AR499" s="112"/>
      <c r="AS499" s="112"/>
      <c r="AT499" s="112"/>
      <c r="AU499" s="112"/>
      <c r="AV499" s="112"/>
      <c r="AW499" s="112"/>
      <c r="AX499" s="112"/>
      <c r="AY499" s="112"/>
      <c r="AZ499" s="112"/>
      <c r="BA499" s="112"/>
      <c r="BB499" s="112"/>
      <c r="BC499" s="112"/>
      <c r="BD499" s="112"/>
      <c r="BE499" s="112"/>
    </row>
    <row r="500" spans="2:57" x14ac:dyDescent="0.35">
      <c r="B500" s="59"/>
      <c r="C500" s="59"/>
      <c r="D500" s="104"/>
      <c r="E500" s="105"/>
      <c r="F500" s="105"/>
      <c r="G500" s="105"/>
      <c r="H500" s="68"/>
      <c r="I500" s="106"/>
      <c r="J500" s="107"/>
      <c r="K500" s="108"/>
      <c r="L500" s="108"/>
      <c r="M500" s="108"/>
      <c r="N500" s="108"/>
      <c r="O500" s="108"/>
      <c r="P500" s="108"/>
      <c r="Q500" s="108"/>
      <c r="R500" s="108"/>
      <c r="S500" s="108"/>
      <c r="T500" s="108"/>
      <c r="U500" s="108"/>
      <c r="V500" s="108"/>
      <c r="W500" s="108"/>
      <c r="X500" s="108"/>
      <c r="Y500" s="108"/>
      <c r="Z500" s="109"/>
      <c r="AA500" s="109"/>
      <c r="AB500" s="109"/>
      <c r="AC500" s="109"/>
      <c r="AD500" s="109"/>
      <c r="AE500" s="109"/>
      <c r="AF500" s="109"/>
      <c r="AG500" s="109"/>
      <c r="AH500" s="109"/>
      <c r="AI500" s="109"/>
      <c r="AJ500" s="109"/>
      <c r="AK500" s="109"/>
      <c r="AL500" s="109"/>
      <c r="AM500" s="109"/>
      <c r="AN500" s="110"/>
      <c r="AO500" s="110"/>
      <c r="AP500" s="111"/>
      <c r="AQ500" s="112"/>
      <c r="AR500" s="112"/>
      <c r="AS500" s="112"/>
      <c r="AT500" s="112"/>
      <c r="AU500" s="112"/>
      <c r="AV500" s="112"/>
      <c r="AW500" s="112"/>
      <c r="AX500" s="112"/>
      <c r="AY500" s="112"/>
      <c r="AZ500" s="112"/>
      <c r="BA500" s="112"/>
      <c r="BB500" s="112"/>
      <c r="BC500" s="112"/>
      <c r="BD500" s="112"/>
      <c r="BE500" s="112"/>
    </row>
    <row r="501" spans="2:57" x14ac:dyDescent="0.35">
      <c r="B501" s="59"/>
      <c r="C501" s="59"/>
      <c r="D501" s="104"/>
      <c r="E501" s="105"/>
      <c r="F501" s="105"/>
      <c r="G501" s="105"/>
      <c r="H501" s="68"/>
      <c r="I501" s="106"/>
      <c r="J501" s="107"/>
      <c r="K501" s="108"/>
      <c r="L501" s="108"/>
      <c r="M501" s="108"/>
      <c r="N501" s="108"/>
      <c r="O501" s="108"/>
      <c r="P501" s="108"/>
      <c r="Q501" s="108"/>
      <c r="R501" s="108"/>
      <c r="S501" s="108"/>
      <c r="T501" s="108"/>
      <c r="U501" s="108"/>
      <c r="V501" s="108"/>
      <c r="W501" s="108"/>
      <c r="X501" s="108"/>
      <c r="Y501" s="108"/>
      <c r="Z501" s="109"/>
      <c r="AA501" s="109"/>
      <c r="AB501" s="109"/>
      <c r="AC501" s="109"/>
      <c r="AD501" s="109"/>
      <c r="AE501" s="109"/>
      <c r="AF501" s="109"/>
      <c r="AG501" s="109"/>
      <c r="AH501" s="109"/>
      <c r="AI501" s="109"/>
      <c r="AJ501" s="109"/>
      <c r="AK501" s="109"/>
      <c r="AL501" s="109"/>
      <c r="AM501" s="109"/>
      <c r="AN501" s="110"/>
      <c r="AO501" s="110"/>
      <c r="AP501" s="111"/>
      <c r="AQ501" s="112"/>
      <c r="AR501" s="112"/>
      <c r="AS501" s="112"/>
      <c r="AT501" s="112"/>
      <c r="AU501" s="112"/>
      <c r="AV501" s="112"/>
      <c r="AW501" s="112"/>
      <c r="AX501" s="112"/>
      <c r="AY501" s="112"/>
      <c r="AZ501" s="112"/>
      <c r="BA501" s="112"/>
      <c r="BB501" s="112"/>
      <c r="BC501" s="112"/>
      <c r="BD501" s="112"/>
      <c r="BE501" s="112"/>
    </row>
    <row r="502" spans="2:57" x14ac:dyDescent="0.35">
      <c r="B502" s="59"/>
      <c r="C502" s="59"/>
      <c r="D502" s="104"/>
      <c r="E502" s="105"/>
      <c r="F502" s="105"/>
      <c r="G502" s="105"/>
      <c r="H502" s="68"/>
      <c r="I502" s="106"/>
      <c r="J502" s="107"/>
      <c r="K502" s="108"/>
      <c r="L502" s="108"/>
      <c r="M502" s="108"/>
      <c r="N502" s="108"/>
      <c r="O502" s="108"/>
      <c r="P502" s="108"/>
      <c r="Q502" s="108"/>
      <c r="R502" s="108"/>
      <c r="S502" s="108"/>
      <c r="T502" s="108"/>
      <c r="U502" s="108"/>
      <c r="V502" s="108"/>
      <c r="W502" s="108"/>
      <c r="X502" s="108"/>
      <c r="Y502" s="108"/>
      <c r="Z502" s="109"/>
      <c r="AA502" s="109"/>
      <c r="AB502" s="109"/>
      <c r="AC502" s="109"/>
      <c r="AD502" s="109"/>
      <c r="AE502" s="109"/>
      <c r="AF502" s="109"/>
      <c r="AG502" s="109"/>
      <c r="AH502" s="109"/>
      <c r="AI502" s="109"/>
      <c r="AJ502" s="109"/>
      <c r="AK502" s="109"/>
      <c r="AL502" s="109"/>
      <c r="AM502" s="109"/>
      <c r="AN502" s="110"/>
      <c r="AO502" s="110"/>
      <c r="AP502" s="111"/>
      <c r="AQ502" s="112"/>
      <c r="AR502" s="112"/>
      <c r="AS502" s="112"/>
      <c r="AT502" s="112"/>
      <c r="AU502" s="112"/>
      <c r="AV502" s="112"/>
      <c r="AW502" s="112"/>
      <c r="AX502" s="112"/>
      <c r="AY502" s="112"/>
      <c r="AZ502" s="112"/>
      <c r="BA502" s="112"/>
      <c r="BB502" s="112"/>
      <c r="BC502" s="112"/>
      <c r="BD502" s="112"/>
      <c r="BE502" s="112"/>
    </row>
    <row r="503" spans="2:57" x14ac:dyDescent="0.35">
      <c r="B503" s="59"/>
      <c r="C503" s="59"/>
      <c r="D503" s="104"/>
      <c r="E503" s="105"/>
      <c r="F503" s="105"/>
      <c r="G503" s="105"/>
      <c r="H503" s="68"/>
      <c r="I503" s="106"/>
      <c r="J503" s="107"/>
      <c r="K503" s="108"/>
      <c r="L503" s="108"/>
      <c r="M503" s="108"/>
      <c r="N503" s="108"/>
      <c r="O503" s="108"/>
      <c r="P503" s="108"/>
      <c r="Q503" s="108"/>
      <c r="R503" s="108"/>
      <c r="S503" s="108"/>
      <c r="T503" s="108"/>
      <c r="U503" s="108"/>
      <c r="V503" s="108"/>
      <c r="W503" s="108"/>
      <c r="X503" s="108"/>
      <c r="Y503" s="108"/>
      <c r="Z503" s="109"/>
      <c r="AA503" s="109"/>
      <c r="AB503" s="109"/>
      <c r="AC503" s="109"/>
      <c r="AD503" s="109"/>
      <c r="AE503" s="109"/>
      <c r="AF503" s="109"/>
      <c r="AG503" s="109"/>
      <c r="AH503" s="109"/>
      <c r="AI503" s="109"/>
      <c r="AJ503" s="109"/>
      <c r="AK503" s="109"/>
      <c r="AL503" s="109"/>
      <c r="AM503" s="109"/>
      <c r="AN503" s="110"/>
      <c r="AO503" s="110"/>
      <c r="AP503" s="111"/>
      <c r="AQ503" s="112"/>
      <c r="AR503" s="112"/>
      <c r="AS503" s="112"/>
      <c r="AT503" s="112"/>
      <c r="AU503" s="112"/>
      <c r="AV503" s="112"/>
      <c r="AW503" s="112"/>
      <c r="AX503" s="112"/>
      <c r="AY503" s="112"/>
      <c r="AZ503" s="112"/>
      <c r="BA503" s="112"/>
      <c r="BB503" s="112"/>
      <c r="BC503" s="112"/>
      <c r="BD503" s="112"/>
      <c r="BE503" s="112"/>
    </row>
    <row r="504" spans="2:57" x14ac:dyDescent="0.35">
      <c r="B504" s="59"/>
      <c r="C504" s="59"/>
      <c r="D504" s="104"/>
      <c r="E504" s="105"/>
      <c r="F504" s="105"/>
      <c r="G504" s="105"/>
      <c r="H504" s="68"/>
      <c r="I504" s="106"/>
      <c r="J504" s="107"/>
      <c r="K504" s="108"/>
      <c r="L504" s="108"/>
      <c r="M504" s="108"/>
      <c r="N504" s="108"/>
      <c r="O504" s="108"/>
      <c r="P504" s="108"/>
      <c r="Q504" s="108"/>
      <c r="R504" s="108"/>
      <c r="S504" s="108"/>
      <c r="T504" s="108"/>
      <c r="U504" s="108"/>
      <c r="V504" s="108"/>
      <c r="W504" s="108"/>
      <c r="X504" s="108"/>
      <c r="Y504" s="108"/>
      <c r="Z504" s="109"/>
      <c r="AA504" s="109"/>
      <c r="AB504" s="109"/>
      <c r="AC504" s="109"/>
      <c r="AD504" s="109"/>
      <c r="AE504" s="109"/>
      <c r="AF504" s="109"/>
      <c r="AG504" s="109"/>
      <c r="AH504" s="109"/>
      <c r="AI504" s="109"/>
      <c r="AJ504" s="109"/>
      <c r="AK504" s="109"/>
      <c r="AL504" s="109"/>
      <c r="AM504" s="109"/>
      <c r="AN504" s="110"/>
      <c r="AO504" s="110"/>
      <c r="AP504" s="111"/>
      <c r="AQ504" s="112"/>
      <c r="AR504" s="112"/>
      <c r="AS504" s="112"/>
      <c r="AT504" s="112"/>
      <c r="AU504" s="112"/>
      <c r="AV504" s="112"/>
      <c r="AW504" s="112"/>
      <c r="AX504" s="112"/>
      <c r="AY504" s="112"/>
      <c r="AZ504" s="112"/>
      <c r="BA504" s="112"/>
      <c r="BB504" s="112"/>
      <c r="BC504" s="112"/>
      <c r="BD504" s="112"/>
      <c r="BE504" s="112"/>
    </row>
  </sheetData>
  <sheetProtection algorithmName="SHA-512" hashValue="978QYRUNvW5703r4dgXwp/VBfjuR+uvUnBdmjiGf+CKYjCpJtOvluNQR0bdiSSeY2GnZyKXiy5OmtaR3iy31gw==" saltValue="H34cCYnJrpmBejbHskREvg==" spinCount="100000" sheet="1" objects="1" scenarios="1"/>
  <phoneticPr fontId="6"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81F5-0412-4C7C-8B1C-C8FC92255A6C}">
  <sheetPr codeName="Sheet10">
    <tabColor theme="0" tint="-0.34998626667073579"/>
  </sheetPr>
  <dimension ref="A1:AC504"/>
  <sheetViews>
    <sheetView topLeftCell="J1" workbookViewId="0">
      <selection activeCell="R6" sqref="R6"/>
    </sheetView>
  </sheetViews>
  <sheetFormatPr defaultColWidth="8.640625" defaultRowHeight="14.15" x14ac:dyDescent="0.35"/>
  <cols>
    <col min="1" max="1" width="15.35546875" style="58" customWidth="1"/>
    <col min="2" max="3" width="13.35546875" style="70" customWidth="1"/>
    <col min="4" max="4" width="15.2109375" style="70" customWidth="1"/>
    <col min="5" max="5" width="15.35546875" style="70" customWidth="1"/>
    <col min="6" max="6" width="22.7109375" style="72" customWidth="1"/>
    <col min="7" max="7" width="5.640625" style="72" customWidth="1"/>
    <col min="8" max="8" width="20.35546875" style="72" customWidth="1"/>
    <col min="9" max="9" width="17.7109375" style="72" customWidth="1"/>
    <col min="10" max="10" width="29.7109375" style="63" customWidth="1"/>
    <col min="11" max="11" width="5.640625" style="63" customWidth="1"/>
    <col min="12" max="12" width="20.35546875" style="63" customWidth="1"/>
    <col min="13" max="13" width="17.7109375" style="63" customWidth="1"/>
    <col min="14" max="14" width="12.640625" style="65" customWidth="1"/>
    <col min="15" max="15" width="17.2109375" style="65" customWidth="1"/>
    <col min="16" max="21" width="12.640625" style="65" customWidth="1"/>
    <col min="22" max="22" width="12.640625" style="67" customWidth="1"/>
    <col min="23" max="23" width="17.2109375" style="67" customWidth="1"/>
    <col min="24" max="29" width="12.640625" style="67" customWidth="1"/>
    <col min="30" max="16384" width="8.640625" style="477"/>
  </cols>
  <sheetData>
    <row r="1" spans="1:29" x14ac:dyDescent="0.35">
      <c r="A1" s="36" t="s">
        <v>152</v>
      </c>
      <c r="B1" s="37"/>
      <c r="C1" s="37"/>
      <c r="D1" s="31"/>
      <c r="E1" s="31"/>
      <c r="F1" s="77" t="s">
        <v>235</v>
      </c>
      <c r="G1" s="77"/>
      <c r="H1" s="77"/>
      <c r="I1" s="77"/>
      <c r="J1" s="77"/>
      <c r="K1" s="77"/>
      <c r="L1" s="77"/>
      <c r="M1" s="77"/>
      <c r="N1" s="74" t="s">
        <v>154</v>
      </c>
      <c r="O1" s="74"/>
      <c r="P1" s="74"/>
      <c r="Q1" s="74"/>
      <c r="R1" s="74"/>
      <c r="S1" s="74"/>
      <c r="T1" s="74"/>
      <c r="U1" s="74"/>
      <c r="V1" s="74"/>
      <c r="W1" s="74"/>
      <c r="X1" s="74"/>
      <c r="Y1" s="74"/>
      <c r="Z1" s="74"/>
      <c r="AA1" s="74"/>
      <c r="AB1" s="74"/>
      <c r="AC1" s="74"/>
    </row>
    <row r="2" spans="1:29" ht="28.3" x14ac:dyDescent="0.35">
      <c r="A2" s="38"/>
      <c r="B2" s="31" t="s">
        <v>162</v>
      </c>
      <c r="C2" s="42" t="s">
        <v>111</v>
      </c>
      <c r="D2" s="31"/>
      <c r="E2" s="31"/>
      <c r="F2" s="85" t="s">
        <v>199</v>
      </c>
      <c r="G2" s="85"/>
      <c r="H2" s="85"/>
      <c r="I2" s="85"/>
      <c r="J2" s="116" t="s">
        <v>109</v>
      </c>
      <c r="K2" s="116"/>
      <c r="L2" s="116"/>
      <c r="M2" s="116"/>
      <c r="N2" s="79" t="s">
        <v>199</v>
      </c>
      <c r="O2" s="79"/>
      <c r="P2" s="79"/>
      <c r="Q2" s="79"/>
      <c r="R2" s="79"/>
      <c r="S2" s="79"/>
      <c r="T2" s="79"/>
      <c r="U2" s="79"/>
      <c r="V2" s="80" t="s">
        <v>109</v>
      </c>
      <c r="W2" s="80"/>
      <c r="X2" s="80"/>
      <c r="Y2" s="80"/>
      <c r="Z2" s="80"/>
      <c r="AA2" s="80"/>
      <c r="AB2" s="80"/>
      <c r="AC2" s="80"/>
    </row>
    <row r="3" spans="1:29" x14ac:dyDescent="0.35">
      <c r="A3" s="88"/>
      <c r="B3" s="41"/>
      <c r="C3" s="41"/>
      <c r="D3" s="31"/>
      <c r="E3" s="31"/>
      <c r="F3" s="31"/>
      <c r="G3" s="31"/>
      <c r="H3" s="31" t="s">
        <v>236</v>
      </c>
      <c r="I3" s="31" t="s">
        <v>468</v>
      </c>
      <c r="J3" s="31"/>
      <c r="K3" s="31"/>
      <c r="L3" s="31" t="s">
        <v>236</v>
      </c>
      <c r="M3" s="31" t="s">
        <v>468</v>
      </c>
      <c r="N3" s="31" t="s">
        <v>237</v>
      </c>
      <c r="O3" s="31" t="s">
        <v>238</v>
      </c>
      <c r="P3" s="31" t="s">
        <v>239</v>
      </c>
      <c r="Q3" s="31" t="s">
        <v>240</v>
      </c>
      <c r="R3" s="31" t="s">
        <v>241</v>
      </c>
      <c r="S3" s="31" t="s">
        <v>242</v>
      </c>
      <c r="T3" s="31" t="s">
        <v>243</v>
      </c>
      <c r="U3" s="31" t="s">
        <v>244</v>
      </c>
      <c r="V3" s="31" t="s">
        <v>237</v>
      </c>
      <c r="W3" s="31" t="s">
        <v>238</v>
      </c>
      <c r="X3" s="31" t="s">
        <v>239</v>
      </c>
      <c r="Y3" s="31" t="s">
        <v>240</v>
      </c>
      <c r="Z3" s="31" t="s">
        <v>241</v>
      </c>
      <c r="AA3" s="31" t="s">
        <v>242</v>
      </c>
      <c r="AB3" s="31" t="s">
        <v>243</v>
      </c>
      <c r="AC3" s="31" t="s">
        <v>244</v>
      </c>
    </row>
    <row r="4" spans="1:29" s="44" customFormat="1" x14ac:dyDescent="0.35">
      <c r="A4" s="38"/>
      <c r="B4" s="31"/>
      <c r="C4" s="31"/>
      <c r="D4" s="31"/>
      <c r="E4" s="31"/>
      <c r="F4" s="31"/>
      <c r="G4" s="31"/>
      <c r="H4" s="31" t="s">
        <v>139</v>
      </c>
      <c r="I4" s="31"/>
      <c r="J4" s="31"/>
      <c r="K4" s="31"/>
      <c r="L4" s="31" t="s">
        <v>139</v>
      </c>
      <c r="M4" s="31"/>
      <c r="N4" s="31" t="s">
        <v>245</v>
      </c>
      <c r="O4" s="31" t="s">
        <v>245</v>
      </c>
      <c r="P4" s="31" t="s">
        <v>245</v>
      </c>
      <c r="Q4" s="31" t="s">
        <v>245</v>
      </c>
      <c r="R4" s="31" t="s">
        <v>245</v>
      </c>
      <c r="S4" s="31" t="s">
        <v>245</v>
      </c>
      <c r="T4" s="31" t="s">
        <v>245</v>
      </c>
      <c r="U4" s="31" t="s">
        <v>245</v>
      </c>
      <c r="V4" s="31" t="s">
        <v>245</v>
      </c>
      <c r="W4" s="31" t="s">
        <v>245</v>
      </c>
      <c r="X4" s="31" t="s">
        <v>245</v>
      </c>
      <c r="Y4" s="31" t="s">
        <v>245</v>
      </c>
      <c r="Z4" s="31" t="s">
        <v>245</v>
      </c>
      <c r="AA4" s="31" t="s">
        <v>245</v>
      </c>
      <c r="AB4" s="31" t="s">
        <v>245</v>
      </c>
      <c r="AC4" s="31" t="s">
        <v>245</v>
      </c>
    </row>
    <row r="5" spans="1:29" x14ac:dyDescent="0.35">
      <c r="A5" s="45" t="s">
        <v>142</v>
      </c>
      <c r="B5" s="91">
        <f>SUM('2. Eingaben Fahrzeug-Ebene'!$D5:$E5)</f>
        <v>1</v>
      </c>
      <c r="C5" s="91">
        <f>'2. Eingaben Fahrzeug-Ebene'!C5</f>
        <v>1</v>
      </c>
      <c r="D5" s="117" t="str">
        <f>"Passenger car"</f>
        <v>Passenger car</v>
      </c>
      <c r="E5" s="118" t="str" cm="1">
        <f t="array" aca="1" ref="E5" ca="1">IF(B5,INDEX(OFFSET(Grösse,0,1),'2. Eingaben Fahrzeug-Ebene'!G5),"")</f>
        <v>Medium</v>
      </c>
      <c r="F5" s="119" t="str">
        <f t="shared" ref="F5" ca="1" si="0">IF(B5,D5&amp;"BEV"&amp;E5,"")</f>
        <v>Passenger carBEVMedium</v>
      </c>
      <c r="G5" s="119" cm="1">
        <f t="array" aca="1" ref="G5" ca="1">IF(B5,MATCH(F5,'2e. Umweltrechner Verkehr'!C:C&amp;'2e. Umweltrechner Verkehr'!D:D&amp;'2e. Umweltrechner Verkehr'!I:I,0),0)</f>
        <v>3</v>
      </c>
      <c r="H5" s="119" cm="1">
        <f t="array" aca="1" ref="H5" ca="1">IF(B5,INDEX('2e. Umweltrechner Verkehr'!Q$1:Q$91,$G5),0)</f>
        <v>200000</v>
      </c>
      <c r="I5" s="120">
        <f ca="1">IF(B5,MIN(H5/'2. Eingaben Fahrzeug-Ebene'!Y5,1),0)</f>
        <v>1</v>
      </c>
      <c r="J5" s="121" t="str">
        <f t="shared" ref="J5" ca="1" si="1">IF(B5,D5&amp;"ICEV-p"&amp;E5,"")</f>
        <v>Passenger carICEV-pMedium</v>
      </c>
      <c r="K5" s="121" cm="1">
        <f t="array" aca="1" ref="K5" ca="1">IF(B5,MATCH(J5,'2e. Umweltrechner Verkehr'!C:C&amp;'2e. Umweltrechner Verkehr'!D:D&amp;'2e. Umweltrechner Verkehr'!I:I,0),0)</f>
        <v>7</v>
      </c>
      <c r="L5" s="121" cm="1">
        <f t="array" aca="1" ref="L5" ca="1">IF(B5,INDEX('2e. Umweltrechner Verkehr'!Q$1:Q$91,$K5),0)</f>
        <v>200000</v>
      </c>
      <c r="M5" s="122">
        <f ca="1">IF(B5,MIN(L5/'2. Eingaben Fahrzeug-Ebene'!Y5,1),0)</f>
        <v>1</v>
      </c>
      <c r="N5" s="123" cm="1">
        <f t="array" aca="1" ref="N5" ca="1">IF(B5,INDEX('2e. Umweltrechner Verkehr'!AC$1:AC$91,$G5)*$B5,0)</f>
        <v>0</v>
      </c>
      <c r="O5" s="123" cm="1">
        <f t="array" aca="1" ref="O5" ca="1">IF(B5,INDEX('2e. Umweltrechner Verkehr'!AD$1:AD$91,$G5)*$B5,0)</f>
        <v>0</v>
      </c>
      <c r="P5" s="123" cm="1">
        <f t="array" aca="1" ref="P5" ca="1">IF(B5,INDEX('2e. Umweltrechner Verkehr'!AE$1:AE$91,$G5)*$B5,0)</f>
        <v>22.2272</v>
      </c>
      <c r="Q5" s="123" cm="1">
        <f t="array" aca="1" ref="Q5" ca="1">IF(B5,INDEX('2e. Umweltrechner Verkehr'!AF$1:AF$91,$G5)*$B5,0)</f>
        <v>6.6635583072653697</v>
      </c>
      <c r="R5" s="123" cm="1">
        <f t="array" aca="1" ref="R5" ca="1">IF(B5,INDEX('2e. Umweltrechner Verkehr'!AG$1:AG$91,$G5)*I5*$B5,0)</f>
        <v>59.543233363417102</v>
      </c>
      <c r="S5" s="123" cm="1">
        <f t="array" aca="1" ref="S5" ca="1">IF(B5,INDEX('2e. Umweltrechner Verkehr'!AH$1:AH$91,$G5)*I5*$B5,0)</f>
        <v>6.8420153383248996</v>
      </c>
      <c r="T5" s="123" cm="1">
        <f t="array" aca="1" ref="T5" ca="1">IF(B5,INDEX('2e. Umweltrechner Verkehr'!AI$1:AI$91,$G5)*$B5,0)</f>
        <v>19.1709119809397</v>
      </c>
      <c r="U5" s="123">
        <f ca="1">SUM(N5:T5)</f>
        <v>114.44691898994708</v>
      </c>
      <c r="V5" s="124" cm="1">
        <f t="array" aca="1" ref="V5" ca="1">IF(B5,INDEX('2e. Umweltrechner Verkehr'!AC$1:AC$91,$K5)*$B5,0)</f>
        <v>133.15109505944201</v>
      </c>
      <c r="W5" s="124" cm="1">
        <f t="array" aca="1" ref="W5" ca="1">IF(B5,INDEX('2e. Umweltrechner Verkehr'!AD$1:AD$91,$K5)*$B5,0)</f>
        <v>0</v>
      </c>
      <c r="X5" s="124" cm="1">
        <f t="array" aca="1" ref="X5" ca="1">IF(B5,INDEX('2e. Umweltrechner Verkehr'!AE$1:AE$91,$K5)*$B5,0)</f>
        <v>36.249814110000003</v>
      </c>
      <c r="Y5" s="124" cm="1">
        <f t="array" aca="1" ref="Y5" ca="1">IF(B5,INDEX('2e. Umweltrechner Verkehr'!AF$1:AF$91,$K5)*$B5,0)</f>
        <v>5.4335320632105697</v>
      </c>
      <c r="Z5" s="124" cm="1">
        <f t="array" aca="1" ref="Z5" ca="1">IF(B5,INDEX('2e. Umweltrechner Verkehr'!AG$1:AG$91,$K5)*M5*$B5,0)</f>
        <v>33.485891173287001</v>
      </c>
      <c r="AA5" s="124" cm="1">
        <f t="array" aca="1" ref="AA5" ca="1">IF(B5,INDEX('2e. Umweltrechner Verkehr'!AH$1:AH$91,$K5)*M5*$B5,0)</f>
        <v>5.5199376207529598</v>
      </c>
      <c r="AB5" s="124" cm="1">
        <f t="array" aca="1" ref="AB5" ca="1">IF(B5,INDEX('2e. Umweltrechner Verkehr'!AI$1:AI$91,$K5)*$B5,0)</f>
        <v>16.979057483684802</v>
      </c>
      <c r="AC5" s="124">
        <f ca="1">SUM(V5:AB5)</f>
        <v>230.81932751037735</v>
      </c>
    </row>
    <row r="6" spans="1:29" x14ac:dyDescent="0.35">
      <c r="A6" s="58" t="s">
        <v>143</v>
      </c>
      <c r="B6" s="59">
        <f>SUM('2. Eingaben Fahrzeug-Ebene'!$D6:$E6)</f>
        <v>0</v>
      </c>
      <c r="C6" s="59">
        <f>'2. Eingaben Fahrzeug-Ebene'!C6</f>
        <v>0</v>
      </c>
      <c r="D6" s="70" t="str">
        <f t="shared" ref="D6:D14" si="2">"Passenger car"</f>
        <v>Passenger car</v>
      </c>
      <c r="E6" s="125" t="str" cm="1">
        <f t="array" aca="1" ref="E6" ca="1">IF(B6,INDEX(OFFSET(Grösse,0,1),'2. Eingaben Fahrzeug-Ebene'!G6),"")</f>
        <v/>
      </c>
      <c r="F6" s="72" t="str">
        <f t="shared" ref="F6:F14" si="3">IF(B6,D6&amp;"BEV"&amp;E6,"")</f>
        <v/>
      </c>
      <c r="G6" s="72" cm="1">
        <f t="array" ref="G6">IF(B6,MATCH(F6,'2e. Umweltrechner Verkehr'!C:C&amp;'2e. Umweltrechner Verkehr'!D:D&amp;'2e. Umweltrechner Verkehr'!I:I,0),0)</f>
        <v>0</v>
      </c>
      <c r="H6" s="72" cm="1">
        <f t="array" ref="H6">IF(B6,INDEX('2e. Umweltrechner Verkehr'!Q$1:Q$91,$G6),0)</f>
        <v>0</v>
      </c>
      <c r="I6" s="126">
        <f>IF(B6,MIN(H6/'2. Eingaben Fahrzeug-Ebene'!Y6,1),0)</f>
        <v>0</v>
      </c>
      <c r="J6" s="63" t="str">
        <f t="shared" ref="J6:J14" si="4">IF(B6,D6&amp;"ICEV-p"&amp;E6,"")</f>
        <v/>
      </c>
      <c r="K6" s="63" cm="1">
        <f t="array" ref="K6">IF(B6,MATCH(J6,'2e. Umweltrechner Verkehr'!C:C&amp;'2e. Umweltrechner Verkehr'!D:D&amp;'2e. Umweltrechner Verkehr'!I:I,0),0)</f>
        <v>0</v>
      </c>
      <c r="L6" s="63" cm="1">
        <f t="array" ref="L6">IF(B6,INDEX('2e. Umweltrechner Verkehr'!Q$1:Q$91,$K6),0)</f>
        <v>0</v>
      </c>
      <c r="M6" s="127">
        <f>IF(B6,MIN(L6/'2. Eingaben Fahrzeug-Ebene'!Y6,1),0)</f>
        <v>0</v>
      </c>
      <c r="N6" s="128" cm="1">
        <f t="array" ref="N6">IF(B6,INDEX('2e. Umweltrechner Verkehr'!AC$1:AC$91,$G6)*$B6,0)</f>
        <v>0</v>
      </c>
      <c r="O6" s="128" cm="1">
        <f t="array" ref="O6">IF(B6,INDEX('2e. Umweltrechner Verkehr'!AD$1:AD$91,$G6)*$B6,0)</f>
        <v>0</v>
      </c>
      <c r="P6" s="128" cm="1">
        <f t="array" ref="P6">IF(B6,INDEX('2e. Umweltrechner Verkehr'!AE$1:AE$91,$G6)*$B6,0)</f>
        <v>0</v>
      </c>
      <c r="Q6" s="128" cm="1">
        <f t="array" ref="Q6">IF(B6,INDEX('2e. Umweltrechner Verkehr'!AF$1:AF$91,$G6)*$B6,0)</f>
        <v>0</v>
      </c>
      <c r="R6" s="128" cm="1">
        <f t="array" ref="R6">IF(B6,INDEX('2e. Umweltrechner Verkehr'!AG$1:AG$91,$G6)*I6*$B6,0)</f>
        <v>0</v>
      </c>
      <c r="S6" s="128" cm="1">
        <f t="array" ref="S6">IF(B6,INDEX('2e. Umweltrechner Verkehr'!AH$1:AH$91,$G6)*I6*$B6,0)</f>
        <v>0</v>
      </c>
      <c r="T6" s="128" cm="1">
        <f t="array" ref="T6">IF(B6,INDEX('2e. Umweltrechner Verkehr'!AI$1:AI$91,$G6)*$B6,0)</f>
        <v>0</v>
      </c>
      <c r="U6" s="128">
        <f t="shared" ref="U6:U14" si="5">SUM(N6:T6)</f>
        <v>0</v>
      </c>
      <c r="V6" s="129" cm="1">
        <f t="array" ref="V6">IF(B6,INDEX('2e. Umweltrechner Verkehr'!AC$1:AC$91,$K6)*$B6,0)</f>
        <v>0</v>
      </c>
      <c r="W6" s="129" cm="1">
        <f t="array" ref="W6">IF(B6,INDEX('2e. Umweltrechner Verkehr'!AD$1:AD$91,$K6)*$B6,0)</f>
        <v>0</v>
      </c>
      <c r="X6" s="129" cm="1">
        <f t="array" ref="X6">IF(B6,INDEX('2e. Umweltrechner Verkehr'!AE$1:AE$91,$K6)*$B6,0)</f>
        <v>0</v>
      </c>
      <c r="Y6" s="129" cm="1">
        <f t="array" ref="Y6">IF(B6,INDEX('2e. Umweltrechner Verkehr'!AF$1:AF$91,$K6)*$B6,0)</f>
        <v>0</v>
      </c>
      <c r="Z6" s="129" cm="1">
        <f t="array" ref="Z6">IF(B6,INDEX('2e. Umweltrechner Verkehr'!AG$1:AG$91,$K6)*M6*$B6,0)</f>
        <v>0</v>
      </c>
      <c r="AA6" s="129" cm="1">
        <f t="array" ref="AA6">IF(B6,INDEX('2e. Umweltrechner Verkehr'!AH$1:AH$91,$K6)*M6*$B6,0)</f>
        <v>0</v>
      </c>
      <c r="AB6" s="129" cm="1">
        <f t="array" ref="AB6">IF(B6,INDEX('2e. Umweltrechner Verkehr'!AI$1:AI$91,$K6)*$B6,0)</f>
        <v>0</v>
      </c>
      <c r="AC6" s="129">
        <f t="shared" ref="AC6:AC14" si="6">SUM(V6:AB6)</f>
        <v>0</v>
      </c>
    </row>
    <row r="7" spans="1:29" x14ac:dyDescent="0.35">
      <c r="A7" s="58" t="s">
        <v>144</v>
      </c>
      <c r="B7" s="59">
        <f>SUM('2. Eingaben Fahrzeug-Ebene'!$D7:$E7)</f>
        <v>0</v>
      </c>
      <c r="C7" s="59">
        <f>'2. Eingaben Fahrzeug-Ebene'!C7</f>
        <v>0</v>
      </c>
      <c r="D7" s="70" t="str">
        <f t="shared" si="2"/>
        <v>Passenger car</v>
      </c>
      <c r="E7" s="125" t="str" cm="1">
        <f t="array" aca="1" ref="E7" ca="1">IF(B7,INDEX(OFFSET(Grösse,0,1),'2. Eingaben Fahrzeug-Ebene'!G7),"")</f>
        <v/>
      </c>
      <c r="F7" s="72" t="str">
        <f t="shared" si="3"/>
        <v/>
      </c>
      <c r="G7" s="72" cm="1">
        <f t="array" ref="G7">IF(B7,MATCH(F7,'2e. Umweltrechner Verkehr'!C:C&amp;'2e. Umweltrechner Verkehr'!D:D&amp;'2e. Umweltrechner Verkehr'!I:I,0),0)</f>
        <v>0</v>
      </c>
      <c r="H7" s="72" cm="1">
        <f t="array" ref="H7">IF(B7,INDEX('2e. Umweltrechner Verkehr'!Q$1:Q$91,$G7),0)</f>
        <v>0</v>
      </c>
      <c r="I7" s="126">
        <f>IF(B7,MIN(H7/'2. Eingaben Fahrzeug-Ebene'!Y7,1),0)</f>
        <v>0</v>
      </c>
      <c r="J7" s="63" t="str">
        <f t="shared" si="4"/>
        <v/>
      </c>
      <c r="K7" s="63" cm="1">
        <f t="array" ref="K7">IF(B7,MATCH(J7,'2e. Umweltrechner Verkehr'!C:C&amp;'2e. Umweltrechner Verkehr'!D:D&amp;'2e. Umweltrechner Verkehr'!I:I,0),0)</f>
        <v>0</v>
      </c>
      <c r="L7" s="63" cm="1">
        <f t="array" ref="L7">IF(B7,INDEX('2e. Umweltrechner Verkehr'!Q$1:Q$91,$K7),0)</f>
        <v>0</v>
      </c>
      <c r="M7" s="127">
        <f>IF(B7,MIN(L7/'2. Eingaben Fahrzeug-Ebene'!Y7,1),0)</f>
        <v>0</v>
      </c>
      <c r="N7" s="128" cm="1">
        <f t="array" ref="N7">IF(B7,INDEX('2e. Umweltrechner Verkehr'!AC$1:AC$91,$G7)*$B7,0)</f>
        <v>0</v>
      </c>
      <c r="O7" s="128" cm="1">
        <f t="array" ref="O7">IF(B7,INDEX('2e. Umweltrechner Verkehr'!AD$1:AD$91,$G7)*$B7,0)</f>
        <v>0</v>
      </c>
      <c r="P7" s="128" cm="1">
        <f t="array" ref="P7">IF(B7,INDEX('2e. Umweltrechner Verkehr'!AE$1:AE$91,$G7)*$B7,0)</f>
        <v>0</v>
      </c>
      <c r="Q7" s="128" cm="1">
        <f t="array" ref="Q7">IF(B7,INDEX('2e. Umweltrechner Verkehr'!AF$1:AF$91,$G7)*$B7,0)</f>
        <v>0</v>
      </c>
      <c r="R7" s="128" cm="1">
        <f t="array" ref="R7">IF(B7,INDEX('2e. Umweltrechner Verkehr'!AG$1:AG$91,$G7)*I7*$B7,0)</f>
        <v>0</v>
      </c>
      <c r="S7" s="128" cm="1">
        <f t="array" ref="S7">IF(B7,INDEX('2e. Umweltrechner Verkehr'!AH$1:AH$91,$G7)*I7*$B7,0)</f>
        <v>0</v>
      </c>
      <c r="T7" s="128" cm="1">
        <f t="array" ref="T7">IF(B7,INDEX('2e. Umweltrechner Verkehr'!AI$1:AI$91,$G7)*$B7,0)</f>
        <v>0</v>
      </c>
      <c r="U7" s="128">
        <f t="shared" si="5"/>
        <v>0</v>
      </c>
      <c r="V7" s="129" cm="1">
        <f t="array" ref="V7">IF(B7,INDEX('2e. Umweltrechner Verkehr'!AC$1:AC$91,$K7)*$B7,0)</f>
        <v>0</v>
      </c>
      <c r="W7" s="129" cm="1">
        <f t="array" ref="W7">IF(B7,INDEX('2e. Umweltrechner Verkehr'!AD$1:AD$91,$K7)*$B7,0)</f>
        <v>0</v>
      </c>
      <c r="X7" s="129" cm="1">
        <f t="array" ref="X7">IF(B7,INDEX('2e. Umweltrechner Verkehr'!AE$1:AE$91,$K7)*$B7,0)</f>
        <v>0</v>
      </c>
      <c r="Y7" s="129" cm="1">
        <f t="array" ref="Y7">IF(B7,INDEX('2e. Umweltrechner Verkehr'!AF$1:AF$91,$K7)*$B7,0)</f>
        <v>0</v>
      </c>
      <c r="Z7" s="129" cm="1">
        <f t="array" ref="Z7">IF(B7,INDEX('2e. Umweltrechner Verkehr'!AG$1:AG$91,$K7)*M7*$B7,0)</f>
        <v>0</v>
      </c>
      <c r="AA7" s="129" cm="1">
        <f t="array" ref="AA7">IF(B7,INDEX('2e. Umweltrechner Verkehr'!AH$1:AH$91,$K7)*M7*$B7,0)</f>
        <v>0</v>
      </c>
      <c r="AB7" s="129" cm="1">
        <f t="array" ref="AB7">IF(B7,INDEX('2e. Umweltrechner Verkehr'!AI$1:AI$91,$K7)*$B7,0)</f>
        <v>0</v>
      </c>
      <c r="AC7" s="129">
        <f t="shared" si="6"/>
        <v>0</v>
      </c>
    </row>
    <row r="8" spans="1:29" x14ac:dyDescent="0.35">
      <c r="A8" s="58" t="s">
        <v>145</v>
      </c>
      <c r="B8" s="59">
        <f>SUM('2. Eingaben Fahrzeug-Ebene'!$D8:$E8)</f>
        <v>0</v>
      </c>
      <c r="C8" s="59">
        <f>'2. Eingaben Fahrzeug-Ebene'!C8</f>
        <v>0</v>
      </c>
      <c r="D8" s="70" t="str">
        <f t="shared" si="2"/>
        <v>Passenger car</v>
      </c>
      <c r="E8" s="125" t="str" cm="1">
        <f t="array" aca="1" ref="E8" ca="1">IF(B8,INDEX(OFFSET(Grösse,0,1),'2. Eingaben Fahrzeug-Ebene'!G8),"")</f>
        <v/>
      </c>
      <c r="F8" s="72" t="str">
        <f t="shared" si="3"/>
        <v/>
      </c>
      <c r="G8" s="72" cm="1">
        <f t="array" ref="G8">IF(B8,MATCH(F8,'2e. Umweltrechner Verkehr'!C:C&amp;'2e. Umweltrechner Verkehr'!D:D&amp;'2e. Umweltrechner Verkehr'!I:I,0),0)</f>
        <v>0</v>
      </c>
      <c r="H8" s="72" cm="1">
        <f t="array" ref="H8">IF(B8,INDEX('2e. Umweltrechner Verkehr'!Q$1:Q$91,$G8),0)</f>
        <v>0</v>
      </c>
      <c r="I8" s="126">
        <f>IF(B8,MIN(H8/'2. Eingaben Fahrzeug-Ebene'!Y8,1),0)</f>
        <v>0</v>
      </c>
      <c r="J8" s="63" t="str">
        <f t="shared" si="4"/>
        <v/>
      </c>
      <c r="K8" s="63" cm="1">
        <f t="array" ref="K8">IF(B8,MATCH(J8,'2e. Umweltrechner Verkehr'!C:C&amp;'2e. Umweltrechner Verkehr'!D:D&amp;'2e. Umweltrechner Verkehr'!I:I,0),0)</f>
        <v>0</v>
      </c>
      <c r="L8" s="63" cm="1">
        <f t="array" ref="L8">IF(B8,INDEX('2e. Umweltrechner Verkehr'!Q$1:Q$91,$K8),0)</f>
        <v>0</v>
      </c>
      <c r="M8" s="127">
        <f>IF(B8,MIN(L8/'2. Eingaben Fahrzeug-Ebene'!Y8,1),0)</f>
        <v>0</v>
      </c>
      <c r="N8" s="128" cm="1">
        <f t="array" ref="N8">IF(B8,INDEX('2e. Umweltrechner Verkehr'!AC$1:AC$91,$G8)*$B8,0)</f>
        <v>0</v>
      </c>
      <c r="O8" s="128" cm="1">
        <f t="array" ref="O8">IF(B8,INDEX('2e. Umweltrechner Verkehr'!AD$1:AD$91,$G8)*$B8,0)</f>
        <v>0</v>
      </c>
      <c r="P8" s="128" cm="1">
        <f t="array" ref="P8">IF(B8,INDEX('2e. Umweltrechner Verkehr'!AE$1:AE$91,$G8)*$B8,0)</f>
        <v>0</v>
      </c>
      <c r="Q8" s="128" cm="1">
        <f t="array" ref="Q8">IF(B8,INDEX('2e. Umweltrechner Verkehr'!AF$1:AF$91,$G8)*$B8,0)</f>
        <v>0</v>
      </c>
      <c r="R8" s="128" cm="1">
        <f t="array" ref="R8">IF(B8,INDEX('2e. Umweltrechner Verkehr'!AG$1:AG$91,$G8)*I8*$B8,0)</f>
        <v>0</v>
      </c>
      <c r="S8" s="128" cm="1">
        <f t="array" ref="S8">IF(B8,INDEX('2e. Umweltrechner Verkehr'!AH$1:AH$91,$G8)*I8*$B8,0)</f>
        <v>0</v>
      </c>
      <c r="T8" s="128" cm="1">
        <f t="array" ref="T8">IF(B8,INDEX('2e. Umweltrechner Verkehr'!AI$1:AI$91,$G8)*$B8,0)</f>
        <v>0</v>
      </c>
      <c r="U8" s="128">
        <f t="shared" si="5"/>
        <v>0</v>
      </c>
      <c r="V8" s="129" cm="1">
        <f t="array" ref="V8">IF(B8,INDEX('2e. Umweltrechner Verkehr'!AC$1:AC$91,$K8)*$B8,0)</f>
        <v>0</v>
      </c>
      <c r="W8" s="129" cm="1">
        <f t="array" ref="W8">IF(B8,INDEX('2e. Umweltrechner Verkehr'!AD$1:AD$91,$K8)*$B8,0)</f>
        <v>0</v>
      </c>
      <c r="X8" s="129" cm="1">
        <f t="array" ref="X8">IF(B8,INDEX('2e. Umweltrechner Verkehr'!AE$1:AE$91,$K8)*$B8,0)</f>
        <v>0</v>
      </c>
      <c r="Y8" s="129" cm="1">
        <f t="array" ref="Y8">IF(B8,INDEX('2e. Umweltrechner Verkehr'!AF$1:AF$91,$K8)*$B8,0)</f>
        <v>0</v>
      </c>
      <c r="Z8" s="129" cm="1">
        <f t="array" ref="Z8">IF(B8,INDEX('2e. Umweltrechner Verkehr'!AG$1:AG$91,$K8)*M8*$B8,0)</f>
        <v>0</v>
      </c>
      <c r="AA8" s="129" cm="1">
        <f t="array" ref="AA8">IF(B8,INDEX('2e. Umweltrechner Verkehr'!AH$1:AH$91,$K8)*M8*$B8,0)</f>
        <v>0</v>
      </c>
      <c r="AB8" s="129" cm="1">
        <f t="array" ref="AB8">IF(B8,INDEX('2e. Umweltrechner Verkehr'!AI$1:AI$91,$K8)*$B8,0)</f>
        <v>0</v>
      </c>
      <c r="AC8" s="129">
        <f t="shared" si="6"/>
        <v>0</v>
      </c>
    </row>
    <row r="9" spans="1:29" x14ac:dyDescent="0.35">
      <c r="A9" s="58" t="s">
        <v>146</v>
      </c>
      <c r="B9" s="59">
        <f>SUM('2. Eingaben Fahrzeug-Ebene'!$D9:$E9)</f>
        <v>0</v>
      </c>
      <c r="C9" s="59">
        <f>'2. Eingaben Fahrzeug-Ebene'!C9</f>
        <v>0</v>
      </c>
      <c r="D9" s="70" t="str">
        <f t="shared" si="2"/>
        <v>Passenger car</v>
      </c>
      <c r="E9" s="125" t="str" cm="1">
        <f t="array" aca="1" ref="E9" ca="1">IF(B9,INDEX(OFFSET(Grösse,0,1),'2. Eingaben Fahrzeug-Ebene'!G9),"")</f>
        <v/>
      </c>
      <c r="F9" s="72" t="str">
        <f t="shared" si="3"/>
        <v/>
      </c>
      <c r="G9" s="72" cm="1">
        <f t="array" ref="G9">IF(B9,MATCH(F9,'2e. Umweltrechner Verkehr'!C:C&amp;'2e. Umweltrechner Verkehr'!D:D&amp;'2e. Umweltrechner Verkehr'!I:I,0),0)</f>
        <v>0</v>
      </c>
      <c r="H9" s="72" cm="1">
        <f t="array" ref="H9">IF(B9,INDEX('2e. Umweltrechner Verkehr'!Q$1:Q$91,$G9),0)</f>
        <v>0</v>
      </c>
      <c r="I9" s="126">
        <f>IF(B9,MIN(H9/'2. Eingaben Fahrzeug-Ebene'!Y9,1),0)</f>
        <v>0</v>
      </c>
      <c r="J9" s="63" t="str">
        <f t="shared" si="4"/>
        <v/>
      </c>
      <c r="K9" s="63" cm="1">
        <f t="array" ref="K9">IF(B9,MATCH(J9,'2e. Umweltrechner Verkehr'!C:C&amp;'2e. Umweltrechner Verkehr'!D:D&amp;'2e. Umweltrechner Verkehr'!I:I,0),0)</f>
        <v>0</v>
      </c>
      <c r="L9" s="63" cm="1">
        <f t="array" ref="L9">IF(B9,INDEX('2e. Umweltrechner Verkehr'!Q$1:Q$91,$K9),0)</f>
        <v>0</v>
      </c>
      <c r="M9" s="127">
        <f>IF(B9,MIN(L9/'2. Eingaben Fahrzeug-Ebene'!Y9,1),0)</f>
        <v>0</v>
      </c>
      <c r="N9" s="128" cm="1">
        <f t="array" ref="N9">IF(B9,INDEX('2e. Umweltrechner Verkehr'!AC$1:AC$91,$G9)*$B9,0)</f>
        <v>0</v>
      </c>
      <c r="O9" s="128" cm="1">
        <f t="array" ref="O9">IF(B9,INDEX('2e. Umweltrechner Verkehr'!AD$1:AD$91,$G9)*$B9,0)</f>
        <v>0</v>
      </c>
      <c r="P9" s="128" cm="1">
        <f t="array" ref="P9">IF(B9,INDEX('2e. Umweltrechner Verkehr'!AE$1:AE$91,$G9)*$B9,0)</f>
        <v>0</v>
      </c>
      <c r="Q9" s="128" cm="1">
        <f t="array" ref="Q9">IF(B9,INDEX('2e. Umweltrechner Verkehr'!AF$1:AF$91,$G9)*$B9,0)</f>
        <v>0</v>
      </c>
      <c r="R9" s="128" cm="1">
        <f t="array" ref="R9">IF(B9,INDEX('2e. Umweltrechner Verkehr'!AG$1:AG$91,$G9)*I9*$B9,0)</f>
        <v>0</v>
      </c>
      <c r="S9" s="128" cm="1">
        <f t="array" ref="S9">IF(B9,INDEX('2e. Umweltrechner Verkehr'!AH$1:AH$91,$G9)*I9*$B9,0)</f>
        <v>0</v>
      </c>
      <c r="T9" s="128" cm="1">
        <f t="array" ref="T9">IF(B9,INDEX('2e. Umweltrechner Verkehr'!AI$1:AI$91,$G9)*$B9,0)</f>
        <v>0</v>
      </c>
      <c r="U9" s="128">
        <f t="shared" si="5"/>
        <v>0</v>
      </c>
      <c r="V9" s="129" cm="1">
        <f t="array" ref="V9">IF(B9,INDEX('2e. Umweltrechner Verkehr'!AC$1:AC$91,$K9)*$B9,0)</f>
        <v>0</v>
      </c>
      <c r="W9" s="129" cm="1">
        <f t="array" ref="W9">IF(B9,INDEX('2e. Umweltrechner Verkehr'!AD$1:AD$91,$K9)*$B9,0)</f>
        <v>0</v>
      </c>
      <c r="X9" s="129" cm="1">
        <f t="array" ref="X9">IF(B9,INDEX('2e. Umweltrechner Verkehr'!AE$1:AE$91,$K9)*$B9,0)</f>
        <v>0</v>
      </c>
      <c r="Y9" s="129" cm="1">
        <f t="array" ref="Y9">IF(B9,INDEX('2e. Umweltrechner Verkehr'!AF$1:AF$91,$K9)*$B9,0)</f>
        <v>0</v>
      </c>
      <c r="Z9" s="129" cm="1">
        <f t="array" ref="Z9">IF(B9,INDEX('2e. Umweltrechner Verkehr'!AG$1:AG$91,$K9)*M9*$B9,0)</f>
        <v>0</v>
      </c>
      <c r="AA9" s="129" cm="1">
        <f t="array" ref="AA9">IF(B9,INDEX('2e. Umweltrechner Verkehr'!AH$1:AH$91,$K9)*M9*$B9,0)</f>
        <v>0</v>
      </c>
      <c r="AB9" s="129" cm="1">
        <f t="array" ref="AB9">IF(B9,INDEX('2e. Umweltrechner Verkehr'!AI$1:AI$91,$K9)*$B9,0)</f>
        <v>0</v>
      </c>
      <c r="AC9" s="129">
        <f t="shared" si="6"/>
        <v>0</v>
      </c>
    </row>
    <row r="10" spans="1:29" x14ac:dyDescent="0.35">
      <c r="A10" s="58" t="s">
        <v>147</v>
      </c>
      <c r="B10" s="59">
        <f>SUM('2. Eingaben Fahrzeug-Ebene'!$D10:$E10)</f>
        <v>0</v>
      </c>
      <c r="C10" s="59">
        <f>'2. Eingaben Fahrzeug-Ebene'!C10</f>
        <v>0</v>
      </c>
      <c r="D10" s="70" t="str">
        <f t="shared" si="2"/>
        <v>Passenger car</v>
      </c>
      <c r="E10" s="125" t="str" cm="1">
        <f t="array" aca="1" ref="E10" ca="1">IF(B10,INDEX(OFFSET(Grösse,0,1),'2. Eingaben Fahrzeug-Ebene'!G10),"")</f>
        <v/>
      </c>
      <c r="F10" s="72" t="str">
        <f t="shared" si="3"/>
        <v/>
      </c>
      <c r="G10" s="72" cm="1">
        <f t="array" ref="G10">IF(B10,MATCH(F10,'2e. Umweltrechner Verkehr'!C:C&amp;'2e. Umweltrechner Verkehr'!D:D&amp;'2e. Umweltrechner Verkehr'!I:I,0),0)</f>
        <v>0</v>
      </c>
      <c r="H10" s="72" cm="1">
        <f t="array" ref="H10">IF(B10,INDEX('2e. Umweltrechner Verkehr'!Q$1:Q$91,$G10),0)</f>
        <v>0</v>
      </c>
      <c r="I10" s="126">
        <f>IF(B10,MIN(H10/'2. Eingaben Fahrzeug-Ebene'!Y10,1),0)</f>
        <v>0</v>
      </c>
      <c r="J10" s="63" t="str">
        <f t="shared" si="4"/>
        <v/>
      </c>
      <c r="K10" s="63" cm="1">
        <f t="array" ref="K10">IF(B10,MATCH(J10,'2e. Umweltrechner Verkehr'!C:C&amp;'2e. Umweltrechner Verkehr'!D:D&amp;'2e. Umweltrechner Verkehr'!I:I,0),0)</f>
        <v>0</v>
      </c>
      <c r="L10" s="63" cm="1">
        <f t="array" ref="L10">IF(B10,INDEX('2e. Umweltrechner Verkehr'!Q$1:Q$91,$K10),0)</f>
        <v>0</v>
      </c>
      <c r="M10" s="127">
        <f>IF(B10,MIN(L10/'2. Eingaben Fahrzeug-Ebene'!Y10,1),0)</f>
        <v>0</v>
      </c>
      <c r="N10" s="128" cm="1">
        <f t="array" ref="N10">IF(B10,INDEX('2e. Umweltrechner Verkehr'!AC$1:AC$91,$G10)*$B10,0)</f>
        <v>0</v>
      </c>
      <c r="O10" s="128" cm="1">
        <f t="array" ref="O10">IF(B10,INDEX('2e. Umweltrechner Verkehr'!AD$1:AD$91,$G10)*$B10,0)</f>
        <v>0</v>
      </c>
      <c r="P10" s="128" cm="1">
        <f t="array" ref="P10">IF(B10,INDEX('2e. Umweltrechner Verkehr'!AE$1:AE$91,$G10)*$B10,0)</f>
        <v>0</v>
      </c>
      <c r="Q10" s="128" cm="1">
        <f t="array" ref="Q10">IF(B10,INDEX('2e. Umweltrechner Verkehr'!AF$1:AF$91,$G10)*$B10,0)</f>
        <v>0</v>
      </c>
      <c r="R10" s="128" cm="1">
        <f t="array" ref="R10">IF(B10,INDEX('2e. Umweltrechner Verkehr'!AG$1:AG$91,$G10)*I10*$B10,0)</f>
        <v>0</v>
      </c>
      <c r="S10" s="128" cm="1">
        <f t="array" ref="S10">IF(B10,INDEX('2e. Umweltrechner Verkehr'!AH$1:AH$91,$G10)*I10*$B10,0)</f>
        <v>0</v>
      </c>
      <c r="T10" s="128" cm="1">
        <f t="array" ref="T10">IF(B10,INDEX('2e. Umweltrechner Verkehr'!AI$1:AI$91,$G10)*$B10,0)</f>
        <v>0</v>
      </c>
      <c r="U10" s="128">
        <f t="shared" si="5"/>
        <v>0</v>
      </c>
      <c r="V10" s="129" cm="1">
        <f t="array" ref="V10">IF(B10,INDEX('2e. Umweltrechner Verkehr'!AC$1:AC$91,$K10)*$B10,0)</f>
        <v>0</v>
      </c>
      <c r="W10" s="129" cm="1">
        <f t="array" ref="W10">IF(B10,INDEX('2e. Umweltrechner Verkehr'!AD$1:AD$91,$K10)*$B10,0)</f>
        <v>0</v>
      </c>
      <c r="X10" s="129" cm="1">
        <f t="array" ref="X10">IF(B10,INDEX('2e. Umweltrechner Verkehr'!AE$1:AE$91,$K10)*$B10,0)</f>
        <v>0</v>
      </c>
      <c r="Y10" s="129" cm="1">
        <f t="array" ref="Y10">IF(B10,INDEX('2e. Umweltrechner Verkehr'!AF$1:AF$91,$K10)*$B10,0)</f>
        <v>0</v>
      </c>
      <c r="Z10" s="129" cm="1">
        <f t="array" ref="Z10">IF(B10,INDEX('2e. Umweltrechner Verkehr'!AG$1:AG$91,$K10)*M10*$B10,0)</f>
        <v>0</v>
      </c>
      <c r="AA10" s="129" cm="1">
        <f t="array" ref="AA10">IF(B10,INDEX('2e. Umweltrechner Verkehr'!AH$1:AH$91,$K10)*M10*$B10,0)</f>
        <v>0</v>
      </c>
      <c r="AB10" s="129" cm="1">
        <f t="array" ref="AB10">IF(B10,INDEX('2e. Umweltrechner Verkehr'!AI$1:AI$91,$K10)*$B10,0)</f>
        <v>0</v>
      </c>
      <c r="AC10" s="129">
        <f t="shared" si="6"/>
        <v>0</v>
      </c>
    </row>
    <row r="11" spans="1:29" x14ac:dyDescent="0.35">
      <c r="A11" s="58" t="s">
        <v>148</v>
      </c>
      <c r="B11" s="59">
        <f>SUM('2. Eingaben Fahrzeug-Ebene'!$D11:$E11)</f>
        <v>0</v>
      </c>
      <c r="C11" s="59">
        <f>'2. Eingaben Fahrzeug-Ebene'!C11</f>
        <v>0</v>
      </c>
      <c r="D11" s="70" t="str">
        <f t="shared" si="2"/>
        <v>Passenger car</v>
      </c>
      <c r="E11" s="125" t="str" cm="1">
        <f t="array" aca="1" ref="E11" ca="1">IF(B11,INDEX(OFFSET(Grösse,0,1),'2. Eingaben Fahrzeug-Ebene'!G11),"")</f>
        <v/>
      </c>
      <c r="F11" s="72" t="str">
        <f t="shared" si="3"/>
        <v/>
      </c>
      <c r="G11" s="72" cm="1">
        <f t="array" ref="G11">IF(B11,MATCH(F11,'2e. Umweltrechner Verkehr'!C:C&amp;'2e. Umweltrechner Verkehr'!D:D&amp;'2e. Umweltrechner Verkehr'!I:I,0),0)</f>
        <v>0</v>
      </c>
      <c r="H11" s="72" cm="1">
        <f t="array" ref="H11">IF(B11,INDEX('2e. Umweltrechner Verkehr'!Q$1:Q$91,$G11),0)</f>
        <v>0</v>
      </c>
      <c r="I11" s="126">
        <f>IF(B11,MIN(H11/'2. Eingaben Fahrzeug-Ebene'!Y11,1),0)</f>
        <v>0</v>
      </c>
      <c r="J11" s="63" t="str">
        <f t="shared" si="4"/>
        <v/>
      </c>
      <c r="K11" s="63" cm="1">
        <f t="array" ref="K11">IF(B11,MATCH(J11,'2e. Umweltrechner Verkehr'!C:C&amp;'2e. Umweltrechner Verkehr'!D:D&amp;'2e. Umweltrechner Verkehr'!I:I,0),0)</f>
        <v>0</v>
      </c>
      <c r="L11" s="63" cm="1">
        <f t="array" ref="L11">IF(B11,INDEX('2e. Umweltrechner Verkehr'!Q$1:Q$91,$K11),0)</f>
        <v>0</v>
      </c>
      <c r="M11" s="127">
        <f>IF(B11,MIN(L11/'2. Eingaben Fahrzeug-Ebene'!Y11,1),0)</f>
        <v>0</v>
      </c>
      <c r="N11" s="128" cm="1">
        <f t="array" ref="N11">IF(B11,INDEX('2e. Umweltrechner Verkehr'!AC$1:AC$91,$G11)*$B11,0)</f>
        <v>0</v>
      </c>
      <c r="O11" s="128" cm="1">
        <f t="array" ref="O11">IF(B11,INDEX('2e. Umweltrechner Verkehr'!AD$1:AD$91,$G11)*$B11,0)</f>
        <v>0</v>
      </c>
      <c r="P11" s="128" cm="1">
        <f t="array" ref="P11">IF(B11,INDEX('2e. Umweltrechner Verkehr'!AE$1:AE$91,$G11)*$B11,0)</f>
        <v>0</v>
      </c>
      <c r="Q11" s="128" cm="1">
        <f t="array" ref="Q11">IF(B11,INDEX('2e. Umweltrechner Verkehr'!AF$1:AF$91,$G11)*$B11,0)</f>
        <v>0</v>
      </c>
      <c r="R11" s="128" cm="1">
        <f t="array" ref="R11">IF(B11,INDEX('2e. Umweltrechner Verkehr'!AG$1:AG$91,$G11)*I11*$B11,0)</f>
        <v>0</v>
      </c>
      <c r="S11" s="128" cm="1">
        <f t="array" ref="S11">IF(B11,INDEX('2e. Umweltrechner Verkehr'!AH$1:AH$91,$G11)*I11*$B11,0)</f>
        <v>0</v>
      </c>
      <c r="T11" s="128" cm="1">
        <f t="array" ref="T11">IF(B11,INDEX('2e. Umweltrechner Verkehr'!AI$1:AI$91,$G11)*$B11,0)</f>
        <v>0</v>
      </c>
      <c r="U11" s="128">
        <f t="shared" si="5"/>
        <v>0</v>
      </c>
      <c r="V11" s="129" cm="1">
        <f t="array" ref="V11">IF(B11,INDEX('2e. Umweltrechner Verkehr'!AC$1:AC$91,$K11)*$B11,0)</f>
        <v>0</v>
      </c>
      <c r="W11" s="129" cm="1">
        <f t="array" ref="W11">IF(B11,INDEX('2e. Umweltrechner Verkehr'!AD$1:AD$91,$K11)*$B11,0)</f>
        <v>0</v>
      </c>
      <c r="X11" s="129" cm="1">
        <f t="array" ref="X11">IF(B11,INDEX('2e. Umweltrechner Verkehr'!AE$1:AE$91,$K11)*$B11,0)</f>
        <v>0</v>
      </c>
      <c r="Y11" s="129" cm="1">
        <f t="array" ref="Y11">IF(B11,INDEX('2e. Umweltrechner Verkehr'!AF$1:AF$91,$K11)*$B11,0)</f>
        <v>0</v>
      </c>
      <c r="Z11" s="129" cm="1">
        <f t="array" ref="Z11">IF(B11,INDEX('2e. Umweltrechner Verkehr'!AG$1:AG$91,$K11)*M11*$B11,0)</f>
        <v>0</v>
      </c>
      <c r="AA11" s="129" cm="1">
        <f t="array" ref="AA11">IF(B11,INDEX('2e. Umweltrechner Verkehr'!AH$1:AH$91,$K11)*M11*$B11,0)</f>
        <v>0</v>
      </c>
      <c r="AB11" s="129" cm="1">
        <f t="array" ref="AB11">IF(B11,INDEX('2e. Umweltrechner Verkehr'!AI$1:AI$91,$K11)*$B11,0)</f>
        <v>0</v>
      </c>
      <c r="AC11" s="129">
        <f t="shared" si="6"/>
        <v>0</v>
      </c>
    </row>
    <row r="12" spans="1:29" x14ac:dyDescent="0.35">
      <c r="A12" s="58" t="s">
        <v>149</v>
      </c>
      <c r="B12" s="59">
        <f>SUM('2. Eingaben Fahrzeug-Ebene'!$D12:$E12)</f>
        <v>0</v>
      </c>
      <c r="C12" s="59">
        <f>'2. Eingaben Fahrzeug-Ebene'!C12</f>
        <v>0</v>
      </c>
      <c r="D12" s="70" t="str">
        <f t="shared" si="2"/>
        <v>Passenger car</v>
      </c>
      <c r="E12" s="125" t="str" cm="1">
        <f t="array" aca="1" ref="E12" ca="1">IF(B12,INDEX(OFFSET(Grösse,0,1),'2. Eingaben Fahrzeug-Ebene'!G12),"")</f>
        <v/>
      </c>
      <c r="F12" s="72" t="str">
        <f t="shared" si="3"/>
        <v/>
      </c>
      <c r="G12" s="72" cm="1">
        <f t="array" ref="G12">IF(B12,MATCH(F12,'2e. Umweltrechner Verkehr'!C:C&amp;'2e. Umweltrechner Verkehr'!D:D&amp;'2e. Umweltrechner Verkehr'!I:I,0),0)</f>
        <v>0</v>
      </c>
      <c r="H12" s="72" cm="1">
        <f t="array" ref="H12">IF(B12,INDEX('2e. Umweltrechner Verkehr'!Q$1:Q$91,$G12),0)</f>
        <v>0</v>
      </c>
      <c r="I12" s="126">
        <f>IF(B12,MIN(H12/'2. Eingaben Fahrzeug-Ebene'!Y12,1),0)</f>
        <v>0</v>
      </c>
      <c r="J12" s="63" t="str">
        <f t="shared" si="4"/>
        <v/>
      </c>
      <c r="K12" s="63" cm="1">
        <f t="array" ref="K12">IF(B12,MATCH(J12,'2e. Umweltrechner Verkehr'!C:C&amp;'2e. Umweltrechner Verkehr'!D:D&amp;'2e. Umweltrechner Verkehr'!I:I,0),0)</f>
        <v>0</v>
      </c>
      <c r="L12" s="63" cm="1">
        <f t="array" ref="L12">IF(B12,INDEX('2e. Umweltrechner Verkehr'!Q$1:Q$91,$K12),0)</f>
        <v>0</v>
      </c>
      <c r="M12" s="127">
        <f>IF(B12,MIN(L12/'2. Eingaben Fahrzeug-Ebene'!Y12,1),0)</f>
        <v>0</v>
      </c>
      <c r="N12" s="128" cm="1">
        <f t="array" ref="N12">IF(B12,INDEX('2e. Umweltrechner Verkehr'!AC$1:AC$91,$G12)*$B12,0)</f>
        <v>0</v>
      </c>
      <c r="O12" s="128" cm="1">
        <f t="array" ref="O12">IF(B12,INDEX('2e. Umweltrechner Verkehr'!AD$1:AD$91,$G12)*$B12,0)</f>
        <v>0</v>
      </c>
      <c r="P12" s="128" cm="1">
        <f t="array" ref="P12">IF(B12,INDEX('2e. Umweltrechner Verkehr'!AE$1:AE$91,$G12)*$B12,0)</f>
        <v>0</v>
      </c>
      <c r="Q12" s="128" cm="1">
        <f t="array" ref="Q12">IF(B12,INDEX('2e. Umweltrechner Verkehr'!AF$1:AF$91,$G12)*$B12,0)</f>
        <v>0</v>
      </c>
      <c r="R12" s="128" cm="1">
        <f t="array" ref="R12">IF(B12,INDEX('2e. Umweltrechner Verkehr'!AG$1:AG$91,$G12)*I12*$B12,0)</f>
        <v>0</v>
      </c>
      <c r="S12" s="128" cm="1">
        <f t="array" ref="S12">IF(B12,INDEX('2e. Umweltrechner Verkehr'!AH$1:AH$91,$G12)*I12*$B12,0)</f>
        <v>0</v>
      </c>
      <c r="T12" s="128" cm="1">
        <f t="array" ref="T12">IF(B12,INDEX('2e. Umweltrechner Verkehr'!AI$1:AI$91,$G12)*$B12,0)</f>
        <v>0</v>
      </c>
      <c r="U12" s="128">
        <f t="shared" si="5"/>
        <v>0</v>
      </c>
      <c r="V12" s="129" cm="1">
        <f t="array" ref="V12">IF(B12,INDEX('2e. Umweltrechner Verkehr'!AC$1:AC$91,$K12)*$B12,0)</f>
        <v>0</v>
      </c>
      <c r="W12" s="129" cm="1">
        <f t="array" ref="W12">IF(B12,INDEX('2e. Umweltrechner Verkehr'!AD$1:AD$91,$K12)*$B12,0)</f>
        <v>0</v>
      </c>
      <c r="X12" s="129" cm="1">
        <f t="array" ref="X12">IF(B12,INDEX('2e. Umweltrechner Verkehr'!AE$1:AE$91,$K12)*$B12,0)</f>
        <v>0</v>
      </c>
      <c r="Y12" s="129" cm="1">
        <f t="array" ref="Y12">IF(B12,INDEX('2e. Umweltrechner Verkehr'!AF$1:AF$91,$K12)*$B12,0)</f>
        <v>0</v>
      </c>
      <c r="Z12" s="129" cm="1">
        <f t="array" ref="Z12">IF(B12,INDEX('2e. Umweltrechner Verkehr'!AG$1:AG$91,$K12)*M12*$B12,0)</f>
        <v>0</v>
      </c>
      <c r="AA12" s="129" cm="1">
        <f t="array" ref="AA12">IF(B12,INDEX('2e. Umweltrechner Verkehr'!AH$1:AH$91,$K12)*M12*$B12,0)</f>
        <v>0</v>
      </c>
      <c r="AB12" s="129" cm="1">
        <f t="array" ref="AB12">IF(B12,INDEX('2e. Umweltrechner Verkehr'!AI$1:AI$91,$K12)*$B12,0)</f>
        <v>0</v>
      </c>
      <c r="AC12" s="129">
        <f t="shared" si="6"/>
        <v>0</v>
      </c>
    </row>
    <row r="13" spans="1:29" x14ac:dyDescent="0.35">
      <c r="A13" s="58" t="s">
        <v>150</v>
      </c>
      <c r="B13" s="59">
        <f>SUM('2. Eingaben Fahrzeug-Ebene'!$D13:$E13)</f>
        <v>0</v>
      </c>
      <c r="C13" s="59">
        <f>'2. Eingaben Fahrzeug-Ebene'!C13</f>
        <v>0</v>
      </c>
      <c r="D13" s="70" t="str">
        <f t="shared" si="2"/>
        <v>Passenger car</v>
      </c>
      <c r="E13" s="125" t="str" cm="1">
        <f t="array" aca="1" ref="E13" ca="1">IF(B13,INDEX(OFFSET(Grösse,0,1),'2. Eingaben Fahrzeug-Ebene'!G13),"")</f>
        <v/>
      </c>
      <c r="F13" s="72" t="str">
        <f t="shared" si="3"/>
        <v/>
      </c>
      <c r="G13" s="72" cm="1">
        <f t="array" ref="G13">IF(B13,MATCH(F13,'2e. Umweltrechner Verkehr'!C:C&amp;'2e. Umweltrechner Verkehr'!D:D&amp;'2e. Umweltrechner Verkehr'!I:I,0),0)</f>
        <v>0</v>
      </c>
      <c r="H13" s="72" cm="1">
        <f t="array" ref="H13">IF(B13,INDEX('2e. Umweltrechner Verkehr'!Q$1:Q$91,$G13),0)</f>
        <v>0</v>
      </c>
      <c r="I13" s="126">
        <f>IF(B13,MIN(H13/'2. Eingaben Fahrzeug-Ebene'!Y13,1),0)</f>
        <v>0</v>
      </c>
      <c r="J13" s="63" t="str">
        <f t="shared" si="4"/>
        <v/>
      </c>
      <c r="K13" s="63" cm="1">
        <f t="array" ref="K13">IF(B13,MATCH(J13,'2e. Umweltrechner Verkehr'!C:C&amp;'2e. Umweltrechner Verkehr'!D:D&amp;'2e. Umweltrechner Verkehr'!I:I,0),0)</f>
        <v>0</v>
      </c>
      <c r="L13" s="63" cm="1">
        <f t="array" ref="L13">IF(B13,INDEX('2e. Umweltrechner Verkehr'!Q$1:Q$91,$K13),0)</f>
        <v>0</v>
      </c>
      <c r="M13" s="127">
        <f>IF(B13,MIN(L13/'2. Eingaben Fahrzeug-Ebene'!Y13,1),0)</f>
        <v>0</v>
      </c>
      <c r="N13" s="128" cm="1">
        <f t="array" ref="N13">IF(B13,INDEX('2e. Umweltrechner Verkehr'!AC$1:AC$91,$G13)*$B13,0)</f>
        <v>0</v>
      </c>
      <c r="O13" s="128" cm="1">
        <f t="array" ref="O13">IF(B13,INDEX('2e. Umweltrechner Verkehr'!AD$1:AD$91,$G13)*$B13,0)</f>
        <v>0</v>
      </c>
      <c r="P13" s="128" cm="1">
        <f t="array" ref="P13">IF(B13,INDEX('2e. Umweltrechner Verkehr'!AE$1:AE$91,$G13)*$B13,0)</f>
        <v>0</v>
      </c>
      <c r="Q13" s="128" cm="1">
        <f t="array" ref="Q13">IF(B13,INDEX('2e. Umweltrechner Verkehr'!AF$1:AF$91,$G13)*$B13,0)</f>
        <v>0</v>
      </c>
      <c r="R13" s="128" cm="1">
        <f t="array" ref="R13">IF(B13,INDEX('2e. Umweltrechner Verkehr'!AG$1:AG$91,$G13)*I13*$B13,0)</f>
        <v>0</v>
      </c>
      <c r="S13" s="128" cm="1">
        <f t="array" ref="S13">IF(B13,INDEX('2e. Umweltrechner Verkehr'!AH$1:AH$91,$G13)*I13*$B13,0)</f>
        <v>0</v>
      </c>
      <c r="T13" s="128" cm="1">
        <f t="array" ref="T13">IF(B13,INDEX('2e. Umweltrechner Verkehr'!AI$1:AI$91,$G13)*$B13,0)</f>
        <v>0</v>
      </c>
      <c r="U13" s="128">
        <f t="shared" si="5"/>
        <v>0</v>
      </c>
      <c r="V13" s="129" cm="1">
        <f t="array" ref="V13">IF(B13,INDEX('2e. Umweltrechner Verkehr'!AC$1:AC$91,$K13)*$B13,0)</f>
        <v>0</v>
      </c>
      <c r="W13" s="129" cm="1">
        <f t="array" ref="W13">IF(B13,INDEX('2e. Umweltrechner Verkehr'!AD$1:AD$91,$K13)*$B13,0)</f>
        <v>0</v>
      </c>
      <c r="X13" s="129" cm="1">
        <f t="array" ref="X13">IF(B13,INDEX('2e. Umweltrechner Verkehr'!AE$1:AE$91,$K13)*$B13,0)</f>
        <v>0</v>
      </c>
      <c r="Y13" s="129" cm="1">
        <f t="array" ref="Y13">IF(B13,INDEX('2e. Umweltrechner Verkehr'!AF$1:AF$91,$K13)*$B13,0)</f>
        <v>0</v>
      </c>
      <c r="Z13" s="129" cm="1">
        <f t="array" ref="Z13">IF(B13,INDEX('2e. Umweltrechner Verkehr'!AG$1:AG$91,$K13)*M13*$B13,0)</f>
        <v>0</v>
      </c>
      <c r="AA13" s="129" cm="1">
        <f t="array" ref="AA13">IF(B13,INDEX('2e. Umweltrechner Verkehr'!AH$1:AH$91,$K13)*M13*$B13,0)</f>
        <v>0</v>
      </c>
      <c r="AB13" s="129" cm="1">
        <f t="array" ref="AB13">IF(B13,INDEX('2e. Umweltrechner Verkehr'!AI$1:AI$91,$K13)*$B13,0)</f>
        <v>0</v>
      </c>
      <c r="AC13" s="129">
        <f t="shared" si="6"/>
        <v>0</v>
      </c>
    </row>
    <row r="14" spans="1:29" x14ac:dyDescent="0.35">
      <c r="A14" s="58" t="s">
        <v>151</v>
      </c>
      <c r="B14" s="59">
        <f>SUM('2. Eingaben Fahrzeug-Ebene'!$D14:$E14)</f>
        <v>0</v>
      </c>
      <c r="C14" s="59">
        <f>'2. Eingaben Fahrzeug-Ebene'!C14</f>
        <v>0</v>
      </c>
      <c r="D14" s="70" t="str">
        <f t="shared" si="2"/>
        <v>Passenger car</v>
      </c>
      <c r="E14" s="125" t="str" cm="1">
        <f t="array" aca="1" ref="E14" ca="1">IF(B14,INDEX(OFFSET(Grösse,0,1),'2. Eingaben Fahrzeug-Ebene'!G14),"")</f>
        <v/>
      </c>
      <c r="F14" s="72" t="str">
        <f t="shared" si="3"/>
        <v/>
      </c>
      <c r="G14" s="72" cm="1">
        <f t="array" ref="G14">IF(B14,MATCH(F14,'2e. Umweltrechner Verkehr'!C:C&amp;'2e. Umweltrechner Verkehr'!D:D&amp;'2e. Umweltrechner Verkehr'!I:I,0),0)</f>
        <v>0</v>
      </c>
      <c r="H14" s="72" cm="1">
        <f t="array" ref="H14">IF(B14,INDEX('2e. Umweltrechner Verkehr'!Q$1:Q$91,$G14),0)</f>
        <v>0</v>
      </c>
      <c r="I14" s="126">
        <f>IF(B14,MIN(H14/'2. Eingaben Fahrzeug-Ebene'!Y14,1),0)</f>
        <v>0</v>
      </c>
      <c r="J14" s="63" t="str">
        <f t="shared" si="4"/>
        <v/>
      </c>
      <c r="K14" s="63" cm="1">
        <f t="array" ref="K14">IF(B14,MATCH(J14,'2e. Umweltrechner Verkehr'!C:C&amp;'2e. Umweltrechner Verkehr'!D:D&amp;'2e. Umweltrechner Verkehr'!I:I,0),0)</f>
        <v>0</v>
      </c>
      <c r="L14" s="63" cm="1">
        <f t="array" ref="L14">IF(B14,INDEX('2e. Umweltrechner Verkehr'!Q$1:Q$91,$K14),0)</f>
        <v>0</v>
      </c>
      <c r="M14" s="127">
        <f>IF(B14,MIN(L14/'2. Eingaben Fahrzeug-Ebene'!Y14,1),0)</f>
        <v>0</v>
      </c>
      <c r="N14" s="128" cm="1">
        <f t="array" ref="N14">IF(B14,INDEX('2e. Umweltrechner Verkehr'!AC$1:AC$91,$G14)*$B14,0)</f>
        <v>0</v>
      </c>
      <c r="O14" s="128" cm="1">
        <f t="array" ref="O14">IF(B14,INDEX('2e. Umweltrechner Verkehr'!AD$1:AD$91,$G14)*$B14,0)</f>
        <v>0</v>
      </c>
      <c r="P14" s="128" cm="1">
        <f t="array" ref="P14">IF(B14,INDEX('2e. Umweltrechner Verkehr'!AE$1:AE$91,$G14)*$B14,0)</f>
        <v>0</v>
      </c>
      <c r="Q14" s="128" cm="1">
        <f t="array" ref="Q14">IF(B14,INDEX('2e. Umweltrechner Verkehr'!AF$1:AF$91,$G14)*$B14,0)</f>
        <v>0</v>
      </c>
      <c r="R14" s="128" cm="1">
        <f t="array" ref="R14">IF(B14,INDEX('2e. Umweltrechner Verkehr'!AG$1:AG$91,$G14)*I14*$B14,0)</f>
        <v>0</v>
      </c>
      <c r="S14" s="128" cm="1">
        <f t="array" ref="S14">IF(B14,INDEX('2e. Umweltrechner Verkehr'!AH$1:AH$91,$G14)*I14*$B14,0)</f>
        <v>0</v>
      </c>
      <c r="T14" s="128" cm="1">
        <f t="array" ref="T14">IF(B14,INDEX('2e. Umweltrechner Verkehr'!AI$1:AI$91,$G14)*$B14,0)</f>
        <v>0</v>
      </c>
      <c r="U14" s="128">
        <f t="shared" si="5"/>
        <v>0</v>
      </c>
      <c r="V14" s="129" cm="1">
        <f t="array" ref="V14">IF(B14,INDEX('2e. Umweltrechner Verkehr'!AC$1:AC$91,$K14)*$B14,0)</f>
        <v>0</v>
      </c>
      <c r="W14" s="129" cm="1">
        <f t="array" ref="W14">IF(B14,INDEX('2e. Umweltrechner Verkehr'!AD$1:AD$91,$K14)*$B14,0)</f>
        <v>0</v>
      </c>
      <c r="X14" s="129" cm="1">
        <f t="array" ref="X14">IF(B14,INDEX('2e. Umweltrechner Verkehr'!AE$1:AE$91,$K14)*$B14,0)</f>
        <v>0</v>
      </c>
      <c r="Y14" s="129" cm="1">
        <f t="array" ref="Y14">IF(B14,INDEX('2e. Umweltrechner Verkehr'!AF$1:AF$91,$K14)*$B14,0)</f>
        <v>0</v>
      </c>
      <c r="Z14" s="129" cm="1">
        <f t="array" ref="Z14">IF(B14,INDEX('2e. Umweltrechner Verkehr'!AG$1:AG$91,$K14)*M14*$B14,0)</f>
        <v>0</v>
      </c>
      <c r="AA14" s="129" cm="1">
        <f t="array" ref="AA14">IF(B14,INDEX('2e. Umweltrechner Verkehr'!AH$1:AH$91,$K14)*M14*$B14,0)</f>
        <v>0</v>
      </c>
      <c r="AB14" s="129" cm="1">
        <f t="array" ref="AB14">IF(B14,INDEX('2e. Umweltrechner Verkehr'!AI$1:AI$91,$K14)*$B14,0)</f>
        <v>0</v>
      </c>
      <c r="AC14" s="129">
        <f t="shared" si="6"/>
        <v>0</v>
      </c>
    </row>
    <row r="15" spans="1:29" x14ac:dyDescent="0.35">
      <c r="B15" s="59"/>
      <c r="C15" s="59"/>
      <c r="E15" s="125"/>
      <c r="I15" s="126"/>
      <c r="M15" s="127"/>
      <c r="N15" s="128"/>
      <c r="O15" s="128"/>
      <c r="P15" s="128"/>
      <c r="Q15" s="128"/>
      <c r="R15" s="128"/>
      <c r="S15" s="128"/>
      <c r="T15" s="128"/>
      <c r="U15" s="128"/>
      <c r="V15" s="129"/>
      <c r="W15" s="129"/>
      <c r="X15" s="129"/>
      <c r="Y15" s="129"/>
      <c r="Z15" s="129"/>
      <c r="AA15" s="129"/>
      <c r="AB15" s="129"/>
      <c r="AC15" s="129"/>
    </row>
    <row r="16" spans="1:29" x14ac:dyDescent="0.35">
      <c r="B16" s="59"/>
      <c r="C16" s="59"/>
      <c r="E16" s="125"/>
      <c r="I16" s="126"/>
      <c r="M16" s="127"/>
      <c r="N16" s="128"/>
      <c r="O16" s="128"/>
      <c r="P16" s="128"/>
      <c r="Q16" s="128"/>
      <c r="R16" s="128"/>
      <c r="S16" s="128"/>
      <c r="T16" s="128"/>
      <c r="U16" s="128"/>
      <c r="V16" s="129"/>
      <c r="W16" s="129"/>
      <c r="X16" s="129"/>
      <c r="Y16" s="129"/>
      <c r="Z16" s="129"/>
      <c r="AA16" s="129"/>
      <c r="AB16" s="129"/>
      <c r="AC16" s="129"/>
    </row>
    <row r="17" spans="2:29" x14ac:dyDescent="0.35">
      <c r="B17" s="59"/>
      <c r="C17" s="59"/>
      <c r="E17" s="125"/>
      <c r="I17" s="126"/>
      <c r="M17" s="127"/>
      <c r="N17" s="128"/>
      <c r="O17" s="128"/>
      <c r="P17" s="128"/>
      <c r="Q17" s="128"/>
      <c r="R17" s="128"/>
      <c r="S17" s="128"/>
      <c r="T17" s="128"/>
      <c r="U17" s="128"/>
      <c r="V17" s="129"/>
      <c r="W17" s="129"/>
      <c r="X17" s="129"/>
      <c r="Y17" s="129"/>
      <c r="Z17" s="129"/>
      <c r="AA17" s="129"/>
      <c r="AB17" s="129"/>
      <c r="AC17" s="129"/>
    </row>
    <row r="18" spans="2:29" x14ac:dyDescent="0.35">
      <c r="B18" s="59"/>
      <c r="C18" s="59"/>
      <c r="E18" s="125"/>
      <c r="H18" s="112"/>
      <c r="I18" s="126"/>
      <c r="M18" s="127"/>
      <c r="N18" s="128"/>
      <c r="O18" s="128"/>
      <c r="P18" s="128"/>
      <c r="Q18" s="128"/>
      <c r="R18" s="128"/>
      <c r="S18" s="128"/>
      <c r="T18" s="128"/>
      <c r="U18" s="128"/>
      <c r="V18" s="129"/>
      <c r="W18" s="129"/>
      <c r="X18" s="129"/>
      <c r="Y18" s="129"/>
      <c r="Z18" s="129"/>
      <c r="AA18" s="129"/>
      <c r="AB18" s="129"/>
      <c r="AC18" s="129"/>
    </row>
    <row r="19" spans="2:29" x14ac:dyDescent="0.35">
      <c r="B19" s="59"/>
      <c r="C19" s="59"/>
      <c r="E19" s="125"/>
      <c r="I19" s="126"/>
      <c r="M19" s="127"/>
      <c r="N19" s="128"/>
      <c r="O19" s="128"/>
      <c r="P19" s="128"/>
      <c r="Q19" s="128"/>
      <c r="R19" s="128"/>
      <c r="S19" s="128"/>
      <c r="T19" s="128"/>
      <c r="U19" s="128"/>
      <c r="V19" s="129"/>
      <c r="W19" s="129"/>
      <c r="X19" s="129"/>
      <c r="Y19" s="129"/>
      <c r="Z19" s="129"/>
      <c r="AA19" s="129"/>
      <c r="AB19" s="129"/>
      <c r="AC19" s="129"/>
    </row>
    <row r="20" spans="2:29" x14ac:dyDescent="0.35">
      <c r="B20" s="59"/>
      <c r="C20" s="59"/>
      <c r="E20" s="125"/>
      <c r="I20" s="126"/>
      <c r="M20" s="127"/>
      <c r="N20" s="128"/>
      <c r="O20" s="128"/>
      <c r="P20" s="128"/>
      <c r="Q20" s="128"/>
      <c r="R20" s="128"/>
      <c r="S20" s="128"/>
      <c r="T20" s="128"/>
      <c r="U20" s="128"/>
      <c r="V20" s="129"/>
      <c r="W20" s="129"/>
      <c r="X20" s="129"/>
      <c r="Y20" s="129"/>
      <c r="Z20" s="129"/>
      <c r="AA20" s="129"/>
      <c r="AB20" s="129"/>
      <c r="AC20" s="129"/>
    </row>
    <row r="21" spans="2:29" x14ac:dyDescent="0.35">
      <c r="B21" s="59"/>
      <c r="C21" s="59"/>
      <c r="E21" s="125"/>
      <c r="I21" s="126"/>
      <c r="M21" s="127"/>
      <c r="N21" s="128"/>
      <c r="O21" s="128"/>
      <c r="P21" s="128"/>
      <c r="Q21" s="128"/>
      <c r="R21" s="128"/>
      <c r="S21" s="128"/>
      <c r="T21" s="128"/>
      <c r="U21" s="128"/>
      <c r="V21" s="129"/>
      <c r="W21" s="129"/>
      <c r="X21" s="129"/>
      <c r="Y21" s="129"/>
      <c r="Z21" s="129"/>
      <c r="AA21" s="129"/>
      <c r="AB21" s="129"/>
      <c r="AC21" s="129"/>
    </row>
    <row r="22" spans="2:29" x14ac:dyDescent="0.35">
      <c r="B22" s="59"/>
      <c r="C22" s="59"/>
      <c r="E22" s="125"/>
      <c r="I22" s="126"/>
      <c r="M22" s="127"/>
      <c r="N22" s="128"/>
      <c r="O22" s="128"/>
      <c r="P22" s="128"/>
      <c r="Q22" s="128"/>
      <c r="R22" s="128"/>
      <c r="S22" s="128"/>
      <c r="T22" s="128"/>
      <c r="U22" s="128"/>
      <c r="V22" s="129"/>
      <c r="W22" s="129"/>
      <c r="X22" s="129"/>
      <c r="Y22" s="129"/>
      <c r="Z22" s="129"/>
      <c r="AA22" s="129"/>
      <c r="AB22" s="129"/>
      <c r="AC22" s="129"/>
    </row>
    <row r="23" spans="2:29" x14ac:dyDescent="0.35">
      <c r="B23" s="59"/>
      <c r="C23" s="59"/>
      <c r="E23" s="125"/>
      <c r="I23" s="126"/>
      <c r="M23" s="127"/>
      <c r="N23" s="128"/>
      <c r="O23" s="128"/>
      <c r="P23" s="128"/>
      <c r="Q23" s="128"/>
      <c r="R23" s="128"/>
      <c r="S23" s="128"/>
      <c r="T23" s="128"/>
      <c r="U23" s="128"/>
      <c r="V23" s="129"/>
      <c r="W23" s="129"/>
      <c r="X23" s="129"/>
      <c r="Y23" s="129"/>
      <c r="Z23" s="129"/>
      <c r="AA23" s="129"/>
      <c r="AB23" s="129"/>
      <c r="AC23" s="129"/>
    </row>
    <row r="24" spans="2:29" x14ac:dyDescent="0.35">
      <c r="B24" s="59"/>
      <c r="C24" s="59"/>
      <c r="E24" s="125"/>
      <c r="I24" s="126"/>
      <c r="M24" s="127"/>
      <c r="N24" s="128"/>
      <c r="O24" s="128"/>
      <c r="P24" s="128"/>
      <c r="Q24" s="128"/>
      <c r="R24" s="128"/>
      <c r="S24" s="128"/>
      <c r="T24" s="128"/>
      <c r="U24" s="128"/>
      <c r="V24" s="129"/>
      <c r="W24" s="129"/>
      <c r="X24" s="129"/>
      <c r="Y24" s="129"/>
      <c r="Z24" s="129"/>
      <c r="AA24" s="129"/>
      <c r="AB24" s="129"/>
      <c r="AC24" s="129"/>
    </row>
    <row r="25" spans="2:29" x14ac:dyDescent="0.35">
      <c r="B25" s="59"/>
      <c r="C25" s="59"/>
      <c r="E25" s="125"/>
      <c r="I25" s="126"/>
      <c r="M25" s="127"/>
      <c r="N25" s="128"/>
      <c r="O25" s="128"/>
      <c r="P25" s="128"/>
      <c r="Q25" s="128"/>
      <c r="R25" s="128"/>
      <c r="S25" s="128"/>
      <c r="T25" s="128"/>
      <c r="U25" s="128"/>
      <c r="V25" s="129"/>
      <c r="W25" s="129"/>
      <c r="X25" s="129"/>
      <c r="Y25" s="129"/>
      <c r="Z25" s="129"/>
      <c r="AA25" s="129"/>
      <c r="AB25" s="129"/>
      <c r="AC25" s="129"/>
    </row>
    <row r="26" spans="2:29" x14ac:dyDescent="0.35">
      <c r="B26" s="59"/>
      <c r="C26" s="59"/>
      <c r="E26" s="125"/>
      <c r="I26" s="126"/>
      <c r="M26" s="127"/>
      <c r="N26" s="128"/>
      <c r="O26" s="128"/>
      <c r="P26" s="128"/>
      <c r="Q26" s="128"/>
      <c r="R26" s="128"/>
      <c r="S26" s="128"/>
      <c r="T26" s="128"/>
      <c r="U26" s="128"/>
      <c r="V26" s="129"/>
      <c r="W26" s="129"/>
      <c r="X26" s="129"/>
      <c r="Y26" s="129"/>
      <c r="Z26" s="129"/>
      <c r="AA26" s="129"/>
      <c r="AB26" s="129"/>
      <c r="AC26" s="129"/>
    </row>
    <row r="27" spans="2:29" x14ac:dyDescent="0.35">
      <c r="B27" s="59"/>
      <c r="C27" s="59"/>
      <c r="E27" s="125"/>
      <c r="I27" s="126"/>
      <c r="M27" s="127"/>
      <c r="N27" s="128"/>
      <c r="O27" s="128"/>
      <c r="P27" s="128"/>
      <c r="Q27" s="128"/>
      <c r="R27" s="128"/>
      <c r="S27" s="128"/>
      <c r="T27" s="128"/>
      <c r="U27" s="128"/>
      <c r="V27" s="129"/>
      <c r="W27" s="129"/>
      <c r="X27" s="129"/>
      <c r="Y27" s="129"/>
      <c r="Z27" s="129"/>
      <c r="AA27" s="129"/>
      <c r="AB27" s="129"/>
      <c r="AC27" s="129"/>
    </row>
    <row r="28" spans="2:29" x14ac:dyDescent="0.35">
      <c r="B28" s="59"/>
      <c r="C28" s="59"/>
      <c r="E28" s="125"/>
      <c r="I28" s="126"/>
      <c r="M28" s="127"/>
      <c r="N28" s="128"/>
      <c r="O28" s="128"/>
      <c r="P28" s="128"/>
      <c r="Q28" s="128"/>
      <c r="R28" s="128"/>
      <c r="S28" s="128"/>
      <c r="T28" s="128"/>
      <c r="U28" s="128"/>
      <c r="V28" s="129"/>
      <c r="W28" s="129"/>
      <c r="X28" s="129"/>
      <c r="Y28" s="129"/>
      <c r="Z28" s="129"/>
      <c r="AA28" s="129"/>
      <c r="AB28" s="129"/>
      <c r="AC28" s="129"/>
    </row>
    <row r="29" spans="2:29" x14ac:dyDescent="0.35">
      <c r="B29" s="59"/>
      <c r="C29" s="59"/>
      <c r="E29" s="125"/>
      <c r="I29" s="126"/>
      <c r="M29" s="127"/>
      <c r="N29" s="128"/>
      <c r="O29" s="128"/>
      <c r="P29" s="128"/>
      <c r="Q29" s="128"/>
      <c r="R29" s="128"/>
      <c r="S29" s="128"/>
      <c r="T29" s="128"/>
      <c r="U29" s="128"/>
      <c r="V29" s="129"/>
      <c r="W29" s="129"/>
      <c r="X29" s="129"/>
      <c r="Y29" s="129"/>
      <c r="Z29" s="129"/>
      <c r="AA29" s="129"/>
      <c r="AB29" s="129"/>
      <c r="AC29" s="129"/>
    </row>
    <row r="30" spans="2:29" x14ac:dyDescent="0.35">
      <c r="B30" s="59"/>
      <c r="C30" s="59"/>
      <c r="E30" s="125"/>
      <c r="I30" s="126"/>
      <c r="M30" s="127"/>
      <c r="N30" s="128"/>
      <c r="O30" s="128"/>
      <c r="P30" s="128"/>
      <c r="Q30" s="128"/>
      <c r="R30" s="128"/>
      <c r="S30" s="128"/>
      <c r="T30" s="128"/>
      <c r="U30" s="128"/>
      <c r="V30" s="129"/>
      <c r="W30" s="129"/>
      <c r="X30" s="129"/>
      <c r="Y30" s="129"/>
      <c r="Z30" s="129"/>
      <c r="AA30" s="129"/>
      <c r="AB30" s="129"/>
      <c r="AC30" s="129"/>
    </row>
    <row r="31" spans="2:29" x14ac:dyDescent="0.35">
      <c r="B31" s="59"/>
      <c r="C31" s="59"/>
      <c r="E31" s="125"/>
      <c r="I31" s="126"/>
      <c r="M31" s="127"/>
      <c r="N31" s="128"/>
      <c r="O31" s="128"/>
      <c r="P31" s="128"/>
      <c r="Q31" s="128"/>
      <c r="R31" s="128"/>
      <c r="S31" s="128"/>
      <c r="T31" s="128"/>
      <c r="U31" s="128"/>
      <c r="V31" s="129"/>
      <c r="W31" s="129"/>
      <c r="X31" s="129"/>
      <c r="Y31" s="129"/>
      <c r="Z31" s="129"/>
      <c r="AA31" s="129"/>
      <c r="AB31" s="129"/>
      <c r="AC31" s="129"/>
    </row>
    <row r="32" spans="2:29" x14ac:dyDescent="0.35">
      <c r="B32" s="59"/>
      <c r="C32" s="59"/>
      <c r="E32" s="125"/>
      <c r="I32" s="126"/>
      <c r="M32" s="127"/>
      <c r="N32" s="128"/>
      <c r="O32" s="128"/>
      <c r="P32" s="128"/>
      <c r="Q32" s="128"/>
      <c r="R32" s="128"/>
      <c r="S32" s="128"/>
      <c r="T32" s="128"/>
      <c r="U32" s="128"/>
      <c r="V32" s="129"/>
      <c r="W32" s="129"/>
      <c r="X32" s="129"/>
      <c r="Y32" s="129"/>
      <c r="Z32" s="129"/>
      <c r="AA32" s="129"/>
      <c r="AB32" s="129"/>
      <c r="AC32" s="129"/>
    </row>
    <row r="33" spans="2:29" x14ac:dyDescent="0.35">
      <c r="B33" s="59"/>
      <c r="C33" s="59"/>
      <c r="E33" s="125"/>
      <c r="I33" s="126"/>
      <c r="M33" s="127"/>
      <c r="N33" s="128"/>
      <c r="O33" s="128"/>
      <c r="P33" s="128"/>
      <c r="Q33" s="128"/>
      <c r="R33" s="128"/>
      <c r="S33" s="128"/>
      <c r="T33" s="128"/>
      <c r="U33" s="128"/>
      <c r="V33" s="129"/>
      <c r="W33" s="129"/>
      <c r="X33" s="129"/>
      <c r="Y33" s="129"/>
      <c r="Z33" s="129"/>
      <c r="AA33" s="129"/>
      <c r="AB33" s="129"/>
      <c r="AC33" s="129"/>
    </row>
    <row r="34" spans="2:29" x14ac:dyDescent="0.35">
      <c r="B34" s="59"/>
      <c r="C34" s="59"/>
      <c r="E34" s="125"/>
      <c r="I34" s="126"/>
      <c r="M34" s="127"/>
      <c r="N34" s="128"/>
      <c r="O34" s="128"/>
      <c r="P34" s="128"/>
      <c r="Q34" s="128"/>
      <c r="R34" s="128"/>
      <c r="S34" s="128"/>
      <c r="T34" s="128"/>
      <c r="U34" s="128"/>
      <c r="V34" s="129"/>
      <c r="W34" s="129"/>
      <c r="X34" s="129"/>
      <c r="Y34" s="129"/>
      <c r="Z34" s="129"/>
      <c r="AA34" s="129"/>
      <c r="AB34" s="129"/>
      <c r="AC34" s="129"/>
    </row>
    <row r="35" spans="2:29" x14ac:dyDescent="0.35">
      <c r="B35" s="59"/>
      <c r="C35" s="59"/>
      <c r="E35" s="125"/>
      <c r="I35" s="126"/>
      <c r="M35" s="127"/>
      <c r="N35" s="128"/>
      <c r="O35" s="128"/>
      <c r="P35" s="128"/>
      <c r="Q35" s="128"/>
      <c r="R35" s="128"/>
      <c r="S35" s="128"/>
      <c r="T35" s="128"/>
      <c r="U35" s="128"/>
      <c r="V35" s="129"/>
      <c r="W35" s="129"/>
      <c r="X35" s="129"/>
      <c r="Y35" s="129"/>
      <c r="Z35" s="129"/>
      <c r="AA35" s="129"/>
      <c r="AB35" s="129"/>
      <c r="AC35" s="129"/>
    </row>
    <row r="36" spans="2:29" x14ac:dyDescent="0.35">
      <c r="B36" s="59"/>
      <c r="C36" s="59"/>
      <c r="E36" s="125"/>
      <c r="I36" s="126"/>
      <c r="M36" s="127"/>
      <c r="N36" s="128"/>
      <c r="O36" s="128"/>
      <c r="P36" s="128"/>
      <c r="Q36" s="128"/>
      <c r="R36" s="128"/>
      <c r="S36" s="128"/>
      <c r="T36" s="128"/>
      <c r="U36" s="128"/>
      <c r="V36" s="129"/>
      <c r="W36" s="129"/>
      <c r="X36" s="129"/>
      <c r="Y36" s="129"/>
      <c r="Z36" s="129"/>
      <c r="AA36" s="129"/>
      <c r="AB36" s="129"/>
      <c r="AC36" s="129"/>
    </row>
    <row r="37" spans="2:29" x14ac:dyDescent="0.35">
      <c r="B37" s="59"/>
      <c r="C37" s="59"/>
      <c r="E37" s="125"/>
      <c r="I37" s="126"/>
      <c r="M37" s="127"/>
      <c r="N37" s="128"/>
      <c r="O37" s="128"/>
      <c r="P37" s="128"/>
      <c r="Q37" s="128"/>
      <c r="R37" s="128"/>
      <c r="S37" s="128"/>
      <c r="T37" s="128"/>
      <c r="U37" s="128"/>
      <c r="V37" s="129"/>
      <c r="W37" s="129"/>
      <c r="X37" s="129"/>
      <c r="Y37" s="129"/>
      <c r="Z37" s="129"/>
      <c r="AA37" s="129"/>
      <c r="AB37" s="129"/>
      <c r="AC37" s="129"/>
    </row>
    <row r="38" spans="2:29" x14ac:dyDescent="0.35">
      <c r="B38" s="59"/>
      <c r="C38" s="59"/>
      <c r="E38" s="125"/>
      <c r="I38" s="126"/>
      <c r="M38" s="127"/>
      <c r="N38" s="128"/>
      <c r="O38" s="128"/>
      <c r="P38" s="128"/>
      <c r="Q38" s="128"/>
      <c r="R38" s="128"/>
      <c r="S38" s="128"/>
      <c r="T38" s="128"/>
      <c r="U38" s="128"/>
      <c r="V38" s="129"/>
      <c r="W38" s="129"/>
      <c r="X38" s="129"/>
      <c r="Y38" s="129"/>
      <c r="Z38" s="129"/>
      <c r="AA38" s="129"/>
      <c r="AB38" s="129"/>
      <c r="AC38" s="129"/>
    </row>
    <row r="39" spans="2:29" x14ac:dyDescent="0.35">
      <c r="B39" s="59"/>
      <c r="C39" s="59"/>
      <c r="E39" s="125"/>
      <c r="I39" s="126"/>
      <c r="M39" s="127"/>
      <c r="N39" s="128"/>
      <c r="O39" s="128"/>
      <c r="P39" s="128"/>
      <c r="Q39" s="128"/>
      <c r="R39" s="128"/>
      <c r="S39" s="128"/>
      <c r="T39" s="128"/>
      <c r="U39" s="128"/>
      <c r="V39" s="129"/>
      <c r="W39" s="129"/>
      <c r="X39" s="129"/>
      <c r="Y39" s="129"/>
      <c r="Z39" s="129"/>
      <c r="AA39" s="129"/>
      <c r="AB39" s="129"/>
      <c r="AC39" s="129"/>
    </row>
    <row r="40" spans="2:29" x14ac:dyDescent="0.35">
      <c r="B40" s="59"/>
      <c r="C40" s="59"/>
      <c r="E40" s="125"/>
      <c r="I40" s="126"/>
      <c r="M40" s="127"/>
      <c r="N40" s="128"/>
      <c r="O40" s="128"/>
      <c r="P40" s="128"/>
      <c r="Q40" s="128"/>
      <c r="R40" s="128"/>
      <c r="S40" s="128"/>
      <c r="T40" s="128"/>
      <c r="U40" s="128"/>
      <c r="V40" s="129"/>
      <c r="W40" s="129"/>
      <c r="X40" s="129"/>
      <c r="Y40" s="129"/>
      <c r="Z40" s="129"/>
      <c r="AA40" s="129"/>
      <c r="AB40" s="129"/>
      <c r="AC40" s="129"/>
    </row>
    <row r="41" spans="2:29" x14ac:dyDescent="0.35">
      <c r="B41" s="59"/>
      <c r="C41" s="59"/>
      <c r="E41" s="125"/>
      <c r="I41" s="126"/>
      <c r="M41" s="127"/>
      <c r="N41" s="128"/>
      <c r="O41" s="128"/>
      <c r="P41" s="128"/>
      <c r="Q41" s="128"/>
      <c r="R41" s="128"/>
      <c r="S41" s="128"/>
      <c r="T41" s="128"/>
      <c r="U41" s="128"/>
      <c r="V41" s="129"/>
      <c r="W41" s="129"/>
      <c r="X41" s="129"/>
      <c r="Y41" s="129"/>
      <c r="Z41" s="129"/>
      <c r="AA41" s="129"/>
      <c r="AB41" s="129"/>
      <c r="AC41" s="129"/>
    </row>
    <row r="42" spans="2:29" x14ac:dyDescent="0.35">
      <c r="B42" s="59"/>
      <c r="C42" s="59"/>
      <c r="E42" s="125"/>
      <c r="I42" s="126"/>
      <c r="M42" s="127"/>
      <c r="N42" s="128"/>
      <c r="O42" s="128"/>
      <c r="P42" s="128"/>
      <c r="Q42" s="128"/>
      <c r="R42" s="128"/>
      <c r="S42" s="128"/>
      <c r="T42" s="128"/>
      <c r="U42" s="128"/>
      <c r="V42" s="129"/>
      <c r="W42" s="129"/>
      <c r="X42" s="129"/>
      <c r="Y42" s="129"/>
      <c r="Z42" s="129"/>
      <c r="AA42" s="129"/>
      <c r="AB42" s="129"/>
      <c r="AC42" s="129"/>
    </row>
    <row r="43" spans="2:29" x14ac:dyDescent="0.35">
      <c r="B43" s="59"/>
      <c r="C43" s="59"/>
      <c r="E43" s="125"/>
      <c r="I43" s="126"/>
      <c r="M43" s="127"/>
      <c r="N43" s="128"/>
      <c r="O43" s="128"/>
      <c r="P43" s="128"/>
      <c r="Q43" s="128"/>
      <c r="R43" s="128"/>
      <c r="S43" s="128"/>
      <c r="T43" s="128"/>
      <c r="U43" s="128"/>
      <c r="V43" s="129"/>
      <c r="W43" s="129"/>
      <c r="X43" s="129"/>
      <c r="Y43" s="129"/>
      <c r="Z43" s="129"/>
      <c r="AA43" s="129"/>
      <c r="AB43" s="129"/>
      <c r="AC43" s="129"/>
    </row>
    <row r="44" spans="2:29" x14ac:dyDescent="0.35">
      <c r="B44" s="59"/>
      <c r="C44" s="59"/>
      <c r="E44" s="125"/>
      <c r="I44" s="126"/>
      <c r="M44" s="127"/>
      <c r="N44" s="128"/>
      <c r="O44" s="128"/>
      <c r="P44" s="128"/>
      <c r="Q44" s="128"/>
      <c r="R44" s="128"/>
      <c r="S44" s="128"/>
      <c r="T44" s="128"/>
      <c r="U44" s="128"/>
      <c r="V44" s="129"/>
      <c r="W44" s="129"/>
      <c r="X44" s="129"/>
      <c r="Y44" s="129"/>
      <c r="Z44" s="129"/>
      <c r="AA44" s="129"/>
      <c r="AB44" s="129"/>
      <c r="AC44" s="129"/>
    </row>
    <row r="45" spans="2:29" x14ac:dyDescent="0.35">
      <c r="B45" s="59"/>
      <c r="C45" s="59"/>
      <c r="E45" s="125"/>
      <c r="I45" s="126"/>
      <c r="M45" s="127"/>
      <c r="N45" s="128"/>
      <c r="O45" s="128"/>
      <c r="P45" s="128"/>
      <c r="Q45" s="128"/>
      <c r="R45" s="128"/>
      <c r="S45" s="128"/>
      <c r="T45" s="128"/>
      <c r="U45" s="128"/>
      <c r="V45" s="129"/>
      <c r="W45" s="129"/>
      <c r="X45" s="129"/>
      <c r="Y45" s="129"/>
      <c r="Z45" s="129"/>
      <c r="AA45" s="129"/>
      <c r="AB45" s="129"/>
      <c r="AC45" s="129"/>
    </row>
    <row r="46" spans="2:29" x14ac:dyDescent="0.35">
      <c r="B46" s="59"/>
      <c r="C46" s="59"/>
      <c r="E46" s="125"/>
      <c r="I46" s="126"/>
      <c r="M46" s="127"/>
      <c r="N46" s="128"/>
      <c r="O46" s="128"/>
      <c r="P46" s="128"/>
      <c r="Q46" s="128"/>
      <c r="R46" s="128"/>
      <c r="S46" s="128"/>
      <c r="T46" s="128"/>
      <c r="U46" s="128"/>
      <c r="V46" s="129"/>
      <c r="W46" s="129"/>
      <c r="X46" s="129"/>
      <c r="Y46" s="129"/>
      <c r="Z46" s="129"/>
      <c r="AA46" s="129"/>
      <c r="AB46" s="129"/>
      <c r="AC46" s="129"/>
    </row>
    <row r="47" spans="2:29" x14ac:dyDescent="0.35">
      <c r="B47" s="59"/>
      <c r="C47" s="59"/>
      <c r="E47" s="125"/>
      <c r="I47" s="126"/>
      <c r="M47" s="127"/>
      <c r="N47" s="128"/>
      <c r="O47" s="128"/>
      <c r="P47" s="128"/>
      <c r="Q47" s="128"/>
      <c r="R47" s="128"/>
      <c r="S47" s="128"/>
      <c r="T47" s="128"/>
      <c r="U47" s="128"/>
      <c r="V47" s="129"/>
      <c r="W47" s="129"/>
      <c r="X47" s="129"/>
      <c r="Y47" s="129"/>
      <c r="Z47" s="129"/>
      <c r="AA47" s="129"/>
      <c r="AB47" s="129"/>
      <c r="AC47" s="129"/>
    </row>
    <row r="48" spans="2:29" x14ac:dyDescent="0.35">
      <c r="B48" s="59"/>
      <c r="C48" s="59"/>
      <c r="E48" s="125"/>
      <c r="I48" s="126"/>
      <c r="M48" s="127"/>
      <c r="N48" s="128"/>
      <c r="O48" s="128"/>
      <c r="P48" s="128"/>
      <c r="Q48" s="128"/>
      <c r="R48" s="128"/>
      <c r="S48" s="128"/>
      <c r="T48" s="128"/>
      <c r="U48" s="128"/>
      <c r="V48" s="129"/>
      <c r="W48" s="129"/>
      <c r="X48" s="129"/>
      <c r="Y48" s="129"/>
      <c r="Z48" s="129"/>
      <c r="AA48" s="129"/>
      <c r="AB48" s="129"/>
      <c r="AC48" s="129"/>
    </row>
    <row r="49" spans="2:29" x14ac:dyDescent="0.35">
      <c r="B49" s="59"/>
      <c r="C49" s="59"/>
      <c r="E49" s="125"/>
      <c r="I49" s="126"/>
      <c r="M49" s="127"/>
      <c r="N49" s="128"/>
      <c r="O49" s="128"/>
      <c r="P49" s="128"/>
      <c r="Q49" s="128"/>
      <c r="R49" s="128"/>
      <c r="S49" s="128"/>
      <c r="T49" s="128"/>
      <c r="U49" s="128"/>
      <c r="V49" s="129"/>
      <c r="W49" s="129"/>
      <c r="X49" s="129"/>
      <c r="Y49" s="129"/>
      <c r="Z49" s="129"/>
      <c r="AA49" s="129"/>
      <c r="AB49" s="129"/>
      <c r="AC49" s="129"/>
    </row>
    <row r="50" spans="2:29" x14ac:dyDescent="0.35">
      <c r="B50" s="59"/>
      <c r="C50" s="59"/>
      <c r="E50" s="125"/>
      <c r="I50" s="126"/>
      <c r="M50" s="127"/>
      <c r="N50" s="128"/>
      <c r="O50" s="128"/>
      <c r="P50" s="128"/>
      <c r="Q50" s="128"/>
      <c r="R50" s="128"/>
      <c r="S50" s="128"/>
      <c r="T50" s="128"/>
      <c r="U50" s="128"/>
      <c r="V50" s="129"/>
      <c r="W50" s="129"/>
      <c r="X50" s="129"/>
      <c r="Y50" s="129"/>
      <c r="Z50" s="129"/>
      <c r="AA50" s="129"/>
      <c r="AB50" s="129"/>
      <c r="AC50" s="129"/>
    </row>
    <row r="51" spans="2:29" x14ac:dyDescent="0.35">
      <c r="B51" s="59"/>
      <c r="C51" s="59"/>
      <c r="E51" s="125"/>
      <c r="I51" s="126"/>
      <c r="M51" s="127"/>
      <c r="N51" s="128"/>
      <c r="O51" s="128"/>
      <c r="P51" s="128"/>
      <c r="Q51" s="128"/>
      <c r="R51" s="128"/>
      <c r="S51" s="128"/>
      <c r="T51" s="128"/>
      <c r="U51" s="128"/>
      <c r="V51" s="129"/>
      <c r="W51" s="129"/>
      <c r="X51" s="129"/>
      <c r="Y51" s="129"/>
      <c r="Z51" s="129"/>
      <c r="AA51" s="129"/>
      <c r="AB51" s="129"/>
      <c r="AC51" s="129"/>
    </row>
    <row r="52" spans="2:29" x14ac:dyDescent="0.35">
      <c r="B52" s="59"/>
      <c r="C52" s="59"/>
      <c r="E52" s="125"/>
      <c r="I52" s="126"/>
      <c r="M52" s="127"/>
      <c r="N52" s="128"/>
      <c r="O52" s="128"/>
      <c r="P52" s="128"/>
      <c r="Q52" s="128"/>
      <c r="R52" s="128"/>
      <c r="S52" s="128"/>
      <c r="T52" s="128"/>
      <c r="U52" s="128"/>
      <c r="V52" s="129"/>
      <c r="W52" s="129"/>
      <c r="X52" s="129"/>
      <c r="Y52" s="129"/>
      <c r="Z52" s="129"/>
      <c r="AA52" s="129"/>
      <c r="AB52" s="129"/>
      <c r="AC52" s="129"/>
    </row>
    <row r="53" spans="2:29" x14ac:dyDescent="0.35">
      <c r="B53" s="59"/>
      <c r="C53" s="59"/>
      <c r="E53" s="125"/>
      <c r="I53" s="126"/>
      <c r="M53" s="127"/>
      <c r="N53" s="128"/>
      <c r="O53" s="128"/>
      <c r="P53" s="128"/>
      <c r="Q53" s="128"/>
      <c r="R53" s="128"/>
      <c r="S53" s="128"/>
      <c r="T53" s="128"/>
      <c r="U53" s="128"/>
      <c r="V53" s="129"/>
      <c r="W53" s="129"/>
      <c r="X53" s="129"/>
      <c r="Y53" s="129"/>
      <c r="Z53" s="129"/>
      <c r="AA53" s="129"/>
      <c r="AB53" s="129"/>
      <c r="AC53" s="129"/>
    </row>
    <row r="54" spans="2:29" x14ac:dyDescent="0.35">
      <c r="B54" s="59"/>
      <c r="C54" s="59"/>
      <c r="E54" s="125"/>
      <c r="I54" s="126"/>
      <c r="M54" s="127"/>
      <c r="N54" s="128"/>
      <c r="O54" s="128"/>
      <c r="P54" s="128"/>
      <c r="Q54" s="128"/>
      <c r="R54" s="128"/>
      <c r="S54" s="128"/>
      <c r="T54" s="128"/>
      <c r="U54" s="128"/>
      <c r="V54" s="129"/>
      <c r="W54" s="129"/>
      <c r="X54" s="129"/>
      <c r="Y54" s="129"/>
      <c r="Z54" s="129"/>
      <c r="AA54" s="129"/>
      <c r="AB54" s="129"/>
      <c r="AC54" s="129"/>
    </row>
    <row r="55" spans="2:29" x14ac:dyDescent="0.35">
      <c r="B55" s="59"/>
      <c r="C55" s="59"/>
      <c r="E55" s="125"/>
      <c r="I55" s="126"/>
      <c r="M55" s="127"/>
      <c r="N55" s="128"/>
      <c r="O55" s="128"/>
      <c r="P55" s="128"/>
      <c r="Q55" s="128"/>
      <c r="R55" s="128"/>
      <c r="S55" s="128"/>
      <c r="T55" s="128"/>
      <c r="U55" s="128"/>
      <c r="V55" s="129"/>
      <c r="W55" s="129"/>
      <c r="X55" s="129"/>
      <c r="Y55" s="129"/>
      <c r="Z55" s="129"/>
      <c r="AA55" s="129"/>
      <c r="AB55" s="129"/>
      <c r="AC55" s="129"/>
    </row>
    <row r="56" spans="2:29" x14ac:dyDescent="0.35">
      <c r="B56" s="59"/>
      <c r="C56" s="59"/>
      <c r="E56" s="125"/>
      <c r="I56" s="126"/>
      <c r="M56" s="127"/>
      <c r="N56" s="128"/>
      <c r="O56" s="128"/>
      <c r="P56" s="128"/>
      <c r="Q56" s="128"/>
      <c r="R56" s="128"/>
      <c r="S56" s="128"/>
      <c r="T56" s="128"/>
      <c r="U56" s="128"/>
      <c r="V56" s="129"/>
      <c r="W56" s="129"/>
      <c r="X56" s="129"/>
      <c r="Y56" s="129"/>
      <c r="Z56" s="129"/>
      <c r="AA56" s="129"/>
      <c r="AB56" s="129"/>
      <c r="AC56" s="129"/>
    </row>
    <row r="57" spans="2:29" x14ac:dyDescent="0.35">
      <c r="B57" s="59"/>
      <c r="C57" s="59"/>
      <c r="E57" s="125"/>
      <c r="I57" s="126"/>
      <c r="M57" s="127"/>
      <c r="N57" s="128"/>
      <c r="O57" s="128"/>
      <c r="P57" s="128"/>
      <c r="Q57" s="128"/>
      <c r="R57" s="128"/>
      <c r="S57" s="128"/>
      <c r="T57" s="128"/>
      <c r="U57" s="128"/>
      <c r="V57" s="129"/>
      <c r="W57" s="129"/>
      <c r="X57" s="129"/>
      <c r="Y57" s="129"/>
      <c r="Z57" s="129"/>
      <c r="AA57" s="129"/>
      <c r="AB57" s="129"/>
      <c r="AC57" s="129"/>
    </row>
    <row r="58" spans="2:29" x14ac:dyDescent="0.35">
      <c r="B58" s="59"/>
      <c r="C58" s="59"/>
      <c r="E58" s="125"/>
      <c r="I58" s="126"/>
      <c r="M58" s="127"/>
      <c r="N58" s="128"/>
      <c r="O58" s="128"/>
      <c r="P58" s="128"/>
      <c r="Q58" s="128"/>
      <c r="R58" s="128"/>
      <c r="S58" s="128"/>
      <c r="T58" s="128"/>
      <c r="U58" s="128"/>
      <c r="V58" s="129"/>
      <c r="W58" s="129"/>
      <c r="X58" s="129"/>
      <c r="Y58" s="129"/>
      <c r="Z58" s="129"/>
      <c r="AA58" s="129"/>
      <c r="AB58" s="129"/>
      <c r="AC58" s="129"/>
    </row>
    <row r="59" spans="2:29" x14ac:dyDescent="0.35">
      <c r="B59" s="59"/>
      <c r="C59" s="59"/>
      <c r="E59" s="125"/>
      <c r="I59" s="126"/>
      <c r="M59" s="127"/>
      <c r="N59" s="128"/>
      <c r="O59" s="128"/>
      <c r="P59" s="128"/>
      <c r="Q59" s="128"/>
      <c r="R59" s="128"/>
      <c r="S59" s="128"/>
      <c r="T59" s="128"/>
      <c r="U59" s="128"/>
      <c r="V59" s="129"/>
      <c r="W59" s="129"/>
      <c r="X59" s="129"/>
      <c r="Y59" s="129"/>
      <c r="Z59" s="129"/>
      <c r="AA59" s="129"/>
      <c r="AB59" s="129"/>
      <c r="AC59" s="129"/>
    </row>
    <row r="60" spans="2:29" x14ac:dyDescent="0.35">
      <c r="B60" s="59"/>
      <c r="C60" s="59"/>
      <c r="E60" s="125"/>
      <c r="I60" s="126"/>
      <c r="M60" s="127"/>
      <c r="N60" s="128"/>
      <c r="O60" s="128"/>
      <c r="P60" s="128"/>
      <c r="Q60" s="128"/>
      <c r="R60" s="128"/>
      <c r="S60" s="128"/>
      <c r="T60" s="128"/>
      <c r="U60" s="128"/>
      <c r="V60" s="129"/>
      <c r="W60" s="129"/>
      <c r="X60" s="129"/>
      <c r="Y60" s="129"/>
      <c r="Z60" s="129"/>
      <c r="AA60" s="129"/>
      <c r="AB60" s="129"/>
      <c r="AC60" s="129"/>
    </row>
    <row r="61" spans="2:29" x14ac:dyDescent="0.35">
      <c r="B61" s="59"/>
      <c r="C61" s="59"/>
      <c r="E61" s="125"/>
      <c r="I61" s="126"/>
      <c r="M61" s="127"/>
      <c r="N61" s="128"/>
      <c r="O61" s="128"/>
      <c r="P61" s="128"/>
      <c r="Q61" s="128"/>
      <c r="R61" s="128"/>
      <c r="S61" s="128"/>
      <c r="T61" s="128"/>
      <c r="U61" s="128"/>
      <c r="V61" s="129"/>
      <c r="W61" s="129"/>
      <c r="X61" s="129"/>
      <c r="Y61" s="129"/>
      <c r="Z61" s="129"/>
      <c r="AA61" s="129"/>
      <c r="AB61" s="129"/>
      <c r="AC61" s="129"/>
    </row>
    <row r="62" spans="2:29" x14ac:dyDescent="0.35">
      <c r="B62" s="59"/>
      <c r="C62" s="59"/>
      <c r="E62" s="125"/>
      <c r="I62" s="126"/>
      <c r="M62" s="127"/>
      <c r="N62" s="128"/>
      <c r="O62" s="128"/>
      <c r="P62" s="128"/>
      <c r="Q62" s="128"/>
      <c r="R62" s="128"/>
      <c r="S62" s="128"/>
      <c r="T62" s="128"/>
      <c r="U62" s="128"/>
      <c r="V62" s="129"/>
      <c r="W62" s="129"/>
      <c r="X62" s="129"/>
      <c r="Y62" s="129"/>
      <c r="Z62" s="129"/>
      <c r="AA62" s="129"/>
      <c r="AB62" s="129"/>
      <c r="AC62" s="129"/>
    </row>
    <row r="63" spans="2:29" x14ac:dyDescent="0.35">
      <c r="B63" s="59"/>
      <c r="C63" s="59"/>
      <c r="E63" s="125"/>
      <c r="I63" s="126"/>
      <c r="M63" s="127"/>
      <c r="N63" s="128"/>
      <c r="O63" s="128"/>
      <c r="P63" s="128"/>
      <c r="Q63" s="128"/>
      <c r="R63" s="128"/>
      <c r="S63" s="128"/>
      <c r="T63" s="128"/>
      <c r="U63" s="128"/>
      <c r="V63" s="129"/>
      <c r="W63" s="129"/>
      <c r="X63" s="129"/>
      <c r="Y63" s="129"/>
      <c r="Z63" s="129"/>
      <c r="AA63" s="129"/>
      <c r="AB63" s="129"/>
      <c r="AC63" s="129"/>
    </row>
    <row r="64" spans="2:29" x14ac:dyDescent="0.35">
      <c r="B64" s="59"/>
      <c r="C64" s="59"/>
      <c r="E64" s="125"/>
      <c r="I64" s="126"/>
      <c r="M64" s="127"/>
      <c r="N64" s="128"/>
      <c r="O64" s="128"/>
      <c r="P64" s="128"/>
      <c r="Q64" s="128"/>
      <c r="R64" s="128"/>
      <c r="S64" s="128"/>
      <c r="T64" s="128"/>
      <c r="U64" s="128"/>
      <c r="V64" s="129"/>
      <c r="W64" s="129"/>
      <c r="X64" s="129"/>
      <c r="Y64" s="129"/>
      <c r="Z64" s="129"/>
      <c r="AA64" s="129"/>
      <c r="AB64" s="129"/>
      <c r="AC64" s="129"/>
    </row>
    <row r="65" spans="2:29" x14ac:dyDescent="0.35">
      <c r="B65" s="59"/>
      <c r="C65" s="59"/>
      <c r="E65" s="125"/>
      <c r="I65" s="126"/>
      <c r="M65" s="127"/>
      <c r="N65" s="128"/>
      <c r="O65" s="128"/>
      <c r="P65" s="128"/>
      <c r="Q65" s="128"/>
      <c r="R65" s="128"/>
      <c r="S65" s="128"/>
      <c r="T65" s="128"/>
      <c r="U65" s="128"/>
      <c r="V65" s="129"/>
      <c r="W65" s="129"/>
      <c r="X65" s="129"/>
      <c r="Y65" s="129"/>
      <c r="Z65" s="129"/>
      <c r="AA65" s="129"/>
      <c r="AB65" s="129"/>
      <c r="AC65" s="129"/>
    </row>
    <row r="66" spans="2:29" x14ac:dyDescent="0.35">
      <c r="B66" s="59"/>
      <c r="C66" s="59"/>
      <c r="E66" s="125"/>
      <c r="I66" s="126"/>
      <c r="M66" s="127"/>
      <c r="N66" s="128"/>
      <c r="O66" s="128"/>
      <c r="P66" s="128"/>
      <c r="Q66" s="128"/>
      <c r="R66" s="128"/>
      <c r="S66" s="128"/>
      <c r="T66" s="128"/>
      <c r="U66" s="128"/>
      <c r="V66" s="129"/>
      <c r="W66" s="129"/>
      <c r="X66" s="129"/>
      <c r="Y66" s="129"/>
      <c r="Z66" s="129"/>
      <c r="AA66" s="129"/>
      <c r="AB66" s="129"/>
      <c r="AC66" s="129"/>
    </row>
    <row r="67" spans="2:29" x14ac:dyDescent="0.35">
      <c r="B67" s="59"/>
      <c r="C67" s="59"/>
      <c r="E67" s="125"/>
      <c r="I67" s="126"/>
      <c r="M67" s="127"/>
      <c r="N67" s="128"/>
      <c r="O67" s="128"/>
      <c r="P67" s="128"/>
      <c r="Q67" s="128"/>
      <c r="R67" s="128"/>
      <c r="S67" s="128"/>
      <c r="T67" s="128"/>
      <c r="U67" s="128"/>
      <c r="V67" s="129"/>
      <c r="W67" s="129"/>
      <c r="X67" s="129"/>
      <c r="Y67" s="129"/>
      <c r="Z67" s="129"/>
      <c r="AA67" s="129"/>
      <c r="AB67" s="129"/>
      <c r="AC67" s="129"/>
    </row>
    <row r="68" spans="2:29" x14ac:dyDescent="0.35">
      <c r="B68" s="59"/>
      <c r="C68" s="59"/>
      <c r="E68" s="125"/>
      <c r="I68" s="126"/>
      <c r="M68" s="127"/>
      <c r="N68" s="128"/>
      <c r="O68" s="128"/>
      <c r="P68" s="128"/>
      <c r="Q68" s="128"/>
      <c r="R68" s="128"/>
      <c r="S68" s="128"/>
      <c r="T68" s="128"/>
      <c r="U68" s="128"/>
      <c r="V68" s="129"/>
      <c r="W68" s="129"/>
      <c r="X68" s="129"/>
      <c r="Y68" s="129"/>
      <c r="Z68" s="129"/>
      <c r="AA68" s="129"/>
      <c r="AB68" s="129"/>
      <c r="AC68" s="129"/>
    </row>
    <row r="69" spans="2:29" x14ac:dyDescent="0.35">
      <c r="B69" s="59"/>
      <c r="C69" s="59"/>
      <c r="E69" s="125"/>
      <c r="I69" s="126"/>
      <c r="M69" s="127"/>
      <c r="N69" s="128"/>
      <c r="O69" s="128"/>
      <c r="P69" s="128"/>
      <c r="Q69" s="128"/>
      <c r="R69" s="128"/>
      <c r="S69" s="128"/>
      <c r="T69" s="128"/>
      <c r="U69" s="128"/>
      <c r="V69" s="129"/>
      <c r="W69" s="129"/>
      <c r="X69" s="129"/>
      <c r="Y69" s="129"/>
      <c r="Z69" s="129"/>
      <c r="AA69" s="129"/>
      <c r="AB69" s="129"/>
      <c r="AC69" s="129"/>
    </row>
    <row r="70" spans="2:29" x14ac:dyDescent="0.35">
      <c r="B70" s="59"/>
      <c r="C70" s="59"/>
      <c r="E70" s="125"/>
      <c r="I70" s="126"/>
      <c r="M70" s="127"/>
      <c r="N70" s="128"/>
      <c r="O70" s="128"/>
      <c r="P70" s="128"/>
      <c r="Q70" s="128"/>
      <c r="R70" s="128"/>
      <c r="S70" s="128"/>
      <c r="T70" s="128"/>
      <c r="U70" s="128"/>
      <c r="V70" s="129"/>
      <c r="W70" s="129"/>
      <c r="X70" s="129"/>
      <c r="Y70" s="129"/>
      <c r="Z70" s="129"/>
      <c r="AA70" s="129"/>
      <c r="AB70" s="129"/>
      <c r="AC70" s="129"/>
    </row>
    <row r="71" spans="2:29" x14ac:dyDescent="0.35">
      <c r="B71" s="59"/>
      <c r="C71" s="59"/>
      <c r="E71" s="125"/>
      <c r="I71" s="126"/>
      <c r="M71" s="127"/>
      <c r="N71" s="128"/>
      <c r="O71" s="128"/>
      <c r="P71" s="128"/>
      <c r="Q71" s="128"/>
      <c r="R71" s="128"/>
      <c r="S71" s="128"/>
      <c r="T71" s="128"/>
      <c r="U71" s="128"/>
      <c r="V71" s="129"/>
      <c r="W71" s="129"/>
      <c r="X71" s="129"/>
      <c r="Y71" s="129"/>
      <c r="Z71" s="129"/>
      <c r="AA71" s="129"/>
      <c r="AB71" s="129"/>
      <c r="AC71" s="129"/>
    </row>
    <row r="72" spans="2:29" x14ac:dyDescent="0.35">
      <c r="B72" s="59"/>
      <c r="C72" s="59"/>
      <c r="E72" s="125"/>
      <c r="I72" s="126"/>
      <c r="M72" s="127"/>
      <c r="N72" s="128"/>
      <c r="O72" s="128"/>
      <c r="P72" s="128"/>
      <c r="Q72" s="128"/>
      <c r="R72" s="128"/>
      <c r="S72" s="128"/>
      <c r="T72" s="128"/>
      <c r="U72" s="128"/>
      <c r="V72" s="129"/>
      <c r="W72" s="129"/>
      <c r="X72" s="129"/>
      <c r="Y72" s="129"/>
      <c r="Z72" s="129"/>
      <c r="AA72" s="129"/>
      <c r="AB72" s="129"/>
      <c r="AC72" s="129"/>
    </row>
    <row r="73" spans="2:29" x14ac:dyDescent="0.35">
      <c r="B73" s="59"/>
      <c r="C73" s="59"/>
      <c r="E73" s="125"/>
      <c r="I73" s="126"/>
      <c r="M73" s="127"/>
      <c r="N73" s="128"/>
      <c r="O73" s="128"/>
      <c r="P73" s="128"/>
      <c r="Q73" s="128"/>
      <c r="R73" s="128"/>
      <c r="S73" s="128"/>
      <c r="T73" s="128"/>
      <c r="U73" s="128"/>
      <c r="V73" s="129"/>
      <c r="W73" s="129"/>
      <c r="X73" s="129"/>
      <c r="Y73" s="129"/>
      <c r="Z73" s="129"/>
      <c r="AA73" s="129"/>
      <c r="AB73" s="129"/>
      <c r="AC73" s="129"/>
    </row>
    <row r="74" spans="2:29" x14ac:dyDescent="0.35">
      <c r="B74" s="59"/>
      <c r="C74" s="59"/>
      <c r="E74" s="125"/>
      <c r="I74" s="126"/>
      <c r="M74" s="127"/>
      <c r="N74" s="128"/>
      <c r="O74" s="128"/>
      <c r="P74" s="128"/>
      <c r="Q74" s="128"/>
      <c r="R74" s="128"/>
      <c r="S74" s="128"/>
      <c r="T74" s="128"/>
      <c r="U74" s="128"/>
      <c r="V74" s="129"/>
      <c r="W74" s="129"/>
      <c r="X74" s="129"/>
      <c r="Y74" s="129"/>
      <c r="Z74" s="129"/>
      <c r="AA74" s="129"/>
      <c r="AB74" s="129"/>
      <c r="AC74" s="129"/>
    </row>
    <row r="75" spans="2:29" x14ac:dyDescent="0.35">
      <c r="B75" s="59"/>
      <c r="C75" s="59"/>
      <c r="E75" s="125"/>
      <c r="I75" s="126"/>
      <c r="M75" s="127"/>
      <c r="N75" s="128"/>
      <c r="O75" s="128"/>
      <c r="P75" s="128"/>
      <c r="Q75" s="128"/>
      <c r="R75" s="128"/>
      <c r="S75" s="128"/>
      <c r="T75" s="128"/>
      <c r="U75" s="128"/>
      <c r="V75" s="129"/>
      <c r="W75" s="129"/>
      <c r="X75" s="129"/>
      <c r="Y75" s="129"/>
      <c r="Z75" s="129"/>
      <c r="AA75" s="129"/>
      <c r="AB75" s="129"/>
      <c r="AC75" s="129"/>
    </row>
    <row r="76" spans="2:29" x14ac:dyDescent="0.35">
      <c r="B76" s="59"/>
      <c r="C76" s="59"/>
      <c r="E76" s="125"/>
      <c r="I76" s="126"/>
      <c r="M76" s="127"/>
      <c r="N76" s="128"/>
      <c r="O76" s="128"/>
      <c r="P76" s="128"/>
      <c r="Q76" s="128"/>
      <c r="R76" s="128"/>
      <c r="S76" s="128"/>
      <c r="T76" s="128"/>
      <c r="U76" s="128"/>
      <c r="V76" s="129"/>
      <c r="W76" s="129"/>
      <c r="X76" s="129"/>
      <c r="Y76" s="129"/>
      <c r="Z76" s="129"/>
      <c r="AA76" s="129"/>
      <c r="AB76" s="129"/>
      <c r="AC76" s="129"/>
    </row>
    <row r="77" spans="2:29" x14ac:dyDescent="0.35">
      <c r="B77" s="59"/>
      <c r="C77" s="59"/>
      <c r="E77" s="125"/>
      <c r="I77" s="126"/>
      <c r="M77" s="127"/>
      <c r="N77" s="128"/>
      <c r="O77" s="128"/>
      <c r="P77" s="128"/>
      <c r="Q77" s="128"/>
      <c r="R77" s="128"/>
      <c r="S77" s="128"/>
      <c r="T77" s="128"/>
      <c r="U77" s="128"/>
      <c r="V77" s="129"/>
      <c r="W77" s="129"/>
      <c r="X77" s="129"/>
      <c r="Y77" s="129"/>
      <c r="Z77" s="129"/>
      <c r="AA77" s="129"/>
      <c r="AB77" s="129"/>
      <c r="AC77" s="129"/>
    </row>
    <row r="78" spans="2:29" x14ac:dyDescent="0.35">
      <c r="B78" s="59"/>
      <c r="C78" s="59"/>
      <c r="E78" s="125"/>
      <c r="I78" s="126"/>
      <c r="M78" s="127"/>
      <c r="N78" s="128"/>
      <c r="O78" s="128"/>
      <c r="P78" s="128"/>
      <c r="Q78" s="128"/>
      <c r="R78" s="128"/>
      <c r="S78" s="128"/>
      <c r="T78" s="128"/>
      <c r="U78" s="128"/>
      <c r="V78" s="129"/>
      <c r="W78" s="129"/>
      <c r="X78" s="129"/>
      <c r="Y78" s="129"/>
      <c r="Z78" s="129"/>
      <c r="AA78" s="129"/>
      <c r="AB78" s="129"/>
      <c r="AC78" s="129"/>
    </row>
    <row r="79" spans="2:29" x14ac:dyDescent="0.35">
      <c r="B79" s="59"/>
      <c r="C79" s="59"/>
      <c r="E79" s="125"/>
      <c r="I79" s="126"/>
      <c r="M79" s="127"/>
      <c r="N79" s="128"/>
      <c r="O79" s="128"/>
      <c r="P79" s="128"/>
      <c r="Q79" s="128"/>
      <c r="R79" s="128"/>
      <c r="S79" s="128"/>
      <c r="T79" s="128"/>
      <c r="U79" s="128"/>
      <c r="V79" s="129"/>
      <c r="W79" s="129"/>
      <c r="X79" s="129"/>
      <c r="Y79" s="129"/>
      <c r="Z79" s="129"/>
      <c r="AA79" s="129"/>
      <c r="AB79" s="129"/>
      <c r="AC79" s="129"/>
    </row>
    <row r="80" spans="2:29" x14ac:dyDescent="0.35">
      <c r="B80" s="59"/>
      <c r="C80" s="59"/>
      <c r="E80" s="125"/>
      <c r="I80" s="126"/>
      <c r="M80" s="127"/>
      <c r="N80" s="128"/>
      <c r="O80" s="128"/>
      <c r="P80" s="128"/>
      <c r="Q80" s="128"/>
      <c r="R80" s="128"/>
      <c r="S80" s="128"/>
      <c r="T80" s="128"/>
      <c r="U80" s="128"/>
      <c r="V80" s="129"/>
      <c r="W80" s="129"/>
      <c r="X80" s="129"/>
      <c r="Y80" s="129"/>
      <c r="Z80" s="129"/>
      <c r="AA80" s="129"/>
      <c r="AB80" s="129"/>
      <c r="AC80" s="129"/>
    </row>
    <row r="81" spans="2:29" x14ac:dyDescent="0.35">
      <c r="B81" s="59"/>
      <c r="C81" s="59"/>
      <c r="E81" s="125"/>
      <c r="I81" s="126"/>
      <c r="M81" s="127"/>
      <c r="N81" s="128"/>
      <c r="O81" s="128"/>
      <c r="P81" s="128"/>
      <c r="Q81" s="128"/>
      <c r="R81" s="128"/>
      <c r="S81" s="128"/>
      <c r="T81" s="128"/>
      <c r="U81" s="128"/>
      <c r="V81" s="129"/>
      <c r="W81" s="129"/>
      <c r="X81" s="129"/>
      <c r="Y81" s="129"/>
      <c r="Z81" s="129"/>
      <c r="AA81" s="129"/>
      <c r="AB81" s="129"/>
      <c r="AC81" s="129"/>
    </row>
    <row r="82" spans="2:29" x14ac:dyDescent="0.35">
      <c r="B82" s="59"/>
      <c r="C82" s="59"/>
      <c r="E82" s="125"/>
      <c r="I82" s="126"/>
      <c r="M82" s="127"/>
      <c r="N82" s="128"/>
      <c r="O82" s="128"/>
      <c r="P82" s="128"/>
      <c r="Q82" s="128"/>
      <c r="R82" s="128"/>
      <c r="S82" s="128"/>
      <c r="T82" s="128"/>
      <c r="U82" s="128"/>
      <c r="V82" s="129"/>
      <c r="W82" s="129"/>
      <c r="X82" s="129"/>
      <c r="Y82" s="129"/>
      <c r="Z82" s="129"/>
      <c r="AA82" s="129"/>
      <c r="AB82" s="129"/>
      <c r="AC82" s="129"/>
    </row>
    <row r="83" spans="2:29" x14ac:dyDescent="0.35">
      <c r="B83" s="59"/>
      <c r="C83" s="59"/>
      <c r="E83" s="125"/>
      <c r="I83" s="126"/>
      <c r="M83" s="127"/>
      <c r="N83" s="128"/>
      <c r="O83" s="128"/>
      <c r="P83" s="128"/>
      <c r="Q83" s="128"/>
      <c r="R83" s="128"/>
      <c r="S83" s="128"/>
      <c r="T83" s="128"/>
      <c r="U83" s="128"/>
      <c r="V83" s="129"/>
      <c r="W83" s="129"/>
      <c r="X83" s="129"/>
      <c r="Y83" s="129"/>
      <c r="Z83" s="129"/>
      <c r="AA83" s="129"/>
      <c r="AB83" s="129"/>
      <c r="AC83" s="129"/>
    </row>
    <row r="84" spans="2:29" x14ac:dyDescent="0.35">
      <c r="B84" s="59"/>
      <c r="C84" s="59"/>
      <c r="E84" s="125"/>
      <c r="I84" s="126"/>
      <c r="M84" s="127"/>
      <c r="N84" s="128"/>
      <c r="O84" s="128"/>
      <c r="P84" s="128"/>
      <c r="Q84" s="128"/>
      <c r="R84" s="128"/>
      <c r="S84" s="128"/>
      <c r="T84" s="128"/>
      <c r="U84" s="128"/>
      <c r="V84" s="129"/>
      <c r="W84" s="129"/>
      <c r="X84" s="129"/>
      <c r="Y84" s="129"/>
      <c r="Z84" s="129"/>
      <c r="AA84" s="129"/>
      <c r="AB84" s="129"/>
      <c r="AC84" s="129"/>
    </row>
    <row r="85" spans="2:29" x14ac:dyDescent="0.35">
      <c r="B85" s="59"/>
      <c r="C85" s="59"/>
      <c r="E85" s="125"/>
      <c r="I85" s="126"/>
      <c r="M85" s="127"/>
      <c r="N85" s="128"/>
      <c r="O85" s="128"/>
      <c r="P85" s="128"/>
      <c r="Q85" s="128"/>
      <c r="R85" s="128"/>
      <c r="S85" s="128"/>
      <c r="T85" s="128"/>
      <c r="U85" s="128"/>
      <c r="V85" s="129"/>
      <c r="W85" s="129"/>
      <c r="X85" s="129"/>
      <c r="Y85" s="129"/>
      <c r="Z85" s="129"/>
      <c r="AA85" s="129"/>
      <c r="AB85" s="129"/>
      <c r="AC85" s="129"/>
    </row>
    <row r="86" spans="2:29" x14ac:dyDescent="0.35">
      <c r="B86" s="59"/>
      <c r="C86" s="59"/>
      <c r="E86" s="125"/>
      <c r="I86" s="126"/>
      <c r="M86" s="127"/>
      <c r="N86" s="128"/>
      <c r="O86" s="128"/>
      <c r="P86" s="128"/>
      <c r="Q86" s="128"/>
      <c r="R86" s="128"/>
      <c r="S86" s="128"/>
      <c r="T86" s="128"/>
      <c r="U86" s="128"/>
      <c r="V86" s="129"/>
      <c r="W86" s="129"/>
      <c r="X86" s="129"/>
      <c r="Y86" s="129"/>
      <c r="Z86" s="129"/>
      <c r="AA86" s="129"/>
      <c r="AB86" s="129"/>
      <c r="AC86" s="129"/>
    </row>
    <row r="87" spans="2:29" x14ac:dyDescent="0.35">
      <c r="B87" s="59"/>
      <c r="C87" s="59"/>
      <c r="E87" s="125"/>
      <c r="I87" s="126"/>
      <c r="M87" s="127"/>
      <c r="N87" s="128"/>
      <c r="O87" s="128"/>
      <c r="P87" s="128"/>
      <c r="Q87" s="128"/>
      <c r="R87" s="128"/>
      <c r="S87" s="128"/>
      <c r="T87" s="128"/>
      <c r="U87" s="128"/>
      <c r="V87" s="129"/>
      <c r="W87" s="129"/>
      <c r="X87" s="129"/>
      <c r="Y87" s="129"/>
      <c r="Z87" s="129"/>
      <c r="AA87" s="129"/>
      <c r="AB87" s="129"/>
      <c r="AC87" s="129"/>
    </row>
    <row r="88" spans="2:29" x14ac:dyDescent="0.35">
      <c r="B88" s="59"/>
      <c r="C88" s="59"/>
      <c r="E88" s="125"/>
      <c r="I88" s="126"/>
      <c r="M88" s="127"/>
      <c r="N88" s="128"/>
      <c r="O88" s="128"/>
      <c r="P88" s="128"/>
      <c r="Q88" s="128"/>
      <c r="R88" s="128"/>
      <c r="S88" s="128"/>
      <c r="T88" s="128"/>
      <c r="U88" s="128"/>
      <c r="V88" s="129"/>
      <c r="W88" s="129"/>
      <c r="X88" s="129"/>
      <c r="Y88" s="129"/>
      <c r="Z88" s="129"/>
      <c r="AA88" s="129"/>
      <c r="AB88" s="129"/>
      <c r="AC88" s="129"/>
    </row>
    <row r="89" spans="2:29" x14ac:dyDescent="0.35">
      <c r="B89" s="59"/>
      <c r="C89" s="59"/>
      <c r="E89" s="125"/>
      <c r="I89" s="126"/>
      <c r="M89" s="127"/>
      <c r="N89" s="128"/>
      <c r="O89" s="128"/>
      <c r="P89" s="128"/>
      <c r="Q89" s="128"/>
      <c r="R89" s="128"/>
      <c r="S89" s="128"/>
      <c r="T89" s="128"/>
      <c r="U89" s="128"/>
      <c r="V89" s="129"/>
      <c r="W89" s="129"/>
      <c r="X89" s="129"/>
      <c r="Y89" s="129"/>
      <c r="Z89" s="129"/>
      <c r="AA89" s="129"/>
      <c r="AB89" s="129"/>
      <c r="AC89" s="129"/>
    </row>
    <row r="90" spans="2:29" x14ac:dyDescent="0.35">
      <c r="B90" s="59"/>
      <c r="C90" s="59"/>
      <c r="E90" s="125"/>
      <c r="I90" s="126"/>
      <c r="M90" s="127"/>
      <c r="N90" s="128"/>
      <c r="O90" s="128"/>
      <c r="P90" s="128"/>
      <c r="Q90" s="128"/>
      <c r="R90" s="128"/>
      <c r="S90" s="128"/>
      <c r="T90" s="128"/>
      <c r="U90" s="128"/>
      <c r="V90" s="129"/>
      <c r="W90" s="129"/>
      <c r="X90" s="129"/>
      <c r="Y90" s="129"/>
      <c r="Z90" s="129"/>
      <c r="AA90" s="129"/>
      <c r="AB90" s="129"/>
      <c r="AC90" s="129"/>
    </row>
    <row r="91" spans="2:29" x14ac:dyDescent="0.35">
      <c r="B91" s="59"/>
      <c r="C91" s="59"/>
      <c r="E91" s="125"/>
      <c r="I91" s="126"/>
      <c r="M91" s="127"/>
      <c r="N91" s="128"/>
      <c r="O91" s="128"/>
      <c r="P91" s="128"/>
      <c r="Q91" s="128"/>
      <c r="R91" s="128"/>
      <c r="S91" s="128"/>
      <c r="T91" s="128"/>
      <c r="U91" s="128"/>
      <c r="V91" s="129"/>
      <c r="W91" s="129"/>
      <c r="X91" s="129"/>
      <c r="Y91" s="129"/>
      <c r="Z91" s="129"/>
      <c r="AA91" s="129"/>
      <c r="AB91" s="129"/>
      <c r="AC91" s="129"/>
    </row>
    <row r="92" spans="2:29" x14ac:dyDescent="0.35">
      <c r="B92" s="59"/>
      <c r="C92" s="59"/>
      <c r="E92" s="125"/>
      <c r="I92" s="126"/>
      <c r="M92" s="127"/>
      <c r="N92" s="128"/>
      <c r="O92" s="128"/>
      <c r="P92" s="128"/>
      <c r="Q92" s="128"/>
      <c r="R92" s="128"/>
      <c r="S92" s="128"/>
      <c r="T92" s="128"/>
      <c r="U92" s="128"/>
      <c r="V92" s="129"/>
      <c r="W92" s="129"/>
      <c r="X92" s="129"/>
      <c r="Y92" s="129"/>
      <c r="Z92" s="129"/>
      <c r="AA92" s="129"/>
      <c r="AB92" s="129"/>
      <c r="AC92" s="129"/>
    </row>
    <row r="93" spans="2:29" x14ac:dyDescent="0.35">
      <c r="B93" s="59"/>
      <c r="C93" s="59"/>
      <c r="E93" s="125"/>
      <c r="I93" s="126"/>
      <c r="M93" s="127"/>
      <c r="N93" s="128"/>
      <c r="O93" s="128"/>
      <c r="P93" s="128"/>
      <c r="Q93" s="128"/>
      <c r="R93" s="128"/>
      <c r="S93" s="128"/>
      <c r="T93" s="128"/>
      <c r="U93" s="128"/>
      <c r="V93" s="129"/>
      <c r="W93" s="129"/>
      <c r="X93" s="129"/>
      <c r="Y93" s="129"/>
      <c r="Z93" s="129"/>
      <c r="AA93" s="129"/>
      <c r="AB93" s="129"/>
      <c r="AC93" s="129"/>
    </row>
    <row r="94" spans="2:29" x14ac:dyDescent="0.35">
      <c r="B94" s="59"/>
      <c r="C94" s="59"/>
      <c r="E94" s="125"/>
      <c r="I94" s="126"/>
      <c r="M94" s="127"/>
      <c r="N94" s="128"/>
      <c r="O94" s="128"/>
      <c r="P94" s="128"/>
      <c r="Q94" s="128"/>
      <c r="R94" s="128"/>
      <c r="S94" s="128"/>
      <c r="T94" s="128"/>
      <c r="U94" s="128"/>
      <c r="V94" s="129"/>
      <c r="W94" s="129"/>
      <c r="X94" s="129"/>
      <c r="Y94" s="129"/>
      <c r="Z94" s="129"/>
      <c r="AA94" s="129"/>
      <c r="AB94" s="129"/>
      <c r="AC94" s="129"/>
    </row>
    <row r="95" spans="2:29" x14ac:dyDescent="0.35">
      <c r="B95" s="59"/>
      <c r="C95" s="59"/>
      <c r="E95" s="125"/>
      <c r="I95" s="126"/>
      <c r="M95" s="127"/>
      <c r="N95" s="128"/>
      <c r="O95" s="128"/>
      <c r="P95" s="128"/>
      <c r="Q95" s="128"/>
      <c r="R95" s="128"/>
      <c r="S95" s="128"/>
      <c r="T95" s="128"/>
      <c r="U95" s="128"/>
      <c r="V95" s="129"/>
      <c r="W95" s="129"/>
      <c r="X95" s="129"/>
      <c r="Y95" s="129"/>
      <c r="Z95" s="129"/>
      <c r="AA95" s="129"/>
      <c r="AB95" s="129"/>
      <c r="AC95" s="129"/>
    </row>
    <row r="96" spans="2:29" x14ac:dyDescent="0.35">
      <c r="B96" s="59"/>
      <c r="C96" s="59"/>
      <c r="E96" s="125"/>
      <c r="I96" s="126"/>
      <c r="M96" s="127"/>
      <c r="N96" s="128"/>
      <c r="O96" s="128"/>
      <c r="P96" s="128"/>
      <c r="Q96" s="128"/>
      <c r="R96" s="128"/>
      <c r="S96" s="128"/>
      <c r="T96" s="128"/>
      <c r="U96" s="128"/>
      <c r="V96" s="129"/>
      <c r="W96" s="129"/>
      <c r="X96" s="129"/>
      <c r="Y96" s="129"/>
      <c r="Z96" s="129"/>
      <c r="AA96" s="129"/>
      <c r="AB96" s="129"/>
      <c r="AC96" s="129"/>
    </row>
    <row r="97" spans="2:29" x14ac:dyDescent="0.35">
      <c r="B97" s="59"/>
      <c r="C97" s="59"/>
      <c r="E97" s="125"/>
      <c r="I97" s="126"/>
      <c r="M97" s="127"/>
      <c r="N97" s="128"/>
      <c r="O97" s="128"/>
      <c r="P97" s="128"/>
      <c r="Q97" s="128"/>
      <c r="R97" s="128"/>
      <c r="S97" s="128"/>
      <c r="T97" s="128"/>
      <c r="U97" s="128"/>
      <c r="V97" s="129"/>
      <c r="W97" s="129"/>
      <c r="X97" s="129"/>
      <c r="Y97" s="129"/>
      <c r="Z97" s="129"/>
      <c r="AA97" s="129"/>
      <c r="AB97" s="129"/>
      <c r="AC97" s="129"/>
    </row>
    <row r="98" spans="2:29" x14ac:dyDescent="0.35">
      <c r="B98" s="59"/>
      <c r="C98" s="59"/>
      <c r="E98" s="125"/>
      <c r="I98" s="126"/>
      <c r="M98" s="127"/>
      <c r="N98" s="128"/>
      <c r="O98" s="128"/>
      <c r="P98" s="128"/>
      <c r="Q98" s="128"/>
      <c r="R98" s="128"/>
      <c r="S98" s="128"/>
      <c r="T98" s="128"/>
      <c r="U98" s="128"/>
      <c r="V98" s="129"/>
      <c r="W98" s="129"/>
      <c r="X98" s="129"/>
      <c r="Y98" s="129"/>
      <c r="Z98" s="129"/>
      <c r="AA98" s="129"/>
      <c r="AB98" s="129"/>
      <c r="AC98" s="129"/>
    </row>
    <row r="99" spans="2:29" x14ac:dyDescent="0.35">
      <c r="B99" s="59"/>
      <c r="C99" s="59"/>
      <c r="E99" s="125"/>
      <c r="I99" s="126"/>
      <c r="M99" s="127"/>
      <c r="N99" s="128"/>
      <c r="O99" s="128"/>
      <c r="P99" s="128"/>
      <c r="Q99" s="128"/>
      <c r="R99" s="128"/>
      <c r="S99" s="128"/>
      <c r="T99" s="128"/>
      <c r="U99" s="128"/>
      <c r="V99" s="129"/>
      <c r="W99" s="129"/>
      <c r="X99" s="129"/>
      <c r="Y99" s="129"/>
      <c r="Z99" s="129"/>
      <c r="AA99" s="129"/>
      <c r="AB99" s="129"/>
      <c r="AC99" s="129"/>
    </row>
    <row r="100" spans="2:29" x14ac:dyDescent="0.35">
      <c r="B100" s="59"/>
      <c r="C100" s="59"/>
      <c r="E100" s="125"/>
      <c r="I100" s="126"/>
      <c r="M100" s="127"/>
      <c r="N100" s="128"/>
      <c r="O100" s="128"/>
      <c r="P100" s="128"/>
      <c r="Q100" s="128"/>
      <c r="R100" s="128"/>
      <c r="S100" s="128"/>
      <c r="T100" s="128"/>
      <c r="U100" s="128"/>
      <c r="V100" s="129"/>
      <c r="W100" s="129"/>
      <c r="X100" s="129"/>
      <c r="Y100" s="129"/>
      <c r="Z100" s="129"/>
      <c r="AA100" s="129"/>
      <c r="AB100" s="129"/>
      <c r="AC100" s="129"/>
    </row>
    <row r="101" spans="2:29" x14ac:dyDescent="0.35">
      <c r="B101" s="59"/>
      <c r="C101" s="59"/>
      <c r="E101" s="125"/>
      <c r="I101" s="126"/>
      <c r="M101" s="127"/>
      <c r="N101" s="128"/>
      <c r="O101" s="128"/>
      <c r="P101" s="128"/>
      <c r="Q101" s="128"/>
      <c r="R101" s="128"/>
      <c r="S101" s="128"/>
      <c r="T101" s="128"/>
      <c r="U101" s="128"/>
      <c r="V101" s="129"/>
      <c r="W101" s="129"/>
      <c r="X101" s="129"/>
      <c r="Y101" s="129"/>
      <c r="Z101" s="129"/>
      <c r="AA101" s="129"/>
      <c r="AB101" s="129"/>
      <c r="AC101" s="129"/>
    </row>
    <row r="102" spans="2:29" x14ac:dyDescent="0.35">
      <c r="B102" s="59"/>
      <c r="C102" s="59"/>
      <c r="E102" s="125"/>
      <c r="I102" s="126"/>
      <c r="M102" s="127"/>
      <c r="N102" s="128"/>
      <c r="O102" s="128"/>
      <c r="P102" s="128"/>
      <c r="Q102" s="128"/>
      <c r="R102" s="128"/>
      <c r="S102" s="128"/>
      <c r="T102" s="128"/>
      <c r="U102" s="128"/>
      <c r="V102" s="129"/>
      <c r="W102" s="129"/>
      <c r="X102" s="129"/>
      <c r="Y102" s="129"/>
      <c r="Z102" s="129"/>
      <c r="AA102" s="129"/>
      <c r="AB102" s="129"/>
      <c r="AC102" s="129"/>
    </row>
    <row r="103" spans="2:29" x14ac:dyDescent="0.35">
      <c r="B103" s="59"/>
      <c r="C103" s="59"/>
      <c r="E103" s="125"/>
      <c r="I103" s="126"/>
      <c r="M103" s="127"/>
      <c r="N103" s="128"/>
      <c r="O103" s="128"/>
      <c r="P103" s="128"/>
      <c r="Q103" s="128"/>
      <c r="R103" s="128"/>
      <c r="S103" s="128"/>
      <c r="T103" s="128"/>
      <c r="U103" s="128"/>
      <c r="V103" s="129"/>
      <c r="W103" s="129"/>
      <c r="X103" s="129"/>
      <c r="Y103" s="129"/>
      <c r="Z103" s="129"/>
      <c r="AA103" s="129"/>
      <c r="AB103" s="129"/>
      <c r="AC103" s="129"/>
    </row>
    <row r="104" spans="2:29" x14ac:dyDescent="0.35">
      <c r="B104" s="59"/>
      <c r="C104" s="59"/>
      <c r="E104" s="125"/>
      <c r="I104" s="126"/>
      <c r="M104" s="127"/>
      <c r="N104" s="128"/>
      <c r="O104" s="128"/>
      <c r="P104" s="128"/>
      <c r="Q104" s="128"/>
      <c r="R104" s="128"/>
      <c r="S104" s="128"/>
      <c r="T104" s="128"/>
      <c r="U104" s="128"/>
      <c r="V104" s="129"/>
      <c r="W104" s="129"/>
      <c r="X104" s="129"/>
      <c r="Y104" s="129"/>
      <c r="Z104" s="129"/>
      <c r="AA104" s="129"/>
      <c r="AB104" s="129"/>
      <c r="AC104" s="129"/>
    </row>
    <row r="105" spans="2:29" x14ac:dyDescent="0.35">
      <c r="B105" s="59"/>
      <c r="C105" s="59"/>
      <c r="E105" s="125"/>
      <c r="I105" s="126"/>
      <c r="M105" s="127"/>
      <c r="N105" s="128"/>
      <c r="O105" s="128"/>
      <c r="P105" s="128"/>
      <c r="Q105" s="128"/>
      <c r="R105" s="128"/>
      <c r="S105" s="128"/>
      <c r="T105" s="128"/>
      <c r="U105" s="128"/>
      <c r="V105" s="129"/>
      <c r="W105" s="129"/>
      <c r="X105" s="129"/>
      <c r="Y105" s="129"/>
      <c r="Z105" s="129"/>
      <c r="AA105" s="129"/>
      <c r="AB105" s="129"/>
      <c r="AC105" s="129"/>
    </row>
    <row r="106" spans="2:29" x14ac:dyDescent="0.35">
      <c r="B106" s="59"/>
      <c r="C106" s="59"/>
      <c r="E106" s="125"/>
      <c r="I106" s="126"/>
      <c r="M106" s="127"/>
      <c r="N106" s="128"/>
      <c r="O106" s="128"/>
      <c r="P106" s="128"/>
      <c r="Q106" s="128"/>
      <c r="R106" s="128"/>
      <c r="S106" s="128"/>
      <c r="T106" s="128"/>
      <c r="U106" s="128"/>
      <c r="V106" s="129"/>
      <c r="W106" s="129"/>
      <c r="X106" s="129"/>
      <c r="Y106" s="129"/>
      <c r="Z106" s="129"/>
      <c r="AA106" s="129"/>
      <c r="AB106" s="129"/>
      <c r="AC106" s="129"/>
    </row>
    <row r="107" spans="2:29" x14ac:dyDescent="0.35">
      <c r="B107" s="59"/>
      <c r="C107" s="59"/>
      <c r="E107" s="125"/>
      <c r="I107" s="126"/>
      <c r="M107" s="127"/>
      <c r="N107" s="128"/>
      <c r="O107" s="128"/>
      <c r="P107" s="128"/>
      <c r="Q107" s="128"/>
      <c r="R107" s="128"/>
      <c r="S107" s="128"/>
      <c r="T107" s="128"/>
      <c r="U107" s="128"/>
      <c r="V107" s="129"/>
      <c r="W107" s="129"/>
      <c r="X107" s="129"/>
      <c r="Y107" s="129"/>
      <c r="Z107" s="129"/>
      <c r="AA107" s="129"/>
      <c r="AB107" s="129"/>
      <c r="AC107" s="129"/>
    </row>
    <row r="108" spans="2:29" x14ac:dyDescent="0.35">
      <c r="B108" s="59"/>
      <c r="C108" s="59"/>
      <c r="E108" s="125"/>
      <c r="I108" s="126"/>
      <c r="M108" s="127"/>
      <c r="N108" s="128"/>
      <c r="O108" s="128"/>
      <c r="P108" s="128"/>
      <c r="Q108" s="128"/>
      <c r="R108" s="128"/>
      <c r="S108" s="128"/>
      <c r="T108" s="128"/>
      <c r="U108" s="128"/>
      <c r="V108" s="129"/>
      <c r="W108" s="129"/>
      <c r="X108" s="129"/>
      <c r="Y108" s="129"/>
      <c r="Z108" s="129"/>
      <c r="AA108" s="129"/>
      <c r="AB108" s="129"/>
      <c r="AC108" s="129"/>
    </row>
    <row r="109" spans="2:29" x14ac:dyDescent="0.35">
      <c r="B109" s="59"/>
      <c r="C109" s="59"/>
      <c r="E109" s="125"/>
      <c r="I109" s="126"/>
      <c r="M109" s="127"/>
      <c r="N109" s="128"/>
      <c r="O109" s="128"/>
      <c r="P109" s="128"/>
      <c r="Q109" s="128"/>
      <c r="R109" s="128"/>
      <c r="S109" s="128"/>
      <c r="T109" s="128"/>
      <c r="U109" s="128"/>
      <c r="V109" s="129"/>
      <c r="W109" s="129"/>
      <c r="X109" s="129"/>
      <c r="Y109" s="129"/>
      <c r="Z109" s="129"/>
      <c r="AA109" s="129"/>
      <c r="AB109" s="129"/>
      <c r="AC109" s="129"/>
    </row>
    <row r="110" spans="2:29" x14ac:dyDescent="0.35">
      <c r="B110" s="59"/>
      <c r="C110" s="59"/>
      <c r="E110" s="125"/>
      <c r="I110" s="126"/>
      <c r="M110" s="127"/>
      <c r="N110" s="128"/>
      <c r="O110" s="128"/>
      <c r="P110" s="128"/>
      <c r="Q110" s="128"/>
      <c r="R110" s="128"/>
      <c r="S110" s="128"/>
      <c r="T110" s="128"/>
      <c r="U110" s="128"/>
      <c r="V110" s="129"/>
      <c r="W110" s="129"/>
      <c r="X110" s="129"/>
      <c r="Y110" s="129"/>
      <c r="Z110" s="129"/>
      <c r="AA110" s="129"/>
      <c r="AB110" s="129"/>
      <c r="AC110" s="129"/>
    </row>
    <row r="111" spans="2:29" x14ac:dyDescent="0.35">
      <c r="B111" s="59"/>
      <c r="C111" s="59"/>
      <c r="E111" s="125"/>
      <c r="I111" s="126"/>
      <c r="M111" s="127"/>
      <c r="N111" s="128"/>
      <c r="O111" s="128"/>
      <c r="P111" s="128"/>
      <c r="Q111" s="128"/>
      <c r="R111" s="128"/>
      <c r="S111" s="128"/>
      <c r="T111" s="128"/>
      <c r="U111" s="128"/>
      <c r="V111" s="129"/>
      <c r="W111" s="129"/>
      <c r="X111" s="129"/>
      <c r="Y111" s="129"/>
      <c r="Z111" s="129"/>
      <c r="AA111" s="129"/>
      <c r="AB111" s="129"/>
      <c r="AC111" s="129"/>
    </row>
    <row r="112" spans="2:29" x14ac:dyDescent="0.35">
      <c r="B112" s="59"/>
      <c r="C112" s="59"/>
      <c r="E112" s="125"/>
      <c r="I112" s="126"/>
      <c r="M112" s="127"/>
      <c r="N112" s="128"/>
      <c r="O112" s="128"/>
      <c r="P112" s="128"/>
      <c r="Q112" s="128"/>
      <c r="R112" s="128"/>
      <c r="S112" s="128"/>
      <c r="T112" s="128"/>
      <c r="U112" s="128"/>
      <c r="V112" s="129"/>
      <c r="W112" s="129"/>
      <c r="X112" s="129"/>
      <c r="Y112" s="129"/>
      <c r="Z112" s="129"/>
      <c r="AA112" s="129"/>
      <c r="AB112" s="129"/>
      <c r="AC112" s="129"/>
    </row>
    <row r="113" spans="2:29" x14ac:dyDescent="0.35">
      <c r="B113" s="59"/>
      <c r="C113" s="59"/>
      <c r="E113" s="125"/>
      <c r="I113" s="126"/>
      <c r="M113" s="127"/>
      <c r="N113" s="128"/>
      <c r="O113" s="128"/>
      <c r="P113" s="128"/>
      <c r="Q113" s="128"/>
      <c r="R113" s="128"/>
      <c r="S113" s="128"/>
      <c r="T113" s="128"/>
      <c r="U113" s="128"/>
      <c r="V113" s="129"/>
      <c r="W113" s="129"/>
      <c r="X113" s="129"/>
      <c r="Y113" s="129"/>
      <c r="Z113" s="129"/>
      <c r="AA113" s="129"/>
      <c r="AB113" s="129"/>
      <c r="AC113" s="129"/>
    </row>
    <row r="114" spans="2:29" x14ac:dyDescent="0.35">
      <c r="B114" s="59"/>
      <c r="C114" s="59"/>
      <c r="E114" s="125"/>
      <c r="I114" s="126"/>
      <c r="M114" s="127"/>
      <c r="N114" s="128"/>
      <c r="O114" s="128"/>
      <c r="P114" s="128"/>
      <c r="Q114" s="128"/>
      <c r="R114" s="128"/>
      <c r="S114" s="128"/>
      <c r="T114" s="128"/>
      <c r="U114" s="128"/>
      <c r="V114" s="129"/>
      <c r="W114" s="129"/>
      <c r="X114" s="129"/>
      <c r="Y114" s="129"/>
      <c r="Z114" s="129"/>
      <c r="AA114" s="129"/>
      <c r="AB114" s="129"/>
      <c r="AC114" s="129"/>
    </row>
    <row r="115" spans="2:29" x14ac:dyDescent="0.35">
      <c r="B115" s="59"/>
      <c r="C115" s="59"/>
      <c r="E115" s="125"/>
      <c r="I115" s="126"/>
      <c r="M115" s="127"/>
      <c r="N115" s="128"/>
      <c r="O115" s="128"/>
      <c r="P115" s="128"/>
      <c r="Q115" s="128"/>
      <c r="R115" s="128"/>
      <c r="S115" s="128"/>
      <c r="T115" s="128"/>
      <c r="U115" s="128"/>
      <c r="V115" s="129"/>
      <c r="W115" s="129"/>
      <c r="X115" s="129"/>
      <c r="Y115" s="129"/>
      <c r="Z115" s="129"/>
      <c r="AA115" s="129"/>
      <c r="AB115" s="129"/>
      <c r="AC115" s="129"/>
    </row>
    <row r="116" spans="2:29" x14ac:dyDescent="0.35">
      <c r="B116" s="59"/>
      <c r="C116" s="59"/>
      <c r="E116" s="125"/>
      <c r="I116" s="126"/>
      <c r="M116" s="127"/>
      <c r="N116" s="128"/>
      <c r="O116" s="128"/>
      <c r="P116" s="128"/>
      <c r="Q116" s="128"/>
      <c r="R116" s="128"/>
      <c r="S116" s="128"/>
      <c r="T116" s="128"/>
      <c r="U116" s="128"/>
      <c r="V116" s="129"/>
      <c r="W116" s="129"/>
      <c r="X116" s="129"/>
      <c r="Y116" s="129"/>
      <c r="Z116" s="129"/>
      <c r="AA116" s="129"/>
      <c r="AB116" s="129"/>
      <c r="AC116" s="129"/>
    </row>
    <row r="117" spans="2:29" x14ac:dyDescent="0.35">
      <c r="B117" s="59"/>
      <c r="C117" s="59"/>
      <c r="E117" s="125"/>
      <c r="I117" s="126"/>
      <c r="M117" s="127"/>
      <c r="N117" s="128"/>
      <c r="O117" s="128"/>
      <c r="P117" s="128"/>
      <c r="Q117" s="128"/>
      <c r="R117" s="128"/>
      <c r="S117" s="128"/>
      <c r="T117" s="128"/>
      <c r="U117" s="128"/>
      <c r="V117" s="129"/>
      <c r="W117" s="129"/>
      <c r="X117" s="129"/>
      <c r="Y117" s="129"/>
      <c r="Z117" s="129"/>
      <c r="AA117" s="129"/>
      <c r="AB117" s="129"/>
      <c r="AC117" s="129"/>
    </row>
    <row r="118" spans="2:29" x14ac:dyDescent="0.35">
      <c r="B118" s="59"/>
      <c r="C118" s="59"/>
      <c r="E118" s="125"/>
      <c r="I118" s="126"/>
      <c r="M118" s="127"/>
      <c r="N118" s="128"/>
      <c r="O118" s="128"/>
      <c r="P118" s="128"/>
      <c r="Q118" s="128"/>
      <c r="R118" s="128"/>
      <c r="S118" s="128"/>
      <c r="T118" s="128"/>
      <c r="U118" s="128"/>
      <c r="V118" s="129"/>
      <c r="W118" s="129"/>
      <c r="X118" s="129"/>
      <c r="Y118" s="129"/>
      <c r="Z118" s="129"/>
      <c r="AA118" s="129"/>
      <c r="AB118" s="129"/>
      <c r="AC118" s="129"/>
    </row>
    <row r="119" spans="2:29" x14ac:dyDescent="0.35">
      <c r="B119" s="59"/>
      <c r="C119" s="59"/>
      <c r="E119" s="125"/>
      <c r="I119" s="126"/>
      <c r="M119" s="127"/>
      <c r="N119" s="128"/>
      <c r="O119" s="128"/>
      <c r="P119" s="128"/>
      <c r="Q119" s="128"/>
      <c r="R119" s="128"/>
      <c r="S119" s="128"/>
      <c r="T119" s="128"/>
      <c r="U119" s="128"/>
      <c r="V119" s="129"/>
      <c r="W119" s="129"/>
      <c r="X119" s="129"/>
      <c r="Y119" s="129"/>
      <c r="Z119" s="129"/>
      <c r="AA119" s="129"/>
      <c r="AB119" s="129"/>
      <c r="AC119" s="129"/>
    </row>
    <row r="120" spans="2:29" x14ac:dyDescent="0.35">
      <c r="B120" s="59"/>
      <c r="C120" s="59"/>
      <c r="E120" s="125"/>
      <c r="I120" s="126"/>
      <c r="M120" s="127"/>
      <c r="N120" s="128"/>
      <c r="O120" s="128"/>
      <c r="P120" s="128"/>
      <c r="Q120" s="128"/>
      <c r="R120" s="128"/>
      <c r="S120" s="128"/>
      <c r="T120" s="128"/>
      <c r="U120" s="128"/>
      <c r="V120" s="129"/>
      <c r="W120" s="129"/>
      <c r="X120" s="129"/>
      <c r="Y120" s="129"/>
      <c r="Z120" s="129"/>
      <c r="AA120" s="129"/>
      <c r="AB120" s="129"/>
      <c r="AC120" s="129"/>
    </row>
    <row r="121" spans="2:29" x14ac:dyDescent="0.35">
      <c r="B121" s="59"/>
      <c r="C121" s="59"/>
      <c r="E121" s="125"/>
      <c r="I121" s="126"/>
      <c r="M121" s="127"/>
      <c r="N121" s="128"/>
      <c r="O121" s="128"/>
      <c r="P121" s="128"/>
      <c r="Q121" s="128"/>
      <c r="R121" s="128"/>
      <c r="S121" s="128"/>
      <c r="T121" s="128"/>
      <c r="U121" s="128"/>
      <c r="V121" s="129"/>
      <c r="W121" s="129"/>
      <c r="X121" s="129"/>
      <c r="Y121" s="129"/>
      <c r="Z121" s="129"/>
      <c r="AA121" s="129"/>
      <c r="AB121" s="129"/>
      <c r="AC121" s="129"/>
    </row>
    <row r="122" spans="2:29" x14ac:dyDescent="0.35">
      <c r="B122" s="59"/>
      <c r="C122" s="59"/>
      <c r="E122" s="125"/>
      <c r="I122" s="126"/>
      <c r="M122" s="127"/>
      <c r="N122" s="128"/>
      <c r="O122" s="128"/>
      <c r="P122" s="128"/>
      <c r="Q122" s="128"/>
      <c r="R122" s="128"/>
      <c r="S122" s="128"/>
      <c r="T122" s="128"/>
      <c r="U122" s="128"/>
      <c r="V122" s="129"/>
      <c r="W122" s="129"/>
      <c r="X122" s="129"/>
      <c r="Y122" s="129"/>
      <c r="Z122" s="129"/>
      <c r="AA122" s="129"/>
      <c r="AB122" s="129"/>
      <c r="AC122" s="129"/>
    </row>
    <row r="123" spans="2:29" x14ac:dyDescent="0.35">
      <c r="B123" s="59"/>
      <c r="C123" s="59"/>
      <c r="E123" s="125"/>
      <c r="I123" s="126"/>
      <c r="M123" s="127"/>
      <c r="N123" s="128"/>
      <c r="O123" s="128"/>
      <c r="P123" s="128"/>
      <c r="Q123" s="128"/>
      <c r="R123" s="128"/>
      <c r="S123" s="128"/>
      <c r="T123" s="128"/>
      <c r="U123" s="128"/>
      <c r="V123" s="129"/>
      <c r="W123" s="129"/>
      <c r="X123" s="129"/>
      <c r="Y123" s="129"/>
      <c r="Z123" s="129"/>
      <c r="AA123" s="129"/>
      <c r="AB123" s="129"/>
      <c r="AC123" s="129"/>
    </row>
    <row r="124" spans="2:29" x14ac:dyDescent="0.35">
      <c r="B124" s="59"/>
      <c r="C124" s="59"/>
      <c r="E124" s="125"/>
      <c r="I124" s="126"/>
      <c r="M124" s="127"/>
      <c r="N124" s="128"/>
      <c r="O124" s="128"/>
      <c r="P124" s="128"/>
      <c r="Q124" s="128"/>
      <c r="R124" s="128"/>
      <c r="S124" s="128"/>
      <c r="T124" s="128"/>
      <c r="U124" s="128"/>
      <c r="V124" s="129"/>
      <c r="W124" s="129"/>
      <c r="X124" s="129"/>
      <c r="Y124" s="129"/>
      <c r="Z124" s="129"/>
      <c r="AA124" s="129"/>
      <c r="AB124" s="129"/>
      <c r="AC124" s="129"/>
    </row>
    <row r="125" spans="2:29" x14ac:dyDescent="0.35">
      <c r="B125" s="59"/>
      <c r="C125" s="59"/>
      <c r="E125" s="125"/>
      <c r="I125" s="126"/>
      <c r="M125" s="127"/>
      <c r="N125" s="128"/>
      <c r="O125" s="128"/>
      <c r="P125" s="128"/>
      <c r="Q125" s="128"/>
      <c r="R125" s="128"/>
      <c r="S125" s="128"/>
      <c r="T125" s="128"/>
      <c r="U125" s="128"/>
      <c r="V125" s="129"/>
      <c r="W125" s="129"/>
      <c r="X125" s="129"/>
      <c r="Y125" s="129"/>
      <c r="Z125" s="129"/>
      <c r="AA125" s="129"/>
      <c r="AB125" s="129"/>
      <c r="AC125" s="129"/>
    </row>
    <row r="126" spans="2:29" x14ac:dyDescent="0.35">
      <c r="B126" s="59"/>
      <c r="C126" s="59"/>
      <c r="E126" s="125"/>
      <c r="I126" s="126"/>
      <c r="M126" s="127"/>
      <c r="N126" s="128"/>
      <c r="O126" s="128"/>
      <c r="P126" s="128"/>
      <c r="Q126" s="128"/>
      <c r="R126" s="128"/>
      <c r="S126" s="128"/>
      <c r="T126" s="128"/>
      <c r="U126" s="128"/>
      <c r="V126" s="129"/>
      <c r="W126" s="129"/>
      <c r="X126" s="129"/>
      <c r="Y126" s="129"/>
      <c r="Z126" s="129"/>
      <c r="AA126" s="129"/>
      <c r="AB126" s="129"/>
      <c r="AC126" s="129"/>
    </row>
    <row r="127" spans="2:29" x14ac:dyDescent="0.35">
      <c r="B127" s="59"/>
      <c r="C127" s="59"/>
      <c r="E127" s="125"/>
      <c r="I127" s="126"/>
      <c r="M127" s="127"/>
      <c r="N127" s="128"/>
      <c r="O127" s="128"/>
      <c r="P127" s="128"/>
      <c r="Q127" s="128"/>
      <c r="R127" s="128"/>
      <c r="S127" s="128"/>
      <c r="T127" s="128"/>
      <c r="U127" s="128"/>
      <c r="V127" s="129"/>
      <c r="W127" s="129"/>
      <c r="X127" s="129"/>
      <c r="Y127" s="129"/>
      <c r="Z127" s="129"/>
      <c r="AA127" s="129"/>
      <c r="AB127" s="129"/>
      <c r="AC127" s="129"/>
    </row>
    <row r="128" spans="2:29" x14ac:dyDescent="0.35">
      <c r="B128" s="59"/>
      <c r="C128" s="59"/>
      <c r="E128" s="125"/>
      <c r="I128" s="126"/>
      <c r="M128" s="127"/>
      <c r="N128" s="128"/>
      <c r="O128" s="128"/>
      <c r="P128" s="128"/>
      <c r="Q128" s="128"/>
      <c r="R128" s="128"/>
      <c r="S128" s="128"/>
      <c r="T128" s="128"/>
      <c r="U128" s="128"/>
      <c r="V128" s="129"/>
      <c r="W128" s="129"/>
      <c r="X128" s="129"/>
      <c r="Y128" s="129"/>
      <c r="Z128" s="129"/>
      <c r="AA128" s="129"/>
      <c r="AB128" s="129"/>
      <c r="AC128" s="129"/>
    </row>
    <row r="129" spans="2:29" x14ac:dyDescent="0.35">
      <c r="B129" s="59"/>
      <c r="C129" s="59"/>
      <c r="E129" s="125"/>
      <c r="I129" s="126"/>
      <c r="M129" s="127"/>
      <c r="N129" s="128"/>
      <c r="O129" s="128"/>
      <c r="P129" s="128"/>
      <c r="Q129" s="128"/>
      <c r="R129" s="128"/>
      <c r="S129" s="128"/>
      <c r="T129" s="128"/>
      <c r="U129" s="128"/>
      <c r="V129" s="129"/>
      <c r="W129" s="129"/>
      <c r="X129" s="129"/>
      <c r="Y129" s="129"/>
      <c r="Z129" s="129"/>
      <c r="AA129" s="129"/>
      <c r="AB129" s="129"/>
      <c r="AC129" s="129"/>
    </row>
    <row r="130" spans="2:29" x14ac:dyDescent="0.35">
      <c r="B130" s="59"/>
      <c r="C130" s="59"/>
      <c r="E130" s="125"/>
      <c r="I130" s="126"/>
      <c r="M130" s="127"/>
      <c r="N130" s="128"/>
      <c r="O130" s="128"/>
      <c r="P130" s="128"/>
      <c r="Q130" s="128"/>
      <c r="R130" s="128"/>
      <c r="S130" s="128"/>
      <c r="T130" s="128"/>
      <c r="U130" s="128"/>
      <c r="V130" s="129"/>
      <c r="W130" s="129"/>
      <c r="X130" s="129"/>
      <c r="Y130" s="129"/>
      <c r="Z130" s="129"/>
      <c r="AA130" s="129"/>
      <c r="AB130" s="129"/>
      <c r="AC130" s="129"/>
    </row>
    <row r="131" spans="2:29" x14ac:dyDescent="0.35">
      <c r="B131" s="59"/>
      <c r="C131" s="59"/>
      <c r="E131" s="125"/>
      <c r="I131" s="126"/>
      <c r="M131" s="127"/>
      <c r="N131" s="128"/>
      <c r="O131" s="128"/>
      <c r="P131" s="128"/>
      <c r="Q131" s="128"/>
      <c r="R131" s="128"/>
      <c r="S131" s="128"/>
      <c r="T131" s="128"/>
      <c r="U131" s="128"/>
      <c r="V131" s="129"/>
      <c r="W131" s="129"/>
      <c r="X131" s="129"/>
      <c r="Y131" s="129"/>
      <c r="Z131" s="129"/>
      <c r="AA131" s="129"/>
      <c r="AB131" s="129"/>
      <c r="AC131" s="129"/>
    </row>
    <row r="132" spans="2:29" x14ac:dyDescent="0.35">
      <c r="B132" s="59"/>
      <c r="C132" s="59"/>
      <c r="E132" s="125"/>
      <c r="I132" s="126"/>
      <c r="M132" s="127"/>
      <c r="N132" s="128"/>
      <c r="O132" s="128"/>
      <c r="P132" s="128"/>
      <c r="Q132" s="128"/>
      <c r="R132" s="128"/>
      <c r="S132" s="128"/>
      <c r="T132" s="128"/>
      <c r="U132" s="128"/>
      <c r="V132" s="129"/>
      <c r="W132" s="129"/>
      <c r="X132" s="129"/>
      <c r="Y132" s="129"/>
      <c r="Z132" s="129"/>
      <c r="AA132" s="129"/>
      <c r="AB132" s="129"/>
      <c r="AC132" s="129"/>
    </row>
    <row r="133" spans="2:29" x14ac:dyDescent="0.35">
      <c r="B133" s="59"/>
      <c r="C133" s="59"/>
      <c r="E133" s="125"/>
      <c r="I133" s="126"/>
      <c r="M133" s="127"/>
      <c r="N133" s="128"/>
      <c r="O133" s="128"/>
      <c r="P133" s="128"/>
      <c r="Q133" s="128"/>
      <c r="R133" s="128"/>
      <c r="S133" s="128"/>
      <c r="T133" s="128"/>
      <c r="U133" s="128"/>
      <c r="V133" s="129"/>
      <c r="W133" s="129"/>
      <c r="X133" s="129"/>
      <c r="Y133" s="129"/>
      <c r="Z133" s="129"/>
      <c r="AA133" s="129"/>
      <c r="AB133" s="129"/>
      <c r="AC133" s="129"/>
    </row>
    <row r="134" spans="2:29" x14ac:dyDescent="0.35">
      <c r="B134" s="59"/>
      <c r="C134" s="59"/>
      <c r="E134" s="125"/>
      <c r="I134" s="126"/>
      <c r="M134" s="127"/>
      <c r="N134" s="128"/>
      <c r="O134" s="128"/>
      <c r="P134" s="128"/>
      <c r="Q134" s="128"/>
      <c r="R134" s="128"/>
      <c r="S134" s="128"/>
      <c r="T134" s="128"/>
      <c r="U134" s="128"/>
      <c r="V134" s="129"/>
      <c r="W134" s="129"/>
      <c r="X134" s="129"/>
      <c r="Y134" s="129"/>
      <c r="Z134" s="129"/>
      <c r="AA134" s="129"/>
      <c r="AB134" s="129"/>
      <c r="AC134" s="129"/>
    </row>
    <row r="135" spans="2:29" x14ac:dyDescent="0.35">
      <c r="B135" s="59"/>
      <c r="C135" s="59"/>
      <c r="E135" s="125"/>
      <c r="I135" s="126"/>
      <c r="M135" s="127"/>
      <c r="N135" s="128"/>
      <c r="O135" s="128"/>
      <c r="P135" s="128"/>
      <c r="Q135" s="128"/>
      <c r="R135" s="128"/>
      <c r="S135" s="128"/>
      <c r="T135" s="128"/>
      <c r="U135" s="128"/>
      <c r="V135" s="129"/>
      <c r="W135" s="129"/>
      <c r="X135" s="129"/>
      <c r="Y135" s="129"/>
      <c r="Z135" s="129"/>
      <c r="AA135" s="129"/>
      <c r="AB135" s="129"/>
      <c r="AC135" s="129"/>
    </row>
    <row r="136" spans="2:29" x14ac:dyDescent="0.35">
      <c r="B136" s="59"/>
      <c r="C136" s="59"/>
      <c r="E136" s="125"/>
      <c r="I136" s="126"/>
      <c r="M136" s="127"/>
      <c r="N136" s="128"/>
      <c r="O136" s="128"/>
      <c r="P136" s="128"/>
      <c r="Q136" s="128"/>
      <c r="R136" s="128"/>
      <c r="S136" s="128"/>
      <c r="T136" s="128"/>
      <c r="U136" s="128"/>
      <c r="V136" s="129"/>
      <c r="W136" s="129"/>
      <c r="X136" s="129"/>
      <c r="Y136" s="129"/>
      <c r="Z136" s="129"/>
      <c r="AA136" s="129"/>
      <c r="AB136" s="129"/>
      <c r="AC136" s="129"/>
    </row>
    <row r="137" spans="2:29" x14ac:dyDescent="0.35">
      <c r="B137" s="59"/>
      <c r="C137" s="59"/>
      <c r="E137" s="125"/>
      <c r="I137" s="126"/>
      <c r="M137" s="127"/>
      <c r="N137" s="128"/>
      <c r="O137" s="128"/>
      <c r="P137" s="128"/>
      <c r="Q137" s="128"/>
      <c r="R137" s="128"/>
      <c r="S137" s="128"/>
      <c r="T137" s="128"/>
      <c r="U137" s="128"/>
      <c r="V137" s="129"/>
      <c r="W137" s="129"/>
      <c r="X137" s="129"/>
      <c r="Y137" s="129"/>
      <c r="Z137" s="129"/>
      <c r="AA137" s="129"/>
      <c r="AB137" s="129"/>
      <c r="AC137" s="129"/>
    </row>
    <row r="138" spans="2:29" x14ac:dyDescent="0.35">
      <c r="B138" s="59"/>
      <c r="C138" s="59"/>
      <c r="E138" s="125"/>
      <c r="I138" s="126"/>
      <c r="M138" s="127"/>
      <c r="N138" s="128"/>
      <c r="O138" s="128"/>
      <c r="P138" s="128"/>
      <c r="Q138" s="128"/>
      <c r="R138" s="128"/>
      <c r="S138" s="128"/>
      <c r="T138" s="128"/>
      <c r="U138" s="128"/>
      <c r="V138" s="129"/>
      <c r="W138" s="129"/>
      <c r="X138" s="129"/>
      <c r="Y138" s="129"/>
      <c r="Z138" s="129"/>
      <c r="AA138" s="129"/>
      <c r="AB138" s="129"/>
      <c r="AC138" s="129"/>
    </row>
    <row r="139" spans="2:29" x14ac:dyDescent="0.35">
      <c r="B139" s="59"/>
      <c r="C139" s="59"/>
      <c r="E139" s="125"/>
      <c r="I139" s="126"/>
      <c r="M139" s="127"/>
      <c r="N139" s="128"/>
      <c r="O139" s="128"/>
      <c r="P139" s="128"/>
      <c r="Q139" s="128"/>
      <c r="R139" s="128"/>
      <c r="S139" s="128"/>
      <c r="T139" s="128"/>
      <c r="U139" s="128"/>
      <c r="V139" s="129"/>
      <c r="W139" s="129"/>
      <c r="X139" s="129"/>
      <c r="Y139" s="129"/>
      <c r="Z139" s="129"/>
      <c r="AA139" s="129"/>
      <c r="AB139" s="129"/>
      <c r="AC139" s="129"/>
    </row>
    <row r="140" spans="2:29" x14ac:dyDescent="0.35">
      <c r="B140" s="59"/>
      <c r="C140" s="59"/>
      <c r="E140" s="125"/>
      <c r="I140" s="126"/>
      <c r="M140" s="127"/>
      <c r="N140" s="128"/>
      <c r="O140" s="128"/>
      <c r="P140" s="128"/>
      <c r="Q140" s="128"/>
      <c r="R140" s="128"/>
      <c r="S140" s="128"/>
      <c r="T140" s="128"/>
      <c r="U140" s="128"/>
      <c r="V140" s="129"/>
      <c r="W140" s="129"/>
      <c r="X140" s="129"/>
      <c r="Y140" s="129"/>
      <c r="Z140" s="129"/>
      <c r="AA140" s="129"/>
      <c r="AB140" s="129"/>
      <c r="AC140" s="129"/>
    </row>
    <row r="141" spans="2:29" x14ac:dyDescent="0.35">
      <c r="B141" s="59"/>
      <c r="C141" s="59"/>
      <c r="E141" s="125"/>
      <c r="I141" s="126"/>
      <c r="M141" s="127"/>
      <c r="N141" s="128"/>
      <c r="O141" s="128"/>
      <c r="P141" s="128"/>
      <c r="Q141" s="128"/>
      <c r="R141" s="128"/>
      <c r="S141" s="128"/>
      <c r="T141" s="128"/>
      <c r="U141" s="128"/>
      <c r="V141" s="129"/>
      <c r="W141" s="129"/>
      <c r="X141" s="129"/>
      <c r="Y141" s="129"/>
      <c r="Z141" s="129"/>
      <c r="AA141" s="129"/>
      <c r="AB141" s="129"/>
      <c r="AC141" s="129"/>
    </row>
    <row r="142" spans="2:29" x14ac:dyDescent="0.35">
      <c r="B142" s="59"/>
      <c r="C142" s="59"/>
      <c r="E142" s="125"/>
      <c r="I142" s="126"/>
      <c r="M142" s="127"/>
      <c r="N142" s="128"/>
      <c r="O142" s="128"/>
      <c r="P142" s="128"/>
      <c r="Q142" s="128"/>
      <c r="R142" s="128"/>
      <c r="S142" s="128"/>
      <c r="T142" s="128"/>
      <c r="U142" s="128"/>
      <c r="V142" s="129"/>
      <c r="W142" s="129"/>
      <c r="X142" s="129"/>
      <c r="Y142" s="129"/>
      <c r="Z142" s="129"/>
      <c r="AA142" s="129"/>
      <c r="AB142" s="129"/>
      <c r="AC142" s="129"/>
    </row>
    <row r="143" spans="2:29" x14ac:dyDescent="0.35">
      <c r="B143" s="59"/>
      <c r="C143" s="59"/>
      <c r="E143" s="125"/>
      <c r="I143" s="126"/>
      <c r="M143" s="127"/>
      <c r="N143" s="128"/>
      <c r="O143" s="128"/>
      <c r="P143" s="128"/>
      <c r="Q143" s="128"/>
      <c r="R143" s="128"/>
      <c r="S143" s="128"/>
      <c r="T143" s="128"/>
      <c r="U143" s="128"/>
      <c r="V143" s="129"/>
      <c r="W143" s="129"/>
      <c r="X143" s="129"/>
      <c r="Y143" s="129"/>
      <c r="Z143" s="129"/>
      <c r="AA143" s="129"/>
      <c r="AB143" s="129"/>
      <c r="AC143" s="129"/>
    </row>
    <row r="144" spans="2:29" x14ac:dyDescent="0.35">
      <c r="B144" s="59"/>
      <c r="C144" s="59"/>
      <c r="E144" s="125"/>
      <c r="I144" s="126"/>
      <c r="M144" s="127"/>
      <c r="N144" s="128"/>
      <c r="O144" s="128"/>
      <c r="P144" s="128"/>
      <c r="Q144" s="128"/>
      <c r="R144" s="128"/>
      <c r="S144" s="128"/>
      <c r="T144" s="128"/>
      <c r="U144" s="128"/>
      <c r="V144" s="129"/>
      <c r="W144" s="129"/>
      <c r="X144" s="129"/>
      <c r="Y144" s="129"/>
      <c r="Z144" s="129"/>
      <c r="AA144" s="129"/>
      <c r="AB144" s="129"/>
      <c r="AC144" s="129"/>
    </row>
    <row r="145" spans="2:29" x14ac:dyDescent="0.35">
      <c r="B145" s="59"/>
      <c r="C145" s="59"/>
      <c r="E145" s="125"/>
      <c r="I145" s="126"/>
      <c r="M145" s="127"/>
      <c r="N145" s="128"/>
      <c r="O145" s="128"/>
      <c r="P145" s="128"/>
      <c r="Q145" s="128"/>
      <c r="R145" s="128"/>
      <c r="S145" s="128"/>
      <c r="T145" s="128"/>
      <c r="U145" s="128"/>
      <c r="V145" s="129"/>
      <c r="W145" s="129"/>
      <c r="X145" s="129"/>
      <c r="Y145" s="129"/>
      <c r="Z145" s="129"/>
      <c r="AA145" s="129"/>
      <c r="AB145" s="129"/>
      <c r="AC145" s="129"/>
    </row>
    <row r="146" spans="2:29" x14ac:dyDescent="0.35">
      <c r="B146" s="59"/>
      <c r="C146" s="59"/>
      <c r="E146" s="125"/>
      <c r="I146" s="126"/>
      <c r="M146" s="127"/>
      <c r="N146" s="128"/>
      <c r="O146" s="128"/>
      <c r="P146" s="128"/>
      <c r="Q146" s="128"/>
      <c r="R146" s="128"/>
      <c r="S146" s="128"/>
      <c r="T146" s="128"/>
      <c r="U146" s="128"/>
      <c r="V146" s="129"/>
      <c r="W146" s="129"/>
      <c r="X146" s="129"/>
      <c r="Y146" s="129"/>
      <c r="Z146" s="129"/>
      <c r="AA146" s="129"/>
      <c r="AB146" s="129"/>
      <c r="AC146" s="129"/>
    </row>
    <row r="147" spans="2:29" x14ac:dyDescent="0.35">
      <c r="B147" s="59"/>
      <c r="C147" s="59"/>
      <c r="E147" s="125"/>
      <c r="I147" s="126"/>
      <c r="M147" s="127"/>
      <c r="N147" s="128"/>
      <c r="O147" s="128"/>
      <c r="P147" s="128"/>
      <c r="Q147" s="128"/>
      <c r="R147" s="128"/>
      <c r="S147" s="128"/>
      <c r="T147" s="128"/>
      <c r="U147" s="128"/>
      <c r="V147" s="129"/>
      <c r="W147" s="129"/>
      <c r="X147" s="129"/>
      <c r="Y147" s="129"/>
      <c r="Z147" s="129"/>
      <c r="AA147" s="129"/>
      <c r="AB147" s="129"/>
      <c r="AC147" s="129"/>
    </row>
    <row r="148" spans="2:29" x14ac:dyDescent="0.35">
      <c r="B148" s="59"/>
      <c r="C148" s="59"/>
      <c r="E148" s="125"/>
      <c r="I148" s="126"/>
      <c r="M148" s="127"/>
      <c r="N148" s="128"/>
      <c r="O148" s="128"/>
      <c r="P148" s="128"/>
      <c r="Q148" s="128"/>
      <c r="R148" s="128"/>
      <c r="S148" s="128"/>
      <c r="T148" s="128"/>
      <c r="U148" s="128"/>
      <c r="V148" s="129"/>
      <c r="W148" s="129"/>
      <c r="X148" s="129"/>
      <c r="Y148" s="129"/>
      <c r="Z148" s="129"/>
      <c r="AA148" s="129"/>
      <c r="AB148" s="129"/>
      <c r="AC148" s="129"/>
    </row>
    <row r="149" spans="2:29" x14ac:dyDescent="0.35">
      <c r="B149" s="59"/>
      <c r="C149" s="59"/>
      <c r="E149" s="125"/>
      <c r="I149" s="126"/>
      <c r="M149" s="127"/>
      <c r="N149" s="128"/>
      <c r="O149" s="128"/>
      <c r="P149" s="128"/>
      <c r="Q149" s="128"/>
      <c r="R149" s="128"/>
      <c r="S149" s="128"/>
      <c r="T149" s="128"/>
      <c r="U149" s="128"/>
      <c r="V149" s="129"/>
      <c r="W149" s="129"/>
      <c r="X149" s="129"/>
      <c r="Y149" s="129"/>
      <c r="Z149" s="129"/>
      <c r="AA149" s="129"/>
      <c r="AB149" s="129"/>
      <c r="AC149" s="129"/>
    </row>
    <row r="150" spans="2:29" x14ac:dyDescent="0.35">
      <c r="B150" s="59"/>
      <c r="C150" s="59"/>
      <c r="E150" s="125"/>
      <c r="I150" s="126"/>
      <c r="M150" s="127"/>
      <c r="N150" s="128"/>
      <c r="O150" s="128"/>
      <c r="P150" s="128"/>
      <c r="Q150" s="128"/>
      <c r="R150" s="128"/>
      <c r="S150" s="128"/>
      <c r="T150" s="128"/>
      <c r="U150" s="128"/>
      <c r="V150" s="129"/>
      <c r="W150" s="129"/>
      <c r="X150" s="129"/>
      <c r="Y150" s="129"/>
      <c r="Z150" s="129"/>
      <c r="AA150" s="129"/>
      <c r="AB150" s="129"/>
      <c r="AC150" s="129"/>
    </row>
    <row r="151" spans="2:29" x14ac:dyDescent="0.35">
      <c r="B151" s="59"/>
      <c r="C151" s="59"/>
      <c r="E151" s="125"/>
      <c r="I151" s="126"/>
      <c r="M151" s="127"/>
      <c r="N151" s="128"/>
      <c r="O151" s="128"/>
      <c r="P151" s="128"/>
      <c r="Q151" s="128"/>
      <c r="R151" s="128"/>
      <c r="S151" s="128"/>
      <c r="T151" s="128"/>
      <c r="U151" s="128"/>
      <c r="V151" s="129"/>
      <c r="W151" s="129"/>
      <c r="X151" s="129"/>
      <c r="Y151" s="129"/>
      <c r="Z151" s="129"/>
      <c r="AA151" s="129"/>
      <c r="AB151" s="129"/>
      <c r="AC151" s="129"/>
    </row>
    <row r="152" spans="2:29" x14ac:dyDescent="0.35">
      <c r="B152" s="59"/>
      <c r="C152" s="59"/>
      <c r="E152" s="125"/>
      <c r="I152" s="126"/>
      <c r="M152" s="127"/>
      <c r="N152" s="128"/>
      <c r="O152" s="128"/>
      <c r="P152" s="128"/>
      <c r="Q152" s="128"/>
      <c r="R152" s="128"/>
      <c r="S152" s="128"/>
      <c r="T152" s="128"/>
      <c r="U152" s="128"/>
      <c r="V152" s="129"/>
      <c r="W152" s="129"/>
      <c r="X152" s="129"/>
      <c r="Y152" s="129"/>
      <c r="Z152" s="129"/>
      <c r="AA152" s="129"/>
      <c r="AB152" s="129"/>
      <c r="AC152" s="129"/>
    </row>
    <row r="153" spans="2:29" x14ac:dyDescent="0.35">
      <c r="B153" s="59"/>
      <c r="C153" s="59"/>
      <c r="E153" s="125"/>
      <c r="I153" s="126"/>
      <c r="M153" s="127"/>
      <c r="N153" s="128"/>
      <c r="O153" s="128"/>
      <c r="P153" s="128"/>
      <c r="Q153" s="128"/>
      <c r="R153" s="128"/>
      <c r="S153" s="128"/>
      <c r="T153" s="128"/>
      <c r="U153" s="128"/>
      <c r="V153" s="129"/>
      <c r="W153" s="129"/>
      <c r="X153" s="129"/>
      <c r="Y153" s="129"/>
      <c r="Z153" s="129"/>
      <c r="AA153" s="129"/>
      <c r="AB153" s="129"/>
      <c r="AC153" s="129"/>
    </row>
    <row r="154" spans="2:29" x14ac:dyDescent="0.35">
      <c r="B154" s="59"/>
      <c r="C154" s="59"/>
      <c r="E154" s="125"/>
      <c r="I154" s="126"/>
      <c r="M154" s="127"/>
      <c r="N154" s="128"/>
      <c r="O154" s="128"/>
      <c r="P154" s="128"/>
      <c r="Q154" s="128"/>
      <c r="R154" s="128"/>
      <c r="S154" s="128"/>
      <c r="T154" s="128"/>
      <c r="U154" s="128"/>
      <c r="V154" s="129"/>
      <c r="W154" s="129"/>
      <c r="X154" s="129"/>
      <c r="Y154" s="129"/>
      <c r="Z154" s="129"/>
      <c r="AA154" s="129"/>
      <c r="AB154" s="129"/>
      <c r="AC154" s="129"/>
    </row>
    <row r="155" spans="2:29" x14ac:dyDescent="0.35">
      <c r="B155" s="59"/>
      <c r="C155" s="59"/>
      <c r="E155" s="125"/>
      <c r="I155" s="126"/>
      <c r="M155" s="127"/>
      <c r="N155" s="128"/>
      <c r="O155" s="128"/>
      <c r="P155" s="128"/>
      <c r="Q155" s="128"/>
      <c r="R155" s="128"/>
      <c r="S155" s="128"/>
      <c r="T155" s="128"/>
      <c r="U155" s="128"/>
      <c r="V155" s="129"/>
      <c r="W155" s="129"/>
      <c r="X155" s="129"/>
      <c r="Y155" s="129"/>
      <c r="Z155" s="129"/>
      <c r="AA155" s="129"/>
      <c r="AB155" s="129"/>
      <c r="AC155" s="129"/>
    </row>
    <row r="156" spans="2:29" x14ac:dyDescent="0.35">
      <c r="B156" s="59"/>
      <c r="C156" s="59"/>
      <c r="E156" s="125"/>
      <c r="I156" s="126"/>
      <c r="M156" s="127"/>
      <c r="N156" s="128"/>
      <c r="O156" s="128"/>
      <c r="P156" s="128"/>
      <c r="Q156" s="128"/>
      <c r="R156" s="128"/>
      <c r="S156" s="128"/>
      <c r="T156" s="128"/>
      <c r="U156" s="128"/>
      <c r="V156" s="129"/>
      <c r="W156" s="129"/>
      <c r="X156" s="129"/>
      <c r="Y156" s="129"/>
      <c r="Z156" s="129"/>
      <c r="AA156" s="129"/>
      <c r="AB156" s="129"/>
      <c r="AC156" s="129"/>
    </row>
    <row r="157" spans="2:29" x14ac:dyDescent="0.35">
      <c r="B157" s="59"/>
      <c r="C157" s="59"/>
      <c r="E157" s="125"/>
      <c r="I157" s="126"/>
      <c r="M157" s="127"/>
      <c r="N157" s="128"/>
      <c r="O157" s="128"/>
      <c r="P157" s="128"/>
      <c r="Q157" s="128"/>
      <c r="R157" s="128"/>
      <c r="S157" s="128"/>
      <c r="T157" s="128"/>
      <c r="U157" s="128"/>
      <c r="V157" s="129"/>
      <c r="W157" s="129"/>
      <c r="X157" s="129"/>
      <c r="Y157" s="129"/>
      <c r="Z157" s="129"/>
      <c r="AA157" s="129"/>
      <c r="AB157" s="129"/>
      <c r="AC157" s="129"/>
    </row>
    <row r="158" spans="2:29" x14ac:dyDescent="0.35">
      <c r="B158" s="59"/>
      <c r="C158" s="59"/>
      <c r="E158" s="125"/>
      <c r="I158" s="126"/>
      <c r="M158" s="127"/>
      <c r="N158" s="128"/>
      <c r="O158" s="128"/>
      <c r="P158" s="128"/>
      <c r="Q158" s="128"/>
      <c r="R158" s="128"/>
      <c r="S158" s="128"/>
      <c r="T158" s="128"/>
      <c r="U158" s="128"/>
      <c r="V158" s="129"/>
      <c r="W158" s="129"/>
      <c r="X158" s="129"/>
      <c r="Y158" s="129"/>
      <c r="Z158" s="129"/>
      <c r="AA158" s="129"/>
      <c r="AB158" s="129"/>
      <c r="AC158" s="129"/>
    </row>
    <row r="159" spans="2:29" x14ac:dyDescent="0.35">
      <c r="B159" s="59"/>
      <c r="C159" s="59"/>
      <c r="E159" s="125"/>
      <c r="I159" s="126"/>
      <c r="M159" s="127"/>
      <c r="N159" s="128"/>
      <c r="O159" s="128"/>
      <c r="P159" s="128"/>
      <c r="Q159" s="128"/>
      <c r="R159" s="128"/>
      <c r="S159" s="128"/>
      <c r="T159" s="128"/>
      <c r="U159" s="128"/>
      <c r="V159" s="129"/>
      <c r="W159" s="129"/>
      <c r="X159" s="129"/>
      <c r="Y159" s="129"/>
      <c r="Z159" s="129"/>
      <c r="AA159" s="129"/>
      <c r="AB159" s="129"/>
      <c r="AC159" s="129"/>
    </row>
    <row r="160" spans="2:29" x14ac:dyDescent="0.35">
      <c r="B160" s="59"/>
      <c r="C160" s="59"/>
      <c r="E160" s="125"/>
      <c r="I160" s="126"/>
      <c r="M160" s="127"/>
      <c r="N160" s="128"/>
      <c r="O160" s="128"/>
      <c r="P160" s="128"/>
      <c r="Q160" s="128"/>
      <c r="R160" s="128"/>
      <c r="S160" s="128"/>
      <c r="T160" s="128"/>
      <c r="U160" s="128"/>
      <c r="V160" s="129"/>
      <c r="W160" s="129"/>
      <c r="X160" s="129"/>
      <c r="Y160" s="129"/>
      <c r="Z160" s="129"/>
      <c r="AA160" s="129"/>
      <c r="AB160" s="129"/>
      <c r="AC160" s="129"/>
    </row>
    <row r="161" spans="2:29" x14ac:dyDescent="0.35">
      <c r="B161" s="59"/>
      <c r="C161" s="59"/>
      <c r="E161" s="125"/>
      <c r="I161" s="126"/>
      <c r="M161" s="127"/>
      <c r="N161" s="128"/>
      <c r="O161" s="128"/>
      <c r="P161" s="128"/>
      <c r="Q161" s="128"/>
      <c r="R161" s="128"/>
      <c r="S161" s="128"/>
      <c r="T161" s="128"/>
      <c r="U161" s="128"/>
      <c r="V161" s="129"/>
      <c r="W161" s="129"/>
      <c r="X161" s="129"/>
      <c r="Y161" s="129"/>
      <c r="Z161" s="129"/>
      <c r="AA161" s="129"/>
      <c r="AB161" s="129"/>
      <c r="AC161" s="129"/>
    </row>
    <row r="162" spans="2:29" x14ac:dyDescent="0.35">
      <c r="B162" s="59"/>
      <c r="C162" s="59"/>
      <c r="E162" s="125"/>
      <c r="I162" s="126"/>
      <c r="M162" s="127"/>
      <c r="N162" s="128"/>
      <c r="O162" s="128"/>
      <c r="P162" s="128"/>
      <c r="Q162" s="128"/>
      <c r="R162" s="128"/>
      <c r="S162" s="128"/>
      <c r="T162" s="128"/>
      <c r="U162" s="128"/>
      <c r="V162" s="129"/>
      <c r="W162" s="129"/>
      <c r="X162" s="129"/>
      <c r="Y162" s="129"/>
      <c r="Z162" s="129"/>
      <c r="AA162" s="129"/>
      <c r="AB162" s="129"/>
      <c r="AC162" s="129"/>
    </row>
    <row r="163" spans="2:29" x14ac:dyDescent="0.35">
      <c r="B163" s="59"/>
      <c r="C163" s="59"/>
      <c r="E163" s="125"/>
      <c r="I163" s="126"/>
      <c r="M163" s="127"/>
      <c r="N163" s="128"/>
      <c r="O163" s="128"/>
      <c r="P163" s="128"/>
      <c r="Q163" s="128"/>
      <c r="R163" s="128"/>
      <c r="S163" s="128"/>
      <c r="T163" s="128"/>
      <c r="U163" s="128"/>
      <c r="V163" s="129"/>
      <c r="W163" s="129"/>
      <c r="X163" s="129"/>
      <c r="Y163" s="129"/>
      <c r="Z163" s="129"/>
      <c r="AA163" s="129"/>
      <c r="AB163" s="129"/>
      <c r="AC163" s="129"/>
    </row>
    <row r="164" spans="2:29" x14ac:dyDescent="0.35">
      <c r="B164" s="59"/>
      <c r="C164" s="59"/>
      <c r="E164" s="125"/>
      <c r="I164" s="126"/>
      <c r="M164" s="127"/>
      <c r="N164" s="128"/>
      <c r="O164" s="128"/>
      <c r="P164" s="128"/>
      <c r="Q164" s="128"/>
      <c r="R164" s="128"/>
      <c r="S164" s="128"/>
      <c r="T164" s="128"/>
      <c r="U164" s="128"/>
      <c r="V164" s="129"/>
      <c r="W164" s="129"/>
      <c r="X164" s="129"/>
      <c r="Y164" s="129"/>
      <c r="Z164" s="129"/>
      <c r="AA164" s="129"/>
      <c r="AB164" s="129"/>
      <c r="AC164" s="129"/>
    </row>
    <row r="165" spans="2:29" x14ac:dyDescent="0.35">
      <c r="B165" s="59"/>
      <c r="C165" s="59"/>
      <c r="E165" s="125"/>
      <c r="I165" s="126"/>
      <c r="M165" s="127"/>
      <c r="N165" s="128"/>
      <c r="O165" s="128"/>
      <c r="P165" s="128"/>
      <c r="Q165" s="128"/>
      <c r="R165" s="128"/>
      <c r="S165" s="128"/>
      <c r="T165" s="128"/>
      <c r="U165" s="128"/>
      <c r="V165" s="129"/>
      <c r="W165" s="129"/>
      <c r="X165" s="129"/>
      <c r="Y165" s="129"/>
      <c r="Z165" s="129"/>
      <c r="AA165" s="129"/>
      <c r="AB165" s="129"/>
      <c r="AC165" s="129"/>
    </row>
    <row r="166" spans="2:29" x14ac:dyDescent="0.35">
      <c r="B166" s="59"/>
      <c r="C166" s="59"/>
      <c r="E166" s="125"/>
      <c r="I166" s="126"/>
      <c r="M166" s="127"/>
      <c r="N166" s="128"/>
      <c r="O166" s="128"/>
      <c r="P166" s="128"/>
      <c r="Q166" s="128"/>
      <c r="R166" s="128"/>
      <c r="S166" s="128"/>
      <c r="T166" s="128"/>
      <c r="U166" s="128"/>
      <c r="V166" s="129"/>
      <c r="W166" s="129"/>
      <c r="X166" s="129"/>
      <c r="Y166" s="129"/>
      <c r="Z166" s="129"/>
      <c r="AA166" s="129"/>
      <c r="AB166" s="129"/>
      <c r="AC166" s="129"/>
    </row>
    <row r="167" spans="2:29" x14ac:dyDescent="0.35">
      <c r="B167" s="59"/>
      <c r="C167" s="59"/>
      <c r="E167" s="125"/>
      <c r="I167" s="126"/>
      <c r="M167" s="127"/>
      <c r="N167" s="128"/>
      <c r="O167" s="128"/>
      <c r="P167" s="128"/>
      <c r="Q167" s="128"/>
      <c r="R167" s="128"/>
      <c r="S167" s="128"/>
      <c r="T167" s="128"/>
      <c r="U167" s="128"/>
      <c r="V167" s="129"/>
      <c r="W167" s="129"/>
      <c r="X167" s="129"/>
      <c r="Y167" s="129"/>
      <c r="Z167" s="129"/>
      <c r="AA167" s="129"/>
      <c r="AB167" s="129"/>
      <c r="AC167" s="129"/>
    </row>
    <row r="168" spans="2:29" x14ac:dyDescent="0.35">
      <c r="B168" s="59"/>
      <c r="C168" s="59"/>
      <c r="E168" s="125"/>
      <c r="I168" s="126"/>
      <c r="M168" s="127"/>
      <c r="N168" s="128"/>
      <c r="O168" s="128"/>
      <c r="P168" s="128"/>
      <c r="Q168" s="128"/>
      <c r="R168" s="128"/>
      <c r="S168" s="128"/>
      <c r="T168" s="128"/>
      <c r="U168" s="128"/>
      <c r="V168" s="129"/>
      <c r="W168" s="129"/>
      <c r="X168" s="129"/>
      <c r="Y168" s="129"/>
      <c r="Z168" s="129"/>
      <c r="AA168" s="129"/>
      <c r="AB168" s="129"/>
      <c r="AC168" s="129"/>
    </row>
    <row r="169" spans="2:29" x14ac:dyDescent="0.35">
      <c r="B169" s="59"/>
      <c r="C169" s="59"/>
      <c r="E169" s="125"/>
      <c r="I169" s="126"/>
      <c r="M169" s="127"/>
      <c r="N169" s="128"/>
      <c r="O169" s="128"/>
      <c r="P169" s="128"/>
      <c r="Q169" s="128"/>
      <c r="R169" s="128"/>
      <c r="S169" s="128"/>
      <c r="T169" s="128"/>
      <c r="U169" s="128"/>
      <c r="V169" s="129"/>
      <c r="W169" s="129"/>
      <c r="X169" s="129"/>
      <c r="Y169" s="129"/>
      <c r="Z169" s="129"/>
      <c r="AA169" s="129"/>
      <c r="AB169" s="129"/>
      <c r="AC169" s="129"/>
    </row>
    <row r="170" spans="2:29" x14ac:dyDescent="0.35">
      <c r="B170" s="59"/>
      <c r="C170" s="59"/>
      <c r="E170" s="125"/>
      <c r="I170" s="126"/>
      <c r="M170" s="127"/>
      <c r="N170" s="128"/>
      <c r="O170" s="128"/>
      <c r="P170" s="128"/>
      <c r="Q170" s="128"/>
      <c r="R170" s="128"/>
      <c r="S170" s="128"/>
      <c r="T170" s="128"/>
      <c r="U170" s="128"/>
      <c r="V170" s="129"/>
      <c r="W170" s="129"/>
      <c r="X170" s="129"/>
      <c r="Y170" s="129"/>
      <c r="Z170" s="129"/>
      <c r="AA170" s="129"/>
      <c r="AB170" s="129"/>
      <c r="AC170" s="129"/>
    </row>
    <row r="171" spans="2:29" x14ac:dyDescent="0.35">
      <c r="B171" s="59"/>
      <c r="C171" s="59"/>
      <c r="E171" s="125"/>
      <c r="I171" s="126"/>
      <c r="M171" s="127"/>
      <c r="N171" s="128"/>
      <c r="O171" s="128"/>
      <c r="P171" s="128"/>
      <c r="Q171" s="128"/>
      <c r="R171" s="128"/>
      <c r="S171" s="128"/>
      <c r="T171" s="128"/>
      <c r="U171" s="128"/>
      <c r="V171" s="129"/>
      <c r="W171" s="129"/>
      <c r="X171" s="129"/>
      <c r="Y171" s="129"/>
      <c r="Z171" s="129"/>
      <c r="AA171" s="129"/>
      <c r="AB171" s="129"/>
      <c r="AC171" s="129"/>
    </row>
    <row r="172" spans="2:29" x14ac:dyDescent="0.35">
      <c r="B172" s="59"/>
      <c r="C172" s="59"/>
      <c r="E172" s="125"/>
      <c r="I172" s="126"/>
      <c r="M172" s="127"/>
      <c r="N172" s="128"/>
      <c r="O172" s="128"/>
      <c r="P172" s="128"/>
      <c r="Q172" s="128"/>
      <c r="R172" s="128"/>
      <c r="S172" s="128"/>
      <c r="T172" s="128"/>
      <c r="U172" s="128"/>
      <c r="V172" s="129"/>
      <c r="W172" s="129"/>
      <c r="X172" s="129"/>
      <c r="Y172" s="129"/>
      <c r="Z172" s="129"/>
      <c r="AA172" s="129"/>
      <c r="AB172" s="129"/>
      <c r="AC172" s="129"/>
    </row>
    <row r="173" spans="2:29" x14ac:dyDescent="0.35">
      <c r="B173" s="59"/>
      <c r="C173" s="59"/>
      <c r="E173" s="125"/>
      <c r="I173" s="126"/>
      <c r="M173" s="127"/>
      <c r="N173" s="128"/>
      <c r="O173" s="128"/>
      <c r="P173" s="128"/>
      <c r="Q173" s="128"/>
      <c r="R173" s="128"/>
      <c r="S173" s="128"/>
      <c r="T173" s="128"/>
      <c r="U173" s="128"/>
      <c r="V173" s="129"/>
      <c r="W173" s="129"/>
      <c r="X173" s="129"/>
      <c r="Y173" s="129"/>
      <c r="Z173" s="129"/>
      <c r="AA173" s="129"/>
      <c r="AB173" s="129"/>
      <c r="AC173" s="129"/>
    </row>
    <row r="174" spans="2:29" x14ac:dyDescent="0.35">
      <c r="B174" s="59"/>
      <c r="C174" s="59"/>
      <c r="E174" s="125"/>
      <c r="I174" s="126"/>
      <c r="M174" s="127"/>
      <c r="N174" s="128"/>
      <c r="O174" s="128"/>
      <c r="P174" s="128"/>
      <c r="Q174" s="128"/>
      <c r="R174" s="128"/>
      <c r="S174" s="128"/>
      <c r="T174" s="128"/>
      <c r="U174" s="128"/>
      <c r="V174" s="129"/>
      <c r="W174" s="129"/>
      <c r="X174" s="129"/>
      <c r="Y174" s="129"/>
      <c r="Z174" s="129"/>
      <c r="AA174" s="129"/>
      <c r="AB174" s="129"/>
      <c r="AC174" s="129"/>
    </row>
    <row r="175" spans="2:29" x14ac:dyDescent="0.35">
      <c r="B175" s="59"/>
      <c r="C175" s="59"/>
      <c r="E175" s="125"/>
      <c r="I175" s="126"/>
      <c r="M175" s="127"/>
      <c r="N175" s="128"/>
      <c r="O175" s="128"/>
      <c r="P175" s="128"/>
      <c r="Q175" s="128"/>
      <c r="R175" s="128"/>
      <c r="S175" s="128"/>
      <c r="T175" s="128"/>
      <c r="U175" s="128"/>
      <c r="V175" s="129"/>
      <c r="W175" s="129"/>
      <c r="X175" s="129"/>
      <c r="Y175" s="129"/>
      <c r="Z175" s="129"/>
      <c r="AA175" s="129"/>
      <c r="AB175" s="129"/>
      <c r="AC175" s="129"/>
    </row>
    <row r="176" spans="2:29" x14ac:dyDescent="0.35">
      <c r="B176" s="59"/>
      <c r="C176" s="59"/>
      <c r="E176" s="125"/>
      <c r="I176" s="126"/>
      <c r="M176" s="127"/>
      <c r="N176" s="128"/>
      <c r="O176" s="128"/>
      <c r="P176" s="128"/>
      <c r="Q176" s="128"/>
      <c r="R176" s="128"/>
      <c r="S176" s="128"/>
      <c r="T176" s="128"/>
      <c r="U176" s="128"/>
      <c r="V176" s="129"/>
      <c r="W176" s="129"/>
      <c r="X176" s="129"/>
      <c r="Y176" s="129"/>
      <c r="Z176" s="129"/>
      <c r="AA176" s="129"/>
      <c r="AB176" s="129"/>
      <c r="AC176" s="129"/>
    </row>
    <row r="177" spans="2:29" x14ac:dyDescent="0.35">
      <c r="B177" s="59"/>
      <c r="C177" s="59"/>
      <c r="E177" s="125"/>
      <c r="I177" s="126"/>
      <c r="M177" s="127"/>
      <c r="N177" s="128"/>
      <c r="O177" s="128"/>
      <c r="P177" s="128"/>
      <c r="Q177" s="128"/>
      <c r="R177" s="128"/>
      <c r="S177" s="128"/>
      <c r="T177" s="128"/>
      <c r="U177" s="128"/>
      <c r="V177" s="129"/>
      <c r="W177" s="129"/>
      <c r="X177" s="129"/>
      <c r="Y177" s="129"/>
      <c r="Z177" s="129"/>
      <c r="AA177" s="129"/>
      <c r="AB177" s="129"/>
      <c r="AC177" s="129"/>
    </row>
    <row r="178" spans="2:29" x14ac:dyDescent="0.35">
      <c r="B178" s="59"/>
      <c r="C178" s="59"/>
      <c r="E178" s="125"/>
      <c r="I178" s="126"/>
      <c r="M178" s="127"/>
      <c r="N178" s="128"/>
      <c r="O178" s="128"/>
      <c r="P178" s="128"/>
      <c r="Q178" s="128"/>
      <c r="R178" s="128"/>
      <c r="S178" s="128"/>
      <c r="T178" s="128"/>
      <c r="U178" s="128"/>
      <c r="V178" s="129"/>
      <c r="W178" s="129"/>
      <c r="X178" s="129"/>
      <c r="Y178" s="129"/>
      <c r="Z178" s="129"/>
      <c r="AA178" s="129"/>
      <c r="AB178" s="129"/>
      <c r="AC178" s="129"/>
    </row>
    <row r="179" spans="2:29" x14ac:dyDescent="0.35">
      <c r="B179" s="59"/>
      <c r="C179" s="59"/>
      <c r="E179" s="125"/>
      <c r="I179" s="126"/>
      <c r="M179" s="127"/>
      <c r="N179" s="128"/>
      <c r="O179" s="128"/>
      <c r="P179" s="128"/>
      <c r="Q179" s="128"/>
      <c r="R179" s="128"/>
      <c r="S179" s="128"/>
      <c r="T179" s="128"/>
      <c r="U179" s="128"/>
      <c r="V179" s="129"/>
      <c r="W179" s="129"/>
      <c r="X179" s="129"/>
      <c r="Y179" s="129"/>
      <c r="Z179" s="129"/>
      <c r="AA179" s="129"/>
      <c r="AB179" s="129"/>
      <c r="AC179" s="129"/>
    </row>
    <row r="180" spans="2:29" x14ac:dyDescent="0.35">
      <c r="B180" s="59"/>
      <c r="C180" s="59"/>
      <c r="E180" s="125"/>
      <c r="I180" s="126"/>
      <c r="M180" s="127"/>
      <c r="N180" s="128"/>
      <c r="O180" s="128"/>
      <c r="P180" s="128"/>
      <c r="Q180" s="128"/>
      <c r="R180" s="128"/>
      <c r="S180" s="128"/>
      <c r="T180" s="128"/>
      <c r="U180" s="128"/>
      <c r="V180" s="129"/>
      <c r="W180" s="129"/>
      <c r="X180" s="129"/>
      <c r="Y180" s="129"/>
      <c r="Z180" s="129"/>
      <c r="AA180" s="129"/>
      <c r="AB180" s="129"/>
      <c r="AC180" s="129"/>
    </row>
    <row r="181" spans="2:29" x14ac:dyDescent="0.35">
      <c r="B181" s="59"/>
      <c r="C181" s="59"/>
      <c r="E181" s="125"/>
      <c r="I181" s="126"/>
      <c r="M181" s="127"/>
      <c r="N181" s="128"/>
      <c r="O181" s="128"/>
      <c r="P181" s="128"/>
      <c r="Q181" s="128"/>
      <c r="R181" s="128"/>
      <c r="S181" s="128"/>
      <c r="T181" s="128"/>
      <c r="U181" s="128"/>
      <c r="V181" s="129"/>
      <c r="W181" s="129"/>
      <c r="X181" s="129"/>
      <c r="Y181" s="129"/>
      <c r="Z181" s="129"/>
      <c r="AA181" s="129"/>
      <c r="AB181" s="129"/>
      <c r="AC181" s="129"/>
    </row>
    <row r="182" spans="2:29" x14ac:dyDescent="0.35">
      <c r="B182" s="59"/>
      <c r="C182" s="59"/>
      <c r="E182" s="125"/>
      <c r="I182" s="126"/>
      <c r="M182" s="127"/>
      <c r="N182" s="128"/>
      <c r="O182" s="128"/>
      <c r="P182" s="128"/>
      <c r="Q182" s="128"/>
      <c r="R182" s="128"/>
      <c r="S182" s="128"/>
      <c r="T182" s="128"/>
      <c r="U182" s="128"/>
      <c r="V182" s="129"/>
      <c r="W182" s="129"/>
      <c r="X182" s="129"/>
      <c r="Y182" s="129"/>
      <c r="Z182" s="129"/>
      <c r="AA182" s="129"/>
      <c r="AB182" s="129"/>
      <c r="AC182" s="129"/>
    </row>
    <row r="183" spans="2:29" x14ac:dyDescent="0.35">
      <c r="B183" s="59"/>
      <c r="C183" s="59"/>
      <c r="E183" s="125"/>
      <c r="I183" s="126"/>
      <c r="M183" s="127"/>
      <c r="N183" s="128"/>
      <c r="O183" s="128"/>
      <c r="P183" s="128"/>
      <c r="Q183" s="128"/>
      <c r="R183" s="128"/>
      <c r="S183" s="128"/>
      <c r="T183" s="128"/>
      <c r="U183" s="128"/>
      <c r="V183" s="129"/>
      <c r="W183" s="129"/>
      <c r="X183" s="129"/>
      <c r="Y183" s="129"/>
      <c r="Z183" s="129"/>
      <c r="AA183" s="129"/>
      <c r="AB183" s="129"/>
      <c r="AC183" s="129"/>
    </row>
    <row r="184" spans="2:29" x14ac:dyDescent="0.35">
      <c r="B184" s="59"/>
      <c r="C184" s="59"/>
      <c r="E184" s="125"/>
      <c r="I184" s="126"/>
      <c r="M184" s="127"/>
      <c r="N184" s="128"/>
      <c r="O184" s="128"/>
      <c r="P184" s="128"/>
      <c r="Q184" s="128"/>
      <c r="R184" s="128"/>
      <c r="S184" s="128"/>
      <c r="T184" s="128"/>
      <c r="U184" s="128"/>
      <c r="V184" s="129"/>
      <c r="W184" s="129"/>
      <c r="X184" s="129"/>
      <c r="Y184" s="129"/>
      <c r="Z184" s="129"/>
      <c r="AA184" s="129"/>
      <c r="AB184" s="129"/>
      <c r="AC184" s="129"/>
    </row>
    <row r="185" spans="2:29" x14ac:dyDescent="0.35">
      <c r="B185" s="59"/>
      <c r="C185" s="59"/>
      <c r="E185" s="125"/>
      <c r="I185" s="126"/>
      <c r="M185" s="127"/>
      <c r="N185" s="128"/>
      <c r="O185" s="128"/>
      <c r="P185" s="128"/>
      <c r="Q185" s="128"/>
      <c r="R185" s="128"/>
      <c r="S185" s="128"/>
      <c r="T185" s="128"/>
      <c r="U185" s="128"/>
      <c r="V185" s="129"/>
      <c r="W185" s="129"/>
      <c r="X185" s="129"/>
      <c r="Y185" s="129"/>
      <c r="Z185" s="129"/>
      <c r="AA185" s="129"/>
      <c r="AB185" s="129"/>
      <c r="AC185" s="129"/>
    </row>
    <row r="186" spans="2:29" x14ac:dyDescent="0.35">
      <c r="B186" s="59"/>
      <c r="C186" s="59"/>
      <c r="E186" s="125"/>
      <c r="I186" s="126"/>
      <c r="M186" s="127"/>
      <c r="N186" s="128"/>
      <c r="O186" s="128"/>
      <c r="P186" s="128"/>
      <c r="Q186" s="128"/>
      <c r="R186" s="128"/>
      <c r="S186" s="128"/>
      <c r="T186" s="128"/>
      <c r="U186" s="128"/>
      <c r="V186" s="129"/>
      <c r="W186" s="129"/>
      <c r="X186" s="129"/>
      <c r="Y186" s="129"/>
      <c r="Z186" s="129"/>
      <c r="AA186" s="129"/>
      <c r="AB186" s="129"/>
      <c r="AC186" s="129"/>
    </row>
    <row r="187" spans="2:29" x14ac:dyDescent="0.35">
      <c r="B187" s="59"/>
      <c r="C187" s="59"/>
      <c r="E187" s="125"/>
      <c r="I187" s="126"/>
      <c r="M187" s="127"/>
      <c r="N187" s="128"/>
      <c r="O187" s="128"/>
      <c r="P187" s="128"/>
      <c r="Q187" s="128"/>
      <c r="R187" s="128"/>
      <c r="S187" s="128"/>
      <c r="T187" s="128"/>
      <c r="U187" s="128"/>
      <c r="V187" s="129"/>
      <c r="W187" s="129"/>
      <c r="X187" s="129"/>
      <c r="Y187" s="129"/>
      <c r="Z187" s="129"/>
      <c r="AA187" s="129"/>
      <c r="AB187" s="129"/>
      <c r="AC187" s="129"/>
    </row>
    <row r="188" spans="2:29" x14ac:dyDescent="0.35">
      <c r="B188" s="59"/>
      <c r="C188" s="59"/>
      <c r="E188" s="125"/>
      <c r="I188" s="126"/>
      <c r="M188" s="127"/>
      <c r="N188" s="128"/>
      <c r="O188" s="128"/>
      <c r="P188" s="128"/>
      <c r="Q188" s="128"/>
      <c r="R188" s="128"/>
      <c r="S188" s="128"/>
      <c r="T188" s="128"/>
      <c r="U188" s="128"/>
      <c r="V188" s="129"/>
      <c r="W188" s="129"/>
      <c r="X188" s="129"/>
      <c r="Y188" s="129"/>
      <c r="Z188" s="129"/>
      <c r="AA188" s="129"/>
      <c r="AB188" s="129"/>
      <c r="AC188" s="129"/>
    </row>
    <row r="189" spans="2:29" x14ac:dyDescent="0.35">
      <c r="B189" s="59"/>
      <c r="C189" s="59"/>
      <c r="E189" s="125"/>
      <c r="I189" s="126"/>
      <c r="M189" s="127"/>
      <c r="N189" s="128"/>
      <c r="O189" s="128"/>
      <c r="P189" s="128"/>
      <c r="Q189" s="128"/>
      <c r="R189" s="128"/>
      <c r="S189" s="128"/>
      <c r="T189" s="128"/>
      <c r="U189" s="128"/>
      <c r="V189" s="129"/>
      <c r="W189" s="129"/>
      <c r="X189" s="129"/>
      <c r="Y189" s="129"/>
      <c r="Z189" s="129"/>
      <c r="AA189" s="129"/>
      <c r="AB189" s="129"/>
      <c r="AC189" s="129"/>
    </row>
    <row r="190" spans="2:29" x14ac:dyDescent="0.35">
      <c r="B190" s="59"/>
      <c r="C190" s="59"/>
      <c r="E190" s="125"/>
      <c r="I190" s="126"/>
      <c r="M190" s="127"/>
      <c r="N190" s="128"/>
      <c r="O190" s="128"/>
      <c r="P190" s="128"/>
      <c r="Q190" s="128"/>
      <c r="R190" s="128"/>
      <c r="S190" s="128"/>
      <c r="T190" s="128"/>
      <c r="U190" s="128"/>
      <c r="V190" s="129"/>
      <c r="W190" s="129"/>
      <c r="X190" s="129"/>
      <c r="Y190" s="129"/>
      <c r="Z190" s="129"/>
      <c r="AA190" s="129"/>
      <c r="AB190" s="129"/>
      <c r="AC190" s="129"/>
    </row>
    <row r="191" spans="2:29" x14ac:dyDescent="0.35">
      <c r="B191" s="59"/>
      <c r="C191" s="59"/>
      <c r="E191" s="125"/>
      <c r="I191" s="126"/>
      <c r="M191" s="127"/>
      <c r="N191" s="128"/>
      <c r="O191" s="128"/>
      <c r="P191" s="128"/>
      <c r="Q191" s="128"/>
      <c r="R191" s="128"/>
      <c r="S191" s="128"/>
      <c r="T191" s="128"/>
      <c r="U191" s="128"/>
      <c r="V191" s="129"/>
      <c r="W191" s="129"/>
      <c r="X191" s="129"/>
      <c r="Y191" s="129"/>
      <c r="Z191" s="129"/>
      <c r="AA191" s="129"/>
      <c r="AB191" s="129"/>
      <c r="AC191" s="129"/>
    </row>
    <row r="192" spans="2:29" x14ac:dyDescent="0.35">
      <c r="B192" s="59"/>
      <c r="C192" s="59"/>
      <c r="E192" s="125"/>
      <c r="I192" s="126"/>
      <c r="M192" s="127"/>
      <c r="N192" s="128"/>
      <c r="O192" s="128"/>
      <c r="P192" s="128"/>
      <c r="Q192" s="128"/>
      <c r="R192" s="128"/>
      <c r="S192" s="128"/>
      <c r="T192" s="128"/>
      <c r="U192" s="128"/>
      <c r="V192" s="129"/>
      <c r="W192" s="129"/>
      <c r="X192" s="129"/>
      <c r="Y192" s="129"/>
      <c r="Z192" s="129"/>
      <c r="AA192" s="129"/>
      <c r="AB192" s="129"/>
      <c r="AC192" s="129"/>
    </row>
    <row r="193" spans="2:29" x14ac:dyDescent="0.35">
      <c r="B193" s="59"/>
      <c r="C193" s="59"/>
      <c r="E193" s="125"/>
      <c r="I193" s="126"/>
      <c r="M193" s="127"/>
      <c r="N193" s="128"/>
      <c r="O193" s="128"/>
      <c r="P193" s="128"/>
      <c r="Q193" s="128"/>
      <c r="R193" s="128"/>
      <c r="S193" s="128"/>
      <c r="T193" s="128"/>
      <c r="U193" s="128"/>
      <c r="V193" s="129"/>
      <c r="W193" s="129"/>
      <c r="X193" s="129"/>
      <c r="Y193" s="129"/>
      <c r="Z193" s="129"/>
      <c r="AA193" s="129"/>
      <c r="AB193" s="129"/>
      <c r="AC193" s="129"/>
    </row>
    <row r="194" spans="2:29" x14ac:dyDescent="0.35">
      <c r="B194" s="59"/>
      <c r="C194" s="59"/>
      <c r="E194" s="125"/>
      <c r="I194" s="126"/>
      <c r="M194" s="127"/>
      <c r="N194" s="128"/>
      <c r="O194" s="128"/>
      <c r="P194" s="128"/>
      <c r="Q194" s="128"/>
      <c r="R194" s="128"/>
      <c r="S194" s="128"/>
      <c r="T194" s="128"/>
      <c r="U194" s="128"/>
      <c r="V194" s="129"/>
      <c r="W194" s="129"/>
      <c r="X194" s="129"/>
      <c r="Y194" s="129"/>
      <c r="Z194" s="129"/>
      <c r="AA194" s="129"/>
      <c r="AB194" s="129"/>
      <c r="AC194" s="129"/>
    </row>
    <row r="195" spans="2:29" x14ac:dyDescent="0.35">
      <c r="B195" s="59"/>
      <c r="C195" s="59"/>
      <c r="E195" s="125"/>
      <c r="I195" s="126"/>
      <c r="M195" s="127"/>
      <c r="N195" s="128"/>
      <c r="O195" s="128"/>
      <c r="P195" s="128"/>
      <c r="Q195" s="128"/>
      <c r="R195" s="128"/>
      <c r="S195" s="128"/>
      <c r="T195" s="128"/>
      <c r="U195" s="128"/>
      <c r="V195" s="129"/>
      <c r="W195" s="129"/>
      <c r="X195" s="129"/>
      <c r="Y195" s="129"/>
      <c r="Z195" s="129"/>
      <c r="AA195" s="129"/>
      <c r="AB195" s="129"/>
      <c r="AC195" s="129"/>
    </row>
    <row r="196" spans="2:29" x14ac:dyDescent="0.35">
      <c r="B196" s="59"/>
      <c r="C196" s="59"/>
      <c r="E196" s="125"/>
      <c r="I196" s="126"/>
      <c r="M196" s="127"/>
      <c r="N196" s="128"/>
      <c r="O196" s="128"/>
      <c r="P196" s="128"/>
      <c r="Q196" s="128"/>
      <c r="R196" s="128"/>
      <c r="S196" s="128"/>
      <c r="T196" s="128"/>
      <c r="U196" s="128"/>
      <c r="V196" s="129"/>
      <c r="W196" s="129"/>
      <c r="X196" s="129"/>
      <c r="Y196" s="129"/>
      <c r="Z196" s="129"/>
      <c r="AA196" s="129"/>
      <c r="AB196" s="129"/>
      <c r="AC196" s="129"/>
    </row>
    <row r="197" spans="2:29" x14ac:dyDescent="0.35">
      <c r="B197" s="59"/>
      <c r="C197" s="59"/>
      <c r="E197" s="125"/>
      <c r="I197" s="126"/>
      <c r="M197" s="127"/>
      <c r="N197" s="128"/>
      <c r="O197" s="128"/>
      <c r="P197" s="128"/>
      <c r="Q197" s="128"/>
      <c r="R197" s="128"/>
      <c r="S197" s="128"/>
      <c r="T197" s="128"/>
      <c r="U197" s="128"/>
      <c r="V197" s="129"/>
      <c r="W197" s="129"/>
      <c r="X197" s="129"/>
      <c r="Y197" s="129"/>
      <c r="Z197" s="129"/>
      <c r="AA197" s="129"/>
      <c r="AB197" s="129"/>
      <c r="AC197" s="129"/>
    </row>
    <row r="198" spans="2:29" x14ac:dyDescent="0.35">
      <c r="B198" s="59"/>
      <c r="C198" s="59"/>
      <c r="E198" s="125"/>
      <c r="I198" s="126"/>
      <c r="M198" s="127"/>
      <c r="N198" s="128"/>
      <c r="O198" s="128"/>
      <c r="P198" s="128"/>
      <c r="Q198" s="128"/>
      <c r="R198" s="128"/>
      <c r="S198" s="128"/>
      <c r="T198" s="128"/>
      <c r="U198" s="128"/>
      <c r="V198" s="129"/>
      <c r="W198" s="129"/>
      <c r="X198" s="129"/>
      <c r="Y198" s="129"/>
      <c r="Z198" s="129"/>
      <c r="AA198" s="129"/>
      <c r="AB198" s="129"/>
      <c r="AC198" s="129"/>
    </row>
    <row r="199" spans="2:29" x14ac:dyDescent="0.35">
      <c r="B199" s="59"/>
      <c r="C199" s="59"/>
      <c r="E199" s="125"/>
      <c r="I199" s="126"/>
      <c r="M199" s="127"/>
      <c r="N199" s="128"/>
      <c r="O199" s="128"/>
      <c r="P199" s="128"/>
      <c r="Q199" s="128"/>
      <c r="R199" s="128"/>
      <c r="S199" s="128"/>
      <c r="T199" s="128"/>
      <c r="U199" s="128"/>
      <c r="V199" s="129"/>
      <c r="W199" s="129"/>
      <c r="X199" s="129"/>
      <c r="Y199" s="129"/>
      <c r="Z199" s="129"/>
      <c r="AA199" s="129"/>
      <c r="AB199" s="129"/>
      <c r="AC199" s="129"/>
    </row>
    <row r="200" spans="2:29" x14ac:dyDescent="0.35">
      <c r="B200" s="59"/>
      <c r="C200" s="59"/>
      <c r="E200" s="125"/>
      <c r="I200" s="126"/>
      <c r="M200" s="127"/>
      <c r="N200" s="128"/>
      <c r="O200" s="128"/>
      <c r="P200" s="128"/>
      <c r="Q200" s="128"/>
      <c r="R200" s="128"/>
      <c r="S200" s="128"/>
      <c r="T200" s="128"/>
      <c r="U200" s="128"/>
      <c r="V200" s="129"/>
      <c r="W200" s="129"/>
      <c r="X200" s="129"/>
      <c r="Y200" s="129"/>
      <c r="Z200" s="129"/>
      <c r="AA200" s="129"/>
      <c r="AB200" s="129"/>
      <c r="AC200" s="129"/>
    </row>
    <row r="201" spans="2:29" x14ac:dyDescent="0.35">
      <c r="B201" s="59"/>
      <c r="C201" s="59"/>
      <c r="E201" s="125"/>
      <c r="I201" s="126"/>
      <c r="M201" s="127"/>
      <c r="N201" s="128"/>
      <c r="O201" s="128"/>
      <c r="P201" s="128"/>
      <c r="Q201" s="128"/>
      <c r="R201" s="128"/>
      <c r="S201" s="128"/>
      <c r="T201" s="128"/>
      <c r="U201" s="128"/>
      <c r="V201" s="129"/>
      <c r="W201" s="129"/>
      <c r="X201" s="129"/>
      <c r="Y201" s="129"/>
      <c r="Z201" s="129"/>
      <c r="AA201" s="129"/>
      <c r="AB201" s="129"/>
      <c r="AC201" s="129"/>
    </row>
    <row r="202" spans="2:29" x14ac:dyDescent="0.35">
      <c r="B202" s="59"/>
      <c r="C202" s="59"/>
      <c r="E202" s="125"/>
      <c r="I202" s="126"/>
      <c r="M202" s="127"/>
      <c r="N202" s="128"/>
      <c r="O202" s="128"/>
      <c r="P202" s="128"/>
      <c r="Q202" s="128"/>
      <c r="R202" s="128"/>
      <c r="S202" s="128"/>
      <c r="T202" s="128"/>
      <c r="U202" s="128"/>
      <c r="V202" s="129"/>
      <c r="W202" s="129"/>
      <c r="X202" s="129"/>
      <c r="Y202" s="129"/>
      <c r="Z202" s="129"/>
      <c r="AA202" s="129"/>
      <c r="AB202" s="129"/>
      <c r="AC202" s="129"/>
    </row>
    <row r="203" spans="2:29" x14ac:dyDescent="0.35">
      <c r="B203" s="59"/>
      <c r="C203" s="59"/>
      <c r="E203" s="125"/>
      <c r="I203" s="126"/>
      <c r="M203" s="127"/>
      <c r="N203" s="128"/>
      <c r="O203" s="128"/>
      <c r="P203" s="128"/>
      <c r="Q203" s="128"/>
      <c r="R203" s="128"/>
      <c r="S203" s="128"/>
      <c r="T203" s="128"/>
      <c r="U203" s="128"/>
      <c r="V203" s="129"/>
      <c r="W203" s="129"/>
      <c r="X203" s="129"/>
      <c r="Y203" s="129"/>
      <c r="Z203" s="129"/>
      <c r="AA203" s="129"/>
      <c r="AB203" s="129"/>
      <c r="AC203" s="129"/>
    </row>
    <row r="204" spans="2:29" x14ac:dyDescent="0.35">
      <c r="B204" s="59"/>
      <c r="C204" s="59"/>
      <c r="E204" s="125"/>
      <c r="I204" s="126"/>
      <c r="M204" s="127"/>
      <c r="N204" s="128"/>
      <c r="O204" s="128"/>
      <c r="P204" s="128"/>
      <c r="Q204" s="128"/>
      <c r="R204" s="128"/>
      <c r="S204" s="128"/>
      <c r="T204" s="128"/>
      <c r="U204" s="128"/>
      <c r="V204" s="129"/>
      <c r="W204" s="129"/>
      <c r="X204" s="129"/>
      <c r="Y204" s="129"/>
      <c r="Z204" s="129"/>
      <c r="AA204" s="129"/>
      <c r="AB204" s="129"/>
      <c r="AC204" s="129"/>
    </row>
    <row r="205" spans="2:29" x14ac:dyDescent="0.35">
      <c r="B205" s="59"/>
      <c r="C205" s="59"/>
      <c r="E205" s="125"/>
      <c r="I205" s="126"/>
      <c r="M205" s="127"/>
      <c r="N205" s="128"/>
      <c r="O205" s="128"/>
      <c r="P205" s="128"/>
      <c r="Q205" s="128"/>
      <c r="R205" s="128"/>
      <c r="S205" s="128"/>
      <c r="T205" s="128"/>
      <c r="U205" s="128"/>
      <c r="V205" s="129"/>
      <c r="W205" s="129"/>
      <c r="X205" s="129"/>
      <c r="Y205" s="129"/>
      <c r="Z205" s="129"/>
      <c r="AA205" s="129"/>
      <c r="AB205" s="129"/>
      <c r="AC205" s="129"/>
    </row>
    <row r="206" spans="2:29" x14ac:dyDescent="0.35">
      <c r="B206" s="59"/>
      <c r="C206" s="59"/>
      <c r="E206" s="125"/>
      <c r="I206" s="126"/>
      <c r="M206" s="127"/>
      <c r="N206" s="128"/>
      <c r="O206" s="128"/>
      <c r="P206" s="128"/>
      <c r="Q206" s="128"/>
      <c r="R206" s="128"/>
      <c r="S206" s="128"/>
      <c r="T206" s="128"/>
      <c r="U206" s="128"/>
      <c r="V206" s="129"/>
      <c r="W206" s="129"/>
      <c r="X206" s="129"/>
      <c r="Y206" s="129"/>
      <c r="Z206" s="129"/>
      <c r="AA206" s="129"/>
      <c r="AB206" s="129"/>
      <c r="AC206" s="129"/>
    </row>
    <row r="207" spans="2:29" x14ac:dyDescent="0.35">
      <c r="B207" s="59"/>
      <c r="C207" s="59"/>
      <c r="E207" s="125"/>
      <c r="I207" s="126"/>
      <c r="M207" s="127"/>
      <c r="N207" s="128"/>
      <c r="O207" s="128"/>
      <c r="P207" s="128"/>
      <c r="Q207" s="128"/>
      <c r="R207" s="128"/>
      <c r="S207" s="128"/>
      <c r="T207" s="128"/>
      <c r="U207" s="128"/>
      <c r="V207" s="129"/>
      <c r="W207" s="129"/>
      <c r="X207" s="129"/>
      <c r="Y207" s="129"/>
      <c r="Z207" s="129"/>
      <c r="AA207" s="129"/>
      <c r="AB207" s="129"/>
      <c r="AC207" s="129"/>
    </row>
    <row r="208" spans="2:29" x14ac:dyDescent="0.35">
      <c r="B208" s="59"/>
      <c r="C208" s="59"/>
      <c r="E208" s="125"/>
      <c r="I208" s="126"/>
      <c r="M208" s="127"/>
      <c r="N208" s="128"/>
      <c r="O208" s="128"/>
      <c r="P208" s="128"/>
      <c r="Q208" s="128"/>
      <c r="R208" s="128"/>
      <c r="S208" s="128"/>
      <c r="T208" s="128"/>
      <c r="U208" s="128"/>
      <c r="V208" s="129"/>
      <c r="W208" s="129"/>
      <c r="X208" s="129"/>
      <c r="Y208" s="129"/>
      <c r="Z208" s="129"/>
      <c r="AA208" s="129"/>
      <c r="AB208" s="129"/>
      <c r="AC208" s="129"/>
    </row>
    <row r="209" spans="2:29" x14ac:dyDescent="0.35">
      <c r="B209" s="59"/>
      <c r="C209" s="59"/>
      <c r="E209" s="125"/>
      <c r="I209" s="126"/>
      <c r="M209" s="127"/>
      <c r="N209" s="128"/>
      <c r="O209" s="128"/>
      <c r="P209" s="128"/>
      <c r="Q209" s="128"/>
      <c r="R209" s="128"/>
      <c r="S209" s="128"/>
      <c r="T209" s="128"/>
      <c r="U209" s="128"/>
      <c r="V209" s="129"/>
      <c r="W209" s="129"/>
      <c r="X209" s="129"/>
      <c r="Y209" s="129"/>
      <c r="Z209" s="129"/>
      <c r="AA209" s="129"/>
      <c r="AB209" s="129"/>
      <c r="AC209" s="129"/>
    </row>
    <row r="210" spans="2:29" x14ac:dyDescent="0.35">
      <c r="B210" s="59"/>
      <c r="C210" s="59"/>
      <c r="E210" s="125"/>
      <c r="I210" s="126"/>
      <c r="M210" s="127"/>
      <c r="N210" s="128"/>
      <c r="O210" s="128"/>
      <c r="P210" s="128"/>
      <c r="Q210" s="128"/>
      <c r="R210" s="128"/>
      <c r="S210" s="128"/>
      <c r="T210" s="128"/>
      <c r="U210" s="128"/>
      <c r="V210" s="129"/>
      <c r="W210" s="129"/>
      <c r="X210" s="129"/>
      <c r="Y210" s="129"/>
      <c r="Z210" s="129"/>
      <c r="AA210" s="129"/>
      <c r="AB210" s="129"/>
      <c r="AC210" s="129"/>
    </row>
    <row r="211" spans="2:29" x14ac:dyDescent="0.35">
      <c r="B211" s="59"/>
      <c r="C211" s="59"/>
      <c r="E211" s="125"/>
      <c r="I211" s="126"/>
      <c r="M211" s="127"/>
      <c r="N211" s="128"/>
      <c r="O211" s="128"/>
      <c r="P211" s="128"/>
      <c r="Q211" s="128"/>
      <c r="R211" s="128"/>
      <c r="S211" s="128"/>
      <c r="T211" s="128"/>
      <c r="U211" s="128"/>
      <c r="V211" s="129"/>
      <c r="W211" s="129"/>
      <c r="X211" s="129"/>
      <c r="Y211" s="129"/>
      <c r="Z211" s="129"/>
      <c r="AA211" s="129"/>
      <c r="AB211" s="129"/>
      <c r="AC211" s="129"/>
    </row>
    <row r="212" spans="2:29" x14ac:dyDescent="0.35">
      <c r="B212" s="59"/>
      <c r="C212" s="59"/>
      <c r="E212" s="125"/>
      <c r="I212" s="126"/>
      <c r="M212" s="127"/>
      <c r="N212" s="128"/>
      <c r="O212" s="128"/>
      <c r="P212" s="128"/>
      <c r="Q212" s="128"/>
      <c r="R212" s="128"/>
      <c r="S212" s="128"/>
      <c r="T212" s="128"/>
      <c r="U212" s="128"/>
      <c r="V212" s="129"/>
      <c r="W212" s="129"/>
      <c r="X212" s="129"/>
      <c r="Y212" s="129"/>
      <c r="Z212" s="129"/>
      <c r="AA212" s="129"/>
      <c r="AB212" s="129"/>
      <c r="AC212" s="129"/>
    </row>
    <row r="213" spans="2:29" x14ac:dyDescent="0.35">
      <c r="B213" s="59"/>
      <c r="C213" s="59"/>
      <c r="E213" s="125"/>
      <c r="I213" s="126"/>
      <c r="M213" s="127"/>
      <c r="N213" s="128"/>
      <c r="O213" s="128"/>
      <c r="P213" s="128"/>
      <c r="Q213" s="128"/>
      <c r="R213" s="128"/>
      <c r="S213" s="128"/>
      <c r="T213" s="128"/>
      <c r="U213" s="128"/>
      <c r="V213" s="129"/>
      <c r="W213" s="129"/>
      <c r="X213" s="129"/>
      <c r="Y213" s="129"/>
      <c r="Z213" s="129"/>
      <c r="AA213" s="129"/>
      <c r="AB213" s="129"/>
      <c r="AC213" s="129"/>
    </row>
    <row r="214" spans="2:29" x14ac:dyDescent="0.35">
      <c r="B214" s="59"/>
      <c r="C214" s="59"/>
      <c r="E214" s="125"/>
      <c r="I214" s="126"/>
      <c r="M214" s="127"/>
      <c r="N214" s="128"/>
      <c r="O214" s="128"/>
      <c r="P214" s="128"/>
      <c r="Q214" s="128"/>
      <c r="R214" s="128"/>
      <c r="S214" s="128"/>
      <c r="T214" s="128"/>
      <c r="U214" s="128"/>
      <c r="V214" s="129"/>
      <c r="W214" s="129"/>
      <c r="X214" s="129"/>
      <c r="Y214" s="129"/>
      <c r="Z214" s="129"/>
      <c r="AA214" s="129"/>
      <c r="AB214" s="129"/>
      <c r="AC214" s="129"/>
    </row>
    <row r="215" spans="2:29" x14ac:dyDescent="0.35">
      <c r="B215" s="59"/>
      <c r="C215" s="59"/>
      <c r="E215" s="125"/>
      <c r="I215" s="126"/>
      <c r="M215" s="127"/>
      <c r="N215" s="128"/>
      <c r="O215" s="128"/>
      <c r="P215" s="128"/>
      <c r="Q215" s="128"/>
      <c r="R215" s="128"/>
      <c r="S215" s="128"/>
      <c r="T215" s="128"/>
      <c r="U215" s="128"/>
      <c r="V215" s="129"/>
      <c r="W215" s="129"/>
      <c r="X215" s="129"/>
      <c r="Y215" s="129"/>
      <c r="Z215" s="129"/>
      <c r="AA215" s="129"/>
      <c r="AB215" s="129"/>
      <c r="AC215" s="129"/>
    </row>
    <row r="216" spans="2:29" x14ac:dyDescent="0.35">
      <c r="B216" s="59"/>
      <c r="C216" s="59"/>
      <c r="E216" s="125"/>
      <c r="I216" s="126"/>
      <c r="M216" s="127"/>
      <c r="N216" s="128"/>
      <c r="O216" s="128"/>
      <c r="P216" s="128"/>
      <c r="Q216" s="128"/>
      <c r="R216" s="128"/>
      <c r="S216" s="128"/>
      <c r="T216" s="128"/>
      <c r="U216" s="128"/>
      <c r="V216" s="129"/>
      <c r="W216" s="129"/>
      <c r="X216" s="129"/>
      <c r="Y216" s="129"/>
      <c r="Z216" s="129"/>
      <c r="AA216" s="129"/>
      <c r="AB216" s="129"/>
      <c r="AC216" s="129"/>
    </row>
    <row r="217" spans="2:29" x14ac:dyDescent="0.35">
      <c r="B217" s="59"/>
      <c r="C217" s="59"/>
      <c r="E217" s="125"/>
      <c r="I217" s="126"/>
      <c r="M217" s="127"/>
      <c r="N217" s="128"/>
      <c r="O217" s="128"/>
      <c r="P217" s="128"/>
      <c r="Q217" s="128"/>
      <c r="R217" s="128"/>
      <c r="S217" s="128"/>
      <c r="T217" s="128"/>
      <c r="U217" s="128"/>
      <c r="V217" s="129"/>
      <c r="W217" s="129"/>
      <c r="X217" s="129"/>
      <c r="Y217" s="129"/>
      <c r="Z217" s="129"/>
      <c r="AA217" s="129"/>
      <c r="AB217" s="129"/>
      <c r="AC217" s="129"/>
    </row>
    <row r="218" spans="2:29" x14ac:dyDescent="0.35">
      <c r="B218" s="59"/>
      <c r="C218" s="59"/>
      <c r="E218" s="125"/>
      <c r="I218" s="126"/>
      <c r="M218" s="127"/>
      <c r="N218" s="128"/>
      <c r="O218" s="128"/>
      <c r="P218" s="128"/>
      <c r="Q218" s="128"/>
      <c r="R218" s="128"/>
      <c r="S218" s="128"/>
      <c r="T218" s="128"/>
      <c r="U218" s="128"/>
      <c r="V218" s="129"/>
      <c r="W218" s="129"/>
      <c r="X218" s="129"/>
      <c r="Y218" s="129"/>
      <c r="Z218" s="129"/>
      <c r="AA218" s="129"/>
      <c r="AB218" s="129"/>
      <c r="AC218" s="129"/>
    </row>
    <row r="219" spans="2:29" x14ac:dyDescent="0.35">
      <c r="B219" s="59"/>
      <c r="C219" s="59"/>
      <c r="E219" s="125"/>
      <c r="I219" s="126"/>
      <c r="M219" s="127"/>
      <c r="N219" s="128"/>
      <c r="O219" s="128"/>
      <c r="P219" s="128"/>
      <c r="Q219" s="128"/>
      <c r="R219" s="128"/>
      <c r="S219" s="128"/>
      <c r="T219" s="128"/>
      <c r="U219" s="128"/>
      <c r="V219" s="129"/>
      <c r="W219" s="129"/>
      <c r="X219" s="129"/>
      <c r="Y219" s="129"/>
      <c r="Z219" s="129"/>
      <c r="AA219" s="129"/>
      <c r="AB219" s="129"/>
      <c r="AC219" s="129"/>
    </row>
    <row r="220" spans="2:29" x14ac:dyDescent="0.35">
      <c r="B220" s="59"/>
      <c r="C220" s="59"/>
      <c r="E220" s="125"/>
      <c r="I220" s="126"/>
      <c r="M220" s="127"/>
      <c r="N220" s="128"/>
      <c r="O220" s="128"/>
      <c r="P220" s="128"/>
      <c r="Q220" s="128"/>
      <c r="R220" s="128"/>
      <c r="S220" s="128"/>
      <c r="T220" s="128"/>
      <c r="U220" s="128"/>
      <c r="V220" s="129"/>
      <c r="W220" s="129"/>
      <c r="X220" s="129"/>
      <c r="Y220" s="129"/>
      <c r="Z220" s="129"/>
      <c r="AA220" s="129"/>
      <c r="AB220" s="129"/>
      <c r="AC220" s="129"/>
    </row>
    <row r="221" spans="2:29" x14ac:dyDescent="0.35">
      <c r="B221" s="59"/>
      <c r="C221" s="59"/>
      <c r="E221" s="125"/>
      <c r="I221" s="126"/>
      <c r="M221" s="127"/>
      <c r="N221" s="128"/>
      <c r="O221" s="128"/>
      <c r="P221" s="128"/>
      <c r="Q221" s="128"/>
      <c r="R221" s="128"/>
      <c r="S221" s="128"/>
      <c r="T221" s="128"/>
      <c r="U221" s="128"/>
      <c r="V221" s="129"/>
      <c r="W221" s="129"/>
      <c r="X221" s="129"/>
      <c r="Y221" s="129"/>
      <c r="Z221" s="129"/>
      <c r="AA221" s="129"/>
      <c r="AB221" s="129"/>
      <c r="AC221" s="129"/>
    </row>
    <row r="222" spans="2:29" x14ac:dyDescent="0.35">
      <c r="B222" s="59"/>
      <c r="C222" s="59"/>
      <c r="E222" s="125"/>
      <c r="I222" s="126"/>
      <c r="M222" s="127"/>
      <c r="N222" s="128"/>
      <c r="O222" s="128"/>
      <c r="P222" s="128"/>
      <c r="Q222" s="128"/>
      <c r="R222" s="128"/>
      <c r="S222" s="128"/>
      <c r="T222" s="128"/>
      <c r="U222" s="128"/>
      <c r="V222" s="129"/>
      <c r="W222" s="129"/>
      <c r="X222" s="129"/>
      <c r="Y222" s="129"/>
      <c r="Z222" s="129"/>
      <c r="AA222" s="129"/>
      <c r="AB222" s="129"/>
      <c r="AC222" s="129"/>
    </row>
    <row r="223" spans="2:29" x14ac:dyDescent="0.35">
      <c r="B223" s="59"/>
      <c r="C223" s="59"/>
      <c r="E223" s="125"/>
      <c r="I223" s="126"/>
      <c r="M223" s="127"/>
      <c r="N223" s="128"/>
      <c r="O223" s="128"/>
      <c r="P223" s="128"/>
      <c r="Q223" s="128"/>
      <c r="R223" s="128"/>
      <c r="S223" s="128"/>
      <c r="T223" s="128"/>
      <c r="U223" s="128"/>
      <c r="V223" s="129"/>
      <c r="W223" s="129"/>
      <c r="X223" s="129"/>
      <c r="Y223" s="129"/>
      <c r="Z223" s="129"/>
      <c r="AA223" s="129"/>
      <c r="AB223" s="129"/>
      <c r="AC223" s="129"/>
    </row>
    <row r="224" spans="2:29" x14ac:dyDescent="0.35">
      <c r="B224" s="59"/>
      <c r="C224" s="59"/>
      <c r="E224" s="125"/>
      <c r="I224" s="126"/>
      <c r="M224" s="127"/>
      <c r="N224" s="128"/>
      <c r="O224" s="128"/>
      <c r="P224" s="128"/>
      <c r="Q224" s="128"/>
      <c r="R224" s="128"/>
      <c r="S224" s="128"/>
      <c r="T224" s="128"/>
      <c r="U224" s="128"/>
      <c r="V224" s="129"/>
      <c r="W224" s="129"/>
      <c r="X224" s="129"/>
      <c r="Y224" s="129"/>
      <c r="Z224" s="129"/>
      <c r="AA224" s="129"/>
      <c r="AB224" s="129"/>
      <c r="AC224" s="129"/>
    </row>
    <row r="225" spans="2:29" x14ac:dyDescent="0.35">
      <c r="B225" s="59"/>
      <c r="C225" s="59"/>
      <c r="E225" s="125"/>
      <c r="I225" s="126"/>
      <c r="M225" s="127"/>
      <c r="N225" s="128"/>
      <c r="O225" s="128"/>
      <c r="P225" s="128"/>
      <c r="Q225" s="128"/>
      <c r="R225" s="128"/>
      <c r="S225" s="128"/>
      <c r="T225" s="128"/>
      <c r="U225" s="128"/>
      <c r="V225" s="129"/>
      <c r="W225" s="129"/>
      <c r="X225" s="129"/>
      <c r="Y225" s="129"/>
      <c r="Z225" s="129"/>
      <c r="AA225" s="129"/>
      <c r="AB225" s="129"/>
      <c r="AC225" s="129"/>
    </row>
    <row r="226" spans="2:29" x14ac:dyDescent="0.35">
      <c r="B226" s="59"/>
      <c r="C226" s="59"/>
      <c r="E226" s="125"/>
      <c r="I226" s="126"/>
      <c r="M226" s="127"/>
      <c r="N226" s="128"/>
      <c r="O226" s="128"/>
      <c r="P226" s="128"/>
      <c r="Q226" s="128"/>
      <c r="R226" s="128"/>
      <c r="S226" s="128"/>
      <c r="T226" s="128"/>
      <c r="U226" s="128"/>
      <c r="V226" s="129"/>
      <c r="W226" s="129"/>
      <c r="X226" s="129"/>
      <c r="Y226" s="129"/>
      <c r="Z226" s="129"/>
      <c r="AA226" s="129"/>
      <c r="AB226" s="129"/>
      <c r="AC226" s="129"/>
    </row>
    <row r="227" spans="2:29" x14ac:dyDescent="0.35">
      <c r="B227" s="59"/>
      <c r="C227" s="59"/>
      <c r="E227" s="125"/>
      <c r="I227" s="126"/>
      <c r="M227" s="127"/>
      <c r="N227" s="128"/>
      <c r="O227" s="128"/>
      <c r="P227" s="128"/>
      <c r="Q227" s="128"/>
      <c r="R227" s="128"/>
      <c r="S227" s="128"/>
      <c r="T227" s="128"/>
      <c r="U227" s="128"/>
      <c r="V227" s="129"/>
      <c r="W227" s="129"/>
      <c r="X227" s="129"/>
      <c r="Y227" s="129"/>
      <c r="Z227" s="129"/>
      <c r="AA227" s="129"/>
      <c r="AB227" s="129"/>
      <c r="AC227" s="129"/>
    </row>
    <row r="228" spans="2:29" x14ac:dyDescent="0.35">
      <c r="B228" s="59"/>
      <c r="C228" s="59"/>
      <c r="E228" s="125"/>
      <c r="I228" s="126"/>
      <c r="M228" s="127"/>
      <c r="N228" s="128"/>
      <c r="O228" s="128"/>
      <c r="P228" s="128"/>
      <c r="Q228" s="128"/>
      <c r="R228" s="128"/>
      <c r="S228" s="128"/>
      <c r="T228" s="128"/>
      <c r="U228" s="128"/>
      <c r="V228" s="129"/>
      <c r="W228" s="129"/>
      <c r="X228" s="129"/>
      <c r="Y228" s="129"/>
      <c r="Z228" s="129"/>
      <c r="AA228" s="129"/>
      <c r="AB228" s="129"/>
      <c r="AC228" s="129"/>
    </row>
    <row r="229" spans="2:29" x14ac:dyDescent="0.35">
      <c r="B229" s="59"/>
      <c r="C229" s="59"/>
      <c r="E229" s="125"/>
      <c r="I229" s="126"/>
      <c r="M229" s="127"/>
      <c r="N229" s="128"/>
      <c r="O229" s="128"/>
      <c r="P229" s="128"/>
      <c r="Q229" s="128"/>
      <c r="R229" s="128"/>
      <c r="S229" s="128"/>
      <c r="T229" s="128"/>
      <c r="U229" s="128"/>
      <c r="V229" s="129"/>
      <c r="W229" s="129"/>
      <c r="X229" s="129"/>
      <c r="Y229" s="129"/>
      <c r="Z229" s="129"/>
      <c r="AA229" s="129"/>
      <c r="AB229" s="129"/>
      <c r="AC229" s="129"/>
    </row>
    <row r="230" spans="2:29" x14ac:dyDescent="0.35">
      <c r="B230" s="59"/>
      <c r="C230" s="59"/>
      <c r="E230" s="125"/>
      <c r="I230" s="126"/>
      <c r="M230" s="127"/>
      <c r="N230" s="128"/>
      <c r="O230" s="128"/>
      <c r="P230" s="128"/>
      <c r="Q230" s="128"/>
      <c r="R230" s="128"/>
      <c r="S230" s="128"/>
      <c r="T230" s="128"/>
      <c r="U230" s="128"/>
      <c r="V230" s="129"/>
      <c r="W230" s="129"/>
      <c r="X230" s="129"/>
      <c r="Y230" s="129"/>
      <c r="Z230" s="129"/>
      <c r="AA230" s="129"/>
      <c r="AB230" s="129"/>
      <c r="AC230" s="129"/>
    </row>
    <row r="231" spans="2:29" x14ac:dyDescent="0.35">
      <c r="B231" s="59"/>
      <c r="C231" s="59"/>
      <c r="E231" s="125"/>
      <c r="I231" s="126"/>
      <c r="M231" s="127"/>
      <c r="N231" s="128"/>
      <c r="O231" s="128"/>
      <c r="P231" s="128"/>
      <c r="Q231" s="128"/>
      <c r="R231" s="128"/>
      <c r="S231" s="128"/>
      <c r="T231" s="128"/>
      <c r="U231" s="128"/>
      <c r="V231" s="129"/>
      <c r="W231" s="129"/>
      <c r="X231" s="129"/>
      <c r="Y231" s="129"/>
      <c r="Z231" s="129"/>
      <c r="AA231" s="129"/>
      <c r="AB231" s="129"/>
      <c r="AC231" s="129"/>
    </row>
    <row r="232" spans="2:29" x14ac:dyDescent="0.35">
      <c r="B232" s="59"/>
      <c r="C232" s="59"/>
      <c r="E232" s="125"/>
      <c r="I232" s="126"/>
      <c r="M232" s="127"/>
      <c r="N232" s="128"/>
      <c r="O232" s="128"/>
      <c r="P232" s="128"/>
      <c r="Q232" s="128"/>
      <c r="R232" s="128"/>
      <c r="S232" s="128"/>
      <c r="T232" s="128"/>
      <c r="U232" s="128"/>
      <c r="V232" s="129"/>
      <c r="W232" s="129"/>
      <c r="X232" s="129"/>
      <c r="Y232" s="129"/>
      <c r="Z232" s="129"/>
      <c r="AA232" s="129"/>
      <c r="AB232" s="129"/>
      <c r="AC232" s="129"/>
    </row>
    <row r="233" spans="2:29" x14ac:dyDescent="0.35">
      <c r="B233" s="59"/>
      <c r="C233" s="59"/>
      <c r="E233" s="125"/>
      <c r="I233" s="126"/>
      <c r="M233" s="127"/>
      <c r="N233" s="128"/>
      <c r="O233" s="128"/>
      <c r="P233" s="128"/>
      <c r="Q233" s="128"/>
      <c r="R233" s="128"/>
      <c r="S233" s="128"/>
      <c r="T233" s="128"/>
      <c r="U233" s="128"/>
      <c r="V233" s="129"/>
      <c r="W233" s="129"/>
      <c r="X233" s="129"/>
      <c r="Y233" s="129"/>
      <c r="Z233" s="129"/>
      <c r="AA233" s="129"/>
      <c r="AB233" s="129"/>
      <c r="AC233" s="129"/>
    </row>
    <row r="234" spans="2:29" x14ac:dyDescent="0.35">
      <c r="B234" s="59"/>
      <c r="C234" s="59"/>
      <c r="E234" s="125"/>
      <c r="I234" s="126"/>
      <c r="M234" s="127"/>
      <c r="N234" s="128"/>
      <c r="O234" s="128"/>
      <c r="P234" s="128"/>
      <c r="Q234" s="128"/>
      <c r="R234" s="128"/>
      <c r="S234" s="128"/>
      <c r="T234" s="128"/>
      <c r="U234" s="128"/>
      <c r="V234" s="129"/>
      <c r="W234" s="129"/>
      <c r="X234" s="129"/>
      <c r="Y234" s="129"/>
      <c r="Z234" s="129"/>
      <c r="AA234" s="129"/>
      <c r="AB234" s="129"/>
      <c r="AC234" s="129"/>
    </row>
    <row r="235" spans="2:29" x14ac:dyDescent="0.35">
      <c r="B235" s="59"/>
      <c r="C235" s="59"/>
      <c r="E235" s="125"/>
      <c r="I235" s="126"/>
      <c r="M235" s="127"/>
      <c r="N235" s="128"/>
      <c r="O235" s="128"/>
      <c r="P235" s="128"/>
      <c r="Q235" s="128"/>
      <c r="R235" s="128"/>
      <c r="S235" s="128"/>
      <c r="T235" s="128"/>
      <c r="U235" s="128"/>
      <c r="V235" s="129"/>
      <c r="W235" s="129"/>
      <c r="X235" s="129"/>
      <c r="Y235" s="129"/>
      <c r="Z235" s="129"/>
      <c r="AA235" s="129"/>
      <c r="AB235" s="129"/>
      <c r="AC235" s="129"/>
    </row>
    <row r="236" spans="2:29" x14ac:dyDescent="0.35">
      <c r="B236" s="59"/>
      <c r="C236" s="59"/>
      <c r="E236" s="125"/>
      <c r="I236" s="126"/>
      <c r="M236" s="127"/>
      <c r="N236" s="128"/>
      <c r="O236" s="128"/>
      <c r="P236" s="128"/>
      <c r="Q236" s="128"/>
      <c r="R236" s="128"/>
      <c r="S236" s="128"/>
      <c r="T236" s="128"/>
      <c r="U236" s="128"/>
      <c r="V236" s="129"/>
      <c r="W236" s="129"/>
      <c r="X236" s="129"/>
      <c r="Y236" s="129"/>
      <c r="Z236" s="129"/>
      <c r="AA236" s="129"/>
      <c r="AB236" s="129"/>
      <c r="AC236" s="129"/>
    </row>
    <row r="237" spans="2:29" x14ac:dyDescent="0.35">
      <c r="B237" s="59"/>
      <c r="C237" s="59"/>
      <c r="E237" s="125"/>
      <c r="I237" s="126"/>
      <c r="M237" s="127"/>
      <c r="N237" s="128"/>
      <c r="O237" s="128"/>
      <c r="P237" s="128"/>
      <c r="Q237" s="128"/>
      <c r="R237" s="128"/>
      <c r="S237" s="128"/>
      <c r="T237" s="128"/>
      <c r="U237" s="128"/>
      <c r="V237" s="129"/>
      <c r="W237" s="129"/>
      <c r="X237" s="129"/>
      <c r="Y237" s="129"/>
      <c r="Z237" s="129"/>
      <c r="AA237" s="129"/>
      <c r="AB237" s="129"/>
      <c r="AC237" s="129"/>
    </row>
    <row r="238" spans="2:29" x14ac:dyDescent="0.35">
      <c r="B238" s="59"/>
      <c r="C238" s="59"/>
      <c r="E238" s="125"/>
      <c r="I238" s="126"/>
      <c r="M238" s="127"/>
      <c r="N238" s="128"/>
      <c r="O238" s="128"/>
      <c r="P238" s="128"/>
      <c r="Q238" s="128"/>
      <c r="R238" s="128"/>
      <c r="S238" s="128"/>
      <c r="T238" s="128"/>
      <c r="U238" s="128"/>
      <c r="V238" s="129"/>
      <c r="W238" s="129"/>
      <c r="X238" s="129"/>
      <c r="Y238" s="129"/>
      <c r="Z238" s="129"/>
      <c r="AA238" s="129"/>
      <c r="AB238" s="129"/>
      <c r="AC238" s="129"/>
    </row>
    <row r="239" spans="2:29" x14ac:dyDescent="0.35">
      <c r="B239" s="59"/>
      <c r="C239" s="59"/>
      <c r="E239" s="125"/>
      <c r="I239" s="126"/>
      <c r="M239" s="127"/>
      <c r="N239" s="128"/>
      <c r="O239" s="128"/>
      <c r="P239" s="128"/>
      <c r="Q239" s="128"/>
      <c r="R239" s="128"/>
      <c r="S239" s="128"/>
      <c r="T239" s="128"/>
      <c r="U239" s="128"/>
      <c r="V239" s="129"/>
      <c r="W239" s="129"/>
      <c r="X239" s="129"/>
      <c r="Y239" s="129"/>
      <c r="Z239" s="129"/>
      <c r="AA239" s="129"/>
      <c r="AB239" s="129"/>
      <c r="AC239" s="129"/>
    </row>
    <row r="240" spans="2:29" x14ac:dyDescent="0.35">
      <c r="B240" s="59"/>
      <c r="C240" s="59"/>
      <c r="E240" s="125"/>
      <c r="I240" s="126"/>
      <c r="M240" s="127"/>
      <c r="N240" s="128"/>
      <c r="O240" s="128"/>
      <c r="P240" s="128"/>
      <c r="Q240" s="128"/>
      <c r="R240" s="128"/>
      <c r="S240" s="128"/>
      <c r="T240" s="128"/>
      <c r="U240" s="128"/>
      <c r="V240" s="129"/>
      <c r="W240" s="129"/>
      <c r="X240" s="129"/>
      <c r="Y240" s="129"/>
      <c r="Z240" s="129"/>
      <c r="AA240" s="129"/>
      <c r="AB240" s="129"/>
      <c r="AC240" s="129"/>
    </row>
    <row r="241" spans="2:29" x14ac:dyDescent="0.35">
      <c r="B241" s="59"/>
      <c r="C241" s="59"/>
      <c r="E241" s="125"/>
      <c r="I241" s="126"/>
      <c r="M241" s="127"/>
      <c r="N241" s="128"/>
      <c r="O241" s="128"/>
      <c r="P241" s="128"/>
      <c r="Q241" s="128"/>
      <c r="R241" s="128"/>
      <c r="S241" s="128"/>
      <c r="T241" s="128"/>
      <c r="U241" s="128"/>
      <c r="V241" s="129"/>
      <c r="W241" s="129"/>
      <c r="X241" s="129"/>
      <c r="Y241" s="129"/>
      <c r="Z241" s="129"/>
      <c r="AA241" s="129"/>
      <c r="AB241" s="129"/>
      <c r="AC241" s="129"/>
    </row>
    <row r="242" spans="2:29" x14ac:dyDescent="0.35">
      <c r="B242" s="59"/>
      <c r="C242" s="59"/>
      <c r="E242" s="125"/>
      <c r="I242" s="126"/>
      <c r="M242" s="127"/>
      <c r="N242" s="128"/>
      <c r="O242" s="128"/>
      <c r="P242" s="128"/>
      <c r="Q242" s="128"/>
      <c r="R242" s="128"/>
      <c r="S242" s="128"/>
      <c r="T242" s="128"/>
      <c r="U242" s="128"/>
      <c r="V242" s="129"/>
      <c r="W242" s="129"/>
      <c r="X242" s="129"/>
      <c r="Y242" s="129"/>
      <c r="Z242" s="129"/>
      <c r="AA242" s="129"/>
      <c r="AB242" s="129"/>
      <c r="AC242" s="129"/>
    </row>
    <row r="243" spans="2:29" x14ac:dyDescent="0.35">
      <c r="B243" s="59"/>
      <c r="C243" s="59"/>
      <c r="E243" s="125"/>
      <c r="I243" s="126"/>
      <c r="M243" s="127"/>
      <c r="N243" s="128"/>
      <c r="O243" s="128"/>
      <c r="P243" s="128"/>
      <c r="Q243" s="128"/>
      <c r="R243" s="128"/>
      <c r="S243" s="128"/>
      <c r="T243" s="128"/>
      <c r="U243" s="128"/>
      <c r="V243" s="129"/>
      <c r="W243" s="129"/>
      <c r="X243" s="129"/>
      <c r="Y243" s="129"/>
      <c r="Z243" s="129"/>
      <c r="AA243" s="129"/>
      <c r="AB243" s="129"/>
      <c r="AC243" s="129"/>
    </row>
    <row r="244" spans="2:29" x14ac:dyDescent="0.35">
      <c r="B244" s="59"/>
      <c r="C244" s="59"/>
      <c r="E244" s="125"/>
      <c r="I244" s="126"/>
      <c r="M244" s="127"/>
      <c r="N244" s="128"/>
      <c r="O244" s="128"/>
      <c r="P244" s="128"/>
      <c r="Q244" s="128"/>
      <c r="R244" s="128"/>
      <c r="S244" s="128"/>
      <c r="T244" s="128"/>
      <c r="U244" s="128"/>
      <c r="V244" s="129"/>
      <c r="W244" s="129"/>
      <c r="X244" s="129"/>
      <c r="Y244" s="129"/>
      <c r="Z244" s="129"/>
      <c r="AA244" s="129"/>
      <c r="AB244" s="129"/>
      <c r="AC244" s="129"/>
    </row>
    <row r="245" spans="2:29" x14ac:dyDescent="0.35">
      <c r="B245" s="59"/>
      <c r="C245" s="59"/>
      <c r="E245" s="125"/>
      <c r="I245" s="126"/>
      <c r="M245" s="127"/>
      <c r="N245" s="128"/>
      <c r="O245" s="128"/>
      <c r="P245" s="128"/>
      <c r="Q245" s="128"/>
      <c r="R245" s="128"/>
      <c r="S245" s="128"/>
      <c r="T245" s="128"/>
      <c r="U245" s="128"/>
      <c r="V245" s="129"/>
      <c r="W245" s="129"/>
      <c r="X245" s="129"/>
      <c r="Y245" s="129"/>
      <c r="Z245" s="129"/>
      <c r="AA245" s="129"/>
      <c r="AB245" s="129"/>
      <c r="AC245" s="129"/>
    </row>
    <row r="246" spans="2:29" x14ac:dyDescent="0.35">
      <c r="B246" s="59"/>
      <c r="C246" s="59"/>
      <c r="E246" s="125"/>
      <c r="I246" s="126"/>
      <c r="M246" s="127"/>
      <c r="N246" s="128"/>
      <c r="O246" s="128"/>
      <c r="P246" s="128"/>
      <c r="Q246" s="128"/>
      <c r="R246" s="128"/>
      <c r="S246" s="128"/>
      <c r="T246" s="128"/>
      <c r="U246" s="128"/>
      <c r="V246" s="129"/>
      <c r="W246" s="129"/>
      <c r="X246" s="129"/>
      <c r="Y246" s="129"/>
      <c r="Z246" s="129"/>
      <c r="AA246" s="129"/>
      <c r="AB246" s="129"/>
      <c r="AC246" s="129"/>
    </row>
    <row r="247" spans="2:29" x14ac:dyDescent="0.35">
      <c r="B247" s="59"/>
      <c r="C247" s="59"/>
      <c r="E247" s="125"/>
      <c r="I247" s="126"/>
      <c r="M247" s="127"/>
      <c r="N247" s="128"/>
      <c r="O247" s="128"/>
      <c r="P247" s="128"/>
      <c r="Q247" s="128"/>
      <c r="R247" s="128"/>
      <c r="S247" s="128"/>
      <c r="T247" s="128"/>
      <c r="U247" s="128"/>
      <c r="V247" s="129"/>
      <c r="W247" s="129"/>
      <c r="X247" s="129"/>
      <c r="Y247" s="129"/>
      <c r="Z247" s="129"/>
      <c r="AA247" s="129"/>
      <c r="AB247" s="129"/>
      <c r="AC247" s="129"/>
    </row>
    <row r="248" spans="2:29" x14ac:dyDescent="0.35">
      <c r="B248" s="59"/>
      <c r="C248" s="59"/>
      <c r="E248" s="125"/>
      <c r="I248" s="126"/>
      <c r="M248" s="127"/>
      <c r="N248" s="128"/>
      <c r="O248" s="128"/>
      <c r="P248" s="128"/>
      <c r="Q248" s="128"/>
      <c r="R248" s="128"/>
      <c r="S248" s="128"/>
      <c r="T248" s="128"/>
      <c r="U248" s="128"/>
      <c r="V248" s="129"/>
      <c r="W248" s="129"/>
      <c r="X248" s="129"/>
      <c r="Y248" s="129"/>
      <c r="Z248" s="129"/>
      <c r="AA248" s="129"/>
      <c r="AB248" s="129"/>
      <c r="AC248" s="129"/>
    </row>
    <row r="249" spans="2:29" x14ac:dyDescent="0.35">
      <c r="B249" s="59"/>
      <c r="C249" s="59"/>
      <c r="E249" s="125"/>
      <c r="I249" s="126"/>
      <c r="M249" s="127"/>
      <c r="N249" s="128"/>
      <c r="O249" s="128"/>
      <c r="P249" s="128"/>
      <c r="Q249" s="128"/>
      <c r="R249" s="128"/>
      <c r="S249" s="128"/>
      <c r="T249" s="128"/>
      <c r="U249" s="128"/>
      <c r="V249" s="129"/>
      <c r="W249" s="129"/>
      <c r="X249" s="129"/>
      <c r="Y249" s="129"/>
      <c r="Z249" s="129"/>
      <c r="AA249" s="129"/>
      <c r="AB249" s="129"/>
      <c r="AC249" s="129"/>
    </row>
    <row r="250" spans="2:29" x14ac:dyDescent="0.35">
      <c r="B250" s="59"/>
      <c r="C250" s="59"/>
      <c r="E250" s="125"/>
      <c r="I250" s="126"/>
      <c r="M250" s="127"/>
      <c r="N250" s="128"/>
      <c r="O250" s="128"/>
      <c r="P250" s="128"/>
      <c r="Q250" s="128"/>
      <c r="R250" s="128"/>
      <c r="S250" s="128"/>
      <c r="T250" s="128"/>
      <c r="U250" s="128"/>
      <c r="V250" s="129"/>
      <c r="W250" s="129"/>
      <c r="X250" s="129"/>
      <c r="Y250" s="129"/>
      <c r="Z250" s="129"/>
      <c r="AA250" s="129"/>
      <c r="AB250" s="129"/>
      <c r="AC250" s="129"/>
    </row>
    <row r="251" spans="2:29" x14ac:dyDescent="0.35">
      <c r="B251" s="59"/>
      <c r="C251" s="59"/>
      <c r="E251" s="125"/>
      <c r="I251" s="126"/>
      <c r="M251" s="127"/>
      <c r="N251" s="128"/>
      <c r="O251" s="128"/>
      <c r="P251" s="128"/>
      <c r="Q251" s="128"/>
      <c r="R251" s="128"/>
      <c r="S251" s="128"/>
      <c r="T251" s="128"/>
      <c r="U251" s="128"/>
      <c r="V251" s="129"/>
      <c r="W251" s="129"/>
      <c r="X251" s="129"/>
      <c r="Y251" s="129"/>
      <c r="Z251" s="129"/>
      <c r="AA251" s="129"/>
      <c r="AB251" s="129"/>
      <c r="AC251" s="129"/>
    </row>
    <row r="252" spans="2:29" x14ac:dyDescent="0.35">
      <c r="B252" s="59"/>
      <c r="C252" s="59"/>
      <c r="E252" s="125"/>
      <c r="I252" s="126"/>
      <c r="M252" s="127"/>
      <c r="N252" s="128"/>
      <c r="O252" s="128"/>
      <c r="P252" s="128"/>
      <c r="Q252" s="128"/>
      <c r="R252" s="128"/>
      <c r="S252" s="128"/>
      <c r="T252" s="128"/>
      <c r="U252" s="128"/>
      <c r="V252" s="129"/>
      <c r="W252" s="129"/>
      <c r="X252" s="129"/>
      <c r="Y252" s="129"/>
      <c r="Z252" s="129"/>
      <c r="AA252" s="129"/>
      <c r="AB252" s="129"/>
      <c r="AC252" s="129"/>
    </row>
    <row r="253" spans="2:29" x14ac:dyDescent="0.35">
      <c r="B253" s="59"/>
      <c r="C253" s="59"/>
      <c r="E253" s="125"/>
      <c r="I253" s="126"/>
      <c r="M253" s="127"/>
      <c r="N253" s="128"/>
      <c r="O253" s="128"/>
      <c r="P253" s="128"/>
      <c r="Q253" s="128"/>
      <c r="R253" s="128"/>
      <c r="S253" s="128"/>
      <c r="T253" s="128"/>
      <c r="U253" s="128"/>
      <c r="V253" s="129"/>
      <c r="W253" s="129"/>
      <c r="X253" s="129"/>
      <c r="Y253" s="129"/>
      <c r="Z253" s="129"/>
      <c r="AA253" s="129"/>
      <c r="AB253" s="129"/>
      <c r="AC253" s="129"/>
    </row>
    <row r="254" spans="2:29" x14ac:dyDescent="0.35">
      <c r="B254" s="59"/>
      <c r="C254" s="59"/>
      <c r="E254" s="125"/>
      <c r="I254" s="126"/>
      <c r="M254" s="127"/>
      <c r="N254" s="128"/>
      <c r="O254" s="128"/>
      <c r="P254" s="128"/>
      <c r="Q254" s="128"/>
      <c r="R254" s="128"/>
      <c r="S254" s="128"/>
      <c r="T254" s="128"/>
      <c r="U254" s="128"/>
      <c r="V254" s="129"/>
      <c r="W254" s="129"/>
      <c r="X254" s="129"/>
      <c r="Y254" s="129"/>
      <c r="Z254" s="129"/>
      <c r="AA254" s="129"/>
      <c r="AB254" s="129"/>
      <c r="AC254" s="129"/>
    </row>
    <row r="255" spans="2:29" x14ac:dyDescent="0.35">
      <c r="B255" s="59"/>
      <c r="C255" s="59"/>
      <c r="E255" s="125"/>
      <c r="I255" s="126"/>
      <c r="M255" s="127"/>
      <c r="N255" s="128"/>
      <c r="O255" s="128"/>
      <c r="P255" s="128"/>
      <c r="Q255" s="128"/>
      <c r="R255" s="128"/>
      <c r="S255" s="128"/>
      <c r="T255" s="128"/>
      <c r="U255" s="128"/>
      <c r="V255" s="129"/>
      <c r="W255" s="129"/>
      <c r="X255" s="129"/>
      <c r="Y255" s="129"/>
      <c r="Z255" s="129"/>
      <c r="AA255" s="129"/>
      <c r="AB255" s="129"/>
      <c r="AC255" s="129"/>
    </row>
    <row r="256" spans="2:29" x14ac:dyDescent="0.35">
      <c r="B256" s="59"/>
      <c r="C256" s="59"/>
      <c r="E256" s="125"/>
      <c r="I256" s="126"/>
      <c r="M256" s="127"/>
      <c r="N256" s="128"/>
      <c r="O256" s="128"/>
      <c r="P256" s="128"/>
      <c r="Q256" s="128"/>
      <c r="R256" s="128"/>
      <c r="S256" s="128"/>
      <c r="T256" s="128"/>
      <c r="U256" s="128"/>
      <c r="V256" s="129"/>
      <c r="W256" s="129"/>
      <c r="X256" s="129"/>
      <c r="Y256" s="129"/>
      <c r="Z256" s="129"/>
      <c r="AA256" s="129"/>
      <c r="AB256" s="129"/>
      <c r="AC256" s="129"/>
    </row>
    <row r="257" spans="2:29" x14ac:dyDescent="0.35">
      <c r="B257" s="59"/>
      <c r="C257" s="59"/>
      <c r="E257" s="125"/>
      <c r="I257" s="126"/>
      <c r="M257" s="127"/>
      <c r="N257" s="128"/>
      <c r="O257" s="128"/>
      <c r="P257" s="128"/>
      <c r="Q257" s="128"/>
      <c r="R257" s="128"/>
      <c r="S257" s="128"/>
      <c r="T257" s="128"/>
      <c r="U257" s="128"/>
      <c r="V257" s="129"/>
      <c r="W257" s="129"/>
      <c r="X257" s="129"/>
      <c r="Y257" s="129"/>
      <c r="Z257" s="129"/>
      <c r="AA257" s="129"/>
      <c r="AB257" s="129"/>
      <c r="AC257" s="129"/>
    </row>
    <row r="258" spans="2:29" x14ac:dyDescent="0.35">
      <c r="B258" s="59"/>
      <c r="C258" s="59"/>
      <c r="E258" s="125"/>
      <c r="I258" s="126"/>
      <c r="M258" s="127"/>
      <c r="N258" s="128"/>
      <c r="O258" s="128"/>
      <c r="P258" s="128"/>
      <c r="Q258" s="128"/>
      <c r="R258" s="128"/>
      <c r="S258" s="128"/>
      <c r="T258" s="128"/>
      <c r="U258" s="128"/>
      <c r="V258" s="129"/>
      <c r="W258" s="129"/>
      <c r="X258" s="129"/>
      <c r="Y258" s="129"/>
      <c r="Z258" s="129"/>
      <c r="AA258" s="129"/>
      <c r="AB258" s="129"/>
      <c r="AC258" s="129"/>
    </row>
    <row r="259" spans="2:29" x14ac:dyDescent="0.35">
      <c r="B259" s="59"/>
      <c r="C259" s="59"/>
      <c r="E259" s="125"/>
      <c r="I259" s="126"/>
      <c r="M259" s="127"/>
      <c r="N259" s="128"/>
      <c r="O259" s="128"/>
      <c r="P259" s="128"/>
      <c r="Q259" s="128"/>
      <c r="R259" s="128"/>
      <c r="S259" s="128"/>
      <c r="T259" s="128"/>
      <c r="U259" s="128"/>
      <c r="V259" s="129"/>
      <c r="W259" s="129"/>
      <c r="X259" s="129"/>
      <c r="Y259" s="129"/>
      <c r="Z259" s="129"/>
      <c r="AA259" s="129"/>
      <c r="AB259" s="129"/>
      <c r="AC259" s="129"/>
    </row>
    <row r="260" spans="2:29" x14ac:dyDescent="0.35">
      <c r="B260" s="59"/>
      <c r="C260" s="59"/>
      <c r="E260" s="125"/>
      <c r="I260" s="126"/>
      <c r="M260" s="127"/>
      <c r="N260" s="128"/>
      <c r="O260" s="128"/>
      <c r="P260" s="128"/>
      <c r="Q260" s="128"/>
      <c r="R260" s="128"/>
      <c r="S260" s="128"/>
      <c r="T260" s="128"/>
      <c r="U260" s="128"/>
      <c r="V260" s="129"/>
      <c r="W260" s="129"/>
      <c r="X260" s="129"/>
      <c r="Y260" s="129"/>
      <c r="Z260" s="129"/>
      <c r="AA260" s="129"/>
      <c r="AB260" s="129"/>
      <c r="AC260" s="129"/>
    </row>
    <row r="261" spans="2:29" x14ac:dyDescent="0.35">
      <c r="B261" s="59"/>
      <c r="C261" s="59"/>
      <c r="E261" s="125"/>
      <c r="I261" s="126"/>
      <c r="M261" s="127"/>
      <c r="N261" s="128"/>
      <c r="O261" s="128"/>
      <c r="P261" s="128"/>
      <c r="Q261" s="128"/>
      <c r="R261" s="128"/>
      <c r="S261" s="128"/>
      <c r="T261" s="128"/>
      <c r="U261" s="128"/>
      <c r="V261" s="129"/>
      <c r="W261" s="129"/>
      <c r="X261" s="129"/>
      <c r="Y261" s="129"/>
      <c r="Z261" s="129"/>
      <c r="AA261" s="129"/>
      <c r="AB261" s="129"/>
      <c r="AC261" s="129"/>
    </row>
    <row r="262" spans="2:29" x14ac:dyDescent="0.35">
      <c r="B262" s="59"/>
      <c r="C262" s="59"/>
      <c r="E262" s="125"/>
      <c r="I262" s="126"/>
      <c r="M262" s="127"/>
      <c r="N262" s="128"/>
      <c r="O262" s="128"/>
      <c r="P262" s="128"/>
      <c r="Q262" s="128"/>
      <c r="R262" s="128"/>
      <c r="S262" s="128"/>
      <c r="T262" s="128"/>
      <c r="U262" s="128"/>
      <c r="V262" s="129"/>
      <c r="W262" s="129"/>
      <c r="X262" s="129"/>
      <c r="Y262" s="129"/>
      <c r="Z262" s="129"/>
      <c r="AA262" s="129"/>
      <c r="AB262" s="129"/>
      <c r="AC262" s="129"/>
    </row>
    <row r="263" spans="2:29" x14ac:dyDescent="0.35">
      <c r="B263" s="59"/>
      <c r="C263" s="59"/>
      <c r="E263" s="125"/>
      <c r="I263" s="126"/>
      <c r="M263" s="127"/>
      <c r="N263" s="128"/>
      <c r="O263" s="128"/>
      <c r="P263" s="128"/>
      <c r="Q263" s="128"/>
      <c r="R263" s="128"/>
      <c r="S263" s="128"/>
      <c r="T263" s="128"/>
      <c r="U263" s="128"/>
      <c r="V263" s="129"/>
      <c r="W263" s="129"/>
      <c r="X263" s="129"/>
      <c r="Y263" s="129"/>
      <c r="Z263" s="129"/>
      <c r="AA263" s="129"/>
      <c r="AB263" s="129"/>
      <c r="AC263" s="129"/>
    </row>
    <row r="264" spans="2:29" x14ac:dyDescent="0.35">
      <c r="B264" s="59"/>
      <c r="C264" s="59"/>
      <c r="E264" s="125"/>
      <c r="I264" s="126"/>
      <c r="M264" s="127"/>
      <c r="N264" s="128"/>
      <c r="O264" s="128"/>
      <c r="P264" s="128"/>
      <c r="Q264" s="128"/>
      <c r="R264" s="128"/>
      <c r="S264" s="128"/>
      <c r="T264" s="128"/>
      <c r="U264" s="128"/>
      <c r="V264" s="129"/>
      <c r="W264" s="129"/>
      <c r="X264" s="129"/>
      <c r="Y264" s="129"/>
      <c r="Z264" s="129"/>
      <c r="AA264" s="129"/>
      <c r="AB264" s="129"/>
      <c r="AC264" s="129"/>
    </row>
    <row r="265" spans="2:29" x14ac:dyDescent="0.35">
      <c r="B265" s="59"/>
      <c r="C265" s="59"/>
      <c r="E265" s="125"/>
      <c r="I265" s="126"/>
      <c r="M265" s="127"/>
      <c r="N265" s="128"/>
      <c r="O265" s="128"/>
      <c r="P265" s="128"/>
      <c r="Q265" s="128"/>
      <c r="R265" s="128"/>
      <c r="S265" s="128"/>
      <c r="T265" s="128"/>
      <c r="U265" s="128"/>
      <c r="V265" s="129"/>
      <c r="W265" s="129"/>
      <c r="X265" s="129"/>
      <c r="Y265" s="129"/>
      <c r="Z265" s="129"/>
      <c r="AA265" s="129"/>
      <c r="AB265" s="129"/>
      <c r="AC265" s="129"/>
    </row>
    <row r="266" spans="2:29" x14ac:dyDescent="0.35">
      <c r="B266" s="59"/>
      <c r="C266" s="59"/>
      <c r="E266" s="125"/>
      <c r="I266" s="126"/>
      <c r="M266" s="127"/>
      <c r="N266" s="128"/>
      <c r="O266" s="128"/>
      <c r="P266" s="128"/>
      <c r="Q266" s="128"/>
      <c r="R266" s="128"/>
      <c r="S266" s="128"/>
      <c r="T266" s="128"/>
      <c r="U266" s="128"/>
      <c r="V266" s="129"/>
      <c r="W266" s="129"/>
      <c r="X266" s="129"/>
      <c r="Y266" s="129"/>
      <c r="Z266" s="129"/>
      <c r="AA266" s="129"/>
      <c r="AB266" s="129"/>
      <c r="AC266" s="129"/>
    </row>
    <row r="267" spans="2:29" x14ac:dyDescent="0.35">
      <c r="B267" s="59"/>
      <c r="C267" s="59"/>
      <c r="E267" s="125"/>
      <c r="I267" s="126"/>
      <c r="M267" s="127"/>
      <c r="N267" s="128"/>
      <c r="O267" s="128"/>
      <c r="P267" s="128"/>
      <c r="Q267" s="128"/>
      <c r="R267" s="128"/>
      <c r="S267" s="128"/>
      <c r="T267" s="128"/>
      <c r="U267" s="128"/>
      <c r="V267" s="129"/>
      <c r="W267" s="129"/>
      <c r="X267" s="129"/>
      <c r="Y267" s="129"/>
      <c r="Z267" s="129"/>
      <c r="AA267" s="129"/>
      <c r="AB267" s="129"/>
      <c r="AC267" s="129"/>
    </row>
    <row r="268" spans="2:29" x14ac:dyDescent="0.35">
      <c r="B268" s="59"/>
      <c r="C268" s="59"/>
      <c r="E268" s="125"/>
      <c r="I268" s="126"/>
      <c r="M268" s="127"/>
      <c r="N268" s="128"/>
      <c r="O268" s="128"/>
      <c r="P268" s="128"/>
      <c r="Q268" s="128"/>
      <c r="R268" s="128"/>
      <c r="S268" s="128"/>
      <c r="T268" s="128"/>
      <c r="U268" s="128"/>
      <c r="V268" s="129"/>
      <c r="W268" s="129"/>
      <c r="X268" s="129"/>
      <c r="Y268" s="129"/>
      <c r="Z268" s="129"/>
      <c r="AA268" s="129"/>
      <c r="AB268" s="129"/>
      <c r="AC268" s="129"/>
    </row>
    <row r="269" spans="2:29" x14ac:dyDescent="0.35">
      <c r="B269" s="59"/>
      <c r="C269" s="59"/>
      <c r="E269" s="125"/>
      <c r="I269" s="126"/>
      <c r="M269" s="127"/>
      <c r="N269" s="128"/>
      <c r="O269" s="128"/>
      <c r="P269" s="128"/>
      <c r="Q269" s="128"/>
      <c r="R269" s="128"/>
      <c r="S269" s="128"/>
      <c r="T269" s="128"/>
      <c r="U269" s="128"/>
      <c r="V269" s="129"/>
      <c r="W269" s="129"/>
      <c r="X269" s="129"/>
      <c r="Y269" s="129"/>
      <c r="Z269" s="129"/>
      <c r="AA269" s="129"/>
      <c r="AB269" s="129"/>
      <c r="AC269" s="129"/>
    </row>
    <row r="270" spans="2:29" x14ac:dyDescent="0.35">
      <c r="B270" s="59"/>
      <c r="C270" s="59"/>
      <c r="E270" s="125"/>
      <c r="I270" s="126"/>
      <c r="M270" s="127"/>
      <c r="N270" s="128"/>
      <c r="O270" s="128"/>
      <c r="P270" s="128"/>
      <c r="Q270" s="128"/>
      <c r="R270" s="128"/>
      <c r="S270" s="128"/>
      <c r="T270" s="128"/>
      <c r="U270" s="128"/>
      <c r="V270" s="129"/>
      <c r="W270" s="129"/>
      <c r="X270" s="129"/>
      <c r="Y270" s="129"/>
      <c r="Z270" s="129"/>
      <c r="AA270" s="129"/>
      <c r="AB270" s="129"/>
      <c r="AC270" s="129"/>
    </row>
    <row r="271" spans="2:29" x14ac:dyDescent="0.35">
      <c r="B271" s="59"/>
      <c r="C271" s="59"/>
      <c r="E271" s="125"/>
      <c r="I271" s="126"/>
      <c r="M271" s="127"/>
      <c r="N271" s="128"/>
      <c r="O271" s="128"/>
      <c r="P271" s="128"/>
      <c r="Q271" s="128"/>
      <c r="R271" s="128"/>
      <c r="S271" s="128"/>
      <c r="T271" s="128"/>
      <c r="U271" s="128"/>
      <c r="V271" s="129"/>
      <c r="W271" s="129"/>
      <c r="X271" s="129"/>
      <c r="Y271" s="129"/>
      <c r="Z271" s="129"/>
      <c r="AA271" s="129"/>
      <c r="AB271" s="129"/>
      <c r="AC271" s="129"/>
    </row>
    <row r="272" spans="2:29" x14ac:dyDescent="0.35">
      <c r="B272" s="59"/>
      <c r="C272" s="59"/>
      <c r="E272" s="125"/>
      <c r="I272" s="126"/>
      <c r="M272" s="127"/>
      <c r="N272" s="128"/>
      <c r="O272" s="128"/>
      <c r="P272" s="128"/>
      <c r="Q272" s="128"/>
      <c r="R272" s="128"/>
      <c r="S272" s="128"/>
      <c r="T272" s="128"/>
      <c r="U272" s="128"/>
      <c r="V272" s="129"/>
      <c r="W272" s="129"/>
      <c r="X272" s="129"/>
      <c r="Y272" s="129"/>
      <c r="Z272" s="129"/>
      <c r="AA272" s="129"/>
      <c r="AB272" s="129"/>
      <c r="AC272" s="129"/>
    </row>
    <row r="273" spans="2:29" x14ac:dyDescent="0.35">
      <c r="B273" s="59"/>
      <c r="C273" s="59"/>
      <c r="E273" s="125"/>
      <c r="I273" s="126"/>
      <c r="M273" s="127"/>
      <c r="N273" s="128"/>
      <c r="O273" s="128"/>
      <c r="P273" s="128"/>
      <c r="Q273" s="128"/>
      <c r="R273" s="128"/>
      <c r="S273" s="128"/>
      <c r="T273" s="128"/>
      <c r="U273" s="128"/>
      <c r="V273" s="129"/>
      <c r="W273" s="129"/>
      <c r="X273" s="129"/>
      <c r="Y273" s="129"/>
      <c r="Z273" s="129"/>
      <c r="AA273" s="129"/>
      <c r="AB273" s="129"/>
      <c r="AC273" s="129"/>
    </row>
    <row r="274" spans="2:29" x14ac:dyDescent="0.35">
      <c r="B274" s="59"/>
      <c r="C274" s="59"/>
      <c r="E274" s="125"/>
      <c r="I274" s="126"/>
      <c r="M274" s="127"/>
      <c r="N274" s="128"/>
      <c r="O274" s="128"/>
      <c r="P274" s="128"/>
      <c r="Q274" s="128"/>
      <c r="R274" s="128"/>
      <c r="S274" s="128"/>
      <c r="T274" s="128"/>
      <c r="U274" s="128"/>
      <c r="V274" s="129"/>
      <c r="W274" s="129"/>
      <c r="X274" s="129"/>
      <c r="Y274" s="129"/>
      <c r="Z274" s="129"/>
      <c r="AA274" s="129"/>
      <c r="AB274" s="129"/>
      <c r="AC274" s="129"/>
    </row>
    <row r="275" spans="2:29" x14ac:dyDescent="0.35">
      <c r="B275" s="59"/>
      <c r="C275" s="59"/>
      <c r="E275" s="125"/>
      <c r="I275" s="126"/>
      <c r="M275" s="127"/>
      <c r="N275" s="128"/>
      <c r="O275" s="128"/>
      <c r="P275" s="128"/>
      <c r="Q275" s="128"/>
      <c r="R275" s="128"/>
      <c r="S275" s="128"/>
      <c r="T275" s="128"/>
      <c r="U275" s="128"/>
      <c r="V275" s="129"/>
      <c r="W275" s="129"/>
      <c r="X275" s="129"/>
      <c r="Y275" s="129"/>
      <c r="Z275" s="129"/>
      <c r="AA275" s="129"/>
      <c r="AB275" s="129"/>
      <c r="AC275" s="129"/>
    </row>
    <row r="276" spans="2:29" x14ac:dyDescent="0.35">
      <c r="B276" s="59"/>
      <c r="C276" s="59"/>
      <c r="E276" s="125"/>
      <c r="I276" s="126"/>
      <c r="M276" s="127"/>
      <c r="N276" s="128"/>
      <c r="O276" s="128"/>
      <c r="P276" s="128"/>
      <c r="Q276" s="128"/>
      <c r="R276" s="128"/>
      <c r="S276" s="128"/>
      <c r="T276" s="128"/>
      <c r="U276" s="128"/>
      <c r="V276" s="129"/>
      <c r="W276" s="129"/>
      <c r="X276" s="129"/>
      <c r="Y276" s="129"/>
      <c r="Z276" s="129"/>
      <c r="AA276" s="129"/>
      <c r="AB276" s="129"/>
      <c r="AC276" s="129"/>
    </row>
    <row r="277" spans="2:29" x14ac:dyDescent="0.35">
      <c r="B277" s="59"/>
      <c r="C277" s="59"/>
      <c r="E277" s="125"/>
      <c r="I277" s="126"/>
      <c r="M277" s="127"/>
      <c r="N277" s="128"/>
      <c r="O277" s="128"/>
      <c r="P277" s="128"/>
      <c r="Q277" s="128"/>
      <c r="R277" s="128"/>
      <c r="S277" s="128"/>
      <c r="T277" s="128"/>
      <c r="U277" s="128"/>
      <c r="V277" s="129"/>
      <c r="W277" s="129"/>
      <c r="X277" s="129"/>
      <c r="Y277" s="129"/>
      <c r="Z277" s="129"/>
      <c r="AA277" s="129"/>
      <c r="AB277" s="129"/>
      <c r="AC277" s="129"/>
    </row>
    <row r="278" spans="2:29" x14ac:dyDescent="0.35">
      <c r="B278" s="59"/>
      <c r="C278" s="59"/>
      <c r="E278" s="125"/>
      <c r="I278" s="126"/>
      <c r="M278" s="127"/>
      <c r="N278" s="128"/>
      <c r="O278" s="128"/>
      <c r="P278" s="128"/>
      <c r="Q278" s="128"/>
      <c r="R278" s="128"/>
      <c r="S278" s="128"/>
      <c r="T278" s="128"/>
      <c r="U278" s="128"/>
      <c r="V278" s="129"/>
      <c r="W278" s="129"/>
      <c r="X278" s="129"/>
      <c r="Y278" s="129"/>
      <c r="Z278" s="129"/>
      <c r="AA278" s="129"/>
      <c r="AB278" s="129"/>
      <c r="AC278" s="129"/>
    </row>
    <row r="279" spans="2:29" x14ac:dyDescent="0.35">
      <c r="B279" s="59"/>
      <c r="C279" s="59"/>
      <c r="E279" s="125"/>
      <c r="I279" s="126"/>
      <c r="M279" s="127"/>
      <c r="N279" s="128"/>
      <c r="O279" s="128"/>
      <c r="P279" s="128"/>
      <c r="Q279" s="128"/>
      <c r="R279" s="128"/>
      <c r="S279" s="128"/>
      <c r="T279" s="128"/>
      <c r="U279" s="128"/>
      <c r="V279" s="129"/>
      <c r="W279" s="129"/>
      <c r="X279" s="129"/>
      <c r="Y279" s="129"/>
      <c r="Z279" s="129"/>
      <c r="AA279" s="129"/>
      <c r="AB279" s="129"/>
      <c r="AC279" s="129"/>
    </row>
    <row r="280" spans="2:29" x14ac:dyDescent="0.35">
      <c r="B280" s="59"/>
      <c r="C280" s="59"/>
      <c r="E280" s="125"/>
      <c r="I280" s="126"/>
      <c r="M280" s="127"/>
      <c r="N280" s="128"/>
      <c r="O280" s="128"/>
      <c r="P280" s="128"/>
      <c r="Q280" s="128"/>
      <c r="R280" s="128"/>
      <c r="S280" s="128"/>
      <c r="T280" s="128"/>
      <c r="U280" s="128"/>
      <c r="V280" s="129"/>
      <c r="W280" s="129"/>
      <c r="X280" s="129"/>
      <c r="Y280" s="129"/>
      <c r="Z280" s="129"/>
      <c r="AA280" s="129"/>
      <c r="AB280" s="129"/>
      <c r="AC280" s="129"/>
    </row>
    <row r="281" spans="2:29" x14ac:dyDescent="0.35">
      <c r="B281" s="59"/>
      <c r="C281" s="59"/>
      <c r="E281" s="125"/>
      <c r="I281" s="126"/>
      <c r="M281" s="127"/>
      <c r="N281" s="128"/>
      <c r="O281" s="128"/>
      <c r="P281" s="128"/>
      <c r="Q281" s="128"/>
      <c r="R281" s="128"/>
      <c r="S281" s="128"/>
      <c r="T281" s="128"/>
      <c r="U281" s="128"/>
      <c r="V281" s="129"/>
      <c r="W281" s="129"/>
      <c r="X281" s="129"/>
      <c r="Y281" s="129"/>
      <c r="Z281" s="129"/>
      <c r="AA281" s="129"/>
      <c r="AB281" s="129"/>
      <c r="AC281" s="129"/>
    </row>
    <row r="282" spans="2:29" x14ac:dyDescent="0.35">
      <c r="B282" s="59"/>
      <c r="C282" s="59"/>
      <c r="E282" s="125"/>
      <c r="I282" s="126"/>
      <c r="M282" s="127"/>
      <c r="N282" s="128"/>
      <c r="O282" s="128"/>
      <c r="P282" s="128"/>
      <c r="Q282" s="128"/>
      <c r="R282" s="128"/>
      <c r="S282" s="128"/>
      <c r="T282" s="128"/>
      <c r="U282" s="128"/>
      <c r="V282" s="129"/>
      <c r="W282" s="129"/>
      <c r="X282" s="129"/>
      <c r="Y282" s="129"/>
      <c r="Z282" s="129"/>
      <c r="AA282" s="129"/>
      <c r="AB282" s="129"/>
      <c r="AC282" s="129"/>
    </row>
    <row r="283" spans="2:29" x14ac:dyDescent="0.35">
      <c r="B283" s="59"/>
      <c r="C283" s="59"/>
      <c r="E283" s="125"/>
      <c r="I283" s="126"/>
      <c r="M283" s="127"/>
      <c r="N283" s="128"/>
      <c r="O283" s="128"/>
      <c r="P283" s="128"/>
      <c r="Q283" s="128"/>
      <c r="R283" s="128"/>
      <c r="S283" s="128"/>
      <c r="T283" s="128"/>
      <c r="U283" s="128"/>
      <c r="V283" s="129"/>
      <c r="W283" s="129"/>
      <c r="X283" s="129"/>
      <c r="Y283" s="129"/>
      <c r="Z283" s="129"/>
      <c r="AA283" s="129"/>
      <c r="AB283" s="129"/>
      <c r="AC283" s="129"/>
    </row>
    <row r="284" spans="2:29" x14ac:dyDescent="0.35">
      <c r="B284" s="59"/>
      <c r="C284" s="59"/>
      <c r="E284" s="125"/>
      <c r="I284" s="126"/>
      <c r="M284" s="127"/>
      <c r="N284" s="128"/>
      <c r="O284" s="128"/>
      <c r="P284" s="128"/>
      <c r="Q284" s="128"/>
      <c r="R284" s="128"/>
      <c r="S284" s="128"/>
      <c r="T284" s="128"/>
      <c r="U284" s="128"/>
      <c r="V284" s="129"/>
      <c r="W284" s="129"/>
      <c r="X284" s="129"/>
      <c r="Y284" s="129"/>
      <c r="Z284" s="129"/>
      <c r="AA284" s="129"/>
      <c r="AB284" s="129"/>
      <c r="AC284" s="129"/>
    </row>
    <row r="285" spans="2:29" x14ac:dyDescent="0.35">
      <c r="B285" s="59"/>
      <c r="C285" s="59"/>
      <c r="E285" s="125"/>
      <c r="I285" s="126"/>
      <c r="M285" s="127"/>
      <c r="N285" s="128"/>
      <c r="O285" s="128"/>
      <c r="P285" s="128"/>
      <c r="Q285" s="128"/>
      <c r="R285" s="128"/>
      <c r="S285" s="128"/>
      <c r="T285" s="128"/>
      <c r="U285" s="128"/>
      <c r="V285" s="129"/>
      <c r="W285" s="129"/>
      <c r="X285" s="129"/>
      <c r="Y285" s="129"/>
      <c r="Z285" s="129"/>
      <c r="AA285" s="129"/>
      <c r="AB285" s="129"/>
      <c r="AC285" s="129"/>
    </row>
    <row r="286" spans="2:29" x14ac:dyDescent="0.35">
      <c r="B286" s="59"/>
      <c r="C286" s="59"/>
      <c r="E286" s="125"/>
      <c r="I286" s="126"/>
      <c r="M286" s="127"/>
      <c r="N286" s="128"/>
      <c r="O286" s="128"/>
      <c r="P286" s="128"/>
      <c r="Q286" s="128"/>
      <c r="R286" s="128"/>
      <c r="S286" s="128"/>
      <c r="T286" s="128"/>
      <c r="U286" s="128"/>
      <c r="V286" s="129"/>
      <c r="W286" s="129"/>
      <c r="X286" s="129"/>
      <c r="Y286" s="129"/>
      <c r="Z286" s="129"/>
      <c r="AA286" s="129"/>
      <c r="AB286" s="129"/>
      <c r="AC286" s="129"/>
    </row>
    <row r="287" spans="2:29" x14ac:dyDescent="0.35">
      <c r="B287" s="59"/>
      <c r="C287" s="59"/>
      <c r="E287" s="125"/>
      <c r="I287" s="126"/>
      <c r="M287" s="127"/>
      <c r="N287" s="128"/>
      <c r="O287" s="128"/>
      <c r="P287" s="128"/>
      <c r="Q287" s="128"/>
      <c r="R287" s="128"/>
      <c r="S287" s="128"/>
      <c r="T287" s="128"/>
      <c r="U287" s="128"/>
      <c r="V287" s="129"/>
      <c r="W287" s="129"/>
      <c r="X287" s="129"/>
      <c r="Y287" s="129"/>
      <c r="Z287" s="129"/>
      <c r="AA287" s="129"/>
      <c r="AB287" s="129"/>
      <c r="AC287" s="129"/>
    </row>
    <row r="288" spans="2:29" x14ac:dyDescent="0.35">
      <c r="B288" s="59"/>
      <c r="C288" s="59"/>
      <c r="E288" s="125"/>
      <c r="I288" s="126"/>
      <c r="M288" s="127"/>
      <c r="N288" s="128"/>
      <c r="O288" s="128"/>
      <c r="P288" s="128"/>
      <c r="Q288" s="128"/>
      <c r="R288" s="128"/>
      <c r="S288" s="128"/>
      <c r="T288" s="128"/>
      <c r="U288" s="128"/>
      <c r="V288" s="129"/>
      <c r="W288" s="129"/>
      <c r="X288" s="129"/>
      <c r="Y288" s="129"/>
      <c r="Z288" s="129"/>
      <c r="AA288" s="129"/>
      <c r="AB288" s="129"/>
      <c r="AC288" s="129"/>
    </row>
    <row r="289" spans="2:29" x14ac:dyDescent="0.35">
      <c r="B289" s="59"/>
      <c r="C289" s="59"/>
      <c r="E289" s="125"/>
      <c r="I289" s="126"/>
      <c r="M289" s="127"/>
      <c r="N289" s="128"/>
      <c r="O289" s="128"/>
      <c r="P289" s="128"/>
      <c r="Q289" s="128"/>
      <c r="R289" s="128"/>
      <c r="S289" s="128"/>
      <c r="T289" s="128"/>
      <c r="U289" s="128"/>
      <c r="V289" s="129"/>
      <c r="W289" s="129"/>
      <c r="X289" s="129"/>
      <c r="Y289" s="129"/>
      <c r="Z289" s="129"/>
      <c r="AA289" s="129"/>
      <c r="AB289" s="129"/>
      <c r="AC289" s="129"/>
    </row>
    <row r="290" spans="2:29" x14ac:dyDescent="0.35">
      <c r="B290" s="59"/>
      <c r="C290" s="59"/>
      <c r="E290" s="125"/>
      <c r="I290" s="126"/>
      <c r="M290" s="127"/>
      <c r="N290" s="128"/>
      <c r="O290" s="128"/>
      <c r="P290" s="128"/>
      <c r="Q290" s="128"/>
      <c r="R290" s="128"/>
      <c r="S290" s="128"/>
      <c r="T290" s="128"/>
      <c r="U290" s="128"/>
      <c r="V290" s="129"/>
      <c r="W290" s="129"/>
      <c r="X290" s="129"/>
      <c r="Y290" s="129"/>
      <c r="Z290" s="129"/>
      <c r="AA290" s="129"/>
      <c r="AB290" s="129"/>
      <c r="AC290" s="129"/>
    </row>
    <row r="291" spans="2:29" x14ac:dyDescent="0.35">
      <c r="B291" s="59"/>
      <c r="C291" s="59"/>
      <c r="E291" s="125"/>
      <c r="I291" s="126"/>
      <c r="M291" s="127"/>
      <c r="N291" s="128"/>
      <c r="O291" s="128"/>
      <c r="P291" s="128"/>
      <c r="Q291" s="128"/>
      <c r="R291" s="128"/>
      <c r="S291" s="128"/>
      <c r="T291" s="128"/>
      <c r="U291" s="128"/>
      <c r="V291" s="129"/>
      <c r="W291" s="129"/>
      <c r="X291" s="129"/>
      <c r="Y291" s="129"/>
      <c r="Z291" s="129"/>
      <c r="AA291" s="129"/>
      <c r="AB291" s="129"/>
      <c r="AC291" s="129"/>
    </row>
    <row r="292" spans="2:29" x14ac:dyDescent="0.35">
      <c r="B292" s="59"/>
      <c r="C292" s="59"/>
      <c r="E292" s="125"/>
      <c r="I292" s="126"/>
      <c r="M292" s="127"/>
      <c r="N292" s="128"/>
      <c r="O292" s="128"/>
      <c r="P292" s="128"/>
      <c r="Q292" s="128"/>
      <c r="R292" s="128"/>
      <c r="S292" s="128"/>
      <c r="T292" s="128"/>
      <c r="U292" s="128"/>
      <c r="V292" s="129"/>
      <c r="W292" s="129"/>
      <c r="X292" s="129"/>
      <c r="Y292" s="129"/>
      <c r="Z292" s="129"/>
      <c r="AA292" s="129"/>
      <c r="AB292" s="129"/>
      <c r="AC292" s="129"/>
    </row>
    <row r="293" spans="2:29" x14ac:dyDescent="0.35">
      <c r="B293" s="59"/>
      <c r="C293" s="59"/>
      <c r="E293" s="125"/>
      <c r="I293" s="126"/>
      <c r="M293" s="127"/>
      <c r="N293" s="128"/>
      <c r="O293" s="128"/>
      <c r="P293" s="128"/>
      <c r="Q293" s="128"/>
      <c r="R293" s="128"/>
      <c r="S293" s="128"/>
      <c r="T293" s="128"/>
      <c r="U293" s="128"/>
      <c r="V293" s="129"/>
      <c r="W293" s="129"/>
      <c r="X293" s="129"/>
      <c r="Y293" s="129"/>
      <c r="Z293" s="129"/>
      <c r="AA293" s="129"/>
      <c r="AB293" s="129"/>
      <c r="AC293" s="129"/>
    </row>
    <row r="294" spans="2:29" x14ac:dyDescent="0.35">
      <c r="B294" s="59"/>
      <c r="C294" s="59"/>
      <c r="E294" s="125"/>
      <c r="I294" s="126"/>
      <c r="M294" s="127"/>
      <c r="N294" s="128"/>
      <c r="O294" s="128"/>
      <c r="P294" s="128"/>
      <c r="Q294" s="128"/>
      <c r="R294" s="128"/>
      <c r="S294" s="128"/>
      <c r="T294" s="128"/>
      <c r="U294" s="128"/>
      <c r="V294" s="129"/>
      <c r="W294" s="129"/>
      <c r="X294" s="129"/>
      <c r="Y294" s="129"/>
      <c r="Z294" s="129"/>
      <c r="AA294" s="129"/>
      <c r="AB294" s="129"/>
      <c r="AC294" s="129"/>
    </row>
    <row r="295" spans="2:29" x14ac:dyDescent="0.35">
      <c r="B295" s="59"/>
      <c r="C295" s="59"/>
      <c r="E295" s="125"/>
      <c r="I295" s="126"/>
      <c r="M295" s="127"/>
      <c r="N295" s="128"/>
      <c r="O295" s="128"/>
      <c r="P295" s="128"/>
      <c r="Q295" s="128"/>
      <c r="R295" s="128"/>
      <c r="S295" s="128"/>
      <c r="T295" s="128"/>
      <c r="U295" s="128"/>
      <c r="V295" s="129"/>
      <c r="W295" s="129"/>
      <c r="X295" s="129"/>
      <c r="Y295" s="129"/>
      <c r="Z295" s="129"/>
      <c r="AA295" s="129"/>
      <c r="AB295" s="129"/>
      <c r="AC295" s="129"/>
    </row>
    <row r="296" spans="2:29" x14ac:dyDescent="0.35">
      <c r="B296" s="59"/>
      <c r="C296" s="59"/>
      <c r="E296" s="125"/>
      <c r="I296" s="126"/>
      <c r="M296" s="127"/>
      <c r="N296" s="128"/>
      <c r="O296" s="128"/>
      <c r="P296" s="128"/>
      <c r="Q296" s="128"/>
      <c r="R296" s="128"/>
      <c r="S296" s="128"/>
      <c r="T296" s="128"/>
      <c r="U296" s="128"/>
      <c r="V296" s="129"/>
      <c r="W296" s="129"/>
      <c r="X296" s="129"/>
      <c r="Y296" s="129"/>
      <c r="Z296" s="129"/>
      <c r="AA296" s="129"/>
      <c r="AB296" s="129"/>
      <c r="AC296" s="129"/>
    </row>
    <row r="297" spans="2:29" x14ac:dyDescent="0.35">
      <c r="B297" s="59"/>
      <c r="C297" s="59"/>
      <c r="E297" s="125"/>
      <c r="I297" s="126"/>
      <c r="M297" s="127"/>
      <c r="N297" s="128"/>
      <c r="O297" s="128"/>
      <c r="P297" s="128"/>
      <c r="Q297" s="128"/>
      <c r="R297" s="128"/>
      <c r="S297" s="128"/>
      <c r="T297" s="128"/>
      <c r="U297" s="128"/>
      <c r="V297" s="129"/>
      <c r="W297" s="129"/>
      <c r="X297" s="129"/>
      <c r="Y297" s="129"/>
      <c r="Z297" s="129"/>
      <c r="AA297" s="129"/>
      <c r="AB297" s="129"/>
      <c r="AC297" s="129"/>
    </row>
    <row r="298" spans="2:29" x14ac:dyDescent="0.35">
      <c r="B298" s="59"/>
      <c r="C298" s="59"/>
      <c r="E298" s="125"/>
      <c r="I298" s="126"/>
      <c r="M298" s="127"/>
      <c r="N298" s="128"/>
      <c r="O298" s="128"/>
      <c r="P298" s="128"/>
      <c r="Q298" s="128"/>
      <c r="R298" s="128"/>
      <c r="S298" s="128"/>
      <c r="T298" s="128"/>
      <c r="U298" s="128"/>
      <c r="V298" s="129"/>
      <c r="W298" s="129"/>
      <c r="X298" s="129"/>
      <c r="Y298" s="129"/>
      <c r="Z298" s="129"/>
      <c r="AA298" s="129"/>
      <c r="AB298" s="129"/>
      <c r="AC298" s="129"/>
    </row>
    <row r="299" spans="2:29" x14ac:dyDescent="0.35">
      <c r="B299" s="59"/>
      <c r="C299" s="59"/>
      <c r="E299" s="125"/>
      <c r="I299" s="126"/>
      <c r="M299" s="127"/>
      <c r="N299" s="128"/>
      <c r="O299" s="128"/>
      <c r="P299" s="128"/>
      <c r="Q299" s="128"/>
      <c r="R299" s="128"/>
      <c r="S299" s="128"/>
      <c r="T299" s="128"/>
      <c r="U299" s="128"/>
      <c r="V299" s="129"/>
      <c r="W299" s="129"/>
      <c r="X299" s="129"/>
      <c r="Y299" s="129"/>
      <c r="Z299" s="129"/>
      <c r="AA299" s="129"/>
      <c r="AB299" s="129"/>
      <c r="AC299" s="129"/>
    </row>
    <row r="300" spans="2:29" x14ac:dyDescent="0.35">
      <c r="B300" s="59"/>
      <c r="C300" s="59"/>
      <c r="E300" s="125"/>
      <c r="I300" s="126"/>
      <c r="M300" s="127"/>
      <c r="N300" s="128"/>
      <c r="O300" s="128"/>
      <c r="P300" s="128"/>
      <c r="Q300" s="128"/>
      <c r="R300" s="128"/>
      <c r="S300" s="128"/>
      <c r="T300" s="128"/>
      <c r="U300" s="128"/>
      <c r="V300" s="129"/>
      <c r="W300" s="129"/>
      <c r="X300" s="129"/>
      <c r="Y300" s="129"/>
      <c r="Z300" s="129"/>
      <c r="AA300" s="129"/>
      <c r="AB300" s="129"/>
      <c r="AC300" s="129"/>
    </row>
    <row r="301" spans="2:29" x14ac:dyDescent="0.35">
      <c r="B301" s="59"/>
      <c r="C301" s="59"/>
      <c r="E301" s="125"/>
      <c r="I301" s="126"/>
      <c r="M301" s="127"/>
      <c r="N301" s="128"/>
      <c r="O301" s="128"/>
      <c r="P301" s="128"/>
      <c r="Q301" s="128"/>
      <c r="R301" s="128"/>
      <c r="S301" s="128"/>
      <c r="T301" s="128"/>
      <c r="U301" s="128"/>
      <c r="V301" s="129"/>
      <c r="W301" s="129"/>
      <c r="X301" s="129"/>
      <c r="Y301" s="129"/>
      <c r="Z301" s="129"/>
      <c r="AA301" s="129"/>
      <c r="AB301" s="129"/>
      <c r="AC301" s="129"/>
    </row>
    <row r="302" spans="2:29" x14ac:dyDescent="0.35">
      <c r="B302" s="59"/>
      <c r="C302" s="59"/>
      <c r="E302" s="125"/>
      <c r="I302" s="126"/>
      <c r="M302" s="127"/>
      <c r="N302" s="128"/>
      <c r="O302" s="128"/>
      <c r="P302" s="128"/>
      <c r="Q302" s="128"/>
      <c r="R302" s="128"/>
      <c r="S302" s="128"/>
      <c r="T302" s="128"/>
      <c r="U302" s="128"/>
      <c r="V302" s="129"/>
      <c r="W302" s="129"/>
      <c r="X302" s="129"/>
      <c r="Y302" s="129"/>
      <c r="Z302" s="129"/>
      <c r="AA302" s="129"/>
      <c r="AB302" s="129"/>
      <c r="AC302" s="129"/>
    </row>
    <row r="303" spans="2:29" x14ac:dyDescent="0.35">
      <c r="B303" s="59"/>
      <c r="C303" s="59"/>
      <c r="E303" s="125"/>
      <c r="I303" s="126"/>
      <c r="M303" s="127"/>
      <c r="N303" s="128"/>
      <c r="O303" s="128"/>
      <c r="P303" s="128"/>
      <c r="Q303" s="128"/>
      <c r="R303" s="128"/>
      <c r="S303" s="128"/>
      <c r="T303" s="128"/>
      <c r="U303" s="128"/>
      <c r="V303" s="129"/>
      <c r="W303" s="129"/>
      <c r="X303" s="129"/>
      <c r="Y303" s="129"/>
      <c r="Z303" s="129"/>
      <c r="AA303" s="129"/>
      <c r="AB303" s="129"/>
      <c r="AC303" s="129"/>
    </row>
    <row r="304" spans="2:29" x14ac:dyDescent="0.35">
      <c r="B304" s="59"/>
      <c r="C304" s="59"/>
      <c r="E304" s="125"/>
      <c r="I304" s="126"/>
      <c r="M304" s="127"/>
      <c r="N304" s="128"/>
      <c r="O304" s="128"/>
      <c r="P304" s="128"/>
      <c r="Q304" s="128"/>
      <c r="R304" s="128"/>
      <c r="S304" s="128"/>
      <c r="T304" s="128"/>
      <c r="U304" s="128"/>
      <c r="V304" s="129"/>
      <c r="W304" s="129"/>
      <c r="X304" s="129"/>
      <c r="Y304" s="129"/>
      <c r="Z304" s="129"/>
      <c r="AA304" s="129"/>
      <c r="AB304" s="129"/>
      <c r="AC304" s="129"/>
    </row>
    <row r="305" spans="2:29" x14ac:dyDescent="0.35">
      <c r="B305" s="59"/>
      <c r="C305" s="59"/>
      <c r="E305" s="125"/>
      <c r="I305" s="126"/>
      <c r="M305" s="127"/>
      <c r="N305" s="128"/>
      <c r="O305" s="128"/>
      <c r="P305" s="128"/>
      <c r="Q305" s="128"/>
      <c r="R305" s="128"/>
      <c r="S305" s="128"/>
      <c r="T305" s="128"/>
      <c r="U305" s="128"/>
      <c r="V305" s="129"/>
      <c r="W305" s="129"/>
      <c r="X305" s="129"/>
      <c r="Y305" s="129"/>
      <c r="Z305" s="129"/>
      <c r="AA305" s="129"/>
      <c r="AB305" s="129"/>
      <c r="AC305" s="129"/>
    </row>
    <row r="306" spans="2:29" x14ac:dyDescent="0.35">
      <c r="B306" s="59"/>
      <c r="C306" s="59"/>
      <c r="E306" s="125"/>
      <c r="I306" s="126"/>
      <c r="M306" s="127"/>
      <c r="N306" s="128"/>
      <c r="O306" s="128"/>
      <c r="P306" s="128"/>
      <c r="Q306" s="128"/>
      <c r="R306" s="128"/>
      <c r="S306" s="128"/>
      <c r="T306" s="128"/>
      <c r="U306" s="128"/>
      <c r="V306" s="129"/>
      <c r="W306" s="129"/>
      <c r="X306" s="129"/>
      <c r="Y306" s="129"/>
      <c r="Z306" s="129"/>
      <c r="AA306" s="129"/>
      <c r="AB306" s="129"/>
      <c r="AC306" s="129"/>
    </row>
    <row r="307" spans="2:29" x14ac:dyDescent="0.35">
      <c r="B307" s="59"/>
      <c r="C307" s="59"/>
      <c r="E307" s="125"/>
      <c r="I307" s="126"/>
      <c r="M307" s="127"/>
      <c r="N307" s="128"/>
      <c r="O307" s="128"/>
      <c r="P307" s="128"/>
      <c r="Q307" s="128"/>
      <c r="R307" s="128"/>
      <c r="S307" s="128"/>
      <c r="T307" s="128"/>
      <c r="U307" s="128"/>
      <c r="V307" s="129"/>
      <c r="W307" s="129"/>
      <c r="X307" s="129"/>
      <c r="Y307" s="129"/>
      <c r="Z307" s="129"/>
      <c r="AA307" s="129"/>
      <c r="AB307" s="129"/>
      <c r="AC307" s="129"/>
    </row>
    <row r="308" spans="2:29" x14ac:dyDescent="0.35">
      <c r="B308" s="59"/>
      <c r="C308" s="59"/>
      <c r="E308" s="125"/>
      <c r="I308" s="126"/>
      <c r="M308" s="127"/>
      <c r="N308" s="128"/>
      <c r="O308" s="128"/>
      <c r="P308" s="128"/>
      <c r="Q308" s="128"/>
      <c r="R308" s="128"/>
      <c r="S308" s="128"/>
      <c r="T308" s="128"/>
      <c r="U308" s="128"/>
      <c r="V308" s="129"/>
      <c r="W308" s="129"/>
      <c r="X308" s="129"/>
      <c r="Y308" s="129"/>
      <c r="Z308" s="129"/>
      <c r="AA308" s="129"/>
      <c r="AB308" s="129"/>
      <c r="AC308" s="129"/>
    </row>
    <row r="309" spans="2:29" x14ac:dyDescent="0.35">
      <c r="B309" s="59"/>
      <c r="C309" s="59"/>
      <c r="E309" s="125"/>
      <c r="I309" s="126"/>
      <c r="M309" s="127"/>
      <c r="N309" s="128"/>
      <c r="O309" s="128"/>
      <c r="P309" s="128"/>
      <c r="Q309" s="128"/>
      <c r="R309" s="128"/>
      <c r="S309" s="128"/>
      <c r="T309" s="128"/>
      <c r="U309" s="128"/>
      <c r="V309" s="129"/>
      <c r="W309" s="129"/>
      <c r="X309" s="129"/>
      <c r="Y309" s="129"/>
      <c r="Z309" s="129"/>
      <c r="AA309" s="129"/>
      <c r="AB309" s="129"/>
      <c r="AC309" s="129"/>
    </row>
    <row r="310" spans="2:29" x14ac:dyDescent="0.35">
      <c r="B310" s="59"/>
      <c r="C310" s="59"/>
      <c r="E310" s="125"/>
      <c r="I310" s="126"/>
      <c r="M310" s="127"/>
      <c r="N310" s="128"/>
      <c r="O310" s="128"/>
      <c r="P310" s="128"/>
      <c r="Q310" s="128"/>
      <c r="R310" s="128"/>
      <c r="S310" s="128"/>
      <c r="T310" s="128"/>
      <c r="U310" s="128"/>
      <c r="V310" s="129"/>
      <c r="W310" s="129"/>
      <c r="X310" s="129"/>
      <c r="Y310" s="129"/>
      <c r="Z310" s="129"/>
      <c r="AA310" s="129"/>
      <c r="AB310" s="129"/>
      <c r="AC310" s="129"/>
    </row>
    <row r="311" spans="2:29" x14ac:dyDescent="0.35">
      <c r="B311" s="59"/>
      <c r="C311" s="59"/>
      <c r="E311" s="125"/>
      <c r="I311" s="126"/>
      <c r="M311" s="127"/>
      <c r="N311" s="128"/>
      <c r="O311" s="128"/>
      <c r="P311" s="128"/>
      <c r="Q311" s="128"/>
      <c r="R311" s="128"/>
      <c r="S311" s="128"/>
      <c r="T311" s="128"/>
      <c r="U311" s="128"/>
      <c r="V311" s="129"/>
      <c r="W311" s="129"/>
      <c r="X311" s="129"/>
      <c r="Y311" s="129"/>
      <c r="Z311" s="129"/>
      <c r="AA311" s="129"/>
      <c r="AB311" s="129"/>
      <c r="AC311" s="129"/>
    </row>
    <row r="312" spans="2:29" x14ac:dyDescent="0.35">
      <c r="B312" s="59"/>
      <c r="C312" s="59"/>
      <c r="E312" s="125"/>
      <c r="I312" s="126"/>
      <c r="M312" s="127"/>
      <c r="N312" s="128"/>
      <c r="O312" s="128"/>
      <c r="P312" s="128"/>
      <c r="Q312" s="128"/>
      <c r="R312" s="128"/>
      <c r="S312" s="128"/>
      <c r="T312" s="128"/>
      <c r="U312" s="128"/>
      <c r="V312" s="129"/>
      <c r="W312" s="129"/>
      <c r="X312" s="129"/>
      <c r="Y312" s="129"/>
      <c r="Z312" s="129"/>
      <c r="AA312" s="129"/>
      <c r="AB312" s="129"/>
      <c r="AC312" s="129"/>
    </row>
    <row r="313" spans="2:29" x14ac:dyDescent="0.35">
      <c r="B313" s="59"/>
      <c r="C313" s="59"/>
      <c r="E313" s="125"/>
      <c r="I313" s="126"/>
      <c r="M313" s="127"/>
      <c r="N313" s="128"/>
      <c r="O313" s="128"/>
      <c r="P313" s="128"/>
      <c r="Q313" s="128"/>
      <c r="R313" s="128"/>
      <c r="S313" s="128"/>
      <c r="T313" s="128"/>
      <c r="U313" s="128"/>
      <c r="V313" s="129"/>
      <c r="W313" s="129"/>
      <c r="X313" s="129"/>
      <c r="Y313" s="129"/>
      <c r="Z313" s="129"/>
      <c r="AA313" s="129"/>
      <c r="AB313" s="129"/>
      <c r="AC313" s="129"/>
    </row>
    <row r="314" spans="2:29" x14ac:dyDescent="0.35">
      <c r="B314" s="59"/>
      <c r="C314" s="59"/>
      <c r="E314" s="125"/>
      <c r="I314" s="126"/>
      <c r="M314" s="127"/>
      <c r="N314" s="128"/>
      <c r="O314" s="128"/>
      <c r="P314" s="128"/>
      <c r="Q314" s="128"/>
      <c r="R314" s="128"/>
      <c r="S314" s="128"/>
      <c r="T314" s="128"/>
      <c r="U314" s="128"/>
      <c r="V314" s="129"/>
      <c r="W314" s="129"/>
      <c r="X314" s="129"/>
      <c r="Y314" s="129"/>
      <c r="Z314" s="129"/>
      <c r="AA314" s="129"/>
      <c r="AB314" s="129"/>
      <c r="AC314" s="129"/>
    </row>
    <row r="315" spans="2:29" x14ac:dyDescent="0.35">
      <c r="B315" s="59"/>
      <c r="C315" s="59"/>
      <c r="E315" s="125"/>
      <c r="I315" s="126"/>
      <c r="M315" s="127"/>
      <c r="N315" s="128"/>
      <c r="O315" s="128"/>
      <c r="P315" s="128"/>
      <c r="Q315" s="128"/>
      <c r="R315" s="128"/>
      <c r="S315" s="128"/>
      <c r="T315" s="128"/>
      <c r="U315" s="128"/>
      <c r="V315" s="129"/>
      <c r="W315" s="129"/>
      <c r="X315" s="129"/>
      <c r="Y315" s="129"/>
      <c r="Z315" s="129"/>
      <c r="AA315" s="129"/>
      <c r="AB315" s="129"/>
      <c r="AC315" s="129"/>
    </row>
    <row r="316" spans="2:29" x14ac:dyDescent="0.35">
      <c r="B316" s="59"/>
      <c r="C316" s="59"/>
      <c r="E316" s="125"/>
      <c r="I316" s="126"/>
      <c r="M316" s="127"/>
      <c r="N316" s="128"/>
      <c r="O316" s="128"/>
      <c r="P316" s="128"/>
      <c r="Q316" s="128"/>
      <c r="R316" s="128"/>
      <c r="S316" s="128"/>
      <c r="T316" s="128"/>
      <c r="U316" s="128"/>
      <c r="V316" s="129"/>
      <c r="W316" s="129"/>
      <c r="X316" s="129"/>
      <c r="Y316" s="129"/>
      <c r="Z316" s="129"/>
      <c r="AA316" s="129"/>
      <c r="AB316" s="129"/>
      <c r="AC316" s="129"/>
    </row>
    <row r="317" spans="2:29" x14ac:dyDescent="0.35">
      <c r="B317" s="59"/>
      <c r="C317" s="59"/>
      <c r="E317" s="125"/>
      <c r="I317" s="126"/>
      <c r="M317" s="127"/>
      <c r="N317" s="128"/>
      <c r="O317" s="128"/>
      <c r="P317" s="128"/>
      <c r="Q317" s="128"/>
      <c r="R317" s="128"/>
      <c r="S317" s="128"/>
      <c r="T317" s="128"/>
      <c r="U317" s="128"/>
      <c r="V317" s="129"/>
      <c r="W317" s="129"/>
      <c r="X317" s="129"/>
      <c r="Y317" s="129"/>
      <c r="Z317" s="129"/>
      <c r="AA317" s="129"/>
      <c r="AB317" s="129"/>
      <c r="AC317" s="129"/>
    </row>
    <row r="318" spans="2:29" x14ac:dyDescent="0.35">
      <c r="B318" s="59"/>
      <c r="C318" s="59"/>
      <c r="E318" s="125"/>
      <c r="I318" s="126"/>
      <c r="M318" s="127"/>
      <c r="N318" s="128"/>
      <c r="O318" s="128"/>
      <c r="P318" s="128"/>
      <c r="Q318" s="128"/>
      <c r="R318" s="128"/>
      <c r="S318" s="128"/>
      <c r="T318" s="128"/>
      <c r="U318" s="128"/>
      <c r="V318" s="129"/>
      <c r="W318" s="129"/>
      <c r="X318" s="129"/>
      <c r="Y318" s="129"/>
      <c r="Z318" s="129"/>
      <c r="AA318" s="129"/>
      <c r="AB318" s="129"/>
      <c r="AC318" s="129"/>
    </row>
    <row r="319" spans="2:29" x14ac:dyDescent="0.35">
      <c r="B319" s="59"/>
      <c r="C319" s="59"/>
      <c r="E319" s="125"/>
      <c r="I319" s="126"/>
      <c r="M319" s="127"/>
      <c r="N319" s="128"/>
      <c r="O319" s="128"/>
      <c r="P319" s="128"/>
      <c r="Q319" s="128"/>
      <c r="R319" s="128"/>
      <c r="S319" s="128"/>
      <c r="T319" s="128"/>
      <c r="U319" s="128"/>
      <c r="V319" s="129"/>
      <c r="W319" s="129"/>
      <c r="X319" s="129"/>
      <c r="Y319" s="129"/>
      <c r="Z319" s="129"/>
      <c r="AA319" s="129"/>
      <c r="AB319" s="129"/>
      <c r="AC319" s="129"/>
    </row>
    <row r="320" spans="2:29" x14ac:dyDescent="0.35">
      <c r="B320" s="59"/>
      <c r="C320" s="59"/>
      <c r="E320" s="125"/>
      <c r="I320" s="126"/>
      <c r="M320" s="127"/>
      <c r="N320" s="128"/>
      <c r="O320" s="128"/>
      <c r="P320" s="128"/>
      <c r="Q320" s="128"/>
      <c r="R320" s="128"/>
      <c r="S320" s="128"/>
      <c r="T320" s="128"/>
      <c r="U320" s="128"/>
      <c r="V320" s="129"/>
      <c r="W320" s="129"/>
      <c r="X320" s="129"/>
      <c r="Y320" s="129"/>
      <c r="Z320" s="129"/>
      <c r="AA320" s="129"/>
      <c r="AB320" s="129"/>
      <c r="AC320" s="129"/>
    </row>
    <row r="321" spans="2:29" x14ac:dyDescent="0.35">
      <c r="B321" s="59"/>
      <c r="C321" s="59"/>
      <c r="E321" s="125"/>
      <c r="I321" s="126"/>
      <c r="M321" s="127"/>
      <c r="N321" s="128"/>
      <c r="O321" s="128"/>
      <c r="P321" s="128"/>
      <c r="Q321" s="128"/>
      <c r="R321" s="128"/>
      <c r="S321" s="128"/>
      <c r="T321" s="128"/>
      <c r="U321" s="128"/>
      <c r="V321" s="129"/>
      <c r="W321" s="129"/>
      <c r="X321" s="129"/>
      <c r="Y321" s="129"/>
      <c r="Z321" s="129"/>
      <c r="AA321" s="129"/>
      <c r="AB321" s="129"/>
      <c r="AC321" s="129"/>
    </row>
    <row r="322" spans="2:29" x14ac:dyDescent="0.35">
      <c r="B322" s="59"/>
      <c r="C322" s="59"/>
      <c r="E322" s="125"/>
      <c r="I322" s="126"/>
      <c r="M322" s="127"/>
      <c r="N322" s="128"/>
      <c r="O322" s="128"/>
      <c r="P322" s="128"/>
      <c r="Q322" s="128"/>
      <c r="R322" s="128"/>
      <c r="S322" s="128"/>
      <c r="T322" s="128"/>
      <c r="U322" s="128"/>
      <c r="V322" s="129"/>
      <c r="W322" s="129"/>
      <c r="X322" s="129"/>
      <c r="Y322" s="129"/>
      <c r="Z322" s="129"/>
      <c r="AA322" s="129"/>
      <c r="AB322" s="129"/>
      <c r="AC322" s="129"/>
    </row>
    <row r="323" spans="2:29" x14ac:dyDescent="0.35">
      <c r="B323" s="59"/>
      <c r="C323" s="59"/>
      <c r="E323" s="125"/>
      <c r="I323" s="126"/>
      <c r="M323" s="127"/>
      <c r="N323" s="128"/>
      <c r="O323" s="128"/>
      <c r="P323" s="128"/>
      <c r="Q323" s="128"/>
      <c r="R323" s="128"/>
      <c r="S323" s="128"/>
      <c r="T323" s="128"/>
      <c r="U323" s="128"/>
      <c r="V323" s="129"/>
      <c r="W323" s="129"/>
      <c r="X323" s="129"/>
      <c r="Y323" s="129"/>
      <c r="Z323" s="129"/>
      <c r="AA323" s="129"/>
      <c r="AB323" s="129"/>
      <c r="AC323" s="129"/>
    </row>
    <row r="324" spans="2:29" x14ac:dyDescent="0.35">
      <c r="B324" s="59"/>
      <c r="C324" s="59"/>
      <c r="E324" s="125"/>
      <c r="I324" s="126"/>
      <c r="M324" s="127"/>
      <c r="N324" s="128"/>
      <c r="O324" s="128"/>
      <c r="P324" s="128"/>
      <c r="Q324" s="128"/>
      <c r="R324" s="128"/>
      <c r="S324" s="128"/>
      <c r="T324" s="128"/>
      <c r="U324" s="128"/>
      <c r="V324" s="129"/>
      <c r="W324" s="129"/>
      <c r="X324" s="129"/>
      <c r="Y324" s="129"/>
      <c r="Z324" s="129"/>
      <c r="AA324" s="129"/>
      <c r="AB324" s="129"/>
      <c r="AC324" s="129"/>
    </row>
    <row r="325" spans="2:29" x14ac:dyDescent="0.35">
      <c r="B325" s="59"/>
      <c r="C325" s="59"/>
      <c r="E325" s="125"/>
      <c r="I325" s="126"/>
      <c r="M325" s="127"/>
      <c r="N325" s="128"/>
      <c r="O325" s="128"/>
      <c r="P325" s="128"/>
      <c r="Q325" s="128"/>
      <c r="R325" s="128"/>
      <c r="S325" s="128"/>
      <c r="T325" s="128"/>
      <c r="U325" s="128"/>
      <c r="V325" s="129"/>
      <c r="W325" s="129"/>
      <c r="X325" s="129"/>
      <c r="Y325" s="129"/>
      <c r="Z325" s="129"/>
      <c r="AA325" s="129"/>
      <c r="AB325" s="129"/>
      <c r="AC325" s="129"/>
    </row>
    <row r="326" spans="2:29" x14ac:dyDescent="0.35">
      <c r="B326" s="59"/>
      <c r="C326" s="59"/>
      <c r="E326" s="125"/>
      <c r="I326" s="126"/>
      <c r="M326" s="127"/>
      <c r="N326" s="128"/>
      <c r="O326" s="128"/>
      <c r="P326" s="128"/>
      <c r="Q326" s="128"/>
      <c r="R326" s="128"/>
      <c r="S326" s="128"/>
      <c r="T326" s="128"/>
      <c r="U326" s="128"/>
      <c r="V326" s="129"/>
      <c r="W326" s="129"/>
      <c r="X326" s="129"/>
      <c r="Y326" s="129"/>
      <c r="Z326" s="129"/>
      <c r="AA326" s="129"/>
      <c r="AB326" s="129"/>
      <c r="AC326" s="129"/>
    </row>
    <row r="327" spans="2:29" x14ac:dyDescent="0.35">
      <c r="B327" s="59"/>
      <c r="C327" s="59"/>
      <c r="E327" s="125"/>
      <c r="I327" s="126"/>
      <c r="M327" s="127"/>
      <c r="N327" s="128"/>
      <c r="O327" s="128"/>
      <c r="P327" s="128"/>
      <c r="Q327" s="128"/>
      <c r="R327" s="128"/>
      <c r="S327" s="128"/>
      <c r="T327" s="128"/>
      <c r="U327" s="128"/>
      <c r="V327" s="129"/>
      <c r="W327" s="129"/>
      <c r="X327" s="129"/>
      <c r="Y327" s="129"/>
      <c r="Z327" s="129"/>
      <c r="AA327" s="129"/>
      <c r="AB327" s="129"/>
      <c r="AC327" s="129"/>
    </row>
    <row r="328" spans="2:29" x14ac:dyDescent="0.35">
      <c r="B328" s="59"/>
      <c r="C328" s="59"/>
      <c r="E328" s="125"/>
      <c r="I328" s="126"/>
      <c r="M328" s="127"/>
      <c r="N328" s="128"/>
      <c r="O328" s="128"/>
      <c r="P328" s="128"/>
      <c r="Q328" s="128"/>
      <c r="R328" s="128"/>
      <c r="S328" s="128"/>
      <c r="T328" s="128"/>
      <c r="U328" s="128"/>
      <c r="V328" s="129"/>
      <c r="W328" s="129"/>
      <c r="X328" s="129"/>
      <c r="Y328" s="129"/>
      <c r="Z328" s="129"/>
      <c r="AA328" s="129"/>
      <c r="AB328" s="129"/>
      <c r="AC328" s="129"/>
    </row>
    <row r="329" spans="2:29" x14ac:dyDescent="0.35">
      <c r="B329" s="59"/>
      <c r="C329" s="59"/>
      <c r="E329" s="125"/>
      <c r="I329" s="126"/>
      <c r="M329" s="127"/>
      <c r="N329" s="128"/>
      <c r="O329" s="128"/>
      <c r="P329" s="128"/>
      <c r="Q329" s="128"/>
      <c r="R329" s="128"/>
      <c r="S329" s="128"/>
      <c r="T329" s="128"/>
      <c r="U329" s="128"/>
      <c r="V329" s="129"/>
      <c r="W329" s="129"/>
      <c r="X329" s="129"/>
      <c r="Y329" s="129"/>
      <c r="Z329" s="129"/>
      <c r="AA329" s="129"/>
      <c r="AB329" s="129"/>
      <c r="AC329" s="129"/>
    </row>
    <row r="330" spans="2:29" x14ac:dyDescent="0.35">
      <c r="B330" s="59"/>
      <c r="C330" s="59"/>
      <c r="E330" s="125"/>
      <c r="I330" s="126"/>
      <c r="M330" s="127"/>
      <c r="N330" s="128"/>
      <c r="O330" s="128"/>
      <c r="P330" s="128"/>
      <c r="Q330" s="128"/>
      <c r="R330" s="128"/>
      <c r="S330" s="128"/>
      <c r="T330" s="128"/>
      <c r="U330" s="128"/>
      <c r="V330" s="129"/>
      <c r="W330" s="129"/>
      <c r="X330" s="129"/>
      <c r="Y330" s="129"/>
      <c r="Z330" s="129"/>
      <c r="AA330" s="129"/>
      <c r="AB330" s="129"/>
      <c r="AC330" s="129"/>
    </row>
    <row r="331" spans="2:29" x14ac:dyDescent="0.35">
      <c r="B331" s="59"/>
      <c r="C331" s="59"/>
      <c r="E331" s="125"/>
      <c r="I331" s="126"/>
      <c r="M331" s="127"/>
      <c r="N331" s="128"/>
      <c r="O331" s="128"/>
      <c r="P331" s="128"/>
      <c r="Q331" s="128"/>
      <c r="R331" s="128"/>
      <c r="S331" s="128"/>
      <c r="T331" s="128"/>
      <c r="U331" s="128"/>
      <c r="V331" s="129"/>
      <c r="W331" s="129"/>
      <c r="X331" s="129"/>
      <c r="Y331" s="129"/>
      <c r="Z331" s="129"/>
      <c r="AA331" s="129"/>
      <c r="AB331" s="129"/>
      <c r="AC331" s="129"/>
    </row>
    <row r="332" spans="2:29" x14ac:dyDescent="0.35">
      <c r="B332" s="59"/>
      <c r="C332" s="59"/>
      <c r="E332" s="125"/>
      <c r="I332" s="126"/>
      <c r="M332" s="127"/>
      <c r="N332" s="128"/>
      <c r="O332" s="128"/>
      <c r="P332" s="128"/>
      <c r="Q332" s="128"/>
      <c r="R332" s="128"/>
      <c r="S332" s="128"/>
      <c r="T332" s="128"/>
      <c r="U332" s="128"/>
      <c r="V332" s="129"/>
      <c r="W332" s="129"/>
      <c r="X332" s="129"/>
      <c r="Y332" s="129"/>
      <c r="Z332" s="129"/>
      <c r="AA332" s="129"/>
      <c r="AB332" s="129"/>
      <c r="AC332" s="129"/>
    </row>
    <row r="333" spans="2:29" x14ac:dyDescent="0.35">
      <c r="B333" s="59"/>
      <c r="C333" s="59"/>
      <c r="E333" s="125"/>
      <c r="I333" s="126"/>
      <c r="M333" s="127"/>
      <c r="N333" s="128"/>
      <c r="O333" s="128"/>
      <c r="P333" s="128"/>
      <c r="Q333" s="128"/>
      <c r="R333" s="128"/>
      <c r="S333" s="128"/>
      <c r="T333" s="128"/>
      <c r="U333" s="128"/>
      <c r="V333" s="129"/>
      <c r="W333" s="129"/>
      <c r="X333" s="129"/>
      <c r="Y333" s="129"/>
      <c r="Z333" s="129"/>
      <c r="AA333" s="129"/>
      <c r="AB333" s="129"/>
      <c r="AC333" s="129"/>
    </row>
    <row r="334" spans="2:29" x14ac:dyDescent="0.35">
      <c r="B334" s="59"/>
      <c r="C334" s="59"/>
      <c r="E334" s="125"/>
      <c r="I334" s="126"/>
      <c r="M334" s="127"/>
      <c r="N334" s="128"/>
      <c r="O334" s="128"/>
      <c r="P334" s="128"/>
      <c r="Q334" s="128"/>
      <c r="R334" s="128"/>
      <c r="S334" s="128"/>
      <c r="T334" s="128"/>
      <c r="U334" s="128"/>
      <c r="V334" s="129"/>
      <c r="W334" s="129"/>
      <c r="X334" s="129"/>
      <c r="Y334" s="129"/>
      <c r="Z334" s="129"/>
      <c r="AA334" s="129"/>
      <c r="AB334" s="129"/>
      <c r="AC334" s="129"/>
    </row>
    <row r="335" spans="2:29" x14ac:dyDescent="0.35">
      <c r="B335" s="59"/>
      <c r="C335" s="59"/>
      <c r="E335" s="125"/>
      <c r="I335" s="126"/>
      <c r="M335" s="127"/>
      <c r="N335" s="128"/>
      <c r="O335" s="128"/>
      <c r="P335" s="128"/>
      <c r="Q335" s="128"/>
      <c r="R335" s="128"/>
      <c r="S335" s="128"/>
      <c r="T335" s="128"/>
      <c r="U335" s="128"/>
      <c r="V335" s="129"/>
      <c r="W335" s="129"/>
      <c r="X335" s="129"/>
      <c r="Y335" s="129"/>
      <c r="Z335" s="129"/>
      <c r="AA335" s="129"/>
      <c r="AB335" s="129"/>
      <c r="AC335" s="129"/>
    </row>
    <row r="336" spans="2:29" x14ac:dyDescent="0.35">
      <c r="B336" s="59"/>
      <c r="C336" s="59"/>
      <c r="E336" s="125"/>
      <c r="I336" s="126"/>
      <c r="M336" s="127"/>
      <c r="N336" s="128"/>
      <c r="O336" s="128"/>
      <c r="P336" s="128"/>
      <c r="Q336" s="128"/>
      <c r="R336" s="128"/>
      <c r="S336" s="128"/>
      <c r="T336" s="128"/>
      <c r="U336" s="128"/>
      <c r="V336" s="129"/>
      <c r="W336" s="129"/>
      <c r="X336" s="129"/>
      <c r="Y336" s="129"/>
      <c r="Z336" s="129"/>
      <c r="AA336" s="129"/>
      <c r="AB336" s="129"/>
      <c r="AC336" s="129"/>
    </row>
    <row r="337" spans="2:29" x14ac:dyDescent="0.35">
      <c r="B337" s="59"/>
      <c r="C337" s="59"/>
      <c r="E337" s="125"/>
      <c r="I337" s="126"/>
      <c r="M337" s="127"/>
      <c r="N337" s="128"/>
      <c r="O337" s="128"/>
      <c r="P337" s="128"/>
      <c r="Q337" s="128"/>
      <c r="R337" s="128"/>
      <c r="S337" s="128"/>
      <c r="T337" s="128"/>
      <c r="U337" s="128"/>
      <c r="V337" s="129"/>
      <c r="W337" s="129"/>
      <c r="X337" s="129"/>
      <c r="Y337" s="129"/>
      <c r="Z337" s="129"/>
      <c r="AA337" s="129"/>
      <c r="AB337" s="129"/>
      <c r="AC337" s="129"/>
    </row>
    <row r="338" spans="2:29" x14ac:dyDescent="0.35">
      <c r="B338" s="59"/>
      <c r="C338" s="59"/>
      <c r="E338" s="125"/>
      <c r="I338" s="126"/>
      <c r="M338" s="127"/>
      <c r="N338" s="128"/>
      <c r="O338" s="128"/>
      <c r="P338" s="128"/>
      <c r="Q338" s="128"/>
      <c r="R338" s="128"/>
      <c r="S338" s="128"/>
      <c r="T338" s="128"/>
      <c r="U338" s="128"/>
      <c r="V338" s="129"/>
      <c r="W338" s="129"/>
      <c r="X338" s="129"/>
      <c r="Y338" s="129"/>
      <c r="Z338" s="129"/>
      <c r="AA338" s="129"/>
      <c r="AB338" s="129"/>
      <c r="AC338" s="129"/>
    </row>
    <row r="339" spans="2:29" x14ac:dyDescent="0.35">
      <c r="B339" s="59"/>
      <c r="C339" s="59"/>
      <c r="E339" s="125"/>
      <c r="I339" s="126"/>
      <c r="M339" s="127"/>
      <c r="N339" s="128"/>
      <c r="O339" s="128"/>
      <c r="P339" s="128"/>
      <c r="Q339" s="128"/>
      <c r="R339" s="128"/>
      <c r="S339" s="128"/>
      <c r="T339" s="128"/>
      <c r="U339" s="128"/>
      <c r="V339" s="129"/>
      <c r="W339" s="129"/>
      <c r="X339" s="129"/>
      <c r="Y339" s="129"/>
      <c r="Z339" s="129"/>
      <c r="AA339" s="129"/>
      <c r="AB339" s="129"/>
      <c r="AC339" s="129"/>
    </row>
    <row r="340" spans="2:29" x14ac:dyDescent="0.35">
      <c r="B340" s="59"/>
      <c r="C340" s="59"/>
      <c r="E340" s="125"/>
      <c r="I340" s="126"/>
      <c r="M340" s="127"/>
      <c r="N340" s="128"/>
      <c r="O340" s="128"/>
      <c r="P340" s="128"/>
      <c r="Q340" s="128"/>
      <c r="R340" s="128"/>
      <c r="S340" s="128"/>
      <c r="T340" s="128"/>
      <c r="U340" s="128"/>
      <c r="V340" s="129"/>
      <c r="W340" s="129"/>
      <c r="X340" s="129"/>
      <c r="Y340" s="129"/>
      <c r="Z340" s="129"/>
      <c r="AA340" s="129"/>
      <c r="AB340" s="129"/>
      <c r="AC340" s="129"/>
    </row>
    <row r="341" spans="2:29" x14ac:dyDescent="0.35">
      <c r="B341" s="59"/>
      <c r="C341" s="59"/>
      <c r="E341" s="125"/>
      <c r="I341" s="126"/>
      <c r="M341" s="127"/>
      <c r="N341" s="128"/>
      <c r="O341" s="128"/>
      <c r="P341" s="128"/>
      <c r="Q341" s="128"/>
      <c r="R341" s="128"/>
      <c r="S341" s="128"/>
      <c r="T341" s="128"/>
      <c r="U341" s="128"/>
      <c r="V341" s="129"/>
      <c r="W341" s="129"/>
      <c r="X341" s="129"/>
      <c r="Y341" s="129"/>
      <c r="Z341" s="129"/>
      <c r="AA341" s="129"/>
      <c r="AB341" s="129"/>
      <c r="AC341" s="129"/>
    </row>
    <row r="342" spans="2:29" x14ac:dyDescent="0.35">
      <c r="B342" s="59"/>
      <c r="C342" s="59"/>
      <c r="E342" s="125"/>
      <c r="I342" s="126"/>
      <c r="M342" s="127"/>
      <c r="N342" s="128"/>
      <c r="O342" s="128"/>
      <c r="P342" s="128"/>
      <c r="Q342" s="128"/>
      <c r="R342" s="128"/>
      <c r="S342" s="128"/>
      <c r="T342" s="128"/>
      <c r="U342" s="128"/>
      <c r="V342" s="129"/>
      <c r="W342" s="129"/>
      <c r="X342" s="129"/>
      <c r="Y342" s="129"/>
      <c r="Z342" s="129"/>
      <c r="AA342" s="129"/>
      <c r="AB342" s="129"/>
      <c r="AC342" s="129"/>
    </row>
    <row r="343" spans="2:29" x14ac:dyDescent="0.35">
      <c r="B343" s="59"/>
      <c r="C343" s="59"/>
      <c r="E343" s="125"/>
      <c r="I343" s="126"/>
      <c r="M343" s="127"/>
      <c r="N343" s="128"/>
      <c r="O343" s="128"/>
      <c r="P343" s="128"/>
      <c r="Q343" s="128"/>
      <c r="R343" s="128"/>
      <c r="S343" s="128"/>
      <c r="T343" s="128"/>
      <c r="U343" s="128"/>
      <c r="V343" s="129"/>
      <c r="W343" s="129"/>
      <c r="X343" s="129"/>
      <c r="Y343" s="129"/>
      <c r="Z343" s="129"/>
      <c r="AA343" s="129"/>
      <c r="AB343" s="129"/>
      <c r="AC343" s="129"/>
    </row>
    <row r="344" spans="2:29" x14ac:dyDescent="0.35">
      <c r="B344" s="59"/>
      <c r="C344" s="59"/>
      <c r="E344" s="125"/>
      <c r="I344" s="126"/>
      <c r="M344" s="127"/>
      <c r="N344" s="128"/>
      <c r="O344" s="128"/>
      <c r="P344" s="128"/>
      <c r="Q344" s="128"/>
      <c r="R344" s="128"/>
      <c r="S344" s="128"/>
      <c r="T344" s="128"/>
      <c r="U344" s="128"/>
      <c r="V344" s="129"/>
      <c r="W344" s="129"/>
      <c r="X344" s="129"/>
      <c r="Y344" s="129"/>
      <c r="Z344" s="129"/>
      <c r="AA344" s="129"/>
      <c r="AB344" s="129"/>
      <c r="AC344" s="129"/>
    </row>
    <row r="345" spans="2:29" x14ac:dyDescent="0.35">
      <c r="B345" s="59"/>
      <c r="C345" s="59"/>
      <c r="E345" s="125"/>
      <c r="I345" s="126"/>
      <c r="M345" s="127"/>
      <c r="N345" s="128"/>
      <c r="O345" s="128"/>
      <c r="P345" s="128"/>
      <c r="Q345" s="128"/>
      <c r="R345" s="128"/>
      <c r="S345" s="128"/>
      <c r="T345" s="128"/>
      <c r="U345" s="128"/>
      <c r="V345" s="129"/>
      <c r="W345" s="129"/>
      <c r="X345" s="129"/>
      <c r="Y345" s="129"/>
      <c r="Z345" s="129"/>
      <c r="AA345" s="129"/>
      <c r="AB345" s="129"/>
      <c r="AC345" s="129"/>
    </row>
    <row r="346" spans="2:29" x14ac:dyDescent="0.35">
      <c r="B346" s="59"/>
      <c r="C346" s="59"/>
      <c r="E346" s="125"/>
      <c r="I346" s="126"/>
      <c r="M346" s="127"/>
      <c r="N346" s="128"/>
      <c r="O346" s="128"/>
      <c r="P346" s="128"/>
      <c r="Q346" s="128"/>
      <c r="R346" s="128"/>
      <c r="S346" s="128"/>
      <c r="T346" s="128"/>
      <c r="U346" s="128"/>
      <c r="V346" s="129"/>
      <c r="W346" s="129"/>
      <c r="X346" s="129"/>
      <c r="Y346" s="129"/>
      <c r="Z346" s="129"/>
      <c r="AA346" s="129"/>
      <c r="AB346" s="129"/>
      <c r="AC346" s="129"/>
    </row>
    <row r="347" spans="2:29" x14ac:dyDescent="0.35">
      <c r="B347" s="59"/>
      <c r="C347" s="59"/>
      <c r="E347" s="125"/>
      <c r="I347" s="126"/>
      <c r="M347" s="127"/>
      <c r="N347" s="128"/>
      <c r="O347" s="128"/>
      <c r="P347" s="128"/>
      <c r="Q347" s="128"/>
      <c r="R347" s="128"/>
      <c r="S347" s="128"/>
      <c r="T347" s="128"/>
      <c r="U347" s="128"/>
      <c r="V347" s="129"/>
      <c r="W347" s="129"/>
      <c r="X347" s="129"/>
      <c r="Y347" s="129"/>
      <c r="Z347" s="129"/>
      <c r="AA347" s="129"/>
      <c r="AB347" s="129"/>
      <c r="AC347" s="129"/>
    </row>
    <row r="348" spans="2:29" x14ac:dyDescent="0.35">
      <c r="B348" s="59"/>
      <c r="C348" s="59"/>
      <c r="E348" s="125"/>
      <c r="I348" s="126"/>
      <c r="M348" s="127"/>
      <c r="N348" s="128"/>
      <c r="O348" s="128"/>
      <c r="P348" s="128"/>
      <c r="Q348" s="128"/>
      <c r="R348" s="128"/>
      <c r="S348" s="128"/>
      <c r="T348" s="128"/>
      <c r="U348" s="128"/>
      <c r="V348" s="129"/>
      <c r="W348" s="129"/>
      <c r="X348" s="129"/>
      <c r="Y348" s="129"/>
      <c r="Z348" s="129"/>
      <c r="AA348" s="129"/>
      <c r="AB348" s="129"/>
      <c r="AC348" s="129"/>
    </row>
    <row r="349" spans="2:29" x14ac:dyDescent="0.35">
      <c r="B349" s="59"/>
      <c r="C349" s="59"/>
      <c r="E349" s="125"/>
      <c r="I349" s="126"/>
      <c r="M349" s="127"/>
      <c r="N349" s="128"/>
      <c r="O349" s="128"/>
      <c r="P349" s="128"/>
      <c r="Q349" s="128"/>
      <c r="R349" s="128"/>
      <c r="S349" s="128"/>
      <c r="T349" s="128"/>
      <c r="U349" s="128"/>
      <c r="V349" s="129"/>
      <c r="W349" s="129"/>
      <c r="X349" s="129"/>
      <c r="Y349" s="129"/>
      <c r="Z349" s="129"/>
      <c r="AA349" s="129"/>
      <c r="AB349" s="129"/>
      <c r="AC349" s="129"/>
    </row>
    <row r="350" spans="2:29" x14ac:dyDescent="0.35">
      <c r="B350" s="59"/>
      <c r="C350" s="59"/>
      <c r="E350" s="125"/>
      <c r="I350" s="126"/>
      <c r="M350" s="127"/>
      <c r="N350" s="128"/>
      <c r="O350" s="128"/>
      <c r="P350" s="128"/>
      <c r="Q350" s="128"/>
      <c r="R350" s="128"/>
      <c r="S350" s="128"/>
      <c r="T350" s="128"/>
      <c r="U350" s="128"/>
      <c r="V350" s="129"/>
      <c r="W350" s="129"/>
      <c r="X350" s="129"/>
      <c r="Y350" s="129"/>
      <c r="Z350" s="129"/>
      <c r="AA350" s="129"/>
      <c r="AB350" s="129"/>
      <c r="AC350" s="129"/>
    </row>
    <row r="351" spans="2:29" x14ac:dyDescent="0.35">
      <c r="B351" s="59"/>
      <c r="C351" s="59"/>
      <c r="E351" s="125"/>
      <c r="I351" s="126"/>
      <c r="M351" s="127"/>
      <c r="N351" s="128"/>
      <c r="O351" s="128"/>
      <c r="P351" s="128"/>
      <c r="Q351" s="128"/>
      <c r="R351" s="128"/>
      <c r="S351" s="128"/>
      <c r="T351" s="128"/>
      <c r="U351" s="128"/>
      <c r="V351" s="129"/>
      <c r="W351" s="129"/>
      <c r="X351" s="129"/>
      <c r="Y351" s="129"/>
      <c r="Z351" s="129"/>
      <c r="AA351" s="129"/>
      <c r="AB351" s="129"/>
      <c r="AC351" s="129"/>
    </row>
    <row r="352" spans="2:29" x14ac:dyDescent="0.35">
      <c r="B352" s="59"/>
      <c r="C352" s="59"/>
      <c r="E352" s="125"/>
      <c r="I352" s="126"/>
      <c r="M352" s="127"/>
      <c r="N352" s="128"/>
      <c r="O352" s="128"/>
      <c r="P352" s="128"/>
      <c r="Q352" s="128"/>
      <c r="R352" s="128"/>
      <c r="S352" s="128"/>
      <c r="T352" s="128"/>
      <c r="U352" s="128"/>
      <c r="V352" s="129"/>
      <c r="W352" s="129"/>
      <c r="X352" s="129"/>
      <c r="Y352" s="129"/>
      <c r="Z352" s="129"/>
      <c r="AA352" s="129"/>
      <c r="AB352" s="129"/>
      <c r="AC352" s="129"/>
    </row>
    <row r="353" spans="2:29" x14ac:dyDescent="0.35">
      <c r="B353" s="59"/>
      <c r="C353" s="59"/>
      <c r="E353" s="125"/>
      <c r="I353" s="126"/>
      <c r="M353" s="127"/>
      <c r="N353" s="128"/>
      <c r="O353" s="128"/>
      <c r="P353" s="128"/>
      <c r="Q353" s="128"/>
      <c r="R353" s="128"/>
      <c r="S353" s="128"/>
      <c r="T353" s="128"/>
      <c r="U353" s="128"/>
      <c r="V353" s="129"/>
      <c r="W353" s="129"/>
      <c r="X353" s="129"/>
      <c r="Y353" s="129"/>
      <c r="Z353" s="129"/>
      <c r="AA353" s="129"/>
      <c r="AB353" s="129"/>
      <c r="AC353" s="129"/>
    </row>
    <row r="354" spans="2:29" x14ac:dyDescent="0.35">
      <c r="B354" s="59"/>
      <c r="C354" s="59"/>
      <c r="E354" s="125"/>
      <c r="I354" s="126"/>
      <c r="M354" s="127"/>
      <c r="N354" s="128"/>
      <c r="O354" s="128"/>
      <c r="P354" s="128"/>
      <c r="Q354" s="128"/>
      <c r="R354" s="128"/>
      <c r="S354" s="128"/>
      <c r="T354" s="128"/>
      <c r="U354" s="128"/>
      <c r="V354" s="129"/>
      <c r="W354" s="129"/>
      <c r="X354" s="129"/>
      <c r="Y354" s="129"/>
      <c r="Z354" s="129"/>
      <c r="AA354" s="129"/>
      <c r="AB354" s="129"/>
      <c r="AC354" s="129"/>
    </row>
    <row r="355" spans="2:29" x14ac:dyDescent="0.35">
      <c r="B355" s="59"/>
      <c r="C355" s="59"/>
      <c r="E355" s="125"/>
      <c r="I355" s="126"/>
      <c r="M355" s="127"/>
      <c r="N355" s="128"/>
      <c r="O355" s="128"/>
      <c r="P355" s="128"/>
      <c r="Q355" s="128"/>
      <c r="R355" s="128"/>
      <c r="S355" s="128"/>
      <c r="T355" s="128"/>
      <c r="U355" s="128"/>
      <c r="V355" s="129"/>
      <c r="W355" s="129"/>
      <c r="X355" s="129"/>
      <c r="Y355" s="129"/>
      <c r="Z355" s="129"/>
      <c r="AA355" s="129"/>
      <c r="AB355" s="129"/>
      <c r="AC355" s="129"/>
    </row>
    <row r="356" spans="2:29" x14ac:dyDescent="0.35">
      <c r="B356" s="59"/>
      <c r="C356" s="59"/>
      <c r="E356" s="125"/>
      <c r="I356" s="126"/>
      <c r="M356" s="127"/>
      <c r="N356" s="128"/>
      <c r="O356" s="128"/>
      <c r="P356" s="128"/>
      <c r="Q356" s="128"/>
      <c r="R356" s="128"/>
      <c r="S356" s="128"/>
      <c r="T356" s="128"/>
      <c r="U356" s="128"/>
      <c r="V356" s="129"/>
      <c r="W356" s="129"/>
      <c r="X356" s="129"/>
      <c r="Y356" s="129"/>
      <c r="Z356" s="129"/>
      <c r="AA356" s="129"/>
      <c r="AB356" s="129"/>
      <c r="AC356" s="129"/>
    </row>
    <row r="357" spans="2:29" x14ac:dyDescent="0.35">
      <c r="B357" s="59"/>
      <c r="C357" s="59"/>
      <c r="E357" s="125"/>
      <c r="I357" s="126"/>
      <c r="M357" s="127"/>
      <c r="N357" s="128"/>
      <c r="O357" s="128"/>
      <c r="P357" s="128"/>
      <c r="Q357" s="128"/>
      <c r="R357" s="128"/>
      <c r="S357" s="128"/>
      <c r="T357" s="128"/>
      <c r="U357" s="128"/>
      <c r="V357" s="129"/>
      <c r="W357" s="129"/>
      <c r="X357" s="129"/>
      <c r="Y357" s="129"/>
      <c r="Z357" s="129"/>
      <c r="AA357" s="129"/>
      <c r="AB357" s="129"/>
      <c r="AC357" s="129"/>
    </row>
    <row r="358" spans="2:29" x14ac:dyDescent="0.35">
      <c r="B358" s="59"/>
      <c r="C358" s="59"/>
      <c r="E358" s="125"/>
      <c r="I358" s="126"/>
      <c r="M358" s="127"/>
      <c r="N358" s="128"/>
      <c r="O358" s="128"/>
      <c r="P358" s="128"/>
      <c r="Q358" s="128"/>
      <c r="R358" s="128"/>
      <c r="S358" s="128"/>
      <c r="T358" s="128"/>
      <c r="U358" s="128"/>
      <c r="V358" s="129"/>
      <c r="W358" s="129"/>
      <c r="X358" s="129"/>
      <c r="Y358" s="129"/>
      <c r="Z358" s="129"/>
      <c r="AA358" s="129"/>
      <c r="AB358" s="129"/>
      <c r="AC358" s="129"/>
    </row>
    <row r="359" spans="2:29" x14ac:dyDescent="0.35">
      <c r="B359" s="59"/>
      <c r="C359" s="59"/>
      <c r="E359" s="125"/>
      <c r="I359" s="126"/>
      <c r="M359" s="127"/>
      <c r="N359" s="128"/>
      <c r="O359" s="128"/>
      <c r="P359" s="128"/>
      <c r="Q359" s="128"/>
      <c r="R359" s="128"/>
      <c r="S359" s="128"/>
      <c r="T359" s="128"/>
      <c r="U359" s="128"/>
      <c r="V359" s="129"/>
      <c r="W359" s="129"/>
      <c r="X359" s="129"/>
      <c r="Y359" s="129"/>
      <c r="Z359" s="129"/>
      <c r="AA359" s="129"/>
      <c r="AB359" s="129"/>
      <c r="AC359" s="129"/>
    </row>
    <row r="360" spans="2:29" x14ac:dyDescent="0.35">
      <c r="B360" s="59"/>
      <c r="C360" s="59"/>
      <c r="E360" s="125"/>
      <c r="I360" s="126"/>
      <c r="M360" s="127"/>
      <c r="N360" s="128"/>
      <c r="O360" s="128"/>
      <c r="P360" s="128"/>
      <c r="Q360" s="128"/>
      <c r="R360" s="128"/>
      <c r="S360" s="128"/>
      <c r="T360" s="128"/>
      <c r="U360" s="128"/>
      <c r="V360" s="129"/>
      <c r="W360" s="129"/>
      <c r="X360" s="129"/>
      <c r="Y360" s="129"/>
      <c r="Z360" s="129"/>
      <c r="AA360" s="129"/>
      <c r="AB360" s="129"/>
      <c r="AC360" s="129"/>
    </row>
    <row r="361" spans="2:29" x14ac:dyDescent="0.35">
      <c r="B361" s="59"/>
      <c r="C361" s="59"/>
      <c r="E361" s="125"/>
      <c r="I361" s="126"/>
      <c r="M361" s="127"/>
      <c r="N361" s="128"/>
      <c r="O361" s="128"/>
      <c r="P361" s="128"/>
      <c r="Q361" s="128"/>
      <c r="R361" s="128"/>
      <c r="S361" s="128"/>
      <c r="T361" s="128"/>
      <c r="U361" s="128"/>
      <c r="V361" s="129"/>
      <c r="W361" s="129"/>
      <c r="X361" s="129"/>
      <c r="Y361" s="129"/>
      <c r="Z361" s="129"/>
      <c r="AA361" s="129"/>
      <c r="AB361" s="129"/>
      <c r="AC361" s="129"/>
    </row>
    <row r="362" spans="2:29" x14ac:dyDescent="0.35">
      <c r="B362" s="59"/>
      <c r="C362" s="59"/>
      <c r="E362" s="125"/>
      <c r="I362" s="126"/>
      <c r="M362" s="127"/>
      <c r="N362" s="128"/>
      <c r="O362" s="128"/>
      <c r="P362" s="128"/>
      <c r="Q362" s="128"/>
      <c r="R362" s="128"/>
      <c r="S362" s="128"/>
      <c r="T362" s="128"/>
      <c r="U362" s="128"/>
      <c r="V362" s="129"/>
      <c r="W362" s="129"/>
      <c r="X362" s="129"/>
      <c r="Y362" s="129"/>
      <c r="Z362" s="129"/>
      <c r="AA362" s="129"/>
      <c r="AB362" s="129"/>
      <c r="AC362" s="129"/>
    </row>
    <row r="363" spans="2:29" x14ac:dyDescent="0.35">
      <c r="B363" s="59"/>
      <c r="C363" s="59"/>
      <c r="E363" s="125"/>
      <c r="I363" s="126"/>
      <c r="M363" s="127"/>
      <c r="N363" s="128"/>
      <c r="O363" s="128"/>
      <c r="P363" s="128"/>
      <c r="Q363" s="128"/>
      <c r="R363" s="128"/>
      <c r="S363" s="128"/>
      <c r="T363" s="128"/>
      <c r="U363" s="128"/>
      <c r="V363" s="129"/>
      <c r="W363" s="129"/>
      <c r="X363" s="129"/>
      <c r="Y363" s="129"/>
      <c r="Z363" s="129"/>
      <c r="AA363" s="129"/>
      <c r="AB363" s="129"/>
      <c r="AC363" s="129"/>
    </row>
    <row r="364" spans="2:29" x14ac:dyDescent="0.35">
      <c r="B364" s="59"/>
      <c r="C364" s="59"/>
      <c r="E364" s="125"/>
      <c r="I364" s="126"/>
      <c r="M364" s="127"/>
      <c r="N364" s="128"/>
      <c r="O364" s="128"/>
      <c r="P364" s="128"/>
      <c r="Q364" s="128"/>
      <c r="R364" s="128"/>
      <c r="S364" s="128"/>
      <c r="T364" s="128"/>
      <c r="U364" s="128"/>
      <c r="V364" s="129"/>
      <c r="W364" s="129"/>
      <c r="X364" s="129"/>
      <c r="Y364" s="129"/>
      <c r="Z364" s="129"/>
      <c r="AA364" s="129"/>
      <c r="AB364" s="129"/>
      <c r="AC364" s="129"/>
    </row>
    <row r="365" spans="2:29" x14ac:dyDescent="0.35">
      <c r="B365" s="59"/>
      <c r="C365" s="59"/>
      <c r="E365" s="125"/>
      <c r="I365" s="126"/>
      <c r="M365" s="127"/>
      <c r="N365" s="128"/>
      <c r="O365" s="128"/>
      <c r="P365" s="128"/>
      <c r="Q365" s="128"/>
      <c r="R365" s="128"/>
      <c r="S365" s="128"/>
      <c r="T365" s="128"/>
      <c r="U365" s="128"/>
      <c r="V365" s="129"/>
      <c r="W365" s="129"/>
      <c r="X365" s="129"/>
      <c r="Y365" s="129"/>
      <c r="Z365" s="129"/>
      <c r="AA365" s="129"/>
      <c r="AB365" s="129"/>
      <c r="AC365" s="129"/>
    </row>
    <row r="366" spans="2:29" x14ac:dyDescent="0.35">
      <c r="B366" s="59"/>
      <c r="C366" s="59"/>
      <c r="E366" s="125"/>
      <c r="I366" s="126"/>
      <c r="M366" s="127"/>
      <c r="N366" s="128"/>
      <c r="O366" s="128"/>
      <c r="P366" s="128"/>
      <c r="Q366" s="128"/>
      <c r="R366" s="128"/>
      <c r="S366" s="128"/>
      <c r="T366" s="128"/>
      <c r="U366" s="128"/>
      <c r="V366" s="129"/>
      <c r="W366" s="129"/>
      <c r="X366" s="129"/>
      <c r="Y366" s="129"/>
      <c r="Z366" s="129"/>
      <c r="AA366" s="129"/>
      <c r="AB366" s="129"/>
      <c r="AC366" s="129"/>
    </row>
    <row r="367" spans="2:29" x14ac:dyDescent="0.35">
      <c r="B367" s="59"/>
      <c r="C367" s="59"/>
      <c r="E367" s="125"/>
      <c r="I367" s="126"/>
      <c r="M367" s="127"/>
      <c r="N367" s="128"/>
      <c r="O367" s="128"/>
      <c r="P367" s="128"/>
      <c r="Q367" s="128"/>
      <c r="R367" s="128"/>
      <c r="S367" s="128"/>
      <c r="T367" s="128"/>
      <c r="U367" s="128"/>
      <c r="V367" s="129"/>
      <c r="W367" s="129"/>
      <c r="X367" s="129"/>
      <c r="Y367" s="129"/>
      <c r="Z367" s="129"/>
      <c r="AA367" s="129"/>
      <c r="AB367" s="129"/>
      <c r="AC367" s="129"/>
    </row>
    <row r="368" spans="2:29" x14ac:dyDescent="0.35">
      <c r="B368" s="59"/>
      <c r="C368" s="59"/>
      <c r="E368" s="125"/>
      <c r="I368" s="126"/>
      <c r="M368" s="127"/>
      <c r="N368" s="128"/>
      <c r="O368" s="128"/>
      <c r="P368" s="128"/>
      <c r="Q368" s="128"/>
      <c r="R368" s="128"/>
      <c r="S368" s="128"/>
      <c r="T368" s="128"/>
      <c r="U368" s="128"/>
      <c r="V368" s="129"/>
      <c r="W368" s="129"/>
      <c r="X368" s="129"/>
      <c r="Y368" s="129"/>
      <c r="Z368" s="129"/>
      <c r="AA368" s="129"/>
      <c r="AB368" s="129"/>
      <c r="AC368" s="129"/>
    </row>
    <row r="369" spans="2:29" x14ac:dyDescent="0.35">
      <c r="B369" s="59"/>
      <c r="C369" s="59"/>
      <c r="E369" s="125"/>
      <c r="I369" s="126"/>
      <c r="M369" s="127"/>
      <c r="N369" s="128"/>
      <c r="O369" s="128"/>
      <c r="P369" s="128"/>
      <c r="Q369" s="128"/>
      <c r="R369" s="128"/>
      <c r="S369" s="128"/>
      <c r="T369" s="128"/>
      <c r="U369" s="128"/>
      <c r="V369" s="129"/>
      <c r="W369" s="129"/>
      <c r="X369" s="129"/>
      <c r="Y369" s="129"/>
      <c r="Z369" s="129"/>
      <c r="AA369" s="129"/>
      <c r="AB369" s="129"/>
      <c r="AC369" s="129"/>
    </row>
    <row r="370" spans="2:29" x14ac:dyDescent="0.35">
      <c r="B370" s="59"/>
      <c r="C370" s="59"/>
      <c r="E370" s="125"/>
      <c r="I370" s="126"/>
      <c r="M370" s="127"/>
      <c r="N370" s="128"/>
      <c r="O370" s="128"/>
      <c r="P370" s="128"/>
      <c r="Q370" s="128"/>
      <c r="R370" s="128"/>
      <c r="S370" s="128"/>
      <c r="T370" s="128"/>
      <c r="U370" s="128"/>
      <c r="V370" s="129"/>
      <c r="W370" s="129"/>
      <c r="X370" s="129"/>
      <c r="Y370" s="129"/>
      <c r="Z370" s="129"/>
      <c r="AA370" s="129"/>
      <c r="AB370" s="129"/>
      <c r="AC370" s="129"/>
    </row>
    <row r="371" spans="2:29" x14ac:dyDescent="0.35">
      <c r="B371" s="59"/>
      <c r="C371" s="59"/>
      <c r="E371" s="125"/>
      <c r="I371" s="126"/>
      <c r="M371" s="127"/>
      <c r="N371" s="128"/>
      <c r="O371" s="128"/>
      <c r="P371" s="128"/>
      <c r="Q371" s="128"/>
      <c r="R371" s="128"/>
      <c r="S371" s="128"/>
      <c r="T371" s="128"/>
      <c r="U371" s="128"/>
      <c r="V371" s="129"/>
      <c r="W371" s="129"/>
      <c r="X371" s="129"/>
      <c r="Y371" s="129"/>
      <c r="Z371" s="129"/>
      <c r="AA371" s="129"/>
      <c r="AB371" s="129"/>
      <c r="AC371" s="129"/>
    </row>
    <row r="372" spans="2:29" x14ac:dyDescent="0.35">
      <c r="B372" s="59"/>
      <c r="C372" s="59"/>
      <c r="E372" s="125"/>
      <c r="I372" s="126"/>
      <c r="M372" s="127"/>
      <c r="N372" s="128"/>
      <c r="O372" s="128"/>
      <c r="P372" s="128"/>
      <c r="Q372" s="128"/>
      <c r="R372" s="128"/>
      <c r="S372" s="128"/>
      <c r="T372" s="128"/>
      <c r="U372" s="128"/>
      <c r="V372" s="129"/>
      <c r="W372" s="129"/>
      <c r="X372" s="129"/>
      <c r="Y372" s="129"/>
      <c r="Z372" s="129"/>
      <c r="AA372" s="129"/>
      <c r="AB372" s="129"/>
      <c r="AC372" s="129"/>
    </row>
    <row r="373" spans="2:29" x14ac:dyDescent="0.35">
      <c r="B373" s="59"/>
      <c r="C373" s="59"/>
      <c r="E373" s="125"/>
      <c r="I373" s="126"/>
      <c r="M373" s="127"/>
      <c r="N373" s="128"/>
      <c r="O373" s="128"/>
      <c r="P373" s="128"/>
      <c r="Q373" s="128"/>
      <c r="R373" s="128"/>
      <c r="S373" s="128"/>
      <c r="T373" s="128"/>
      <c r="U373" s="128"/>
      <c r="V373" s="129"/>
      <c r="W373" s="129"/>
      <c r="X373" s="129"/>
      <c r="Y373" s="129"/>
      <c r="Z373" s="129"/>
      <c r="AA373" s="129"/>
      <c r="AB373" s="129"/>
      <c r="AC373" s="129"/>
    </row>
    <row r="374" spans="2:29" x14ac:dyDescent="0.35">
      <c r="B374" s="59"/>
      <c r="C374" s="59"/>
      <c r="E374" s="125"/>
      <c r="I374" s="126"/>
      <c r="M374" s="127"/>
      <c r="N374" s="128"/>
      <c r="O374" s="128"/>
      <c r="P374" s="128"/>
      <c r="Q374" s="128"/>
      <c r="R374" s="128"/>
      <c r="S374" s="128"/>
      <c r="T374" s="128"/>
      <c r="U374" s="128"/>
      <c r="V374" s="129"/>
      <c r="W374" s="129"/>
      <c r="X374" s="129"/>
      <c r="Y374" s="129"/>
      <c r="Z374" s="129"/>
      <c r="AA374" s="129"/>
      <c r="AB374" s="129"/>
      <c r="AC374" s="129"/>
    </row>
    <row r="375" spans="2:29" x14ac:dyDescent="0.35">
      <c r="B375" s="59"/>
      <c r="C375" s="59"/>
      <c r="E375" s="125"/>
      <c r="I375" s="126"/>
      <c r="M375" s="127"/>
      <c r="N375" s="128"/>
      <c r="O375" s="128"/>
      <c r="P375" s="128"/>
      <c r="Q375" s="128"/>
      <c r="R375" s="128"/>
      <c r="S375" s="128"/>
      <c r="T375" s="128"/>
      <c r="U375" s="128"/>
      <c r="V375" s="129"/>
      <c r="W375" s="129"/>
      <c r="X375" s="129"/>
      <c r="Y375" s="129"/>
      <c r="Z375" s="129"/>
      <c r="AA375" s="129"/>
      <c r="AB375" s="129"/>
      <c r="AC375" s="129"/>
    </row>
    <row r="376" spans="2:29" x14ac:dyDescent="0.35">
      <c r="B376" s="59"/>
      <c r="C376" s="59"/>
      <c r="E376" s="125"/>
      <c r="I376" s="126"/>
      <c r="M376" s="127"/>
      <c r="N376" s="128"/>
      <c r="O376" s="128"/>
      <c r="P376" s="128"/>
      <c r="Q376" s="128"/>
      <c r="R376" s="128"/>
      <c r="S376" s="128"/>
      <c r="T376" s="128"/>
      <c r="U376" s="128"/>
      <c r="V376" s="129"/>
      <c r="W376" s="129"/>
      <c r="X376" s="129"/>
      <c r="Y376" s="129"/>
      <c r="Z376" s="129"/>
      <c r="AA376" s="129"/>
      <c r="AB376" s="129"/>
      <c r="AC376" s="129"/>
    </row>
    <row r="377" spans="2:29" x14ac:dyDescent="0.35">
      <c r="B377" s="59"/>
      <c r="C377" s="59"/>
      <c r="E377" s="125"/>
      <c r="I377" s="126"/>
      <c r="M377" s="127"/>
      <c r="N377" s="128"/>
      <c r="O377" s="128"/>
      <c r="P377" s="128"/>
      <c r="Q377" s="128"/>
      <c r="R377" s="128"/>
      <c r="S377" s="128"/>
      <c r="T377" s="128"/>
      <c r="U377" s="128"/>
      <c r="V377" s="129"/>
      <c r="W377" s="129"/>
      <c r="X377" s="129"/>
      <c r="Y377" s="129"/>
      <c r="Z377" s="129"/>
      <c r="AA377" s="129"/>
      <c r="AB377" s="129"/>
      <c r="AC377" s="129"/>
    </row>
    <row r="378" spans="2:29" x14ac:dyDescent="0.35">
      <c r="B378" s="59"/>
      <c r="C378" s="59"/>
      <c r="E378" s="125"/>
      <c r="I378" s="126"/>
      <c r="M378" s="127"/>
      <c r="N378" s="128"/>
      <c r="O378" s="128"/>
      <c r="P378" s="128"/>
      <c r="Q378" s="128"/>
      <c r="R378" s="128"/>
      <c r="S378" s="128"/>
      <c r="T378" s="128"/>
      <c r="U378" s="128"/>
      <c r="V378" s="129"/>
      <c r="W378" s="129"/>
      <c r="X378" s="129"/>
      <c r="Y378" s="129"/>
      <c r="Z378" s="129"/>
      <c r="AA378" s="129"/>
      <c r="AB378" s="129"/>
      <c r="AC378" s="129"/>
    </row>
    <row r="379" spans="2:29" x14ac:dyDescent="0.35">
      <c r="B379" s="59"/>
      <c r="C379" s="59"/>
      <c r="E379" s="125"/>
      <c r="I379" s="126"/>
      <c r="M379" s="127"/>
      <c r="N379" s="128"/>
      <c r="O379" s="128"/>
      <c r="P379" s="128"/>
      <c r="Q379" s="128"/>
      <c r="R379" s="128"/>
      <c r="S379" s="128"/>
      <c r="T379" s="128"/>
      <c r="U379" s="128"/>
      <c r="V379" s="129"/>
      <c r="W379" s="129"/>
      <c r="X379" s="129"/>
      <c r="Y379" s="129"/>
      <c r="Z379" s="129"/>
      <c r="AA379" s="129"/>
      <c r="AB379" s="129"/>
      <c r="AC379" s="129"/>
    </row>
    <row r="380" spans="2:29" x14ac:dyDescent="0.35">
      <c r="B380" s="59"/>
      <c r="C380" s="59"/>
      <c r="E380" s="125"/>
      <c r="I380" s="126"/>
      <c r="M380" s="127"/>
      <c r="N380" s="128"/>
      <c r="O380" s="128"/>
      <c r="P380" s="128"/>
      <c r="Q380" s="128"/>
      <c r="R380" s="128"/>
      <c r="S380" s="128"/>
      <c r="T380" s="128"/>
      <c r="U380" s="128"/>
      <c r="V380" s="129"/>
      <c r="W380" s="129"/>
      <c r="X380" s="129"/>
      <c r="Y380" s="129"/>
      <c r="Z380" s="129"/>
      <c r="AA380" s="129"/>
      <c r="AB380" s="129"/>
      <c r="AC380" s="129"/>
    </row>
    <row r="381" spans="2:29" x14ac:dyDescent="0.35">
      <c r="B381" s="59"/>
      <c r="C381" s="59"/>
      <c r="E381" s="125"/>
      <c r="I381" s="126"/>
      <c r="M381" s="127"/>
      <c r="N381" s="128"/>
      <c r="O381" s="128"/>
      <c r="P381" s="128"/>
      <c r="Q381" s="128"/>
      <c r="R381" s="128"/>
      <c r="S381" s="128"/>
      <c r="T381" s="128"/>
      <c r="U381" s="128"/>
      <c r="V381" s="129"/>
      <c r="W381" s="129"/>
      <c r="X381" s="129"/>
      <c r="Y381" s="129"/>
      <c r="Z381" s="129"/>
      <c r="AA381" s="129"/>
      <c r="AB381" s="129"/>
      <c r="AC381" s="129"/>
    </row>
    <row r="382" spans="2:29" x14ac:dyDescent="0.35">
      <c r="B382" s="59"/>
      <c r="C382" s="59"/>
      <c r="E382" s="125"/>
      <c r="I382" s="126"/>
      <c r="M382" s="127"/>
      <c r="N382" s="128"/>
      <c r="O382" s="128"/>
      <c r="P382" s="128"/>
      <c r="Q382" s="128"/>
      <c r="R382" s="128"/>
      <c r="S382" s="128"/>
      <c r="T382" s="128"/>
      <c r="U382" s="128"/>
      <c r="V382" s="129"/>
      <c r="W382" s="129"/>
      <c r="X382" s="129"/>
      <c r="Y382" s="129"/>
      <c r="Z382" s="129"/>
      <c r="AA382" s="129"/>
      <c r="AB382" s="129"/>
      <c r="AC382" s="129"/>
    </row>
    <row r="383" spans="2:29" x14ac:dyDescent="0.35">
      <c r="B383" s="59"/>
      <c r="C383" s="59"/>
      <c r="E383" s="125"/>
      <c r="I383" s="126"/>
      <c r="M383" s="127"/>
      <c r="N383" s="128"/>
      <c r="O383" s="128"/>
      <c r="P383" s="128"/>
      <c r="Q383" s="128"/>
      <c r="R383" s="128"/>
      <c r="S383" s="128"/>
      <c r="T383" s="128"/>
      <c r="U383" s="128"/>
      <c r="V383" s="129"/>
      <c r="W383" s="129"/>
      <c r="X383" s="129"/>
      <c r="Y383" s="129"/>
      <c r="Z383" s="129"/>
      <c r="AA383" s="129"/>
      <c r="AB383" s="129"/>
      <c r="AC383" s="129"/>
    </row>
    <row r="384" spans="2:29" x14ac:dyDescent="0.35">
      <c r="B384" s="59"/>
      <c r="C384" s="59"/>
      <c r="E384" s="125"/>
      <c r="I384" s="126"/>
      <c r="M384" s="127"/>
      <c r="N384" s="128"/>
      <c r="O384" s="128"/>
      <c r="P384" s="128"/>
      <c r="Q384" s="128"/>
      <c r="R384" s="128"/>
      <c r="S384" s="128"/>
      <c r="T384" s="128"/>
      <c r="U384" s="128"/>
      <c r="V384" s="129"/>
      <c r="W384" s="129"/>
      <c r="X384" s="129"/>
      <c r="Y384" s="129"/>
      <c r="Z384" s="129"/>
      <c r="AA384" s="129"/>
      <c r="AB384" s="129"/>
      <c r="AC384" s="129"/>
    </row>
    <row r="385" spans="2:29" x14ac:dyDescent="0.35">
      <c r="B385" s="59"/>
      <c r="C385" s="59"/>
      <c r="E385" s="125"/>
      <c r="I385" s="126"/>
      <c r="M385" s="127"/>
      <c r="N385" s="128"/>
      <c r="O385" s="128"/>
      <c r="P385" s="128"/>
      <c r="Q385" s="128"/>
      <c r="R385" s="128"/>
      <c r="S385" s="128"/>
      <c r="T385" s="128"/>
      <c r="U385" s="128"/>
      <c r="V385" s="129"/>
      <c r="W385" s="129"/>
      <c r="X385" s="129"/>
      <c r="Y385" s="129"/>
      <c r="Z385" s="129"/>
      <c r="AA385" s="129"/>
      <c r="AB385" s="129"/>
      <c r="AC385" s="129"/>
    </row>
    <row r="386" spans="2:29" x14ac:dyDescent="0.35">
      <c r="B386" s="59"/>
      <c r="C386" s="59"/>
      <c r="E386" s="125"/>
      <c r="I386" s="126"/>
      <c r="M386" s="127"/>
      <c r="N386" s="128"/>
      <c r="O386" s="128"/>
      <c r="P386" s="128"/>
      <c r="Q386" s="128"/>
      <c r="R386" s="128"/>
      <c r="S386" s="128"/>
      <c r="T386" s="128"/>
      <c r="U386" s="128"/>
      <c r="V386" s="129"/>
      <c r="W386" s="129"/>
      <c r="X386" s="129"/>
      <c r="Y386" s="129"/>
      <c r="Z386" s="129"/>
      <c r="AA386" s="129"/>
      <c r="AB386" s="129"/>
      <c r="AC386" s="129"/>
    </row>
    <row r="387" spans="2:29" x14ac:dyDescent="0.35">
      <c r="B387" s="59"/>
      <c r="C387" s="59"/>
      <c r="E387" s="125"/>
      <c r="I387" s="126"/>
      <c r="M387" s="127"/>
      <c r="N387" s="128"/>
      <c r="O387" s="128"/>
      <c r="P387" s="128"/>
      <c r="Q387" s="128"/>
      <c r="R387" s="128"/>
      <c r="S387" s="128"/>
      <c r="T387" s="128"/>
      <c r="U387" s="128"/>
      <c r="V387" s="129"/>
      <c r="W387" s="129"/>
      <c r="X387" s="129"/>
      <c r="Y387" s="129"/>
      <c r="Z387" s="129"/>
      <c r="AA387" s="129"/>
      <c r="AB387" s="129"/>
      <c r="AC387" s="129"/>
    </row>
    <row r="388" spans="2:29" x14ac:dyDescent="0.35">
      <c r="B388" s="59"/>
      <c r="C388" s="59"/>
      <c r="E388" s="125"/>
      <c r="I388" s="126"/>
      <c r="M388" s="127"/>
      <c r="N388" s="128"/>
      <c r="O388" s="128"/>
      <c r="P388" s="128"/>
      <c r="Q388" s="128"/>
      <c r="R388" s="128"/>
      <c r="S388" s="128"/>
      <c r="T388" s="128"/>
      <c r="U388" s="128"/>
      <c r="V388" s="129"/>
      <c r="W388" s="129"/>
      <c r="X388" s="129"/>
      <c r="Y388" s="129"/>
      <c r="Z388" s="129"/>
      <c r="AA388" s="129"/>
      <c r="AB388" s="129"/>
      <c r="AC388" s="129"/>
    </row>
    <row r="389" spans="2:29" x14ac:dyDescent="0.35">
      <c r="B389" s="59"/>
      <c r="C389" s="59"/>
      <c r="E389" s="125"/>
      <c r="I389" s="126"/>
      <c r="M389" s="127"/>
      <c r="N389" s="128"/>
      <c r="O389" s="128"/>
      <c r="P389" s="128"/>
      <c r="Q389" s="128"/>
      <c r="R389" s="128"/>
      <c r="S389" s="128"/>
      <c r="T389" s="128"/>
      <c r="U389" s="128"/>
      <c r="V389" s="129"/>
      <c r="W389" s="129"/>
      <c r="X389" s="129"/>
      <c r="Y389" s="129"/>
      <c r="Z389" s="129"/>
      <c r="AA389" s="129"/>
      <c r="AB389" s="129"/>
      <c r="AC389" s="129"/>
    </row>
    <row r="390" spans="2:29" x14ac:dyDescent="0.35">
      <c r="B390" s="59"/>
      <c r="C390" s="59"/>
      <c r="E390" s="125"/>
      <c r="I390" s="126"/>
      <c r="M390" s="127"/>
      <c r="N390" s="128"/>
      <c r="O390" s="128"/>
      <c r="P390" s="128"/>
      <c r="Q390" s="128"/>
      <c r="R390" s="128"/>
      <c r="S390" s="128"/>
      <c r="T390" s="128"/>
      <c r="U390" s="128"/>
      <c r="V390" s="129"/>
      <c r="W390" s="129"/>
      <c r="X390" s="129"/>
      <c r="Y390" s="129"/>
      <c r="Z390" s="129"/>
      <c r="AA390" s="129"/>
      <c r="AB390" s="129"/>
      <c r="AC390" s="129"/>
    </row>
    <row r="391" spans="2:29" x14ac:dyDescent="0.35">
      <c r="B391" s="59"/>
      <c r="C391" s="59"/>
      <c r="E391" s="125"/>
      <c r="I391" s="126"/>
      <c r="M391" s="127"/>
      <c r="N391" s="128"/>
      <c r="O391" s="128"/>
      <c r="P391" s="128"/>
      <c r="Q391" s="128"/>
      <c r="R391" s="128"/>
      <c r="S391" s="128"/>
      <c r="T391" s="128"/>
      <c r="U391" s="128"/>
      <c r="V391" s="129"/>
      <c r="W391" s="129"/>
      <c r="X391" s="129"/>
      <c r="Y391" s="129"/>
      <c r="Z391" s="129"/>
      <c r="AA391" s="129"/>
      <c r="AB391" s="129"/>
      <c r="AC391" s="129"/>
    </row>
    <row r="392" spans="2:29" x14ac:dyDescent="0.35">
      <c r="B392" s="59"/>
      <c r="C392" s="59"/>
      <c r="E392" s="125"/>
      <c r="I392" s="126"/>
      <c r="M392" s="127"/>
      <c r="N392" s="128"/>
      <c r="O392" s="128"/>
      <c r="P392" s="128"/>
      <c r="Q392" s="128"/>
      <c r="R392" s="128"/>
      <c r="S392" s="128"/>
      <c r="T392" s="128"/>
      <c r="U392" s="128"/>
      <c r="V392" s="129"/>
      <c r="W392" s="129"/>
      <c r="X392" s="129"/>
      <c r="Y392" s="129"/>
      <c r="Z392" s="129"/>
      <c r="AA392" s="129"/>
      <c r="AB392" s="129"/>
      <c r="AC392" s="129"/>
    </row>
    <row r="393" spans="2:29" x14ac:dyDescent="0.35">
      <c r="B393" s="59"/>
      <c r="C393" s="59"/>
      <c r="E393" s="125"/>
      <c r="I393" s="126"/>
      <c r="M393" s="127"/>
      <c r="N393" s="128"/>
      <c r="O393" s="128"/>
      <c r="P393" s="128"/>
      <c r="Q393" s="128"/>
      <c r="R393" s="128"/>
      <c r="S393" s="128"/>
      <c r="T393" s="128"/>
      <c r="U393" s="128"/>
      <c r="V393" s="129"/>
      <c r="W393" s="129"/>
      <c r="X393" s="129"/>
      <c r="Y393" s="129"/>
      <c r="Z393" s="129"/>
      <c r="AA393" s="129"/>
      <c r="AB393" s="129"/>
      <c r="AC393" s="129"/>
    </row>
    <row r="394" spans="2:29" x14ac:dyDescent="0.35">
      <c r="B394" s="59"/>
      <c r="C394" s="59"/>
      <c r="E394" s="125"/>
      <c r="I394" s="126"/>
      <c r="M394" s="127"/>
      <c r="N394" s="128"/>
      <c r="O394" s="128"/>
      <c r="P394" s="128"/>
      <c r="Q394" s="128"/>
      <c r="R394" s="128"/>
      <c r="S394" s="128"/>
      <c r="T394" s="128"/>
      <c r="U394" s="128"/>
      <c r="V394" s="129"/>
      <c r="W394" s="129"/>
      <c r="X394" s="129"/>
      <c r="Y394" s="129"/>
      <c r="Z394" s="129"/>
      <c r="AA394" s="129"/>
      <c r="AB394" s="129"/>
      <c r="AC394" s="129"/>
    </row>
    <row r="395" spans="2:29" x14ac:dyDescent="0.35">
      <c r="B395" s="59"/>
      <c r="C395" s="59"/>
      <c r="E395" s="125"/>
      <c r="I395" s="126"/>
      <c r="M395" s="127"/>
      <c r="N395" s="128"/>
      <c r="O395" s="128"/>
      <c r="P395" s="128"/>
      <c r="Q395" s="128"/>
      <c r="R395" s="128"/>
      <c r="S395" s="128"/>
      <c r="T395" s="128"/>
      <c r="U395" s="128"/>
      <c r="V395" s="129"/>
      <c r="W395" s="129"/>
      <c r="X395" s="129"/>
      <c r="Y395" s="129"/>
      <c r="Z395" s="129"/>
      <c r="AA395" s="129"/>
      <c r="AB395" s="129"/>
      <c r="AC395" s="129"/>
    </row>
    <row r="396" spans="2:29" x14ac:dyDescent="0.35">
      <c r="B396" s="59"/>
      <c r="C396" s="59"/>
      <c r="E396" s="125"/>
      <c r="I396" s="126"/>
      <c r="M396" s="127"/>
      <c r="N396" s="128"/>
      <c r="O396" s="128"/>
      <c r="P396" s="128"/>
      <c r="Q396" s="128"/>
      <c r="R396" s="128"/>
      <c r="S396" s="128"/>
      <c r="T396" s="128"/>
      <c r="U396" s="128"/>
      <c r="V396" s="129"/>
      <c r="W396" s="129"/>
      <c r="X396" s="129"/>
      <c r="Y396" s="129"/>
      <c r="Z396" s="129"/>
      <c r="AA396" s="129"/>
      <c r="AB396" s="129"/>
      <c r="AC396" s="129"/>
    </row>
    <row r="397" spans="2:29" x14ac:dyDescent="0.35">
      <c r="B397" s="59"/>
      <c r="C397" s="59"/>
      <c r="E397" s="125"/>
      <c r="I397" s="126"/>
      <c r="M397" s="127"/>
      <c r="N397" s="128"/>
      <c r="O397" s="128"/>
      <c r="P397" s="128"/>
      <c r="Q397" s="128"/>
      <c r="R397" s="128"/>
      <c r="S397" s="128"/>
      <c r="T397" s="128"/>
      <c r="U397" s="128"/>
      <c r="V397" s="129"/>
      <c r="W397" s="129"/>
      <c r="X397" s="129"/>
      <c r="Y397" s="129"/>
      <c r="Z397" s="129"/>
      <c r="AA397" s="129"/>
      <c r="AB397" s="129"/>
      <c r="AC397" s="129"/>
    </row>
    <row r="398" spans="2:29" x14ac:dyDescent="0.35">
      <c r="B398" s="59"/>
      <c r="C398" s="59"/>
      <c r="E398" s="125"/>
      <c r="I398" s="126"/>
      <c r="M398" s="127"/>
      <c r="N398" s="128"/>
      <c r="O398" s="128"/>
      <c r="P398" s="128"/>
      <c r="Q398" s="128"/>
      <c r="R398" s="128"/>
      <c r="S398" s="128"/>
      <c r="T398" s="128"/>
      <c r="U398" s="128"/>
      <c r="V398" s="129"/>
      <c r="W398" s="129"/>
      <c r="X398" s="129"/>
      <c r="Y398" s="129"/>
      <c r="Z398" s="129"/>
      <c r="AA398" s="129"/>
      <c r="AB398" s="129"/>
      <c r="AC398" s="129"/>
    </row>
    <row r="399" spans="2:29" x14ac:dyDescent="0.35">
      <c r="B399" s="59"/>
      <c r="C399" s="59"/>
      <c r="E399" s="125"/>
      <c r="I399" s="126"/>
      <c r="M399" s="127"/>
      <c r="N399" s="128"/>
      <c r="O399" s="128"/>
      <c r="P399" s="128"/>
      <c r="Q399" s="128"/>
      <c r="R399" s="128"/>
      <c r="S399" s="128"/>
      <c r="T399" s="128"/>
      <c r="U399" s="128"/>
      <c r="V399" s="129"/>
      <c r="W399" s="129"/>
      <c r="X399" s="129"/>
      <c r="Y399" s="129"/>
      <c r="Z399" s="129"/>
      <c r="AA399" s="129"/>
      <c r="AB399" s="129"/>
      <c r="AC399" s="129"/>
    </row>
    <row r="400" spans="2:29" x14ac:dyDescent="0.35">
      <c r="B400" s="59"/>
      <c r="C400" s="59"/>
      <c r="E400" s="125"/>
      <c r="I400" s="126"/>
      <c r="M400" s="127"/>
      <c r="N400" s="128"/>
      <c r="O400" s="128"/>
      <c r="P400" s="128"/>
      <c r="Q400" s="128"/>
      <c r="R400" s="128"/>
      <c r="S400" s="128"/>
      <c r="T400" s="128"/>
      <c r="U400" s="128"/>
      <c r="V400" s="129"/>
      <c r="W400" s="129"/>
      <c r="X400" s="129"/>
      <c r="Y400" s="129"/>
      <c r="Z400" s="129"/>
      <c r="AA400" s="129"/>
      <c r="AB400" s="129"/>
      <c r="AC400" s="129"/>
    </row>
    <row r="401" spans="2:29" x14ac:dyDescent="0.35">
      <c r="B401" s="59"/>
      <c r="C401" s="59"/>
      <c r="E401" s="125"/>
      <c r="I401" s="126"/>
      <c r="M401" s="127"/>
      <c r="N401" s="128"/>
      <c r="O401" s="128"/>
      <c r="P401" s="128"/>
      <c r="Q401" s="128"/>
      <c r="R401" s="128"/>
      <c r="S401" s="128"/>
      <c r="T401" s="128"/>
      <c r="U401" s="128"/>
      <c r="V401" s="129"/>
      <c r="W401" s="129"/>
      <c r="X401" s="129"/>
      <c r="Y401" s="129"/>
      <c r="Z401" s="129"/>
      <c r="AA401" s="129"/>
      <c r="AB401" s="129"/>
      <c r="AC401" s="129"/>
    </row>
    <row r="402" spans="2:29" x14ac:dyDescent="0.35">
      <c r="B402" s="59"/>
      <c r="C402" s="59"/>
      <c r="E402" s="125"/>
      <c r="I402" s="126"/>
      <c r="M402" s="127"/>
      <c r="N402" s="128"/>
      <c r="O402" s="128"/>
      <c r="P402" s="128"/>
      <c r="Q402" s="128"/>
      <c r="R402" s="128"/>
      <c r="S402" s="128"/>
      <c r="T402" s="128"/>
      <c r="U402" s="128"/>
      <c r="V402" s="129"/>
      <c r="W402" s="129"/>
      <c r="X402" s="129"/>
      <c r="Y402" s="129"/>
      <c r="Z402" s="129"/>
      <c r="AA402" s="129"/>
      <c r="AB402" s="129"/>
      <c r="AC402" s="129"/>
    </row>
    <row r="403" spans="2:29" x14ac:dyDescent="0.35">
      <c r="B403" s="59"/>
      <c r="C403" s="59"/>
      <c r="E403" s="125"/>
      <c r="I403" s="126"/>
      <c r="M403" s="127"/>
      <c r="N403" s="128"/>
      <c r="O403" s="128"/>
      <c r="P403" s="128"/>
      <c r="Q403" s="128"/>
      <c r="R403" s="128"/>
      <c r="S403" s="128"/>
      <c r="T403" s="128"/>
      <c r="U403" s="128"/>
      <c r="V403" s="129"/>
      <c r="W403" s="129"/>
      <c r="X403" s="129"/>
      <c r="Y403" s="129"/>
      <c r="Z403" s="129"/>
      <c r="AA403" s="129"/>
      <c r="AB403" s="129"/>
      <c r="AC403" s="129"/>
    </row>
    <row r="404" spans="2:29" x14ac:dyDescent="0.35">
      <c r="B404" s="59"/>
      <c r="C404" s="59"/>
      <c r="E404" s="125"/>
      <c r="I404" s="126"/>
      <c r="M404" s="127"/>
      <c r="N404" s="128"/>
      <c r="O404" s="128"/>
      <c r="P404" s="128"/>
      <c r="Q404" s="128"/>
      <c r="R404" s="128"/>
      <c r="S404" s="128"/>
      <c r="T404" s="128"/>
      <c r="U404" s="128"/>
      <c r="V404" s="129"/>
      <c r="W404" s="129"/>
      <c r="X404" s="129"/>
      <c r="Y404" s="129"/>
      <c r="Z404" s="129"/>
      <c r="AA404" s="129"/>
      <c r="AB404" s="129"/>
      <c r="AC404" s="129"/>
    </row>
    <row r="405" spans="2:29" x14ac:dyDescent="0.35">
      <c r="B405" s="59"/>
      <c r="C405" s="59"/>
      <c r="E405" s="125"/>
      <c r="I405" s="126"/>
      <c r="M405" s="127"/>
      <c r="N405" s="128"/>
      <c r="O405" s="128"/>
      <c r="P405" s="128"/>
      <c r="Q405" s="128"/>
      <c r="R405" s="128"/>
      <c r="S405" s="128"/>
      <c r="T405" s="128"/>
      <c r="U405" s="128"/>
      <c r="V405" s="129"/>
      <c r="W405" s="129"/>
      <c r="X405" s="129"/>
      <c r="Y405" s="129"/>
      <c r="Z405" s="129"/>
      <c r="AA405" s="129"/>
      <c r="AB405" s="129"/>
      <c r="AC405" s="129"/>
    </row>
    <row r="406" spans="2:29" x14ac:dyDescent="0.35">
      <c r="B406" s="59"/>
      <c r="C406" s="59"/>
      <c r="E406" s="125"/>
      <c r="I406" s="126"/>
      <c r="M406" s="127"/>
      <c r="N406" s="128"/>
      <c r="O406" s="128"/>
      <c r="P406" s="128"/>
      <c r="Q406" s="128"/>
      <c r="R406" s="128"/>
      <c r="S406" s="128"/>
      <c r="T406" s="128"/>
      <c r="U406" s="128"/>
      <c r="V406" s="129"/>
      <c r="W406" s="129"/>
      <c r="X406" s="129"/>
      <c r="Y406" s="129"/>
      <c r="Z406" s="129"/>
      <c r="AA406" s="129"/>
      <c r="AB406" s="129"/>
      <c r="AC406" s="129"/>
    </row>
    <row r="407" spans="2:29" x14ac:dyDescent="0.35">
      <c r="B407" s="59"/>
      <c r="C407" s="59"/>
      <c r="E407" s="125"/>
      <c r="I407" s="126"/>
      <c r="M407" s="127"/>
      <c r="N407" s="128"/>
      <c r="O407" s="128"/>
      <c r="P407" s="128"/>
      <c r="Q407" s="128"/>
      <c r="R407" s="128"/>
      <c r="S407" s="128"/>
      <c r="T407" s="128"/>
      <c r="U407" s="128"/>
      <c r="V407" s="129"/>
      <c r="W407" s="129"/>
      <c r="X407" s="129"/>
      <c r="Y407" s="129"/>
      <c r="Z407" s="129"/>
      <c r="AA407" s="129"/>
      <c r="AB407" s="129"/>
      <c r="AC407" s="129"/>
    </row>
    <row r="408" spans="2:29" x14ac:dyDescent="0.35">
      <c r="B408" s="59"/>
      <c r="C408" s="59"/>
      <c r="E408" s="125"/>
      <c r="I408" s="126"/>
      <c r="M408" s="127"/>
      <c r="N408" s="128"/>
      <c r="O408" s="128"/>
      <c r="P408" s="128"/>
      <c r="Q408" s="128"/>
      <c r="R408" s="128"/>
      <c r="S408" s="128"/>
      <c r="T408" s="128"/>
      <c r="U408" s="128"/>
      <c r="V408" s="129"/>
      <c r="W408" s="129"/>
      <c r="X408" s="129"/>
      <c r="Y408" s="129"/>
      <c r="Z408" s="129"/>
      <c r="AA408" s="129"/>
      <c r="AB408" s="129"/>
      <c r="AC408" s="129"/>
    </row>
    <row r="409" spans="2:29" x14ac:dyDescent="0.35">
      <c r="B409" s="59"/>
      <c r="C409" s="59"/>
      <c r="E409" s="125"/>
      <c r="I409" s="126"/>
      <c r="M409" s="127"/>
      <c r="N409" s="128"/>
      <c r="O409" s="128"/>
      <c r="P409" s="128"/>
      <c r="Q409" s="128"/>
      <c r="R409" s="128"/>
      <c r="S409" s="128"/>
      <c r="T409" s="128"/>
      <c r="U409" s="128"/>
      <c r="V409" s="129"/>
      <c r="W409" s="129"/>
      <c r="X409" s="129"/>
      <c r="Y409" s="129"/>
      <c r="Z409" s="129"/>
      <c r="AA409" s="129"/>
      <c r="AB409" s="129"/>
      <c r="AC409" s="129"/>
    </row>
    <row r="410" spans="2:29" x14ac:dyDescent="0.35">
      <c r="B410" s="59"/>
      <c r="C410" s="59"/>
      <c r="E410" s="125"/>
      <c r="I410" s="126"/>
      <c r="M410" s="127"/>
      <c r="N410" s="128"/>
      <c r="O410" s="128"/>
      <c r="P410" s="128"/>
      <c r="Q410" s="128"/>
      <c r="R410" s="128"/>
      <c r="S410" s="128"/>
      <c r="T410" s="128"/>
      <c r="U410" s="128"/>
      <c r="V410" s="129"/>
      <c r="W410" s="129"/>
      <c r="X410" s="129"/>
      <c r="Y410" s="129"/>
      <c r="Z410" s="129"/>
      <c r="AA410" s="129"/>
      <c r="AB410" s="129"/>
      <c r="AC410" s="129"/>
    </row>
    <row r="411" spans="2:29" x14ac:dyDescent="0.35">
      <c r="B411" s="59"/>
      <c r="C411" s="59"/>
      <c r="E411" s="125"/>
      <c r="I411" s="126"/>
      <c r="M411" s="127"/>
      <c r="N411" s="128"/>
      <c r="O411" s="128"/>
      <c r="P411" s="128"/>
      <c r="Q411" s="128"/>
      <c r="R411" s="128"/>
      <c r="S411" s="128"/>
      <c r="T411" s="128"/>
      <c r="U411" s="128"/>
      <c r="V411" s="129"/>
      <c r="W411" s="129"/>
      <c r="X411" s="129"/>
      <c r="Y411" s="129"/>
      <c r="Z411" s="129"/>
      <c r="AA411" s="129"/>
      <c r="AB411" s="129"/>
      <c r="AC411" s="129"/>
    </row>
    <row r="412" spans="2:29" x14ac:dyDescent="0.35">
      <c r="B412" s="59"/>
      <c r="C412" s="59"/>
      <c r="E412" s="125"/>
      <c r="I412" s="126"/>
      <c r="M412" s="127"/>
      <c r="N412" s="128"/>
      <c r="O412" s="128"/>
      <c r="P412" s="128"/>
      <c r="Q412" s="128"/>
      <c r="R412" s="128"/>
      <c r="S412" s="128"/>
      <c r="T412" s="128"/>
      <c r="U412" s="128"/>
      <c r="V412" s="129"/>
      <c r="W412" s="129"/>
      <c r="X412" s="129"/>
      <c r="Y412" s="129"/>
      <c r="Z412" s="129"/>
      <c r="AA412" s="129"/>
      <c r="AB412" s="129"/>
      <c r="AC412" s="129"/>
    </row>
    <row r="413" spans="2:29" x14ac:dyDescent="0.35">
      <c r="B413" s="59"/>
      <c r="C413" s="59"/>
      <c r="E413" s="125"/>
      <c r="I413" s="126"/>
      <c r="M413" s="127"/>
      <c r="N413" s="128"/>
      <c r="O413" s="128"/>
      <c r="P413" s="128"/>
      <c r="Q413" s="128"/>
      <c r="R413" s="128"/>
      <c r="S413" s="128"/>
      <c r="T413" s="128"/>
      <c r="U413" s="128"/>
      <c r="V413" s="129"/>
      <c r="W413" s="129"/>
      <c r="X413" s="129"/>
      <c r="Y413" s="129"/>
      <c r="Z413" s="129"/>
      <c r="AA413" s="129"/>
      <c r="AB413" s="129"/>
      <c r="AC413" s="129"/>
    </row>
    <row r="414" spans="2:29" x14ac:dyDescent="0.35">
      <c r="B414" s="59"/>
      <c r="C414" s="59"/>
      <c r="E414" s="125"/>
      <c r="I414" s="126"/>
      <c r="M414" s="127"/>
      <c r="N414" s="128"/>
      <c r="O414" s="128"/>
      <c r="P414" s="128"/>
      <c r="Q414" s="128"/>
      <c r="R414" s="128"/>
      <c r="S414" s="128"/>
      <c r="T414" s="128"/>
      <c r="U414" s="128"/>
      <c r="V414" s="129"/>
      <c r="W414" s="129"/>
      <c r="X414" s="129"/>
      <c r="Y414" s="129"/>
      <c r="Z414" s="129"/>
      <c r="AA414" s="129"/>
      <c r="AB414" s="129"/>
      <c r="AC414" s="129"/>
    </row>
    <row r="415" spans="2:29" x14ac:dyDescent="0.35">
      <c r="B415" s="59"/>
      <c r="C415" s="59"/>
      <c r="E415" s="125"/>
      <c r="I415" s="126"/>
      <c r="M415" s="127"/>
      <c r="N415" s="128"/>
      <c r="O415" s="128"/>
      <c r="P415" s="128"/>
      <c r="Q415" s="128"/>
      <c r="R415" s="128"/>
      <c r="S415" s="128"/>
      <c r="T415" s="128"/>
      <c r="U415" s="128"/>
      <c r="V415" s="129"/>
      <c r="W415" s="129"/>
      <c r="X415" s="129"/>
      <c r="Y415" s="129"/>
      <c r="Z415" s="129"/>
      <c r="AA415" s="129"/>
      <c r="AB415" s="129"/>
      <c r="AC415" s="129"/>
    </row>
    <row r="416" spans="2:29" x14ac:dyDescent="0.35">
      <c r="B416" s="59"/>
      <c r="C416" s="59"/>
      <c r="E416" s="125"/>
      <c r="I416" s="126"/>
      <c r="M416" s="127"/>
      <c r="N416" s="128"/>
      <c r="O416" s="128"/>
      <c r="P416" s="128"/>
      <c r="Q416" s="128"/>
      <c r="R416" s="128"/>
      <c r="S416" s="128"/>
      <c r="T416" s="128"/>
      <c r="U416" s="128"/>
      <c r="V416" s="129"/>
      <c r="W416" s="129"/>
      <c r="X416" s="129"/>
      <c r="Y416" s="129"/>
      <c r="Z416" s="129"/>
      <c r="AA416" s="129"/>
      <c r="AB416" s="129"/>
      <c r="AC416" s="129"/>
    </row>
    <row r="417" spans="2:29" x14ac:dyDescent="0.35">
      <c r="B417" s="59"/>
      <c r="C417" s="59"/>
      <c r="E417" s="125"/>
      <c r="I417" s="126"/>
      <c r="M417" s="127"/>
      <c r="N417" s="128"/>
      <c r="O417" s="128"/>
      <c r="P417" s="128"/>
      <c r="Q417" s="128"/>
      <c r="R417" s="128"/>
      <c r="S417" s="128"/>
      <c r="T417" s="128"/>
      <c r="U417" s="128"/>
      <c r="V417" s="129"/>
      <c r="W417" s="129"/>
      <c r="X417" s="129"/>
      <c r="Y417" s="129"/>
      <c r="Z417" s="129"/>
      <c r="AA417" s="129"/>
      <c r="AB417" s="129"/>
      <c r="AC417" s="129"/>
    </row>
    <row r="418" spans="2:29" x14ac:dyDescent="0.35">
      <c r="B418" s="59"/>
      <c r="C418" s="59"/>
      <c r="E418" s="125"/>
      <c r="I418" s="126"/>
      <c r="M418" s="127"/>
      <c r="N418" s="128"/>
      <c r="O418" s="128"/>
      <c r="P418" s="128"/>
      <c r="Q418" s="128"/>
      <c r="R418" s="128"/>
      <c r="S418" s="128"/>
      <c r="T418" s="128"/>
      <c r="U418" s="128"/>
      <c r="V418" s="129"/>
      <c r="W418" s="129"/>
      <c r="X418" s="129"/>
      <c r="Y418" s="129"/>
      <c r="Z418" s="129"/>
      <c r="AA418" s="129"/>
      <c r="AB418" s="129"/>
      <c r="AC418" s="129"/>
    </row>
    <row r="419" spans="2:29" x14ac:dyDescent="0.35">
      <c r="B419" s="59"/>
      <c r="C419" s="59"/>
      <c r="E419" s="125"/>
      <c r="I419" s="126"/>
      <c r="M419" s="127"/>
      <c r="N419" s="128"/>
      <c r="O419" s="128"/>
      <c r="P419" s="128"/>
      <c r="Q419" s="128"/>
      <c r="R419" s="128"/>
      <c r="S419" s="128"/>
      <c r="T419" s="128"/>
      <c r="U419" s="128"/>
      <c r="V419" s="129"/>
      <c r="W419" s="129"/>
      <c r="X419" s="129"/>
      <c r="Y419" s="129"/>
      <c r="Z419" s="129"/>
      <c r="AA419" s="129"/>
      <c r="AB419" s="129"/>
      <c r="AC419" s="129"/>
    </row>
    <row r="420" spans="2:29" x14ac:dyDescent="0.35">
      <c r="B420" s="59"/>
      <c r="C420" s="59"/>
      <c r="E420" s="125"/>
      <c r="I420" s="126"/>
      <c r="M420" s="127"/>
      <c r="N420" s="128"/>
      <c r="O420" s="128"/>
      <c r="P420" s="128"/>
      <c r="Q420" s="128"/>
      <c r="R420" s="128"/>
      <c r="S420" s="128"/>
      <c r="T420" s="128"/>
      <c r="U420" s="128"/>
      <c r="V420" s="129"/>
      <c r="W420" s="129"/>
      <c r="X420" s="129"/>
      <c r="Y420" s="129"/>
      <c r="Z420" s="129"/>
      <c r="AA420" s="129"/>
      <c r="AB420" s="129"/>
      <c r="AC420" s="129"/>
    </row>
    <row r="421" spans="2:29" x14ac:dyDescent="0.35">
      <c r="B421" s="59"/>
      <c r="C421" s="59"/>
      <c r="E421" s="125"/>
      <c r="I421" s="126"/>
      <c r="M421" s="127"/>
      <c r="N421" s="128"/>
      <c r="O421" s="128"/>
      <c r="P421" s="128"/>
      <c r="Q421" s="128"/>
      <c r="R421" s="128"/>
      <c r="S421" s="128"/>
      <c r="T421" s="128"/>
      <c r="U421" s="128"/>
      <c r="V421" s="129"/>
      <c r="W421" s="129"/>
      <c r="X421" s="129"/>
      <c r="Y421" s="129"/>
      <c r="Z421" s="129"/>
      <c r="AA421" s="129"/>
      <c r="AB421" s="129"/>
      <c r="AC421" s="129"/>
    </row>
    <row r="422" spans="2:29" x14ac:dyDescent="0.35">
      <c r="B422" s="59"/>
      <c r="C422" s="59"/>
      <c r="E422" s="125"/>
      <c r="I422" s="126"/>
      <c r="M422" s="127"/>
      <c r="N422" s="128"/>
      <c r="O422" s="128"/>
      <c r="P422" s="128"/>
      <c r="Q422" s="128"/>
      <c r="R422" s="128"/>
      <c r="S422" s="128"/>
      <c r="T422" s="128"/>
      <c r="U422" s="128"/>
      <c r="V422" s="129"/>
      <c r="W422" s="129"/>
      <c r="X422" s="129"/>
      <c r="Y422" s="129"/>
      <c r="Z422" s="129"/>
      <c r="AA422" s="129"/>
      <c r="AB422" s="129"/>
      <c r="AC422" s="129"/>
    </row>
    <row r="423" spans="2:29" x14ac:dyDescent="0.35">
      <c r="B423" s="59"/>
      <c r="C423" s="59"/>
      <c r="E423" s="125"/>
      <c r="I423" s="126"/>
      <c r="M423" s="127"/>
      <c r="N423" s="128"/>
      <c r="O423" s="128"/>
      <c r="P423" s="128"/>
      <c r="Q423" s="128"/>
      <c r="R423" s="128"/>
      <c r="S423" s="128"/>
      <c r="T423" s="128"/>
      <c r="U423" s="128"/>
      <c r="V423" s="129"/>
      <c r="W423" s="129"/>
      <c r="X423" s="129"/>
      <c r="Y423" s="129"/>
      <c r="Z423" s="129"/>
      <c r="AA423" s="129"/>
      <c r="AB423" s="129"/>
      <c r="AC423" s="129"/>
    </row>
    <row r="424" spans="2:29" x14ac:dyDescent="0.35">
      <c r="B424" s="59"/>
      <c r="C424" s="59"/>
      <c r="E424" s="125"/>
      <c r="I424" s="126"/>
      <c r="M424" s="127"/>
      <c r="N424" s="128"/>
      <c r="O424" s="128"/>
      <c r="P424" s="128"/>
      <c r="Q424" s="128"/>
      <c r="R424" s="128"/>
      <c r="S424" s="128"/>
      <c r="T424" s="128"/>
      <c r="U424" s="128"/>
      <c r="V424" s="129"/>
      <c r="W424" s="129"/>
      <c r="X424" s="129"/>
      <c r="Y424" s="129"/>
      <c r="Z424" s="129"/>
      <c r="AA424" s="129"/>
      <c r="AB424" s="129"/>
      <c r="AC424" s="129"/>
    </row>
    <row r="425" spans="2:29" x14ac:dyDescent="0.35">
      <c r="B425" s="59"/>
      <c r="C425" s="59"/>
      <c r="E425" s="125"/>
      <c r="I425" s="126"/>
      <c r="M425" s="127"/>
      <c r="N425" s="128"/>
      <c r="O425" s="128"/>
      <c r="P425" s="128"/>
      <c r="Q425" s="128"/>
      <c r="R425" s="128"/>
      <c r="S425" s="128"/>
      <c r="T425" s="128"/>
      <c r="U425" s="128"/>
      <c r="V425" s="129"/>
      <c r="W425" s="129"/>
      <c r="X425" s="129"/>
      <c r="Y425" s="129"/>
      <c r="Z425" s="129"/>
      <c r="AA425" s="129"/>
      <c r="AB425" s="129"/>
      <c r="AC425" s="129"/>
    </row>
    <row r="426" spans="2:29" x14ac:dyDescent="0.35">
      <c r="B426" s="59"/>
      <c r="C426" s="59"/>
      <c r="E426" s="125"/>
      <c r="I426" s="126"/>
      <c r="M426" s="127"/>
      <c r="N426" s="128"/>
      <c r="O426" s="128"/>
      <c r="P426" s="128"/>
      <c r="Q426" s="128"/>
      <c r="R426" s="128"/>
      <c r="S426" s="128"/>
      <c r="T426" s="128"/>
      <c r="U426" s="128"/>
      <c r="V426" s="129"/>
      <c r="W426" s="129"/>
      <c r="X426" s="129"/>
      <c r="Y426" s="129"/>
      <c r="Z426" s="129"/>
      <c r="AA426" s="129"/>
      <c r="AB426" s="129"/>
      <c r="AC426" s="129"/>
    </row>
    <row r="427" spans="2:29" x14ac:dyDescent="0.35">
      <c r="B427" s="59"/>
      <c r="C427" s="59"/>
      <c r="E427" s="125"/>
      <c r="I427" s="126"/>
      <c r="M427" s="127"/>
      <c r="N427" s="128"/>
      <c r="O427" s="128"/>
      <c r="P427" s="128"/>
      <c r="Q427" s="128"/>
      <c r="R427" s="128"/>
      <c r="S427" s="128"/>
      <c r="T427" s="128"/>
      <c r="U427" s="128"/>
      <c r="V427" s="129"/>
      <c r="W427" s="129"/>
      <c r="X427" s="129"/>
      <c r="Y427" s="129"/>
      <c r="Z427" s="129"/>
      <c r="AA427" s="129"/>
      <c r="AB427" s="129"/>
      <c r="AC427" s="129"/>
    </row>
    <row r="428" spans="2:29" x14ac:dyDescent="0.35">
      <c r="B428" s="59"/>
      <c r="C428" s="59"/>
      <c r="E428" s="125"/>
      <c r="I428" s="126"/>
      <c r="M428" s="127"/>
      <c r="N428" s="128"/>
      <c r="O428" s="128"/>
      <c r="P428" s="128"/>
      <c r="Q428" s="128"/>
      <c r="R428" s="128"/>
      <c r="S428" s="128"/>
      <c r="T428" s="128"/>
      <c r="U428" s="128"/>
      <c r="V428" s="129"/>
      <c r="W428" s="129"/>
      <c r="X428" s="129"/>
      <c r="Y428" s="129"/>
      <c r="Z428" s="129"/>
      <c r="AA428" s="129"/>
      <c r="AB428" s="129"/>
      <c r="AC428" s="129"/>
    </row>
    <row r="429" spans="2:29" x14ac:dyDescent="0.35">
      <c r="B429" s="59"/>
      <c r="C429" s="59"/>
      <c r="E429" s="125"/>
      <c r="I429" s="126"/>
      <c r="M429" s="127"/>
      <c r="N429" s="128"/>
      <c r="O429" s="128"/>
      <c r="P429" s="128"/>
      <c r="Q429" s="128"/>
      <c r="R429" s="128"/>
      <c r="S429" s="128"/>
      <c r="T429" s="128"/>
      <c r="U429" s="128"/>
      <c r="V429" s="129"/>
      <c r="W429" s="129"/>
      <c r="X429" s="129"/>
      <c r="Y429" s="129"/>
      <c r="Z429" s="129"/>
      <c r="AA429" s="129"/>
      <c r="AB429" s="129"/>
      <c r="AC429" s="129"/>
    </row>
    <row r="430" spans="2:29" x14ac:dyDescent="0.35">
      <c r="B430" s="59"/>
      <c r="C430" s="59"/>
      <c r="E430" s="125"/>
      <c r="I430" s="126"/>
      <c r="M430" s="127"/>
      <c r="N430" s="128"/>
      <c r="O430" s="128"/>
      <c r="P430" s="128"/>
      <c r="Q430" s="128"/>
      <c r="R430" s="128"/>
      <c r="S430" s="128"/>
      <c r="T430" s="128"/>
      <c r="U430" s="128"/>
      <c r="V430" s="129"/>
      <c r="W430" s="129"/>
      <c r="X430" s="129"/>
      <c r="Y430" s="129"/>
      <c r="Z430" s="129"/>
      <c r="AA430" s="129"/>
      <c r="AB430" s="129"/>
      <c r="AC430" s="129"/>
    </row>
    <row r="431" spans="2:29" x14ac:dyDescent="0.35">
      <c r="B431" s="59"/>
      <c r="C431" s="59"/>
      <c r="E431" s="125"/>
      <c r="I431" s="126"/>
      <c r="M431" s="127"/>
      <c r="N431" s="128"/>
      <c r="O431" s="128"/>
      <c r="P431" s="128"/>
      <c r="Q431" s="128"/>
      <c r="R431" s="128"/>
      <c r="S431" s="128"/>
      <c r="T431" s="128"/>
      <c r="U431" s="128"/>
      <c r="V431" s="129"/>
      <c r="W431" s="129"/>
      <c r="X431" s="129"/>
      <c r="Y431" s="129"/>
      <c r="Z431" s="129"/>
      <c r="AA431" s="129"/>
      <c r="AB431" s="129"/>
      <c r="AC431" s="129"/>
    </row>
    <row r="432" spans="2:29" x14ac:dyDescent="0.35">
      <c r="B432" s="59"/>
      <c r="C432" s="59"/>
      <c r="E432" s="125"/>
      <c r="I432" s="126"/>
      <c r="M432" s="127"/>
      <c r="N432" s="128"/>
      <c r="O432" s="128"/>
      <c r="P432" s="128"/>
      <c r="Q432" s="128"/>
      <c r="R432" s="128"/>
      <c r="S432" s="128"/>
      <c r="T432" s="128"/>
      <c r="U432" s="128"/>
      <c r="V432" s="129"/>
      <c r="W432" s="129"/>
      <c r="X432" s="129"/>
      <c r="Y432" s="129"/>
      <c r="Z432" s="129"/>
      <c r="AA432" s="129"/>
      <c r="AB432" s="129"/>
      <c r="AC432" s="129"/>
    </row>
    <row r="433" spans="2:29" x14ac:dyDescent="0.35">
      <c r="B433" s="59"/>
      <c r="C433" s="59"/>
      <c r="E433" s="125"/>
      <c r="I433" s="126"/>
      <c r="M433" s="127"/>
      <c r="N433" s="128"/>
      <c r="O433" s="128"/>
      <c r="P433" s="128"/>
      <c r="Q433" s="128"/>
      <c r="R433" s="128"/>
      <c r="S433" s="128"/>
      <c r="T433" s="128"/>
      <c r="U433" s="128"/>
      <c r="V433" s="129"/>
      <c r="W433" s="129"/>
      <c r="X433" s="129"/>
      <c r="Y433" s="129"/>
      <c r="Z433" s="129"/>
      <c r="AA433" s="129"/>
      <c r="AB433" s="129"/>
      <c r="AC433" s="129"/>
    </row>
    <row r="434" spans="2:29" x14ac:dyDescent="0.35">
      <c r="B434" s="59"/>
      <c r="C434" s="59"/>
      <c r="E434" s="125"/>
      <c r="I434" s="126"/>
      <c r="M434" s="127"/>
      <c r="N434" s="128"/>
      <c r="O434" s="128"/>
      <c r="P434" s="128"/>
      <c r="Q434" s="128"/>
      <c r="R434" s="128"/>
      <c r="S434" s="128"/>
      <c r="T434" s="128"/>
      <c r="U434" s="128"/>
      <c r="V434" s="129"/>
      <c r="W434" s="129"/>
      <c r="X434" s="129"/>
      <c r="Y434" s="129"/>
      <c r="Z434" s="129"/>
      <c r="AA434" s="129"/>
      <c r="AB434" s="129"/>
      <c r="AC434" s="129"/>
    </row>
    <row r="435" spans="2:29" x14ac:dyDescent="0.35">
      <c r="B435" s="59"/>
      <c r="C435" s="59"/>
      <c r="E435" s="125"/>
      <c r="I435" s="126"/>
      <c r="M435" s="127"/>
      <c r="N435" s="128"/>
      <c r="O435" s="128"/>
      <c r="P435" s="128"/>
      <c r="Q435" s="128"/>
      <c r="R435" s="128"/>
      <c r="S435" s="128"/>
      <c r="T435" s="128"/>
      <c r="U435" s="128"/>
      <c r="V435" s="129"/>
      <c r="W435" s="129"/>
      <c r="X435" s="129"/>
      <c r="Y435" s="129"/>
      <c r="Z435" s="129"/>
      <c r="AA435" s="129"/>
      <c r="AB435" s="129"/>
      <c r="AC435" s="129"/>
    </row>
    <row r="436" spans="2:29" x14ac:dyDescent="0.35">
      <c r="B436" s="59"/>
      <c r="C436" s="59"/>
      <c r="E436" s="125"/>
      <c r="I436" s="126"/>
      <c r="M436" s="127"/>
      <c r="N436" s="128"/>
      <c r="O436" s="128"/>
      <c r="P436" s="128"/>
      <c r="Q436" s="128"/>
      <c r="R436" s="128"/>
      <c r="S436" s="128"/>
      <c r="T436" s="128"/>
      <c r="U436" s="128"/>
      <c r="V436" s="129"/>
      <c r="W436" s="129"/>
      <c r="X436" s="129"/>
      <c r="Y436" s="129"/>
      <c r="Z436" s="129"/>
      <c r="AA436" s="129"/>
      <c r="AB436" s="129"/>
      <c r="AC436" s="129"/>
    </row>
    <row r="437" spans="2:29" x14ac:dyDescent="0.35">
      <c r="B437" s="59"/>
      <c r="C437" s="59"/>
      <c r="E437" s="125"/>
      <c r="I437" s="126"/>
      <c r="M437" s="127"/>
      <c r="N437" s="128"/>
      <c r="O437" s="128"/>
      <c r="P437" s="128"/>
      <c r="Q437" s="128"/>
      <c r="R437" s="128"/>
      <c r="S437" s="128"/>
      <c r="T437" s="128"/>
      <c r="U437" s="128"/>
      <c r="V437" s="129"/>
      <c r="W437" s="129"/>
      <c r="X437" s="129"/>
      <c r="Y437" s="129"/>
      <c r="Z437" s="129"/>
      <c r="AA437" s="129"/>
      <c r="AB437" s="129"/>
      <c r="AC437" s="129"/>
    </row>
    <row r="438" spans="2:29" x14ac:dyDescent="0.35">
      <c r="B438" s="59"/>
      <c r="C438" s="59"/>
      <c r="E438" s="125"/>
      <c r="I438" s="126"/>
      <c r="M438" s="127"/>
      <c r="N438" s="128"/>
      <c r="O438" s="128"/>
      <c r="P438" s="128"/>
      <c r="Q438" s="128"/>
      <c r="R438" s="128"/>
      <c r="S438" s="128"/>
      <c r="T438" s="128"/>
      <c r="U438" s="128"/>
      <c r="V438" s="129"/>
      <c r="W438" s="129"/>
      <c r="X438" s="129"/>
      <c r="Y438" s="129"/>
      <c r="Z438" s="129"/>
      <c r="AA438" s="129"/>
      <c r="AB438" s="129"/>
      <c r="AC438" s="129"/>
    </row>
    <row r="439" spans="2:29" x14ac:dyDescent="0.35">
      <c r="B439" s="59"/>
      <c r="C439" s="59"/>
      <c r="E439" s="125"/>
      <c r="I439" s="126"/>
      <c r="M439" s="127"/>
      <c r="N439" s="128"/>
      <c r="O439" s="128"/>
      <c r="P439" s="128"/>
      <c r="Q439" s="128"/>
      <c r="R439" s="128"/>
      <c r="S439" s="128"/>
      <c r="T439" s="128"/>
      <c r="U439" s="128"/>
      <c r="V439" s="129"/>
      <c r="W439" s="129"/>
      <c r="X439" s="129"/>
      <c r="Y439" s="129"/>
      <c r="Z439" s="129"/>
      <c r="AA439" s="129"/>
      <c r="AB439" s="129"/>
      <c r="AC439" s="129"/>
    </row>
    <row r="440" spans="2:29" x14ac:dyDescent="0.35">
      <c r="B440" s="59"/>
      <c r="C440" s="59"/>
      <c r="E440" s="125"/>
      <c r="I440" s="126"/>
      <c r="M440" s="127"/>
      <c r="N440" s="128"/>
      <c r="O440" s="128"/>
      <c r="P440" s="128"/>
      <c r="Q440" s="128"/>
      <c r="R440" s="128"/>
      <c r="S440" s="128"/>
      <c r="T440" s="128"/>
      <c r="U440" s="128"/>
      <c r="V440" s="129"/>
      <c r="W440" s="129"/>
      <c r="X440" s="129"/>
      <c r="Y440" s="129"/>
      <c r="Z440" s="129"/>
      <c r="AA440" s="129"/>
      <c r="AB440" s="129"/>
      <c r="AC440" s="129"/>
    </row>
    <row r="441" spans="2:29" x14ac:dyDescent="0.35">
      <c r="B441" s="59"/>
      <c r="C441" s="59"/>
      <c r="E441" s="125"/>
      <c r="I441" s="126"/>
      <c r="M441" s="127"/>
      <c r="N441" s="128"/>
      <c r="O441" s="128"/>
      <c r="P441" s="128"/>
      <c r="Q441" s="128"/>
      <c r="R441" s="128"/>
      <c r="S441" s="128"/>
      <c r="T441" s="128"/>
      <c r="U441" s="128"/>
      <c r="V441" s="129"/>
      <c r="W441" s="129"/>
      <c r="X441" s="129"/>
      <c r="Y441" s="129"/>
      <c r="Z441" s="129"/>
      <c r="AA441" s="129"/>
      <c r="AB441" s="129"/>
      <c r="AC441" s="129"/>
    </row>
    <row r="442" spans="2:29" x14ac:dyDescent="0.35">
      <c r="B442" s="59"/>
      <c r="C442" s="59"/>
      <c r="E442" s="125"/>
      <c r="I442" s="126"/>
      <c r="M442" s="127"/>
      <c r="N442" s="128"/>
      <c r="O442" s="128"/>
      <c r="P442" s="128"/>
      <c r="Q442" s="128"/>
      <c r="R442" s="128"/>
      <c r="S442" s="128"/>
      <c r="T442" s="128"/>
      <c r="U442" s="128"/>
      <c r="V442" s="129"/>
      <c r="W442" s="129"/>
      <c r="X442" s="129"/>
      <c r="Y442" s="129"/>
      <c r="Z442" s="129"/>
      <c r="AA442" s="129"/>
      <c r="AB442" s="129"/>
      <c r="AC442" s="129"/>
    </row>
    <row r="443" spans="2:29" x14ac:dyDescent="0.35">
      <c r="B443" s="59"/>
      <c r="C443" s="59"/>
      <c r="E443" s="125"/>
      <c r="I443" s="126"/>
      <c r="M443" s="127"/>
      <c r="N443" s="128"/>
      <c r="O443" s="128"/>
      <c r="P443" s="128"/>
      <c r="Q443" s="128"/>
      <c r="R443" s="128"/>
      <c r="S443" s="128"/>
      <c r="T443" s="128"/>
      <c r="U443" s="128"/>
      <c r="V443" s="129"/>
      <c r="W443" s="129"/>
      <c r="X443" s="129"/>
      <c r="Y443" s="129"/>
      <c r="Z443" s="129"/>
      <c r="AA443" s="129"/>
      <c r="AB443" s="129"/>
      <c r="AC443" s="129"/>
    </row>
    <row r="444" spans="2:29" x14ac:dyDescent="0.35">
      <c r="B444" s="59"/>
      <c r="C444" s="59"/>
      <c r="E444" s="125"/>
      <c r="I444" s="126"/>
      <c r="M444" s="127"/>
      <c r="N444" s="128"/>
      <c r="O444" s="128"/>
      <c r="P444" s="128"/>
      <c r="Q444" s="128"/>
      <c r="R444" s="128"/>
      <c r="S444" s="128"/>
      <c r="T444" s="128"/>
      <c r="U444" s="128"/>
      <c r="V444" s="129"/>
      <c r="W444" s="129"/>
      <c r="X444" s="129"/>
      <c r="Y444" s="129"/>
      <c r="Z444" s="129"/>
      <c r="AA444" s="129"/>
      <c r="AB444" s="129"/>
      <c r="AC444" s="129"/>
    </row>
    <row r="445" spans="2:29" x14ac:dyDescent="0.35">
      <c r="B445" s="59"/>
      <c r="C445" s="59"/>
      <c r="E445" s="125"/>
      <c r="I445" s="126"/>
      <c r="M445" s="127"/>
      <c r="N445" s="128"/>
      <c r="O445" s="128"/>
      <c r="P445" s="128"/>
      <c r="Q445" s="128"/>
      <c r="R445" s="128"/>
      <c r="S445" s="128"/>
      <c r="T445" s="128"/>
      <c r="U445" s="128"/>
      <c r="V445" s="129"/>
      <c r="W445" s="129"/>
      <c r="X445" s="129"/>
      <c r="Y445" s="129"/>
      <c r="Z445" s="129"/>
      <c r="AA445" s="129"/>
      <c r="AB445" s="129"/>
      <c r="AC445" s="129"/>
    </row>
    <row r="446" spans="2:29" x14ac:dyDescent="0.35">
      <c r="B446" s="59"/>
      <c r="C446" s="59"/>
      <c r="E446" s="125"/>
      <c r="I446" s="126"/>
      <c r="M446" s="127"/>
      <c r="N446" s="128"/>
      <c r="O446" s="128"/>
      <c r="P446" s="128"/>
      <c r="Q446" s="128"/>
      <c r="R446" s="128"/>
      <c r="S446" s="128"/>
      <c r="T446" s="128"/>
      <c r="U446" s="128"/>
      <c r="V446" s="129"/>
      <c r="W446" s="129"/>
      <c r="X446" s="129"/>
      <c r="Y446" s="129"/>
      <c r="Z446" s="129"/>
      <c r="AA446" s="129"/>
      <c r="AB446" s="129"/>
      <c r="AC446" s="129"/>
    </row>
    <row r="447" spans="2:29" x14ac:dyDescent="0.35">
      <c r="B447" s="59"/>
      <c r="C447" s="59"/>
      <c r="E447" s="125"/>
      <c r="I447" s="126"/>
      <c r="M447" s="127"/>
      <c r="N447" s="128"/>
      <c r="O447" s="128"/>
      <c r="P447" s="128"/>
      <c r="Q447" s="128"/>
      <c r="R447" s="128"/>
      <c r="S447" s="128"/>
      <c r="T447" s="128"/>
      <c r="U447" s="128"/>
      <c r="V447" s="129"/>
      <c r="W447" s="129"/>
      <c r="X447" s="129"/>
      <c r="Y447" s="129"/>
      <c r="Z447" s="129"/>
      <c r="AA447" s="129"/>
      <c r="AB447" s="129"/>
      <c r="AC447" s="129"/>
    </row>
    <row r="448" spans="2:29" x14ac:dyDescent="0.35">
      <c r="B448" s="59"/>
      <c r="C448" s="59"/>
      <c r="E448" s="125"/>
      <c r="I448" s="126"/>
      <c r="M448" s="127"/>
      <c r="N448" s="128"/>
      <c r="O448" s="128"/>
      <c r="P448" s="128"/>
      <c r="Q448" s="128"/>
      <c r="R448" s="128"/>
      <c r="S448" s="128"/>
      <c r="T448" s="128"/>
      <c r="U448" s="128"/>
      <c r="V448" s="129"/>
      <c r="W448" s="129"/>
      <c r="X448" s="129"/>
      <c r="Y448" s="129"/>
      <c r="Z448" s="129"/>
      <c r="AA448" s="129"/>
      <c r="AB448" s="129"/>
      <c r="AC448" s="129"/>
    </row>
    <row r="449" spans="2:29" x14ac:dyDescent="0.35">
      <c r="B449" s="59"/>
      <c r="C449" s="59"/>
      <c r="E449" s="125"/>
      <c r="I449" s="126"/>
      <c r="M449" s="127"/>
      <c r="N449" s="128"/>
      <c r="O449" s="128"/>
      <c r="P449" s="128"/>
      <c r="Q449" s="128"/>
      <c r="R449" s="128"/>
      <c r="S449" s="128"/>
      <c r="T449" s="128"/>
      <c r="U449" s="128"/>
      <c r="V449" s="129"/>
      <c r="W449" s="129"/>
      <c r="X449" s="129"/>
      <c r="Y449" s="129"/>
      <c r="Z449" s="129"/>
      <c r="AA449" s="129"/>
      <c r="AB449" s="129"/>
      <c r="AC449" s="129"/>
    </row>
    <row r="450" spans="2:29" x14ac:dyDescent="0.35">
      <c r="B450" s="59"/>
      <c r="C450" s="59"/>
      <c r="E450" s="125"/>
      <c r="I450" s="126"/>
      <c r="M450" s="127"/>
      <c r="N450" s="128"/>
      <c r="O450" s="128"/>
      <c r="P450" s="128"/>
      <c r="Q450" s="128"/>
      <c r="R450" s="128"/>
      <c r="S450" s="128"/>
      <c r="T450" s="128"/>
      <c r="U450" s="128"/>
      <c r="V450" s="129"/>
      <c r="W450" s="129"/>
      <c r="X450" s="129"/>
      <c r="Y450" s="129"/>
      <c r="Z450" s="129"/>
      <c r="AA450" s="129"/>
      <c r="AB450" s="129"/>
      <c r="AC450" s="129"/>
    </row>
    <row r="451" spans="2:29" x14ac:dyDescent="0.35">
      <c r="B451" s="59"/>
      <c r="C451" s="59"/>
      <c r="E451" s="125"/>
      <c r="I451" s="126"/>
      <c r="M451" s="127"/>
      <c r="N451" s="128"/>
      <c r="O451" s="128"/>
      <c r="P451" s="128"/>
      <c r="Q451" s="128"/>
      <c r="R451" s="128"/>
      <c r="S451" s="128"/>
      <c r="T451" s="128"/>
      <c r="U451" s="128"/>
      <c r="V451" s="129"/>
      <c r="W451" s="129"/>
      <c r="X451" s="129"/>
      <c r="Y451" s="129"/>
      <c r="Z451" s="129"/>
      <c r="AA451" s="129"/>
      <c r="AB451" s="129"/>
      <c r="AC451" s="129"/>
    </row>
    <row r="452" spans="2:29" x14ac:dyDescent="0.35">
      <c r="B452" s="59"/>
      <c r="C452" s="59"/>
      <c r="E452" s="125"/>
      <c r="I452" s="126"/>
      <c r="M452" s="127"/>
      <c r="N452" s="128"/>
      <c r="O452" s="128"/>
      <c r="P452" s="128"/>
      <c r="Q452" s="128"/>
      <c r="R452" s="128"/>
      <c r="S452" s="128"/>
      <c r="T452" s="128"/>
      <c r="U452" s="128"/>
      <c r="V452" s="129"/>
      <c r="W452" s="129"/>
      <c r="X452" s="129"/>
      <c r="Y452" s="129"/>
      <c r="Z452" s="129"/>
      <c r="AA452" s="129"/>
      <c r="AB452" s="129"/>
      <c r="AC452" s="129"/>
    </row>
    <row r="453" spans="2:29" x14ac:dyDescent="0.35">
      <c r="B453" s="59"/>
      <c r="C453" s="59"/>
      <c r="E453" s="125"/>
      <c r="I453" s="126"/>
      <c r="M453" s="127"/>
      <c r="N453" s="128"/>
      <c r="O453" s="128"/>
      <c r="P453" s="128"/>
      <c r="Q453" s="128"/>
      <c r="R453" s="128"/>
      <c r="S453" s="128"/>
      <c r="T453" s="128"/>
      <c r="U453" s="128"/>
      <c r="V453" s="129"/>
      <c r="W453" s="129"/>
      <c r="X453" s="129"/>
      <c r="Y453" s="129"/>
      <c r="Z453" s="129"/>
      <c r="AA453" s="129"/>
      <c r="AB453" s="129"/>
      <c r="AC453" s="129"/>
    </row>
    <row r="454" spans="2:29" x14ac:dyDescent="0.35">
      <c r="B454" s="59"/>
      <c r="C454" s="59"/>
      <c r="E454" s="125"/>
      <c r="I454" s="126"/>
      <c r="M454" s="127"/>
      <c r="N454" s="128"/>
      <c r="O454" s="128"/>
      <c r="P454" s="128"/>
      <c r="Q454" s="128"/>
      <c r="R454" s="128"/>
      <c r="S454" s="128"/>
      <c r="T454" s="128"/>
      <c r="U454" s="128"/>
      <c r="V454" s="129"/>
      <c r="W454" s="129"/>
      <c r="X454" s="129"/>
      <c r="Y454" s="129"/>
      <c r="Z454" s="129"/>
      <c r="AA454" s="129"/>
      <c r="AB454" s="129"/>
      <c r="AC454" s="129"/>
    </row>
    <row r="455" spans="2:29" x14ac:dyDescent="0.35">
      <c r="B455" s="59"/>
      <c r="C455" s="59"/>
      <c r="E455" s="125"/>
      <c r="I455" s="126"/>
      <c r="M455" s="127"/>
      <c r="N455" s="128"/>
      <c r="O455" s="128"/>
      <c r="P455" s="128"/>
      <c r="Q455" s="128"/>
      <c r="R455" s="128"/>
      <c r="S455" s="128"/>
      <c r="T455" s="128"/>
      <c r="U455" s="128"/>
      <c r="V455" s="129"/>
      <c r="W455" s="129"/>
      <c r="X455" s="129"/>
      <c r="Y455" s="129"/>
      <c r="Z455" s="129"/>
      <c r="AA455" s="129"/>
      <c r="AB455" s="129"/>
      <c r="AC455" s="129"/>
    </row>
    <row r="456" spans="2:29" x14ac:dyDescent="0.35">
      <c r="B456" s="59"/>
      <c r="C456" s="59"/>
      <c r="E456" s="125"/>
      <c r="I456" s="126"/>
      <c r="M456" s="127"/>
      <c r="N456" s="128"/>
      <c r="O456" s="128"/>
      <c r="P456" s="128"/>
      <c r="Q456" s="128"/>
      <c r="R456" s="128"/>
      <c r="S456" s="128"/>
      <c r="T456" s="128"/>
      <c r="U456" s="128"/>
      <c r="V456" s="129"/>
      <c r="W456" s="129"/>
      <c r="X456" s="129"/>
      <c r="Y456" s="129"/>
      <c r="Z456" s="129"/>
      <c r="AA456" s="129"/>
      <c r="AB456" s="129"/>
      <c r="AC456" s="129"/>
    </row>
    <row r="457" spans="2:29" x14ac:dyDescent="0.35">
      <c r="B457" s="59"/>
      <c r="C457" s="59"/>
      <c r="E457" s="125"/>
      <c r="I457" s="126"/>
      <c r="M457" s="127"/>
      <c r="N457" s="128"/>
      <c r="O457" s="128"/>
      <c r="P457" s="128"/>
      <c r="Q457" s="128"/>
      <c r="R457" s="128"/>
      <c r="S457" s="128"/>
      <c r="T457" s="128"/>
      <c r="U457" s="128"/>
      <c r="V457" s="129"/>
      <c r="W457" s="129"/>
      <c r="X457" s="129"/>
      <c r="Y457" s="129"/>
      <c r="Z457" s="129"/>
      <c r="AA457" s="129"/>
      <c r="AB457" s="129"/>
      <c r="AC457" s="129"/>
    </row>
    <row r="458" spans="2:29" x14ac:dyDescent="0.35">
      <c r="B458" s="59"/>
      <c r="C458" s="59"/>
      <c r="E458" s="125"/>
      <c r="I458" s="126"/>
      <c r="M458" s="127"/>
      <c r="N458" s="128"/>
      <c r="O458" s="128"/>
      <c r="P458" s="128"/>
      <c r="Q458" s="128"/>
      <c r="R458" s="128"/>
      <c r="S458" s="128"/>
      <c r="T458" s="128"/>
      <c r="U458" s="128"/>
      <c r="V458" s="129"/>
      <c r="W458" s="129"/>
      <c r="X458" s="129"/>
      <c r="Y458" s="129"/>
      <c r="Z458" s="129"/>
      <c r="AA458" s="129"/>
      <c r="AB458" s="129"/>
      <c r="AC458" s="129"/>
    </row>
    <row r="459" spans="2:29" x14ac:dyDescent="0.35">
      <c r="B459" s="59"/>
      <c r="C459" s="59"/>
      <c r="E459" s="125"/>
      <c r="I459" s="126"/>
      <c r="M459" s="127"/>
      <c r="N459" s="128"/>
      <c r="O459" s="128"/>
      <c r="P459" s="128"/>
      <c r="Q459" s="128"/>
      <c r="R459" s="128"/>
      <c r="S459" s="128"/>
      <c r="T459" s="128"/>
      <c r="U459" s="128"/>
      <c r="V459" s="129"/>
      <c r="W459" s="129"/>
      <c r="X459" s="129"/>
      <c r="Y459" s="129"/>
      <c r="Z459" s="129"/>
      <c r="AA459" s="129"/>
      <c r="AB459" s="129"/>
      <c r="AC459" s="129"/>
    </row>
    <row r="460" spans="2:29" x14ac:dyDescent="0.35">
      <c r="B460" s="59"/>
      <c r="C460" s="59"/>
      <c r="E460" s="125"/>
      <c r="I460" s="126"/>
      <c r="M460" s="127"/>
      <c r="N460" s="128"/>
      <c r="O460" s="128"/>
      <c r="P460" s="128"/>
      <c r="Q460" s="128"/>
      <c r="R460" s="128"/>
      <c r="S460" s="128"/>
      <c r="T460" s="128"/>
      <c r="U460" s="128"/>
      <c r="V460" s="129"/>
      <c r="W460" s="129"/>
      <c r="X460" s="129"/>
      <c r="Y460" s="129"/>
      <c r="Z460" s="129"/>
      <c r="AA460" s="129"/>
      <c r="AB460" s="129"/>
      <c r="AC460" s="129"/>
    </row>
    <row r="461" spans="2:29" x14ac:dyDescent="0.35">
      <c r="B461" s="59"/>
      <c r="C461" s="59"/>
      <c r="E461" s="125"/>
      <c r="I461" s="126"/>
      <c r="M461" s="127"/>
      <c r="N461" s="128"/>
      <c r="O461" s="128"/>
      <c r="P461" s="128"/>
      <c r="Q461" s="128"/>
      <c r="R461" s="128"/>
      <c r="S461" s="128"/>
      <c r="T461" s="128"/>
      <c r="U461" s="128"/>
      <c r="V461" s="129"/>
      <c r="W461" s="129"/>
      <c r="X461" s="129"/>
      <c r="Y461" s="129"/>
      <c r="Z461" s="129"/>
      <c r="AA461" s="129"/>
      <c r="AB461" s="129"/>
      <c r="AC461" s="129"/>
    </row>
    <row r="462" spans="2:29" x14ac:dyDescent="0.35">
      <c r="B462" s="59"/>
      <c r="C462" s="59"/>
      <c r="E462" s="125"/>
      <c r="I462" s="126"/>
      <c r="M462" s="127"/>
      <c r="N462" s="128"/>
      <c r="O462" s="128"/>
      <c r="P462" s="128"/>
      <c r="Q462" s="128"/>
      <c r="R462" s="128"/>
      <c r="S462" s="128"/>
      <c r="T462" s="128"/>
      <c r="U462" s="128"/>
      <c r="V462" s="129"/>
      <c r="W462" s="129"/>
      <c r="X462" s="129"/>
      <c r="Y462" s="129"/>
      <c r="Z462" s="129"/>
      <c r="AA462" s="129"/>
      <c r="AB462" s="129"/>
      <c r="AC462" s="129"/>
    </row>
    <row r="463" spans="2:29" x14ac:dyDescent="0.35">
      <c r="B463" s="59"/>
      <c r="C463" s="59"/>
      <c r="E463" s="125"/>
      <c r="I463" s="126"/>
      <c r="M463" s="127"/>
      <c r="N463" s="128"/>
      <c r="O463" s="128"/>
      <c r="P463" s="128"/>
      <c r="Q463" s="128"/>
      <c r="R463" s="128"/>
      <c r="S463" s="128"/>
      <c r="T463" s="128"/>
      <c r="U463" s="128"/>
      <c r="V463" s="129"/>
      <c r="W463" s="129"/>
      <c r="X463" s="129"/>
      <c r="Y463" s="129"/>
      <c r="Z463" s="129"/>
      <c r="AA463" s="129"/>
      <c r="AB463" s="129"/>
      <c r="AC463" s="129"/>
    </row>
    <row r="464" spans="2:29" x14ac:dyDescent="0.35">
      <c r="B464" s="59"/>
      <c r="C464" s="59"/>
      <c r="E464" s="125"/>
      <c r="I464" s="126"/>
      <c r="M464" s="127"/>
      <c r="N464" s="128"/>
      <c r="O464" s="128"/>
      <c r="P464" s="128"/>
      <c r="Q464" s="128"/>
      <c r="R464" s="128"/>
      <c r="S464" s="128"/>
      <c r="T464" s="128"/>
      <c r="U464" s="128"/>
      <c r="V464" s="129"/>
      <c r="W464" s="129"/>
      <c r="X464" s="129"/>
      <c r="Y464" s="129"/>
      <c r="Z464" s="129"/>
      <c r="AA464" s="129"/>
      <c r="AB464" s="129"/>
      <c r="AC464" s="129"/>
    </row>
    <row r="465" spans="2:29" x14ac:dyDescent="0.35">
      <c r="B465" s="59"/>
      <c r="C465" s="59"/>
      <c r="E465" s="125"/>
      <c r="I465" s="126"/>
      <c r="M465" s="127"/>
      <c r="N465" s="128"/>
      <c r="O465" s="128"/>
      <c r="P465" s="128"/>
      <c r="Q465" s="128"/>
      <c r="R465" s="128"/>
      <c r="S465" s="128"/>
      <c r="T465" s="128"/>
      <c r="U465" s="128"/>
      <c r="V465" s="129"/>
      <c r="W465" s="129"/>
      <c r="X465" s="129"/>
      <c r="Y465" s="129"/>
      <c r="Z465" s="129"/>
      <c r="AA465" s="129"/>
      <c r="AB465" s="129"/>
      <c r="AC465" s="129"/>
    </row>
    <row r="466" spans="2:29" x14ac:dyDescent="0.35">
      <c r="B466" s="59"/>
      <c r="C466" s="59"/>
      <c r="E466" s="125"/>
      <c r="I466" s="126"/>
      <c r="M466" s="127"/>
      <c r="N466" s="128"/>
      <c r="O466" s="128"/>
      <c r="P466" s="128"/>
      <c r="Q466" s="128"/>
      <c r="R466" s="128"/>
      <c r="S466" s="128"/>
      <c r="T466" s="128"/>
      <c r="U466" s="128"/>
      <c r="V466" s="129"/>
      <c r="W466" s="129"/>
      <c r="X466" s="129"/>
      <c r="Y466" s="129"/>
      <c r="Z466" s="129"/>
      <c r="AA466" s="129"/>
      <c r="AB466" s="129"/>
      <c r="AC466" s="129"/>
    </row>
    <row r="467" spans="2:29" x14ac:dyDescent="0.35">
      <c r="B467" s="59"/>
      <c r="C467" s="59"/>
      <c r="E467" s="125"/>
      <c r="I467" s="126"/>
      <c r="M467" s="127"/>
      <c r="N467" s="128"/>
      <c r="O467" s="128"/>
      <c r="P467" s="128"/>
      <c r="Q467" s="128"/>
      <c r="R467" s="128"/>
      <c r="S467" s="128"/>
      <c r="T467" s="128"/>
      <c r="U467" s="128"/>
      <c r="V467" s="129"/>
      <c r="W467" s="129"/>
      <c r="X467" s="129"/>
      <c r="Y467" s="129"/>
      <c r="Z467" s="129"/>
      <c r="AA467" s="129"/>
      <c r="AB467" s="129"/>
      <c r="AC467" s="129"/>
    </row>
    <row r="468" spans="2:29" x14ac:dyDescent="0.35">
      <c r="B468" s="59"/>
      <c r="C468" s="59"/>
      <c r="E468" s="125"/>
      <c r="I468" s="126"/>
      <c r="M468" s="127"/>
      <c r="N468" s="128"/>
      <c r="O468" s="128"/>
      <c r="P468" s="128"/>
      <c r="Q468" s="128"/>
      <c r="R468" s="128"/>
      <c r="S468" s="128"/>
      <c r="T468" s="128"/>
      <c r="U468" s="128"/>
      <c r="V468" s="129"/>
      <c r="W468" s="129"/>
      <c r="X468" s="129"/>
      <c r="Y468" s="129"/>
      <c r="Z468" s="129"/>
      <c r="AA468" s="129"/>
      <c r="AB468" s="129"/>
      <c r="AC468" s="129"/>
    </row>
    <row r="469" spans="2:29" x14ac:dyDescent="0.35">
      <c r="B469" s="59"/>
      <c r="C469" s="59"/>
      <c r="E469" s="125"/>
      <c r="I469" s="126"/>
      <c r="M469" s="127"/>
      <c r="N469" s="128"/>
      <c r="O469" s="128"/>
      <c r="P469" s="128"/>
      <c r="Q469" s="128"/>
      <c r="R469" s="128"/>
      <c r="S469" s="128"/>
      <c r="T469" s="128"/>
      <c r="U469" s="128"/>
      <c r="V469" s="129"/>
      <c r="W469" s="129"/>
      <c r="X469" s="129"/>
      <c r="Y469" s="129"/>
      <c r="Z469" s="129"/>
      <c r="AA469" s="129"/>
      <c r="AB469" s="129"/>
      <c r="AC469" s="129"/>
    </row>
    <row r="470" spans="2:29" x14ac:dyDescent="0.35">
      <c r="B470" s="59"/>
      <c r="C470" s="59"/>
      <c r="E470" s="125"/>
      <c r="I470" s="126"/>
      <c r="M470" s="127"/>
      <c r="N470" s="128"/>
      <c r="O470" s="128"/>
      <c r="P470" s="128"/>
      <c r="Q470" s="128"/>
      <c r="R470" s="128"/>
      <c r="S470" s="128"/>
      <c r="T470" s="128"/>
      <c r="U470" s="128"/>
      <c r="V470" s="129"/>
      <c r="W470" s="129"/>
      <c r="X470" s="129"/>
      <c r="Y470" s="129"/>
      <c r="Z470" s="129"/>
      <c r="AA470" s="129"/>
      <c r="AB470" s="129"/>
      <c r="AC470" s="129"/>
    </row>
    <row r="471" spans="2:29" x14ac:dyDescent="0.35">
      <c r="B471" s="59"/>
      <c r="C471" s="59"/>
      <c r="E471" s="125"/>
      <c r="I471" s="126"/>
      <c r="M471" s="127"/>
      <c r="N471" s="128"/>
      <c r="O471" s="128"/>
      <c r="P471" s="128"/>
      <c r="Q471" s="128"/>
      <c r="R471" s="128"/>
      <c r="S471" s="128"/>
      <c r="T471" s="128"/>
      <c r="U471" s="128"/>
      <c r="V471" s="129"/>
      <c r="W471" s="129"/>
      <c r="X471" s="129"/>
      <c r="Y471" s="129"/>
      <c r="Z471" s="129"/>
      <c r="AA471" s="129"/>
      <c r="AB471" s="129"/>
      <c r="AC471" s="129"/>
    </row>
    <row r="472" spans="2:29" x14ac:dyDescent="0.35">
      <c r="B472" s="59"/>
      <c r="C472" s="59"/>
      <c r="E472" s="125"/>
      <c r="I472" s="126"/>
      <c r="M472" s="127"/>
      <c r="N472" s="128"/>
      <c r="O472" s="128"/>
      <c r="P472" s="128"/>
      <c r="Q472" s="128"/>
      <c r="R472" s="128"/>
      <c r="S472" s="128"/>
      <c r="T472" s="128"/>
      <c r="U472" s="128"/>
      <c r="V472" s="129"/>
      <c r="W472" s="129"/>
      <c r="X472" s="129"/>
      <c r="Y472" s="129"/>
      <c r="Z472" s="129"/>
      <c r="AA472" s="129"/>
      <c r="AB472" s="129"/>
      <c r="AC472" s="129"/>
    </row>
    <row r="473" spans="2:29" x14ac:dyDescent="0.35">
      <c r="B473" s="59"/>
      <c r="C473" s="59"/>
      <c r="E473" s="125"/>
      <c r="I473" s="126"/>
      <c r="M473" s="127"/>
      <c r="N473" s="128"/>
      <c r="O473" s="128"/>
      <c r="P473" s="128"/>
      <c r="Q473" s="128"/>
      <c r="R473" s="128"/>
      <c r="S473" s="128"/>
      <c r="T473" s="128"/>
      <c r="U473" s="128"/>
      <c r="V473" s="129"/>
      <c r="W473" s="129"/>
      <c r="X473" s="129"/>
      <c r="Y473" s="129"/>
      <c r="Z473" s="129"/>
      <c r="AA473" s="129"/>
      <c r="AB473" s="129"/>
      <c r="AC473" s="129"/>
    </row>
    <row r="474" spans="2:29" x14ac:dyDescent="0.35">
      <c r="B474" s="59"/>
      <c r="C474" s="59"/>
      <c r="E474" s="125"/>
      <c r="I474" s="126"/>
      <c r="M474" s="127"/>
      <c r="N474" s="128"/>
      <c r="O474" s="128"/>
      <c r="P474" s="128"/>
      <c r="Q474" s="128"/>
      <c r="R474" s="128"/>
      <c r="S474" s="128"/>
      <c r="T474" s="128"/>
      <c r="U474" s="128"/>
      <c r="V474" s="129"/>
      <c r="W474" s="129"/>
      <c r="X474" s="129"/>
      <c r="Y474" s="129"/>
      <c r="Z474" s="129"/>
      <c r="AA474" s="129"/>
      <c r="AB474" s="129"/>
      <c r="AC474" s="129"/>
    </row>
    <row r="475" spans="2:29" x14ac:dyDescent="0.35">
      <c r="B475" s="59"/>
      <c r="C475" s="59"/>
      <c r="E475" s="125"/>
      <c r="I475" s="126"/>
      <c r="M475" s="127"/>
      <c r="N475" s="128"/>
      <c r="O475" s="128"/>
      <c r="P475" s="128"/>
      <c r="Q475" s="128"/>
      <c r="R475" s="128"/>
      <c r="S475" s="128"/>
      <c r="T475" s="128"/>
      <c r="U475" s="128"/>
      <c r="V475" s="129"/>
      <c r="W475" s="129"/>
      <c r="X475" s="129"/>
      <c r="Y475" s="129"/>
      <c r="Z475" s="129"/>
      <c r="AA475" s="129"/>
      <c r="AB475" s="129"/>
      <c r="AC475" s="129"/>
    </row>
    <row r="476" spans="2:29" x14ac:dyDescent="0.35">
      <c r="B476" s="59"/>
      <c r="C476" s="59"/>
      <c r="E476" s="125"/>
      <c r="I476" s="126"/>
      <c r="M476" s="127"/>
      <c r="N476" s="128"/>
      <c r="O476" s="128"/>
      <c r="P476" s="128"/>
      <c r="Q476" s="128"/>
      <c r="R476" s="128"/>
      <c r="S476" s="128"/>
      <c r="T476" s="128"/>
      <c r="U476" s="128"/>
      <c r="V476" s="129"/>
      <c r="W476" s="129"/>
      <c r="X476" s="129"/>
      <c r="Y476" s="129"/>
      <c r="Z476" s="129"/>
      <c r="AA476" s="129"/>
      <c r="AB476" s="129"/>
      <c r="AC476" s="129"/>
    </row>
    <row r="477" spans="2:29" x14ac:dyDescent="0.35">
      <c r="B477" s="59"/>
      <c r="C477" s="59"/>
      <c r="E477" s="125"/>
      <c r="I477" s="126"/>
      <c r="M477" s="127"/>
      <c r="N477" s="128"/>
      <c r="O477" s="128"/>
      <c r="P477" s="128"/>
      <c r="Q477" s="128"/>
      <c r="R477" s="128"/>
      <c r="S477" s="128"/>
      <c r="T477" s="128"/>
      <c r="U477" s="128"/>
      <c r="V477" s="129"/>
      <c r="W477" s="129"/>
      <c r="X477" s="129"/>
      <c r="Y477" s="129"/>
      <c r="Z477" s="129"/>
      <c r="AA477" s="129"/>
      <c r="AB477" s="129"/>
      <c r="AC477" s="129"/>
    </row>
    <row r="478" spans="2:29" x14ac:dyDescent="0.35">
      <c r="B478" s="59"/>
      <c r="C478" s="59"/>
      <c r="E478" s="125"/>
      <c r="I478" s="126"/>
      <c r="M478" s="127"/>
      <c r="N478" s="128"/>
      <c r="O478" s="128"/>
      <c r="P478" s="128"/>
      <c r="Q478" s="128"/>
      <c r="R478" s="128"/>
      <c r="S478" s="128"/>
      <c r="T478" s="128"/>
      <c r="U478" s="128"/>
      <c r="V478" s="129"/>
      <c r="W478" s="129"/>
      <c r="X478" s="129"/>
      <c r="Y478" s="129"/>
      <c r="Z478" s="129"/>
      <c r="AA478" s="129"/>
      <c r="AB478" s="129"/>
      <c r="AC478" s="129"/>
    </row>
    <row r="479" spans="2:29" x14ac:dyDescent="0.35">
      <c r="B479" s="59"/>
      <c r="C479" s="59"/>
      <c r="E479" s="125"/>
      <c r="I479" s="126"/>
      <c r="M479" s="127"/>
      <c r="N479" s="128"/>
      <c r="O479" s="128"/>
      <c r="P479" s="128"/>
      <c r="Q479" s="128"/>
      <c r="R479" s="128"/>
      <c r="S479" s="128"/>
      <c r="T479" s="128"/>
      <c r="U479" s="128"/>
      <c r="V479" s="129"/>
      <c r="W479" s="129"/>
      <c r="X479" s="129"/>
      <c r="Y479" s="129"/>
      <c r="Z479" s="129"/>
      <c r="AA479" s="129"/>
      <c r="AB479" s="129"/>
      <c r="AC479" s="129"/>
    </row>
    <row r="480" spans="2:29" x14ac:dyDescent="0.35">
      <c r="B480" s="59"/>
      <c r="C480" s="59"/>
      <c r="E480" s="125"/>
      <c r="I480" s="126"/>
      <c r="M480" s="127"/>
      <c r="N480" s="128"/>
      <c r="O480" s="128"/>
      <c r="P480" s="128"/>
      <c r="Q480" s="128"/>
      <c r="R480" s="128"/>
      <c r="S480" s="128"/>
      <c r="T480" s="128"/>
      <c r="U480" s="128"/>
      <c r="V480" s="129"/>
      <c r="W480" s="129"/>
      <c r="X480" s="129"/>
      <c r="Y480" s="129"/>
      <c r="Z480" s="129"/>
      <c r="AA480" s="129"/>
      <c r="AB480" s="129"/>
      <c r="AC480" s="129"/>
    </row>
    <row r="481" spans="2:29" x14ac:dyDescent="0.35">
      <c r="B481" s="59"/>
      <c r="C481" s="59"/>
      <c r="E481" s="125"/>
      <c r="I481" s="126"/>
      <c r="M481" s="127"/>
      <c r="N481" s="128"/>
      <c r="O481" s="128"/>
      <c r="P481" s="128"/>
      <c r="Q481" s="128"/>
      <c r="R481" s="128"/>
      <c r="S481" s="128"/>
      <c r="T481" s="128"/>
      <c r="U481" s="128"/>
      <c r="V481" s="129"/>
      <c r="W481" s="129"/>
      <c r="X481" s="129"/>
      <c r="Y481" s="129"/>
      <c r="Z481" s="129"/>
      <c r="AA481" s="129"/>
      <c r="AB481" s="129"/>
      <c r="AC481" s="129"/>
    </row>
    <row r="482" spans="2:29" x14ac:dyDescent="0.35">
      <c r="B482" s="59"/>
      <c r="C482" s="59"/>
      <c r="E482" s="125"/>
      <c r="I482" s="126"/>
      <c r="M482" s="127"/>
      <c r="N482" s="128"/>
      <c r="O482" s="128"/>
      <c r="P482" s="128"/>
      <c r="Q482" s="128"/>
      <c r="R482" s="128"/>
      <c r="S482" s="128"/>
      <c r="T482" s="128"/>
      <c r="U482" s="128"/>
      <c r="V482" s="129"/>
      <c r="W482" s="129"/>
      <c r="X482" s="129"/>
      <c r="Y482" s="129"/>
      <c r="Z482" s="129"/>
      <c r="AA482" s="129"/>
      <c r="AB482" s="129"/>
      <c r="AC482" s="129"/>
    </row>
    <row r="483" spans="2:29" x14ac:dyDescent="0.35">
      <c r="B483" s="59"/>
      <c r="C483" s="59"/>
      <c r="E483" s="125"/>
      <c r="I483" s="126"/>
      <c r="M483" s="127"/>
      <c r="N483" s="128"/>
      <c r="O483" s="128"/>
      <c r="P483" s="128"/>
      <c r="Q483" s="128"/>
      <c r="R483" s="128"/>
      <c r="S483" s="128"/>
      <c r="T483" s="128"/>
      <c r="U483" s="128"/>
      <c r="V483" s="129"/>
      <c r="W483" s="129"/>
      <c r="X483" s="129"/>
      <c r="Y483" s="129"/>
      <c r="Z483" s="129"/>
      <c r="AA483" s="129"/>
      <c r="AB483" s="129"/>
      <c r="AC483" s="129"/>
    </row>
    <row r="484" spans="2:29" x14ac:dyDescent="0.35">
      <c r="B484" s="59"/>
      <c r="C484" s="59"/>
      <c r="E484" s="125"/>
      <c r="I484" s="126"/>
      <c r="M484" s="127"/>
      <c r="N484" s="128"/>
      <c r="O484" s="128"/>
      <c r="P484" s="128"/>
      <c r="Q484" s="128"/>
      <c r="R484" s="128"/>
      <c r="S484" s="128"/>
      <c r="T484" s="128"/>
      <c r="U484" s="128"/>
      <c r="V484" s="129"/>
      <c r="W484" s="129"/>
      <c r="X484" s="129"/>
      <c r="Y484" s="129"/>
      <c r="Z484" s="129"/>
      <c r="AA484" s="129"/>
      <c r="AB484" s="129"/>
      <c r="AC484" s="129"/>
    </row>
    <row r="485" spans="2:29" x14ac:dyDescent="0.35">
      <c r="B485" s="59"/>
      <c r="C485" s="59"/>
      <c r="E485" s="125"/>
      <c r="I485" s="126"/>
      <c r="M485" s="127"/>
      <c r="N485" s="128"/>
      <c r="O485" s="128"/>
      <c r="P485" s="128"/>
      <c r="Q485" s="128"/>
      <c r="R485" s="128"/>
      <c r="S485" s="128"/>
      <c r="T485" s="128"/>
      <c r="U485" s="128"/>
      <c r="V485" s="129"/>
      <c r="W485" s="129"/>
      <c r="X485" s="129"/>
      <c r="Y485" s="129"/>
      <c r="Z485" s="129"/>
      <c r="AA485" s="129"/>
      <c r="AB485" s="129"/>
      <c r="AC485" s="129"/>
    </row>
    <row r="486" spans="2:29" x14ac:dyDescent="0.35">
      <c r="B486" s="59"/>
      <c r="C486" s="59"/>
      <c r="E486" s="125"/>
      <c r="I486" s="126"/>
      <c r="M486" s="127"/>
      <c r="N486" s="128"/>
      <c r="O486" s="128"/>
      <c r="P486" s="128"/>
      <c r="Q486" s="128"/>
      <c r="R486" s="128"/>
      <c r="S486" s="128"/>
      <c r="T486" s="128"/>
      <c r="U486" s="128"/>
      <c r="V486" s="129"/>
      <c r="W486" s="129"/>
      <c r="X486" s="129"/>
      <c r="Y486" s="129"/>
      <c r="Z486" s="129"/>
      <c r="AA486" s="129"/>
      <c r="AB486" s="129"/>
      <c r="AC486" s="129"/>
    </row>
    <row r="487" spans="2:29" x14ac:dyDescent="0.35">
      <c r="B487" s="59"/>
      <c r="C487" s="59"/>
      <c r="E487" s="125"/>
      <c r="I487" s="126"/>
      <c r="M487" s="127"/>
      <c r="N487" s="128"/>
      <c r="O487" s="128"/>
      <c r="P487" s="128"/>
      <c r="Q487" s="128"/>
      <c r="R487" s="128"/>
      <c r="S487" s="128"/>
      <c r="T487" s="128"/>
      <c r="U487" s="128"/>
      <c r="V487" s="129"/>
      <c r="W487" s="129"/>
      <c r="X487" s="129"/>
      <c r="Y487" s="129"/>
      <c r="Z487" s="129"/>
      <c r="AA487" s="129"/>
      <c r="AB487" s="129"/>
      <c r="AC487" s="129"/>
    </row>
    <row r="488" spans="2:29" x14ac:dyDescent="0.35">
      <c r="B488" s="59"/>
      <c r="C488" s="59"/>
      <c r="E488" s="125"/>
      <c r="I488" s="126"/>
      <c r="M488" s="127"/>
      <c r="N488" s="128"/>
      <c r="O488" s="128"/>
      <c r="P488" s="128"/>
      <c r="Q488" s="128"/>
      <c r="R488" s="128"/>
      <c r="S488" s="128"/>
      <c r="T488" s="128"/>
      <c r="U488" s="128"/>
      <c r="V488" s="129"/>
      <c r="W488" s="129"/>
      <c r="X488" s="129"/>
      <c r="Y488" s="129"/>
      <c r="Z488" s="129"/>
      <c r="AA488" s="129"/>
      <c r="AB488" s="129"/>
      <c r="AC488" s="129"/>
    </row>
    <row r="489" spans="2:29" x14ac:dyDescent="0.35">
      <c r="B489" s="59"/>
      <c r="C489" s="59"/>
      <c r="E489" s="125"/>
      <c r="I489" s="126"/>
      <c r="M489" s="127"/>
      <c r="N489" s="128"/>
      <c r="O489" s="128"/>
      <c r="P489" s="128"/>
      <c r="Q489" s="128"/>
      <c r="R489" s="128"/>
      <c r="S489" s="128"/>
      <c r="T489" s="128"/>
      <c r="U489" s="128"/>
      <c r="V489" s="129"/>
      <c r="W489" s="129"/>
      <c r="X489" s="129"/>
      <c r="Y489" s="129"/>
      <c r="Z489" s="129"/>
      <c r="AA489" s="129"/>
      <c r="AB489" s="129"/>
      <c r="AC489" s="129"/>
    </row>
    <row r="490" spans="2:29" x14ac:dyDescent="0.35">
      <c r="B490" s="59"/>
      <c r="C490" s="59"/>
      <c r="E490" s="125"/>
      <c r="I490" s="126"/>
      <c r="M490" s="127"/>
      <c r="N490" s="128"/>
      <c r="O490" s="128"/>
      <c r="P490" s="128"/>
      <c r="Q490" s="128"/>
      <c r="R490" s="128"/>
      <c r="S490" s="128"/>
      <c r="T490" s="128"/>
      <c r="U490" s="128"/>
      <c r="V490" s="129"/>
      <c r="W490" s="129"/>
      <c r="X490" s="129"/>
      <c r="Y490" s="129"/>
      <c r="Z490" s="129"/>
      <c r="AA490" s="129"/>
      <c r="AB490" s="129"/>
      <c r="AC490" s="129"/>
    </row>
    <row r="491" spans="2:29" x14ac:dyDescent="0.35">
      <c r="B491" s="59"/>
      <c r="C491" s="59"/>
      <c r="E491" s="125"/>
      <c r="I491" s="126"/>
      <c r="M491" s="127"/>
      <c r="N491" s="128"/>
      <c r="O491" s="128"/>
      <c r="P491" s="128"/>
      <c r="Q491" s="128"/>
      <c r="R491" s="128"/>
      <c r="S491" s="128"/>
      <c r="T491" s="128"/>
      <c r="U491" s="128"/>
      <c r="V491" s="129"/>
      <c r="W491" s="129"/>
      <c r="X491" s="129"/>
      <c r="Y491" s="129"/>
      <c r="Z491" s="129"/>
      <c r="AA491" s="129"/>
      <c r="AB491" s="129"/>
      <c r="AC491" s="129"/>
    </row>
    <row r="492" spans="2:29" x14ac:dyDescent="0.35">
      <c r="B492" s="59"/>
      <c r="C492" s="59"/>
      <c r="E492" s="125"/>
      <c r="I492" s="126"/>
      <c r="M492" s="127"/>
      <c r="N492" s="128"/>
      <c r="O492" s="128"/>
      <c r="P492" s="128"/>
      <c r="Q492" s="128"/>
      <c r="R492" s="128"/>
      <c r="S492" s="128"/>
      <c r="T492" s="128"/>
      <c r="U492" s="128"/>
      <c r="V492" s="129"/>
      <c r="W492" s="129"/>
      <c r="X492" s="129"/>
      <c r="Y492" s="129"/>
      <c r="Z492" s="129"/>
      <c r="AA492" s="129"/>
      <c r="AB492" s="129"/>
      <c r="AC492" s="129"/>
    </row>
    <row r="493" spans="2:29" x14ac:dyDescent="0.35">
      <c r="B493" s="59"/>
      <c r="C493" s="59"/>
      <c r="E493" s="125"/>
      <c r="I493" s="126"/>
      <c r="M493" s="127"/>
      <c r="N493" s="128"/>
      <c r="O493" s="128"/>
      <c r="P493" s="128"/>
      <c r="Q493" s="128"/>
      <c r="R493" s="128"/>
      <c r="S493" s="128"/>
      <c r="T493" s="128"/>
      <c r="U493" s="128"/>
      <c r="V493" s="129"/>
      <c r="W493" s="129"/>
      <c r="X493" s="129"/>
      <c r="Y493" s="129"/>
      <c r="Z493" s="129"/>
      <c r="AA493" s="129"/>
      <c r="AB493" s="129"/>
      <c r="AC493" s="129"/>
    </row>
    <row r="494" spans="2:29" x14ac:dyDescent="0.35">
      <c r="B494" s="59"/>
      <c r="C494" s="59"/>
      <c r="E494" s="125"/>
      <c r="I494" s="126"/>
      <c r="M494" s="127"/>
      <c r="N494" s="128"/>
      <c r="O494" s="128"/>
      <c r="P494" s="128"/>
      <c r="Q494" s="128"/>
      <c r="R494" s="128"/>
      <c r="S494" s="128"/>
      <c r="T494" s="128"/>
      <c r="U494" s="128"/>
      <c r="V494" s="129"/>
      <c r="W494" s="129"/>
      <c r="X494" s="129"/>
      <c r="Y494" s="129"/>
      <c r="Z494" s="129"/>
      <c r="AA494" s="129"/>
      <c r="AB494" s="129"/>
      <c r="AC494" s="129"/>
    </row>
    <row r="495" spans="2:29" x14ac:dyDescent="0.35">
      <c r="B495" s="59"/>
      <c r="C495" s="59"/>
      <c r="E495" s="125"/>
      <c r="I495" s="126"/>
      <c r="M495" s="127"/>
      <c r="N495" s="128"/>
      <c r="O495" s="128"/>
      <c r="P495" s="128"/>
      <c r="Q495" s="128"/>
      <c r="R495" s="128"/>
      <c r="S495" s="128"/>
      <c r="T495" s="128"/>
      <c r="U495" s="128"/>
      <c r="V495" s="129"/>
      <c r="W495" s="129"/>
      <c r="X495" s="129"/>
      <c r="Y495" s="129"/>
      <c r="Z495" s="129"/>
      <c r="AA495" s="129"/>
      <c r="AB495" s="129"/>
      <c r="AC495" s="129"/>
    </row>
    <row r="496" spans="2:29" x14ac:dyDescent="0.35">
      <c r="B496" s="59"/>
      <c r="C496" s="59"/>
      <c r="E496" s="125"/>
      <c r="I496" s="126"/>
      <c r="M496" s="127"/>
      <c r="N496" s="128"/>
      <c r="O496" s="128"/>
      <c r="P496" s="128"/>
      <c r="Q496" s="128"/>
      <c r="R496" s="128"/>
      <c r="S496" s="128"/>
      <c r="T496" s="128"/>
      <c r="U496" s="128"/>
      <c r="V496" s="129"/>
      <c r="W496" s="129"/>
      <c r="X496" s="129"/>
      <c r="Y496" s="129"/>
      <c r="Z496" s="129"/>
      <c r="AA496" s="129"/>
      <c r="AB496" s="129"/>
      <c r="AC496" s="129"/>
    </row>
    <row r="497" spans="2:29" x14ac:dyDescent="0.35">
      <c r="B497" s="59"/>
      <c r="C497" s="59"/>
      <c r="E497" s="125"/>
      <c r="I497" s="126"/>
      <c r="M497" s="127"/>
      <c r="N497" s="128"/>
      <c r="O497" s="128"/>
      <c r="P497" s="128"/>
      <c r="Q497" s="128"/>
      <c r="R497" s="128"/>
      <c r="S497" s="128"/>
      <c r="T497" s="128"/>
      <c r="U497" s="128"/>
      <c r="V497" s="129"/>
      <c r="W497" s="129"/>
      <c r="X497" s="129"/>
      <c r="Y497" s="129"/>
      <c r="Z497" s="129"/>
      <c r="AA497" s="129"/>
      <c r="AB497" s="129"/>
      <c r="AC497" s="129"/>
    </row>
    <row r="498" spans="2:29" x14ac:dyDescent="0.35">
      <c r="B498" s="59"/>
      <c r="C498" s="59"/>
      <c r="E498" s="125"/>
      <c r="I498" s="126"/>
      <c r="M498" s="127"/>
      <c r="N498" s="128"/>
      <c r="O498" s="128"/>
      <c r="P498" s="128"/>
      <c r="Q498" s="128"/>
      <c r="R498" s="128"/>
      <c r="S498" s="128"/>
      <c r="T498" s="128"/>
      <c r="U498" s="128"/>
      <c r="V498" s="129"/>
      <c r="W498" s="129"/>
      <c r="X498" s="129"/>
      <c r="Y498" s="129"/>
      <c r="Z498" s="129"/>
      <c r="AA498" s="129"/>
      <c r="AB498" s="129"/>
      <c r="AC498" s="129"/>
    </row>
    <row r="499" spans="2:29" x14ac:dyDescent="0.35">
      <c r="B499" s="59"/>
      <c r="C499" s="59"/>
      <c r="E499" s="125"/>
      <c r="I499" s="126"/>
      <c r="M499" s="127"/>
      <c r="N499" s="128"/>
      <c r="O499" s="128"/>
      <c r="P499" s="128"/>
      <c r="Q499" s="128"/>
      <c r="R499" s="128"/>
      <c r="S499" s="128"/>
      <c r="T499" s="128"/>
      <c r="U499" s="128"/>
      <c r="V499" s="129"/>
      <c r="W499" s="129"/>
      <c r="X499" s="129"/>
      <c r="Y499" s="129"/>
      <c r="Z499" s="129"/>
      <c r="AA499" s="129"/>
      <c r="AB499" s="129"/>
      <c r="AC499" s="129"/>
    </row>
    <row r="500" spans="2:29" x14ac:dyDescent="0.35">
      <c r="B500" s="59"/>
      <c r="C500" s="59"/>
      <c r="E500" s="125"/>
      <c r="I500" s="126"/>
      <c r="M500" s="127"/>
      <c r="N500" s="128"/>
      <c r="O500" s="128"/>
      <c r="P500" s="128"/>
      <c r="Q500" s="128"/>
      <c r="R500" s="128"/>
      <c r="S500" s="128"/>
      <c r="T500" s="128"/>
      <c r="U500" s="128"/>
      <c r="V500" s="129"/>
      <c r="W500" s="129"/>
      <c r="X500" s="129"/>
      <c r="Y500" s="129"/>
      <c r="Z500" s="129"/>
      <c r="AA500" s="129"/>
      <c r="AB500" s="129"/>
      <c r="AC500" s="129"/>
    </row>
    <row r="501" spans="2:29" x14ac:dyDescent="0.35">
      <c r="B501" s="59"/>
      <c r="C501" s="59"/>
      <c r="E501" s="125"/>
      <c r="I501" s="126"/>
      <c r="M501" s="127"/>
      <c r="N501" s="128"/>
      <c r="O501" s="128"/>
      <c r="P501" s="128"/>
      <c r="Q501" s="128"/>
      <c r="R501" s="128"/>
      <c r="S501" s="128"/>
      <c r="T501" s="128"/>
      <c r="U501" s="128"/>
      <c r="V501" s="129"/>
      <c r="W501" s="129"/>
      <c r="X501" s="129"/>
      <c r="Y501" s="129"/>
      <c r="Z501" s="129"/>
      <c r="AA501" s="129"/>
      <c r="AB501" s="129"/>
      <c r="AC501" s="129"/>
    </row>
    <row r="502" spans="2:29" x14ac:dyDescent="0.35">
      <c r="B502" s="59"/>
      <c r="C502" s="59"/>
      <c r="E502" s="125"/>
      <c r="I502" s="126"/>
      <c r="M502" s="127"/>
      <c r="N502" s="128"/>
      <c r="O502" s="128"/>
      <c r="P502" s="128"/>
      <c r="Q502" s="128"/>
      <c r="R502" s="128"/>
      <c r="S502" s="128"/>
      <c r="T502" s="128"/>
      <c r="U502" s="128"/>
      <c r="V502" s="129"/>
      <c r="W502" s="129"/>
      <c r="X502" s="129"/>
      <c r="Y502" s="129"/>
      <c r="Z502" s="129"/>
      <c r="AA502" s="129"/>
      <c r="AB502" s="129"/>
      <c r="AC502" s="129"/>
    </row>
    <row r="503" spans="2:29" x14ac:dyDescent="0.35">
      <c r="B503" s="59"/>
      <c r="C503" s="59"/>
      <c r="E503" s="125"/>
      <c r="I503" s="126"/>
      <c r="M503" s="127"/>
      <c r="N503" s="128"/>
      <c r="O503" s="128"/>
      <c r="P503" s="128"/>
      <c r="Q503" s="128"/>
      <c r="R503" s="128"/>
      <c r="S503" s="128"/>
      <c r="T503" s="128"/>
      <c r="U503" s="128"/>
      <c r="V503" s="129"/>
      <c r="W503" s="129"/>
      <c r="X503" s="129"/>
      <c r="Y503" s="129"/>
      <c r="Z503" s="129"/>
      <c r="AA503" s="129"/>
      <c r="AB503" s="129"/>
      <c r="AC503" s="129"/>
    </row>
    <row r="504" spans="2:29" x14ac:dyDescent="0.35">
      <c r="B504" s="59"/>
      <c r="C504" s="59"/>
      <c r="E504" s="125"/>
      <c r="I504" s="126"/>
      <c r="M504" s="127"/>
      <c r="N504" s="128"/>
      <c r="O504" s="128"/>
      <c r="P504" s="128"/>
      <c r="Q504" s="128"/>
      <c r="R504" s="128"/>
      <c r="S504" s="128"/>
      <c r="T504" s="128"/>
      <c r="U504" s="128"/>
      <c r="V504" s="129"/>
      <c r="W504" s="129"/>
      <c r="X504" s="129"/>
      <c r="Y504" s="129"/>
      <c r="Z504" s="129"/>
      <c r="AA504" s="129"/>
      <c r="AB504" s="129"/>
      <c r="AC504" s="129"/>
    </row>
  </sheetData>
  <sheetProtection algorithmName="SHA-512" hashValue="B7u7+GmL6i0XWGmTsHVLnzBeL82/KtquZu+la/TbMAo3x5XlAg1NYuT2fJX3UxK/E3OID8cm1Dvi1Vsa2jHEyQ==" saltValue="0uLDQD6l2iLjPxdPQiF9EQ==" spinCount="100000" sheet="1" objects="1" scenarios="1"/>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95120-EC40-49FD-BFB3-7BD07ABE9F75}">
  <sheetPr codeName="Sheet5">
    <tabColor theme="1" tint="0.499984740745262"/>
  </sheetPr>
  <dimension ref="A1:X91"/>
  <sheetViews>
    <sheetView topLeftCell="A16" zoomScale="85" zoomScaleNormal="85" workbookViewId="0">
      <selection activeCell="B35" sqref="B35"/>
    </sheetView>
  </sheetViews>
  <sheetFormatPr defaultColWidth="8.640625" defaultRowHeight="14.15" x14ac:dyDescent="0.35"/>
  <cols>
    <col min="1" max="1" width="25.140625" style="31" customWidth="1"/>
    <col min="2" max="2" width="21.140625" style="31" customWidth="1"/>
    <col min="3" max="3" width="7.140625" style="31" customWidth="1"/>
    <col min="4" max="4" width="23.7109375" style="31" customWidth="1"/>
    <col min="5" max="5" width="10.35546875" style="31" customWidth="1"/>
    <col min="6" max="6" width="16.2109375" style="31" customWidth="1"/>
    <col min="7" max="7" width="17.2109375" style="31" customWidth="1"/>
    <col min="8" max="8" width="20.7109375" style="31" customWidth="1"/>
    <col min="9" max="9" width="17.640625" style="31" customWidth="1"/>
    <col min="10" max="10" width="26.140625" style="31" customWidth="1"/>
    <col min="11" max="11" width="22.35546875" style="31" customWidth="1"/>
    <col min="12" max="12" width="14.35546875" style="31" customWidth="1"/>
    <col min="13" max="13" width="13.7109375" style="31" customWidth="1"/>
    <col min="14" max="14" width="17.640625" style="31" customWidth="1"/>
    <col min="15" max="15" width="25.35546875" style="31" customWidth="1"/>
    <col min="16" max="16" width="24.35546875" style="31" customWidth="1"/>
    <col min="17" max="17" width="11.35546875" style="31" customWidth="1"/>
    <col min="18" max="16384" width="8.640625" style="31"/>
  </cols>
  <sheetData>
    <row r="1" spans="1:24" x14ac:dyDescent="0.35">
      <c r="A1" s="30" t="s">
        <v>246</v>
      </c>
    </row>
    <row r="2" spans="1:24" x14ac:dyDescent="0.35">
      <c r="A2" s="130" t="s">
        <v>247</v>
      </c>
      <c r="F2" s="30" t="s">
        <v>108</v>
      </c>
      <c r="G2" s="131">
        <v>0.8</v>
      </c>
    </row>
    <row r="3" spans="1:24" x14ac:dyDescent="0.35">
      <c r="F3" s="31" t="s">
        <v>248</v>
      </c>
      <c r="G3" s="31" t="s">
        <v>249</v>
      </c>
      <c r="H3" s="31" t="s">
        <v>250</v>
      </c>
      <c r="I3" s="31" t="s">
        <v>251</v>
      </c>
      <c r="J3" s="31" t="s">
        <v>252</v>
      </c>
      <c r="K3" s="31" t="s">
        <v>253</v>
      </c>
      <c r="L3" s="31" t="s">
        <v>254</v>
      </c>
      <c r="M3" s="31" t="s">
        <v>255</v>
      </c>
      <c r="N3" s="31" t="s">
        <v>256</v>
      </c>
    </row>
    <row r="4" spans="1:24" x14ac:dyDescent="0.35">
      <c r="A4" s="31" t="s">
        <v>257</v>
      </c>
      <c r="B4" s="31" t="str" cm="1">
        <f t="array" ref="B4:B7">Grösse</f>
        <v>Voitures compactes</v>
      </c>
      <c r="C4" s="31" t="s">
        <v>258</v>
      </c>
      <c r="D4" s="31" t="s">
        <v>259</v>
      </c>
      <c r="E4" s="132" cm="1">
        <f t="array" ref="E4">MATCH(D4,'2e. Umweltrechner Verkehr'!C:C&amp;'2e. Umweltrechner Verkehr'!D:D&amp;'2e. Umweltrechner Verkehr'!I:I,0)</f>
        <v>2</v>
      </c>
      <c r="F4" s="133">
        <v>46.46</v>
      </c>
      <c r="G4" s="133">
        <f>F4*$G$2</f>
        <v>37.167999999999999</v>
      </c>
      <c r="H4" s="133" cm="1">
        <f t="array" ref="H4">INDEX('2e. Umweltrechner Verkehr'!V:V,$E4)</f>
        <v>14.9</v>
      </c>
      <c r="I4" s="32" cm="1">
        <f t="array" ref="I4">INDEX('2e. Umweltrechner Verkehr'!Q:Q,$E4)</f>
        <v>200000</v>
      </c>
      <c r="J4" s="134">
        <f>K4/H13-1</f>
        <v>0.34352909933060993</v>
      </c>
      <c r="K4" s="135">
        <f>28668*(1-$B$29)</f>
        <v>25801.200000000001</v>
      </c>
      <c r="L4" s="135">
        <v>350</v>
      </c>
      <c r="M4" s="135">
        <v>455</v>
      </c>
      <c r="N4" s="136">
        <v>-0.02</v>
      </c>
      <c r="W4" s="137"/>
      <c r="X4" s="137"/>
    </row>
    <row r="5" spans="1:24" x14ac:dyDescent="0.35">
      <c r="A5" s="31" t="s">
        <v>257</v>
      </c>
      <c r="B5" s="31" t="str">
        <v>Catégorie moyenne</v>
      </c>
      <c r="C5" s="31" t="s">
        <v>258</v>
      </c>
      <c r="D5" s="31" t="s">
        <v>260</v>
      </c>
      <c r="E5" s="132" cm="1">
        <f t="array" ref="E5">MATCH(D5,'2e. Umweltrechner Verkehr'!C:C&amp;'2e. Umweltrechner Verkehr'!D:D&amp;'2e. Umweltrechner Verkehr'!I:I,0)</f>
        <v>3</v>
      </c>
      <c r="F5" s="133">
        <v>58.625</v>
      </c>
      <c r="G5" s="133">
        <f t="shared" ref="G5:G7" si="0">F5*$G$2</f>
        <v>46.900000000000006</v>
      </c>
      <c r="H5" s="133" cm="1">
        <f t="array" ref="H5">INDEX('2e. Umweltrechner Verkehr'!V:V,$E5)</f>
        <v>15.1</v>
      </c>
      <c r="I5" s="32" cm="1">
        <f t="array" ref="I5">INDEX('2e. Umweltrechner Verkehr'!Q:Q,$E5)</f>
        <v>200000</v>
      </c>
      <c r="J5" s="134">
        <f t="shared" ref="J5:J7" si="1">K5/H14-1</f>
        <v>-3.3725864927902638E-4</v>
      </c>
      <c r="K5" s="135">
        <f>35569*(1-$B$29)</f>
        <v>32012.100000000002</v>
      </c>
      <c r="L5" s="135">
        <v>470</v>
      </c>
      <c r="M5" s="135">
        <v>650</v>
      </c>
      <c r="N5" s="136">
        <v>-0.03</v>
      </c>
    </row>
    <row r="6" spans="1:24" x14ac:dyDescent="0.35">
      <c r="A6" s="31" t="s">
        <v>257</v>
      </c>
      <c r="B6" s="31" t="str">
        <v>Catégorie supérieure</v>
      </c>
      <c r="C6" s="31" t="s">
        <v>258</v>
      </c>
      <c r="D6" s="31" t="s">
        <v>261</v>
      </c>
      <c r="E6" s="132" cm="1">
        <f t="array" ref="E6">MATCH(D6,'2e. Umweltrechner Verkehr'!C:C&amp;'2e. Umweltrechner Verkehr'!D:D&amp;'2e. Umweltrechner Verkehr'!I:I,0)</f>
        <v>4</v>
      </c>
      <c r="F6" s="133">
        <v>99.65</v>
      </c>
      <c r="G6" s="133">
        <f t="shared" si="0"/>
        <v>79.720000000000013</v>
      </c>
      <c r="H6" s="133" cm="1">
        <f t="array" ref="H6">INDEX('2e. Umweltrechner Verkehr'!V:V,$E6)</f>
        <v>16.3</v>
      </c>
      <c r="I6" s="32" cm="1">
        <f t="array" ref="I6">INDEX('2e. Umweltrechner Verkehr'!Q:Q,$E6)</f>
        <v>200000</v>
      </c>
      <c r="J6" s="134">
        <f t="shared" si="1"/>
        <v>1.8030556427432121E-2</v>
      </c>
      <c r="K6" s="135">
        <f>83428*(1-$B$29)</f>
        <v>75085.2</v>
      </c>
      <c r="L6" s="135">
        <v>750</v>
      </c>
      <c r="M6" s="135">
        <v>1000</v>
      </c>
      <c r="N6" s="136">
        <v>-0.04</v>
      </c>
    </row>
    <row r="7" spans="1:24" x14ac:dyDescent="0.35">
      <c r="A7" s="31" t="s">
        <v>257</v>
      </c>
      <c r="B7" s="31" t="str">
        <v>SUV</v>
      </c>
      <c r="C7" s="31" t="s">
        <v>258</v>
      </c>
      <c r="D7" s="31" t="s">
        <v>262</v>
      </c>
      <c r="E7" s="132" cm="1">
        <f t="array" ref="E7">MATCH(D7,'2e. Umweltrechner Verkehr'!C:C&amp;'2e. Umweltrechner Verkehr'!D:D&amp;'2e. Umweltrechner Verkehr'!I:I,0)</f>
        <v>5</v>
      </c>
      <c r="F7" s="133">
        <v>71.760000000000005</v>
      </c>
      <c r="G7" s="133">
        <f t="shared" si="0"/>
        <v>57.408000000000008</v>
      </c>
      <c r="H7" s="133" cm="1">
        <f t="array" ref="H7">INDEX('2e. Umweltrechner Verkehr'!V:V,$E7)</f>
        <v>16.399999999999999</v>
      </c>
      <c r="I7" s="32" cm="1">
        <f t="array" ref="I7">INDEX('2e. Umweltrechner Verkehr'!Q:Q,$E7)</f>
        <v>200000</v>
      </c>
      <c r="J7" s="134">
        <f t="shared" si="1"/>
        <v>0.1809020084339934</v>
      </c>
      <c r="K7" s="135">
        <f>49566*(1-$B$29)</f>
        <v>44609.4</v>
      </c>
      <c r="L7" s="135">
        <v>590</v>
      </c>
      <c r="M7" s="135">
        <v>850</v>
      </c>
      <c r="N7" s="136">
        <v>-3.5000000000000003E-2</v>
      </c>
    </row>
    <row r="9" spans="1:24" x14ac:dyDescent="0.35">
      <c r="F9" s="31" t="s">
        <v>263</v>
      </c>
      <c r="G9" s="31" t="s">
        <v>263</v>
      </c>
      <c r="H9" s="31" t="s">
        <v>263</v>
      </c>
      <c r="I9" s="31" t="s">
        <v>264</v>
      </c>
      <c r="J9" s="31" t="s">
        <v>265</v>
      </c>
      <c r="K9" s="31" t="s">
        <v>266</v>
      </c>
      <c r="L9" s="31" t="s">
        <v>265</v>
      </c>
      <c r="M9" s="31" t="s">
        <v>265</v>
      </c>
    </row>
    <row r="10" spans="1:24" x14ac:dyDescent="0.35">
      <c r="K10" s="138" t="s">
        <v>267</v>
      </c>
      <c r="M10" s="35" t="s">
        <v>268</v>
      </c>
    </row>
    <row r="11" spans="1:24" x14ac:dyDescent="0.35">
      <c r="F11" s="30" t="s">
        <v>109</v>
      </c>
    </row>
    <row r="12" spans="1:24" x14ac:dyDescent="0.35">
      <c r="F12" s="31" t="s">
        <v>269</v>
      </c>
      <c r="G12" s="31" t="s">
        <v>251</v>
      </c>
      <c r="H12" s="31" t="s">
        <v>253</v>
      </c>
      <c r="I12" s="31" t="s">
        <v>254</v>
      </c>
      <c r="J12" s="31" t="s">
        <v>255</v>
      </c>
      <c r="K12" s="31" t="s">
        <v>256</v>
      </c>
    </row>
    <row r="13" spans="1:24" x14ac:dyDescent="0.35">
      <c r="A13" s="31" t="s">
        <v>257</v>
      </c>
      <c r="B13" s="31" t="str" cm="1">
        <f t="array" ref="B13:B16">Grösse</f>
        <v>Voitures compactes</v>
      </c>
      <c r="C13" s="31" t="s">
        <v>270</v>
      </c>
      <c r="D13" s="31" t="s">
        <v>271</v>
      </c>
      <c r="E13" s="132" cm="1">
        <f t="array" ref="E13">MATCH(D13,'2e. Umweltrechner Verkehr'!C:C&amp;'2e. Umweltrechner Verkehr'!D:D&amp;'2e. Umweltrechner Verkehr'!I:I,0)</f>
        <v>6</v>
      </c>
      <c r="F13" s="133" cm="1">
        <f t="array" ref="F13">INDEX('2e. Umweltrechner Verkehr'!U:U,$E13)</f>
        <v>5.4</v>
      </c>
      <c r="G13" s="31" cm="1">
        <f t="array" ref="G13">INDEX('2e. Umweltrechner Verkehr'!Q:Q,$E13)</f>
        <v>200000</v>
      </c>
      <c r="H13" s="135">
        <f>22593*(1-$B$30)</f>
        <v>19204.05</v>
      </c>
      <c r="I13" s="135">
        <v>300</v>
      </c>
      <c r="J13" s="135">
        <v>700</v>
      </c>
      <c r="K13" s="136">
        <v>1.4999999999999999E-2</v>
      </c>
    </row>
    <row r="14" spans="1:24" x14ac:dyDescent="0.35">
      <c r="A14" s="31" t="s">
        <v>257</v>
      </c>
      <c r="B14" s="31" t="str">
        <v>Catégorie moyenne</v>
      </c>
      <c r="C14" s="31" t="s">
        <v>270</v>
      </c>
      <c r="D14" s="31" t="s">
        <v>272</v>
      </c>
      <c r="E14" s="132" cm="1">
        <f t="array" ref="E14">MATCH(D14,'2e. Umweltrechner Verkehr'!C:C&amp;'2e. Umweltrechner Verkehr'!D:D&amp;'2e. Umweltrechner Verkehr'!I:I,0)</f>
        <v>7</v>
      </c>
      <c r="F14" s="133" cm="1">
        <f t="array" ref="F14">INDEX('2e. Umweltrechner Verkehr'!U:U,$E14)</f>
        <v>5.8</v>
      </c>
      <c r="G14" s="31" cm="1">
        <f t="array" ref="G14">INDEX('2e. Umweltrechner Verkehr'!Q:Q,$E14)</f>
        <v>200000</v>
      </c>
      <c r="H14" s="135">
        <f>37674*(1-$B$30)</f>
        <v>32022.899999999998</v>
      </c>
      <c r="I14" s="135">
        <v>400</v>
      </c>
      <c r="J14" s="135">
        <v>1000</v>
      </c>
      <c r="K14" s="136">
        <v>0</v>
      </c>
    </row>
    <row r="15" spans="1:24" x14ac:dyDescent="0.35">
      <c r="A15" s="31" t="s">
        <v>257</v>
      </c>
      <c r="B15" s="31" t="str">
        <v>Catégorie supérieure</v>
      </c>
      <c r="C15" s="31" t="s">
        <v>270</v>
      </c>
      <c r="D15" s="31" t="s">
        <v>273</v>
      </c>
      <c r="E15" s="132" cm="1">
        <f t="array" ref="E15">MATCH(D15,'2e. Umweltrechner Verkehr'!C:C&amp;'2e. Umweltrechner Verkehr'!D:D&amp;'2e. Umweltrechner Verkehr'!I:I,0)</f>
        <v>8</v>
      </c>
      <c r="F15" s="133" cm="1">
        <f t="array" ref="F15">INDEX('2e. Umweltrechner Verkehr'!U:U,$E15)</f>
        <v>8</v>
      </c>
      <c r="G15" s="31" cm="1">
        <f t="array" ref="G15">INDEX('2e. Umweltrechner Verkehr'!Q:Q,$E15)</f>
        <v>200000</v>
      </c>
      <c r="H15" s="135">
        <f>86771*(1-$B$30)</f>
        <v>73755.349999999991</v>
      </c>
      <c r="I15" s="135">
        <v>650</v>
      </c>
      <c r="J15" s="135">
        <v>1500</v>
      </c>
      <c r="K15" s="136">
        <v>-0.02</v>
      </c>
    </row>
    <row r="16" spans="1:24" x14ac:dyDescent="0.35">
      <c r="A16" s="31" t="s">
        <v>257</v>
      </c>
      <c r="B16" s="31" t="str">
        <v>SUV</v>
      </c>
      <c r="C16" s="31" t="s">
        <v>270</v>
      </c>
      <c r="D16" s="31" t="s">
        <v>274</v>
      </c>
      <c r="E16" s="132" cm="1">
        <f t="array" ref="E16">MATCH(D16,'2e. Umweltrechner Verkehr'!C:C&amp;'2e. Umweltrechner Verkehr'!D:D&amp;'2e. Umweltrechner Verkehr'!I:I,0)</f>
        <v>9</v>
      </c>
      <c r="F16" s="133" cm="1">
        <f t="array" ref="F16">INDEX('2e. Umweltrechner Verkehr'!U:U,$E16)</f>
        <v>6.7</v>
      </c>
      <c r="G16" s="31" cm="1">
        <f t="array" ref="G16">INDEX('2e. Umweltrechner Verkehr'!Q:Q,$E16)</f>
        <v>200000</v>
      </c>
      <c r="H16" s="135">
        <f>44442*(1-$B$30)</f>
        <v>37775.699999999997</v>
      </c>
      <c r="I16" s="135">
        <v>500</v>
      </c>
      <c r="J16" s="135">
        <v>1300</v>
      </c>
      <c r="K16" s="136">
        <v>-0.01</v>
      </c>
    </row>
    <row r="18" spans="1:18" x14ac:dyDescent="0.35">
      <c r="F18" s="31" t="s">
        <v>263</v>
      </c>
      <c r="G18" s="31" t="s">
        <v>264</v>
      </c>
      <c r="H18" s="31" t="s">
        <v>266</v>
      </c>
      <c r="I18" s="31" t="s">
        <v>265</v>
      </c>
      <c r="J18" s="31" t="s">
        <v>265</v>
      </c>
    </row>
    <row r="19" spans="1:18" x14ac:dyDescent="0.35">
      <c r="H19" s="138" t="s">
        <v>267</v>
      </c>
      <c r="J19" s="35" t="s">
        <v>268</v>
      </c>
    </row>
    <row r="20" spans="1:18" x14ac:dyDescent="0.35">
      <c r="C20" s="30" t="s">
        <v>275</v>
      </c>
      <c r="J20" s="35"/>
    </row>
    <row r="21" spans="1:18" x14ac:dyDescent="0.35">
      <c r="C21" s="31" t="s">
        <v>276</v>
      </c>
      <c r="D21" s="31" t="s">
        <v>277</v>
      </c>
      <c r="J21" s="35"/>
    </row>
    <row r="22" spans="1:18" x14ac:dyDescent="0.35">
      <c r="A22" s="31" t="s">
        <v>257</v>
      </c>
      <c r="B22" s="31" t="str" cm="1">
        <f t="array" ref="B22:B25">Grösse</f>
        <v>Voitures compactes</v>
      </c>
      <c r="C22" s="135">
        <v>900</v>
      </c>
      <c r="D22" s="137">
        <v>400</v>
      </c>
      <c r="H22" s="137"/>
      <c r="J22" s="35"/>
    </row>
    <row r="23" spans="1:18" x14ac:dyDescent="0.35">
      <c r="A23" s="31" t="s">
        <v>257</v>
      </c>
      <c r="B23" s="31" t="str">
        <v>Catégorie moyenne</v>
      </c>
      <c r="C23" s="135">
        <v>1200</v>
      </c>
      <c r="D23" s="137">
        <v>400</v>
      </c>
      <c r="J23" s="35"/>
    </row>
    <row r="24" spans="1:18" x14ac:dyDescent="0.35">
      <c r="A24" s="31" t="s">
        <v>257</v>
      </c>
      <c r="B24" s="31" t="str">
        <v>Catégorie supérieure</v>
      </c>
      <c r="C24" s="135">
        <v>2000</v>
      </c>
      <c r="D24" s="137">
        <v>400</v>
      </c>
      <c r="J24" s="35"/>
    </row>
    <row r="25" spans="1:18" x14ac:dyDescent="0.35">
      <c r="A25" s="31" t="s">
        <v>257</v>
      </c>
      <c r="B25" s="31" t="str">
        <v>SUV</v>
      </c>
      <c r="C25" s="135">
        <v>1500</v>
      </c>
      <c r="D25" s="137">
        <v>400</v>
      </c>
      <c r="J25" s="35"/>
    </row>
    <row r="26" spans="1:18" x14ac:dyDescent="0.35">
      <c r="J26" s="35"/>
    </row>
    <row r="27" spans="1:18" x14ac:dyDescent="0.35">
      <c r="C27" s="31" t="s">
        <v>265</v>
      </c>
      <c r="D27" s="31" t="s">
        <v>265</v>
      </c>
      <c r="J27" s="35"/>
    </row>
    <row r="28" spans="1:18" x14ac:dyDescent="0.35">
      <c r="J28" s="35"/>
    </row>
    <row r="29" spans="1:18" x14ac:dyDescent="0.35">
      <c r="A29" s="31" t="s">
        <v>278</v>
      </c>
      <c r="B29" s="139">
        <v>0.1</v>
      </c>
      <c r="J29" s="35"/>
    </row>
    <row r="30" spans="1:18" x14ac:dyDescent="0.35">
      <c r="A30" s="31" t="s">
        <v>279</v>
      </c>
      <c r="B30" s="139">
        <v>0.15</v>
      </c>
      <c r="J30" s="35"/>
    </row>
    <row r="31" spans="1:18" x14ac:dyDescent="0.35">
      <c r="J31" s="35"/>
    </row>
    <row r="32" spans="1:18" x14ac:dyDescent="0.35">
      <c r="A32" s="30" t="s">
        <v>280</v>
      </c>
      <c r="I32" s="138"/>
      <c r="L32" s="30"/>
      <c r="M32" s="30"/>
      <c r="N32" s="30"/>
      <c r="O32" s="30"/>
      <c r="P32" s="138"/>
      <c r="R32" s="35"/>
    </row>
    <row r="33" spans="1:19" x14ac:dyDescent="0.35">
      <c r="A33" s="35" t="s">
        <v>38</v>
      </c>
    </row>
    <row r="34" spans="1:19" x14ac:dyDescent="0.35">
      <c r="A34" s="35"/>
    </row>
    <row r="35" spans="1:19" x14ac:dyDescent="0.35">
      <c r="A35" s="35" t="s">
        <v>281</v>
      </c>
      <c r="D35" s="130" t="s">
        <v>282</v>
      </c>
      <c r="G35" s="31" t="s">
        <v>283</v>
      </c>
    </row>
    <row r="36" spans="1:19" x14ac:dyDescent="0.35">
      <c r="A36" s="31" t="s">
        <v>284</v>
      </c>
      <c r="B36" s="31" t="s">
        <v>285</v>
      </c>
      <c r="E36" s="31" t="s">
        <v>286</v>
      </c>
      <c r="F36" s="31" t="s">
        <v>287</v>
      </c>
      <c r="G36" s="31" t="s">
        <v>284</v>
      </c>
      <c r="H36" s="31" t="s">
        <v>198</v>
      </c>
    </row>
    <row r="37" spans="1:19" x14ac:dyDescent="0.35">
      <c r="A37" s="31" t="s">
        <v>288</v>
      </c>
      <c r="B37" s="31" t="s">
        <v>24</v>
      </c>
      <c r="H37" s="31" t="s">
        <v>289</v>
      </c>
      <c r="I37" s="31" t="s">
        <v>290</v>
      </c>
      <c r="J37" s="31" t="s">
        <v>291</v>
      </c>
      <c r="K37" s="31" t="s">
        <v>292</v>
      </c>
      <c r="O37" s="137"/>
      <c r="P37" s="137"/>
      <c r="Q37" s="137"/>
      <c r="R37" s="137"/>
      <c r="S37" s="137"/>
    </row>
    <row r="38" spans="1:19" x14ac:dyDescent="0.35">
      <c r="A38" s="31" cm="1">
        <f t="array" ref="A38:A49">Ladeleistung</f>
        <v>11</v>
      </c>
      <c r="B38" s="137">
        <f>$K$38*0.8*1.2</f>
        <v>1632</v>
      </c>
      <c r="C38" s="33"/>
      <c r="E38" s="31">
        <v>22</v>
      </c>
      <c r="F38" s="31" t="s">
        <v>90</v>
      </c>
      <c r="G38" s="31">
        <f>E38</f>
        <v>22</v>
      </c>
      <c r="H38" s="140">
        <v>1400</v>
      </c>
      <c r="I38" s="140">
        <v>300</v>
      </c>
      <c r="J38" s="140">
        <f>SUM(H38:I38)</f>
        <v>1700</v>
      </c>
      <c r="K38" s="137">
        <f>J38</f>
        <v>1700</v>
      </c>
      <c r="O38" s="137"/>
      <c r="P38" s="137"/>
      <c r="Q38" s="137"/>
      <c r="R38" s="137"/>
      <c r="S38" s="137"/>
    </row>
    <row r="39" spans="1:19" x14ac:dyDescent="0.35">
      <c r="A39" s="31">
        <v>22</v>
      </c>
      <c r="B39" s="137">
        <f>$K$38*1.2</f>
        <v>2040</v>
      </c>
      <c r="C39" s="33"/>
      <c r="E39" s="31">
        <v>75</v>
      </c>
      <c r="F39" s="31" t="s">
        <v>96</v>
      </c>
      <c r="G39" s="31">
        <f t="shared" ref="G39:G46" si="2">E39/2</f>
        <v>37.5</v>
      </c>
      <c r="H39" s="140">
        <v>31500</v>
      </c>
      <c r="I39" s="140">
        <v>1600</v>
      </c>
      <c r="J39" s="140">
        <f>SUM(H39:I39)</f>
        <v>33100</v>
      </c>
      <c r="K39" s="137">
        <f>J39/2</f>
        <v>16550</v>
      </c>
      <c r="P39" s="137"/>
      <c r="Q39" s="137"/>
      <c r="R39" s="137"/>
      <c r="S39" s="137"/>
    </row>
    <row r="40" spans="1:19" x14ac:dyDescent="0.35">
      <c r="A40" s="31">
        <v>50</v>
      </c>
      <c r="B40" s="137">
        <f>(7726+253.32*A40-0.3599*(A40)^2)*1.2</f>
        <v>23390.7</v>
      </c>
      <c r="C40" s="33"/>
      <c r="E40" s="31">
        <v>150</v>
      </c>
      <c r="F40" s="31" t="s">
        <v>96</v>
      </c>
      <c r="G40" s="31">
        <f t="shared" si="2"/>
        <v>75</v>
      </c>
      <c r="H40" s="140">
        <v>48000</v>
      </c>
      <c r="I40" s="140">
        <v>2000</v>
      </c>
      <c r="J40" s="140">
        <f t="shared" ref="J40:J46" si="3">SUM(H40:I40)</f>
        <v>50000</v>
      </c>
      <c r="K40" s="137">
        <f t="shared" ref="K40:K46" si="4">J40/2</f>
        <v>25000</v>
      </c>
    </row>
    <row r="41" spans="1:19" x14ac:dyDescent="0.35">
      <c r="A41" s="31">
        <v>66</v>
      </c>
      <c r="B41" s="137">
        <f t="shared" ref="B41:B49" si="5">(7726+253.32*A41-0.3599*(A41)^2)*1.2</f>
        <v>27452.87472</v>
      </c>
      <c r="E41" s="31">
        <v>180</v>
      </c>
      <c r="F41" s="31" t="s">
        <v>96</v>
      </c>
      <c r="G41" s="31">
        <f t="shared" si="2"/>
        <v>90</v>
      </c>
      <c r="H41" s="140">
        <v>53500</v>
      </c>
      <c r="I41" s="140">
        <v>2000</v>
      </c>
      <c r="J41" s="140">
        <f t="shared" si="3"/>
        <v>55500</v>
      </c>
      <c r="K41" s="137">
        <f t="shared" si="4"/>
        <v>27750</v>
      </c>
    </row>
    <row r="42" spans="1:19" x14ac:dyDescent="0.35">
      <c r="A42" s="31">
        <v>75</v>
      </c>
      <c r="B42" s="137">
        <f t="shared" si="5"/>
        <v>29640.674999999999</v>
      </c>
      <c r="E42" s="31">
        <v>225</v>
      </c>
      <c r="F42" s="31" t="s">
        <v>96</v>
      </c>
      <c r="G42" s="31">
        <f t="shared" si="2"/>
        <v>112.5</v>
      </c>
      <c r="H42" s="140">
        <v>61000</v>
      </c>
      <c r="I42" s="140">
        <v>2000</v>
      </c>
      <c r="J42" s="140">
        <f t="shared" si="3"/>
        <v>63000</v>
      </c>
      <c r="K42" s="137">
        <f t="shared" si="4"/>
        <v>31500</v>
      </c>
    </row>
    <row r="43" spans="1:19" x14ac:dyDescent="0.35">
      <c r="A43" s="31">
        <v>100</v>
      </c>
      <c r="B43" s="137">
        <f t="shared" si="5"/>
        <v>35350.799999999996</v>
      </c>
      <c r="E43" s="31">
        <v>250</v>
      </c>
      <c r="F43" s="31" t="s">
        <v>96</v>
      </c>
      <c r="G43" s="31">
        <f t="shared" si="2"/>
        <v>125</v>
      </c>
      <c r="H43" s="140">
        <v>66000</v>
      </c>
      <c r="I43" s="140">
        <v>2000</v>
      </c>
      <c r="J43" s="140">
        <f t="shared" si="3"/>
        <v>68000</v>
      </c>
      <c r="K43" s="137">
        <f t="shared" si="4"/>
        <v>34000</v>
      </c>
    </row>
    <row r="44" spans="1:19" x14ac:dyDescent="0.35">
      <c r="A44" s="31">
        <v>120</v>
      </c>
      <c r="B44" s="137">
        <f t="shared" si="5"/>
        <v>39530.207999999991</v>
      </c>
      <c r="E44" s="31">
        <v>275</v>
      </c>
      <c r="F44" s="31" t="s">
        <v>96</v>
      </c>
      <c r="G44" s="31">
        <f t="shared" si="2"/>
        <v>137.5</v>
      </c>
      <c r="H44" s="140">
        <v>68500</v>
      </c>
      <c r="I44" s="140">
        <v>2000</v>
      </c>
      <c r="J44" s="140">
        <f t="shared" si="3"/>
        <v>70500</v>
      </c>
      <c r="K44" s="137">
        <f t="shared" si="4"/>
        <v>35250</v>
      </c>
    </row>
    <row r="45" spans="1:19" x14ac:dyDescent="0.35">
      <c r="A45" s="31">
        <v>150</v>
      </c>
      <c r="B45" s="137">
        <f t="shared" si="5"/>
        <v>45151.5</v>
      </c>
      <c r="E45" s="31">
        <v>320</v>
      </c>
      <c r="F45" s="31" t="s">
        <v>96</v>
      </c>
      <c r="G45" s="31">
        <f t="shared" si="2"/>
        <v>160</v>
      </c>
      <c r="H45" s="140">
        <v>76000</v>
      </c>
      <c r="I45" s="140">
        <v>2000</v>
      </c>
      <c r="J45" s="140">
        <f t="shared" si="3"/>
        <v>78000</v>
      </c>
      <c r="K45" s="137">
        <f t="shared" si="4"/>
        <v>39000</v>
      </c>
    </row>
    <row r="46" spans="1:19" x14ac:dyDescent="0.35">
      <c r="A46" s="31">
        <v>180</v>
      </c>
      <c r="B46" s="137">
        <f t="shared" si="5"/>
        <v>49995.407999999996</v>
      </c>
      <c r="E46" s="31">
        <v>350</v>
      </c>
      <c r="F46" s="31" t="s">
        <v>96</v>
      </c>
      <c r="G46" s="31">
        <f t="shared" si="2"/>
        <v>175</v>
      </c>
      <c r="H46" s="140">
        <v>80500</v>
      </c>
      <c r="I46" s="140">
        <v>2000</v>
      </c>
      <c r="J46" s="140">
        <f t="shared" si="3"/>
        <v>82500</v>
      </c>
      <c r="K46" s="137">
        <f t="shared" si="4"/>
        <v>41250</v>
      </c>
    </row>
    <row r="47" spans="1:19" x14ac:dyDescent="0.35">
      <c r="A47" s="31">
        <v>200</v>
      </c>
      <c r="B47" s="137">
        <f t="shared" si="5"/>
        <v>52792.799999999996</v>
      </c>
    </row>
    <row r="48" spans="1:19" x14ac:dyDescent="0.35">
      <c r="A48" s="31">
        <v>225</v>
      </c>
      <c r="B48" s="137">
        <f t="shared" si="5"/>
        <v>55803.674999999996</v>
      </c>
    </row>
    <row r="49" spans="1:10" x14ac:dyDescent="0.35">
      <c r="A49" s="31">
        <v>250</v>
      </c>
      <c r="B49" s="137">
        <f t="shared" si="5"/>
        <v>58274.7</v>
      </c>
    </row>
    <row r="50" spans="1:10" x14ac:dyDescent="0.35">
      <c r="B50" s="137"/>
    </row>
    <row r="51" spans="1:10" x14ac:dyDescent="0.35">
      <c r="B51" s="137"/>
    </row>
    <row r="53" spans="1:10" x14ac:dyDescent="0.35">
      <c r="A53" s="35" t="s">
        <v>293</v>
      </c>
      <c r="F53" s="31" t="s">
        <v>294</v>
      </c>
    </row>
    <row r="54" spans="1:10" x14ac:dyDescent="0.35">
      <c r="A54" s="31" t="s">
        <v>235</v>
      </c>
      <c r="B54" s="31">
        <v>10</v>
      </c>
      <c r="C54" s="31" t="s">
        <v>233</v>
      </c>
      <c r="F54" s="31" t="s">
        <v>295</v>
      </c>
      <c r="G54" s="138" t="s">
        <v>296</v>
      </c>
    </row>
    <row r="55" spans="1:10" x14ac:dyDescent="0.35">
      <c r="A55" s="31" t="s">
        <v>297</v>
      </c>
      <c r="B55" s="136">
        <v>1.4999999999999999E-2</v>
      </c>
      <c r="D55" s="141" t="s">
        <v>298</v>
      </c>
      <c r="F55" s="31" t="s">
        <v>295</v>
      </c>
    </row>
    <row r="56" spans="1:10" x14ac:dyDescent="0.35">
      <c r="A56" s="31" t="s">
        <v>299</v>
      </c>
      <c r="B56" s="141">
        <v>0.9</v>
      </c>
      <c r="D56" s="141" t="s">
        <v>300</v>
      </c>
      <c r="F56" s="31" t="s">
        <v>301</v>
      </c>
      <c r="G56" s="138" t="s">
        <v>302</v>
      </c>
      <c r="J56" s="31" t="s">
        <v>303</v>
      </c>
    </row>
    <row r="57" spans="1:10" x14ac:dyDescent="0.35">
      <c r="A57" s="31" t="s">
        <v>299</v>
      </c>
      <c r="B57" s="141">
        <v>0.95</v>
      </c>
      <c r="C57" s="141"/>
      <c r="D57" s="141" t="s">
        <v>304</v>
      </c>
      <c r="G57" s="138" t="s">
        <v>302</v>
      </c>
    </row>
    <row r="59" spans="1:10" x14ac:dyDescent="0.35">
      <c r="A59" s="35" t="s">
        <v>305</v>
      </c>
    </row>
    <row r="60" spans="1:10" x14ac:dyDescent="0.35">
      <c r="A60" s="31" t="s">
        <v>306</v>
      </c>
      <c r="B60" s="31">
        <v>50000</v>
      </c>
      <c r="C60" s="31" t="s">
        <v>24</v>
      </c>
      <c r="D60" s="31">
        <v>130000</v>
      </c>
      <c r="E60" s="31" t="s">
        <v>24</v>
      </c>
      <c r="F60" s="31" t="s">
        <v>301</v>
      </c>
    </row>
    <row r="61" spans="1:10" x14ac:dyDescent="0.35">
      <c r="A61" s="31" t="s">
        <v>307</v>
      </c>
      <c r="B61" s="31">
        <v>200</v>
      </c>
      <c r="C61" s="31" t="s">
        <v>308</v>
      </c>
      <c r="D61" s="31">
        <v>256.25</v>
      </c>
      <c r="E61" s="31" t="s">
        <v>308</v>
      </c>
      <c r="F61" s="31" t="s">
        <v>301</v>
      </c>
    </row>
    <row r="62" spans="1:10" x14ac:dyDescent="0.35">
      <c r="A62" s="31" t="s">
        <v>235</v>
      </c>
      <c r="B62" s="31">
        <v>20</v>
      </c>
      <c r="C62" s="31" t="s">
        <v>233</v>
      </c>
      <c r="F62" s="31" t="s">
        <v>295</v>
      </c>
      <c r="G62" s="138" t="s">
        <v>296</v>
      </c>
    </row>
    <row r="63" spans="1:10" x14ac:dyDescent="0.35">
      <c r="G63" s="138"/>
    </row>
    <row r="64" spans="1:10" ht="14.6" x14ac:dyDescent="0.4">
      <c r="A64" s="35" t="s">
        <v>228</v>
      </c>
      <c r="B64" s="31" t="s">
        <v>430</v>
      </c>
      <c r="C64" s="31" t="s">
        <v>458</v>
      </c>
      <c r="D64" s="31" t="s">
        <v>457</v>
      </c>
      <c r="F64" s="31" t="s">
        <v>37</v>
      </c>
    </row>
    <row r="65" spans="1:15" x14ac:dyDescent="0.35">
      <c r="A65" s="31" t="s">
        <v>306</v>
      </c>
      <c r="B65" s="31">
        <v>2000</v>
      </c>
      <c r="C65" s="31">
        <v>8500</v>
      </c>
      <c r="D65" s="31">
        <v>15000</v>
      </c>
      <c r="E65" s="31" t="s">
        <v>24</v>
      </c>
      <c r="F65" s="31">
        <v>0</v>
      </c>
      <c r="G65" s="31" t="s">
        <v>24</v>
      </c>
    </row>
    <row r="66" spans="1:15" x14ac:dyDescent="0.35">
      <c r="A66" s="31" t="s">
        <v>307</v>
      </c>
      <c r="B66" s="31">
        <v>1000</v>
      </c>
      <c r="C66" s="31">
        <v>3000</v>
      </c>
      <c r="D66" s="31">
        <v>3000</v>
      </c>
      <c r="E66" s="31" t="s">
        <v>309</v>
      </c>
      <c r="F66" s="31">
        <v>1000</v>
      </c>
      <c r="G66" s="31" t="s">
        <v>24</v>
      </c>
    </row>
    <row r="68" spans="1:15" x14ac:dyDescent="0.35">
      <c r="A68" s="30" t="s">
        <v>2</v>
      </c>
    </row>
    <row r="69" spans="1:15" x14ac:dyDescent="0.35">
      <c r="A69" s="31" t="s">
        <v>310</v>
      </c>
      <c r="B69" s="142">
        <v>0</v>
      </c>
      <c r="C69" s="31" t="s">
        <v>311</v>
      </c>
      <c r="F69" s="138" t="s">
        <v>312</v>
      </c>
    </row>
    <row r="72" spans="1:15" x14ac:dyDescent="0.35">
      <c r="A72" s="30" t="s">
        <v>313</v>
      </c>
    </row>
    <row r="73" spans="1:15" x14ac:dyDescent="0.35">
      <c r="A73" s="143" t="s">
        <v>265</v>
      </c>
      <c r="B73" s="137"/>
    </row>
    <row r="74" spans="1:15" x14ac:dyDescent="0.35">
      <c r="A74" s="31" t="s">
        <v>314</v>
      </c>
    </row>
    <row r="75" spans="1:15" x14ac:dyDescent="0.35">
      <c r="B75" s="544" t="s">
        <v>315</v>
      </c>
      <c r="C75" s="544"/>
      <c r="D75" s="544"/>
      <c r="E75" s="544"/>
      <c r="F75" s="544"/>
      <c r="G75" s="544"/>
    </row>
    <row r="76" spans="1:15" x14ac:dyDescent="0.35">
      <c r="A76" s="144" t="s">
        <v>22</v>
      </c>
      <c r="B76" s="145">
        <v>10000</v>
      </c>
      <c r="C76" s="145">
        <v>15000</v>
      </c>
      <c r="D76" s="145">
        <v>20000</v>
      </c>
      <c r="E76" s="145">
        <v>25000</v>
      </c>
      <c r="F76" s="145">
        <v>30000</v>
      </c>
      <c r="G76" s="145">
        <v>35000</v>
      </c>
    </row>
    <row r="77" spans="1:15" x14ac:dyDescent="0.35">
      <c r="A77" s="146">
        <v>12</v>
      </c>
      <c r="B77" s="141">
        <v>0.68614861111111114</v>
      </c>
      <c r="C77" s="141">
        <v>0.67522222222222228</v>
      </c>
      <c r="D77" s="141">
        <v>0.66429583333333342</v>
      </c>
      <c r="E77" s="141">
        <v>0.65180972222222222</v>
      </c>
      <c r="F77" s="141">
        <v>0.63307916666666664</v>
      </c>
      <c r="G77" s="141">
        <v>0.61434861111111116</v>
      </c>
    </row>
    <row r="78" spans="1:15" x14ac:dyDescent="0.35">
      <c r="A78" s="146">
        <v>24</v>
      </c>
      <c r="B78" s="141">
        <v>0.63170416666666673</v>
      </c>
      <c r="C78" s="141">
        <v>0.61244444444444446</v>
      </c>
      <c r="D78" s="141">
        <v>0.59318472222222229</v>
      </c>
      <c r="E78" s="141">
        <v>0.57117499999999999</v>
      </c>
      <c r="F78" s="141">
        <v>0.53815833333333341</v>
      </c>
      <c r="G78" s="141">
        <v>0.50514305555555561</v>
      </c>
    </row>
    <row r="79" spans="1:15" x14ac:dyDescent="0.35">
      <c r="A79" s="146">
        <v>36</v>
      </c>
      <c r="B79" s="141">
        <v>0.56999999999999995</v>
      </c>
      <c r="C79" s="141">
        <v>0.54500000000000004</v>
      </c>
      <c r="D79" s="141">
        <v>0.52</v>
      </c>
      <c r="E79" s="141">
        <v>0.49142916666666669</v>
      </c>
      <c r="F79" s="141">
        <v>0.44857083333333336</v>
      </c>
      <c r="G79" s="141">
        <v>0.40571388888888893</v>
      </c>
    </row>
    <row r="80" spans="1:15" x14ac:dyDescent="0.35">
      <c r="A80" s="146">
        <v>48</v>
      </c>
      <c r="B80" s="141">
        <v>0.50103750000000002</v>
      </c>
      <c r="C80" s="141">
        <v>0.47288888888888891</v>
      </c>
      <c r="D80" s="141">
        <v>0.4447402777777778</v>
      </c>
      <c r="E80" s="141">
        <v>0.41257083333333333</v>
      </c>
      <c r="F80" s="141">
        <v>0.36431805555555558</v>
      </c>
      <c r="G80" s="141">
        <v>0.31606388888888887</v>
      </c>
      <c r="J80" s="141"/>
      <c r="K80" s="141"/>
      <c r="L80" s="141"/>
      <c r="M80" s="141"/>
      <c r="N80" s="141"/>
      <c r="O80" s="141"/>
    </row>
    <row r="81" spans="1:15" x14ac:dyDescent="0.35">
      <c r="A81" s="146">
        <v>60</v>
      </c>
      <c r="B81" s="141">
        <v>0.40083333333333337</v>
      </c>
      <c r="C81" s="141">
        <v>0.37375000000000003</v>
      </c>
      <c r="D81" s="141">
        <v>0.34666666666666673</v>
      </c>
      <c r="E81" s="141">
        <v>0.31488055555555561</v>
      </c>
      <c r="F81" s="141">
        <v>0.26928611111111111</v>
      </c>
      <c r="G81" s="141">
        <v>0.22285694444444445</v>
      </c>
      <c r="J81" s="141"/>
      <c r="K81" s="141"/>
      <c r="L81" s="141"/>
      <c r="M81" s="141"/>
      <c r="N81" s="141"/>
      <c r="O81" s="141"/>
    </row>
    <row r="82" spans="1:15" x14ac:dyDescent="0.35">
      <c r="A82" s="146">
        <v>72</v>
      </c>
      <c r="B82" s="141">
        <v>0.28444444444444444</v>
      </c>
      <c r="C82" s="141">
        <v>0.26222222222222225</v>
      </c>
      <c r="D82" s="141">
        <v>0.24</v>
      </c>
      <c r="E82" s="141">
        <v>0.21460277777777781</v>
      </c>
      <c r="F82" s="141">
        <v>0.17650833333333335</v>
      </c>
      <c r="G82" s="141">
        <v>0.13841250000000002</v>
      </c>
      <c r="J82" s="141"/>
      <c r="K82" s="141"/>
      <c r="L82" s="141"/>
      <c r="M82" s="141"/>
      <c r="N82" s="141"/>
      <c r="O82" s="141"/>
    </row>
    <row r="83" spans="1:15" x14ac:dyDescent="0.35">
      <c r="A83" s="147"/>
    </row>
    <row r="84" spans="1:15" x14ac:dyDescent="0.35">
      <c r="A84" s="147"/>
    </row>
    <row r="85" spans="1:15" x14ac:dyDescent="0.35">
      <c r="A85" s="148" t="s">
        <v>316</v>
      </c>
    </row>
    <row r="87" spans="1:15" x14ac:dyDescent="0.35">
      <c r="B87" s="30" t="s">
        <v>317</v>
      </c>
      <c r="C87" s="30" t="s">
        <v>318</v>
      </c>
      <c r="D87" s="149" t="s">
        <v>250</v>
      </c>
    </row>
    <row r="88" spans="1:15" x14ac:dyDescent="0.35">
      <c r="A88" s="31" t="s">
        <v>88</v>
      </c>
      <c r="B88" s="31">
        <v>49</v>
      </c>
      <c r="C88" s="31">
        <v>46.46</v>
      </c>
      <c r="D88" s="31">
        <v>14.850000000000001</v>
      </c>
    </row>
    <row r="89" spans="1:15" x14ac:dyDescent="0.35">
      <c r="A89" s="31" t="s">
        <v>11</v>
      </c>
      <c r="B89" s="31">
        <v>60.5</v>
      </c>
      <c r="C89" s="31">
        <v>58.625</v>
      </c>
      <c r="D89" s="31">
        <v>15.1</v>
      </c>
    </row>
    <row r="90" spans="1:15" x14ac:dyDescent="0.35">
      <c r="A90" s="31" t="s">
        <v>94</v>
      </c>
      <c r="B90" s="31">
        <v>91.95</v>
      </c>
      <c r="C90" s="31">
        <v>99.65</v>
      </c>
      <c r="D90" s="31">
        <v>16.3</v>
      </c>
    </row>
    <row r="91" spans="1:15" x14ac:dyDescent="0.35">
      <c r="A91" s="31" t="s">
        <v>97</v>
      </c>
      <c r="B91" s="31">
        <v>78.125</v>
      </c>
      <c r="C91" s="31">
        <v>71.760000000000005</v>
      </c>
      <c r="D91" s="31">
        <v>16.380000000000003</v>
      </c>
    </row>
  </sheetData>
  <sheetProtection algorithmName="SHA-512" hashValue="w5B3NeZysN/QX5xZ7Q8n5pvgCuRpBINAJYwu0An0SZrlnv9dv5IZHRgO4xSIJpIpnvQ1Ho/GUm3SexNIuRUqVw==" saltValue="rUfK5ZsQ1nY2+8UIRmTs6g==" spinCount="100000" sheet="1" objects="1" scenarios="1"/>
  <mergeCells count="1">
    <mergeCell ref="B75:G75"/>
  </mergeCells>
  <hyperlinks>
    <hyperlink ref="G54" r:id="rId1" display="https://www.newsd.admin.ch/newsd/message/attachments/78059.pdf" xr:uid="{2294840B-06B3-4CD3-822A-032824EF846E}"/>
    <hyperlink ref="G56" r:id="rId2" display="https://www.adac.de/rund-ums-fahrzeug/elektromobilitaet/laden/ladeverluste-elektroauto-studie/" xr:uid="{22E46C11-48A4-4B33-8947-12B6CF582C73}"/>
    <hyperlink ref="F69" r:id="rId3" display="https://www.ewz.ch/de/private/strom/tarife/tarifuebersicht.html" xr:uid="{5BDF7264-1BE6-4D1F-A5D9-4D4F5D321141}"/>
    <hyperlink ref="H19" r:id="rId4" display="https://www.news.admin.ch/de/nsb?id=93890" xr:uid="{DCA7BDB8-0C8B-4A56-BB6C-5EFB781AADEB}"/>
    <hyperlink ref="K10" r:id="rId5" display="https://www.news.admin.ch/de/nsb?id=93890" xr:uid="{46B93779-0848-4BDA-9D05-970B131341DA}"/>
    <hyperlink ref="G62" r:id="rId6" display="https://www.newsd.admin.ch/newsd/message/attachments/78059.pdf" xr:uid="{1968A13C-054A-4EDC-B981-BE13F9F3BD90}"/>
    <hyperlink ref="G57" r:id="rId7" display="https://www.adac.de/rund-ums-fahrzeug/elektromobilitaet/laden/ladeverluste-elektroauto-studie/" xr:uid="{38663976-8A3C-4095-ADF8-C61555051A8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8D8FC-BA61-4913-9415-9DDF2EAB1816}">
  <sheetPr codeName="Sheet15">
    <tabColor theme="1" tint="0.499984740745262"/>
  </sheetPr>
  <dimension ref="A1:CF9"/>
  <sheetViews>
    <sheetView topLeftCell="J1" zoomScale="115" zoomScaleNormal="115" workbookViewId="0">
      <selection activeCell="K12" sqref="K12"/>
    </sheetView>
  </sheetViews>
  <sheetFormatPr defaultColWidth="9.2109375" defaultRowHeight="14.15" x14ac:dyDescent="0.35"/>
  <cols>
    <col min="1" max="1" width="9.2109375" style="150"/>
    <col min="2" max="3" width="12.2109375" style="31" customWidth="1"/>
    <col min="4" max="4" width="9.35546875" style="31" customWidth="1"/>
    <col min="5" max="5" width="9.7109375" style="31" customWidth="1"/>
    <col min="6" max="6" width="16.140625" style="31" customWidth="1"/>
    <col min="7" max="7" width="5.640625" style="31" customWidth="1"/>
    <col min="8" max="8" width="10.2109375" style="31" customWidth="1"/>
    <col min="9" max="10" width="9.140625" style="31" customWidth="1"/>
    <col min="11" max="11" width="17.7109375" style="31" customWidth="1"/>
    <col min="12" max="12" width="5.140625" style="31" bestFit="1" customWidth="1"/>
    <col min="13" max="13" width="15.35546875" style="31" customWidth="1"/>
    <col min="14" max="14" width="35.35546875" style="31" customWidth="1"/>
    <col min="15" max="15" width="10.35546875" style="31" customWidth="1"/>
    <col min="16" max="16" width="12.140625" style="31" customWidth="1"/>
    <col min="17" max="17" width="19.640625" style="31" customWidth="1"/>
    <col min="18" max="18" width="21.35546875" style="31" customWidth="1"/>
    <col min="19" max="19" width="10.140625" style="31" customWidth="1"/>
    <col min="20" max="20" width="12.7109375" style="31" customWidth="1"/>
    <col min="21" max="21" width="33.35546875" style="31" customWidth="1"/>
    <col min="22" max="22" width="30.7109375" style="31" customWidth="1"/>
    <col min="23" max="23" width="22.640625" style="31" customWidth="1"/>
    <col min="24" max="24" width="24.7109375" style="31" customWidth="1"/>
    <col min="25" max="25" width="25.35546875" style="31" customWidth="1"/>
    <col min="26" max="26" width="14.7109375" style="31" customWidth="1"/>
    <col min="27" max="27" width="15.140625" style="31" customWidth="1"/>
    <col min="28" max="28" width="19.640625" style="31" customWidth="1"/>
    <col min="29" max="29" width="16.35546875" style="31" customWidth="1"/>
    <col min="30" max="30" width="26.35546875" style="31" customWidth="1"/>
    <col min="31" max="31" width="22.140625" style="31" customWidth="1"/>
    <col min="32" max="32" width="22.35546875" style="31" customWidth="1"/>
    <col min="33" max="33" width="17.35546875" style="31" customWidth="1"/>
    <col min="34" max="34" width="19.640625" style="31" customWidth="1"/>
    <col min="35" max="35" width="22.7109375" style="31" customWidth="1"/>
    <col min="36" max="36" width="23.35546875" style="31" customWidth="1"/>
    <col min="37" max="37" width="33.35546875" style="31" customWidth="1"/>
    <col min="38" max="38" width="28.7109375" style="31" customWidth="1"/>
    <col min="39" max="39" width="29.35546875" style="31" customWidth="1"/>
    <col min="40" max="40" width="24.35546875" style="31" customWidth="1"/>
    <col min="41" max="41" width="26.640625" style="31" customWidth="1"/>
    <col min="42" max="42" width="29.7109375" style="31" customWidth="1"/>
    <col min="43" max="43" width="18.640625" style="31" customWidth="1"/>
    <col min="44" max="44" width="28.35546875" style="31" customWidth="1"/>
    <col min="45" max="45" width="24.2109375" style="31" customWidth="1"/>
    <col min="46" max="46" width="24.640625" style="31" customWidth="1"/>
    <col min="47" max="47" width="19.7109375" style="31" customWidth="1"/>
    <col min="48" max="48" width="21.7109375" style="31" customWidth="1"/>
    <col min="49" max="49" width="25.2109375" style="31" customWidth="1"/>
    <col min="50" max="50" width="35.7109375" style="31" customWidth="1"/>
    <col min="51" max="51" width="45.640625" style="31" customWidth="1"/>
    <col min="52" max="52" width="41.35546875" style="31" customWidth="1"/>
    <col min="53" max="53" width="41.7109375" style="31" customWidth="1"/>
    <col min="54" max="54" width="36.7109375" style="31" customWidth="1"/>
    <col min="55" max="55" width="39.140625" style="31" customWidth="1"/>
    <col min="56" max="56" width="42.2109375" style="31" customWidth="1"/>
    <col min="57" max="57" width="15.2109375" style="31" customWidth="1"/>
    <col min="58" max="58" width="25.2109375" style="31" customWidth="1"/>
    <col min="59" max="59" width="20.7109375" style="31" customWidth="1"/>
    <col min="60" max="60" width="21.35546875" style="31" customWidth="1"/>
    <col min="61" max="61" width="16.35546875" style="31" customWidth="1"/>
    <col min="62" max="62" width="18.35546875" style="31" customWidth="1"/>
    <col min="63" max="63" width="21.640625" style="31" customWidth="1"/>
    <col min="64" max="64" width="15.2109375" style="31" customWidth="1"/>
    <col min="65" max="65" width="25.2109375" style="31" customWidth="1"/>
    <col min="66" max="66" width="20.7109375" style="31" customWidth="1"/>
    <col min="67" max="67" width="21.35546875" style="31" customWidth="1"/>
    <col min="68" max="68" width="16.35546875" style="31" customWidth="1"/>
    <col min="69" max="69" width="18.35546875" style="31" customWidth="1"/>
    <col min="70" max="70" width="21.640625" style="31" customWidth="1"/>
    <col min="71" max="71" width="16.140625" style="31" customWidth="1"/>
    <col min="72" max="72" width="25.7109375" style="31" customWidth="1"/>
    <col min="73" max="73" width="21.640625" style="31" customWidth="1"/>
    <col min="74" max="74" width="22.140625" style="31" customWidth="1"/>
    <col min="75" max="75" width="17.2109375" style="31" customWidth="1"/>
    <col min="76" max="76" width="19.2109375" style="31" customWidth="1"/>
    <col min="77" max="77" width="22.35546875" style="31" customWidth="1"/>
    <col min="78" max="78" width="13.35546875" style="31" customWidth="1"/>
    <col min="79" max="79" width="23.35546875" style="31" customWidth="1"/>
    <col min="80" max="80" width="19.140625" style="31" customWidth="1"/>
    <col min="81" max="81" width="19.35546875" style="31" customWidth="1"/>
    <col min="82" max="82" width="14.640625" style="31" customWidth="1"/>
    <col min="83" max="83" width="16.640625" style="31" customWidth="1"/>
    <col min="84" max="84" width="19.7109375" style="31" customWidth="1"/>
    <col min="85" max="16384" width="9.2109375" style="31"/>
  </cols>
  <sheetData>
    <row r="1" spans="1:84" x14ac:dyDescent="0.35">
      <c r="A1" s="150" t="s">
        <v>319</v>
      </c>
      <c r="B1" s="31" t="s">
        <v>320</v>
      </c>
      <c r="C1" s="31" t="s">
        <v>321</v>
      </c>
      <c r="D1" s="31" t="s">
        <v>322</v>
      </c>
      <c r="E1" s="31" t="s">
        <v>323</v>
      </c>
      <c r="F1" s="31" t="s">
        <v>324</v>
      </c>
      <c r="G1" s="31" t="s">
        <v>325</v>
      </c>
      <c r="H1" s="31" t="s">
        <v>326</v>
      </c>
      <c r="I1" s="31" t="s">
        <v>327</v>
      </c>
      <c r="J1" s="31" t="s">
        <v>328</v>
      </c>
      <c r="K1" s="31" t="s">
        <v>329</v>
      </c>
      <c r="L1" s="31" t="s">
        <v>330</v>
      </c>
      <c r="M1" s="31" t="s">
        <v>331</v>
      </c>
      <c r="N1" s="31" t="s">
        <v>332</v>
      </c>
      <c r="O1" s="31" t="s">
        <v>333</v>
      </c>
      <c r="P1" s="31" t="s">
        <v>334</v>
      </c>
      <c r="Q1" s="31" t="s">
        <v>335</v>
      </c>
      <c r="R1" s="31" t="s">
        <v>336</v>
      </c>
      <c r="S1" s="31" t="s">
        <v>337</v>
      </c>
      <c r="T1" s="31" t="s">
        <v>338</v>
      </c>
      <c r="U1" s="31" t="s">
        <v>339</v>
      </c>
      <c r="V1" s="31" t="s">
        <v>340</v>
      </c>
      <c r="W1" s="31" t="s">
        <v>341</v>
      </c>
      <c r="X1" s="31" t="s">
        <v>342</v>
      </c>
      <c r="Y1" s="31" t="s">
        <v>343</v>
      </c>
      <c r="Z1" s="31" t="s">
        <v>344</v>
      </c>
      <c r="AA1" s="31" t="s">
        <v>345</v>
      </c>
      <c r="AB1" s="31" t="s">
        <v>346</v>
      </c>
      <c r="AC1" s="31" t="s">
        <v>347</v>
      </c>
      <c r="AD1" s="31" t="s">
        <v>348</v>
      </c>
      <c r="AE1" s="31" t="s">
        <v>349</v>
      </c>
      <c r="AF1" s="31" t="s">
        <v>350</v>
      </c>
      <c r="AG1" s="31" t="s">
        <v>351</v>
      </c>
      <c r="AH1" s="31" t="s">
        <v>352</v>
      </c>
      <c r="AI1" s="31" t="s">
        <v>353</v>
      </c>
      <c r="AJ1" s="31" t="s">
        <v>354</v>
      </c>
      <c r="AK1" s="31" t="s">
        <v>355</v>
      </c>
      <c r="AL1" s="31" t="s">
        <v>356</v>
      </c>
      <c r="AM1" s="31" t="s">
        <v>357</v>
      </c>
      <c r="AN1" s="31" t="s">
        <v>358</v>
      </c>
      <c r="AO1" s="31" t="s">
        <v>359</v>
      </c>
      <c r="AP1" s="31" t="s">
        <v>360</v>
      </c>
      <c r="AQ1" s="31" t="s">
        <v>361</v>
      </c>
      <c r="AR1" s="31" t="s">
        <v>362</v>
      </c>
      <c r="AS1" s="31" t="s">
        <v>363</v>
      </c>
      <c r="AT1" s="31" t="s">
        <v>364</v>
      </c>
      <c r="AU1" s="31" t="s">
        <v>365</v>
      </c>
      <c r="AV1" s="31" t="s">
        <v>366</v>
      </c>
      <c r="AW1" s="31" t="s">
        <v>367</v>
      </c>
      <c r="AX1" s="31" t="s">
        <v>368</v>
      </c>
      <c r="AY1" s="31" t="s">
        <v>369</v>
      </c>
      <c r="AZ1" s="31" t="s">
        <v>370</v>
      </c>
      <c r="BA1" s="31" t="s">
        <v>371</v>
      </c>
      <c r="BB1" s="31" t="s">
        <v>372</v>
      </c>
      <c r="BC1" s="31" t="s">
        <v>373</v>
      </c>
      <c r="BD1" s="31" t="s">
        <v>374</v>
      </c>
      <c r="BE1" s="31" t="s">
        <v>375</v>
      </c>
      <c r="BF1" s="31" t="s">
        <v>376</v>
      </c>
      <c r="BG1" s="31" t="s">
        <v>377</v>
      </c>
      <c r="BH1" s="31" t="s">
        <v>378</v>
      </c>
      <c r="BI1" s="31" t="s">
        <v>379</v>
      </c>
      <c r="BJ1" s="31" t="s">
        <v>380</v>
      </c>
      <c r="BK1" s="31" t="s">
        <v>381</v>
      </c>
      <c r="BL1" s="31" t="s">
        <v>382</v>
      </c>
      <c r="BM1" s="31" t="s">
        <v>383</v>
      </c>
      <c r="BN1" s="31" t="s">
        <v>384</v>
      </c>
      <c r="BO1" s="31" t="s">
        <v>385</v>
      </c>
      <c r="BP1" s="31" t="s">
        <v>386</v>
      </c>
      <c r="BQ1" s="31" t="s">
        <v>387</v>
      </c>
      <c r="BR1" s="31" t="s">
        <v>388</v>
      </c>
      <c r="BS1" s="31" t="s">
        <v>389</v>
      </c>
      <c r="BT1" s="31" t="s">
        <v>390</v>
      </c>
      <c r="BU1" s="31" t="s">
        <v>391</v>
      </c>
      <c r="BV1" s="31" t="s">
        <v>392</v>
      </c>
      <c r="BW1" s="31" t="s">
        <v>393</v>
      </c>
      <c r="BX1" s="31" t="s">
        <v>394</v>
      </c>
      <c r="BY1" s="31" t="s">
        <v>395</v>
      </c>
      <c r="BZ1" s="31" t="s">
        <v>396</v>
      </c>
      <c r="CA1" s="31" t="s">
        <v>397</v>
      </c>
      <c r="CB1" s="31" t="s">
        <v>398</v>
      </c>
      <c r="CC1" s="31" t="s">
        <v>399</v>
      </c>
      <c r="CD1" s="31" t="s">
        <v>400</v>
      </c>
      <c r="CE1" s="31" t="s">
        <v>401</v>
      </c>
      <c r="CF1" s="31" t="s">
        <v>402</v>
      </c>
    </row>
    <row r="2" spans="1:84" x14ac:dyDescent="0.35">
      <c r="A2" s="150" t="s">
        <v>403</v>
      </c>
      <c r="B2" s="31" t="s">
        <v>404</v>
      </c>
      <c r="C2" s="31" t="s">
        <v>404</v>
      </c>
      <c r="D2" s="31" t="s">
        <v>258</v>
      </c>
      <c r="I2" s="31" t="s">
        <v>89</v>
      </c>
      <c r="J2" s="31" t="s">
        <v>405</v>
      </c>
      <c r="L2" s="31">
        <v>2021</v>
      </c>
      <c r="N2" s="31" t="s">
        <v>406</v>
      </c>
      <c r="O2" s="31">
        <v>1</v>
      </c>
      <c r="P2" s="31" t="s">
        <v>407</v>
      </c>
      <c r="Q2" s="31">
        <v>200000</v>
      </c>
      <c r="R2" s="31">
        <v>12000</v>
      </c>
      <c r="S2" s="31">
        <v>1.6</v>
      </c>
      <c r="V2" s="31">
        <v>14.9</v>
      </c>
      <c r="W2" s="31">
        <v>46.5</v>
      </c>
      <c r="X2" s="31">
        <v>0</v>
      </c>
      <c r="Z2" s="31" t="s">
        <v>408</v>
      </c>
      <c r="AB2" s="31" t="s">
        <v>409</v>
      </c>
      <c r="AC2" s="142">
        <v>0</v>
      </c>
      <c r="AD2" s="142">
        <v>0</v>
      </c>
      <c r="AE2" s="142">
        <v>21.9328</v>
      </c>
      <c r="AF2" s="33">
        <v>5.5815429895504298</v>
      </c>
      <c r="AG2" s="33">
        <v>49.653736583847603</v>
      </c>
      <c r="AH2" s="33">
        <v>5.7116475610894302</v>
      </c>
      <c r="AI2" s="33">
        <v>17.658013584018601</v>
      </c>
      <c r="AJ2" s="142">
        <v>0.14899999999999999</v>
      </c>
      <c r="AK2" s="142">
        <v>0</v>
      </c>
      <c r="AL2" s="33">
        <v>0.296497221157274</v>
      </c>
      <c r="AM2" s="151">
        <v>4.4650847334965403E-2</v>
      </c>
      <c r="AN2" s="33">
        <v>0.22045375777329199</v>
      </c>
      <c r="AO2" s="142">
        <v>7.6937389386497902E-3</v>
      </c>
      <c r="AP2" s="33">
        <v>0.23499082916837599</v>
      </c>
      <c r="AQ2" s="142">
        <v>0</v>
      </c>
      <c r="AR2" s="33">
        <v>16.335295834271299</v>
      </c>
      <c r="AS2" s="142">
        <v>88.587950000000006</v>
      </c>
      <c r="AT2" s="33">
        <v>10.501393420577701</v>
      </c>
      <c r="AU2" s="33">
        <v>133.411282364497</v>
      </c>
      <c r="AV2" s="33">
        <v>7.3820249508271196</v>
      </c>
      <c r="AW2" s="33">
        <v>61.157073486909901</v>
      </c>
      <c r="AX2" s="142">
        <v>0.14899999999999999</v>
      </c>
      <c r="AY2" s="142">
        <v>0</v>
      </c>
      <c r="AZ2" s="33">
        <v>0.19578826670030799</v>
      </c>
      <c r="BA2" s="151">
        <v>4.2608506335446501E-2</v>
      </c>
      <c r="BB2" s="33">
        <v>0.19950252942097199</v>
      </c>
      <c r="BC2" s="142">
        <v>7.0648111467796204E-3</v>
      </c>
      <c r="BD2" s="33">
        <v>0.19965359076300501</v>
      </c>
      <c r="BE2" s="142">
        <v>0</v>
      </c>
      <c r="BF2" s="33">
        <v>8.2209814010752709</v>
      </c>
      <c r="BG2" s="33">
        <v>4.14889338632522</v>
      </c>
      <c r="BH2" s="33">
        <v>2.43975460893747</v>
      </c>
      <c r="BI2" s="33">
        <v>30.820304623375499</v>
      </c>
      <c r="BJ2" s="33">
        <v>0.30644109717731099</v>
      </c>
      <c r="BK2" s="33">
        <v>12.9617412180987</v>
      </c>
      <c r="BL2" s="142">
        <v>0</v>
      </c>
      <c r="BM2" s="33">
        <v>7.9271005246946702</v>
      </c>
      <c r="BN2" s="33">
        <v>5.4030397998015403</v>
      </c>
      <c r="BO2" s="31">
        <v>1.45481192802225</v>
      </c>
      <c r="BP2" s="33">
        <v>28.215373020458198</v>
      </c>
      <c r="BQ2" s="33">
        <v>0.467975177147257</v>
      </c>
      <c r="BR2" s="33">
        <v>4.0613591055105003</v>
      </c>
      <c r="BS2" s="142">
        <v>0</v>
      </c>
      <c r="BT2" s="152">
        <v>5.1468237886965797E-11</v>
      </c>
      <c r="BU2" s="33">
        <v>61.157661461727699</v>
      </c>
      <c r="BV2" s="33">
        <v>4.8923960453101101</v>
      </c>
      <c r="BW2" s="33">
        <v>72.292995349356801</v>
      </c>
      <c r="BX2" s="33">
        <v>0.63871728063460098</v>
      </c>
      <c r="BY2" s="33">
        <v>53.873700463081498</v>
      </c>
      <c r="BZ2" s="142">
        <v>0</v>
      </c>
      <c r="CA2" s="152">
        <v>5.709243818635E-11</v>
      </c>
      <c r="CB2" s="33">
        <v>171.589385837751</v>
      </c>
      <c r="CC2" s="33">
        <v>9.2934754046838997</v>
      </c>
      <c r="CD2" s="33">
        <v>133.77227107483199</v>
      </c>
      <c r="CE2" s="33">
        <v>3.8999247006573499</v>
      </c>
      <c r="CF2" s="151">
        <v>38.850736731023403</v>
      </c>
    </row>
    <row r="3" spans="1:84" x14ac:dyDescent="0.35">
      <c r="A3" s="150" t="s">
        <v>410</v>
      </c>
      <c r="B3" s="31" t="s">
        <v>404</v>
      </c>
      <c r="C3" s="31" t="s">
        <v>404</v>
      </c>
      <c r="D3" s="31" t="s">
        <v>258</v>
      </c>
      <c r="I3" s="31" t="s">
        <v>93</v>
      </c>
      <c r="J3" s="31" t="s">
        <v>405</v>
      </c>
      <c r="L3" s="31">
        <v>2021</v>
      </c>
      <c r="N3" s="31" t="s">
        <v>411</v>
      </c>
      <c r="O3" s="31">
        <v>1</v>
      </c>
      <c r="P3" s="31" t="s">
        <v>407</v>
      </c>
      <c r="Q3" s="31">
        <v>200000</v>
      </c>
      <c r="R3" s="31">
        <v>12000</v>
      </c>
      <c r="S3" s="31">
        <v>1.6</v>
      </c>
      <c r="V3" s="31">
        <v>15.1</v>
      </c>
      <c r="W3" s="31">
        <v>58.6</v>
      </c>
      <c r="X3" s="31">
        <v>0</v>
      </c>
      <c r="Z3" s="31" t="s">
        <v>408</v>
      </c>
      <c r="AB3" s="31" t="s">
        <v>409</v>
      </c>
      <c r="AC3" s="142">
        <v>0</v>
      </c>
      <c r="AD3" s="142">
        <v>0</v>
      </c>
      <c r="AE3" s="142">
        <v>22.2272</v>
      </c>
      <c r="AF3" s="33">
        <v>6.6635583072653697</v>
      </c>
      <c r="AG3" s="151">
        <v>59.543233363417102</v>
      </c>
      <c r="AH3" s="31">
        <v>6.8420153383248996</v>
      </c>
      <c r="AI3" s="33">
        <v>19.1709119809397</v>
      </c>
      <c r="AJ3" s="142">
        <v>0.151</v>
      </c>
      <c r="AK3" s="142">
        <v>0</v>
      </c>
      <c r="AL3" s="33">
        <v>0.30047704962918398</v>
      </c>
      <c r="AM3" s="142">
        <v>5.3306679755468801E-2</v>
      </c>
      <c r="AN3" s="33">
        <v>0.26421462780799698</v>
      </c>
      <c r="AO3" s="142">
        <v>9.5500289127075505E-3</v>
      </c>
      <c r="AP3" s="151">
        <v>0.247084085544229</v>
      </c>
      <c r="AQ3" s="142">
        <v>0</v>
      </c>
      <c r="AR3" s="33">
        <v>16.972816648719899</v>
      </c>
      <c r="AS3" s="142">
        <v>89.777050000000003</v>
      </c>
      <c r="AT3" s="33">
        <v>12.5371510165846</v>
      </c>
      <c r="AU3" s="33">
        <v>160.43811140393299</v>
      </c>
      <c r="AV3" s="33">
        <v>8.9068491063734605</v>
      </c>
      <c r="AW3" s="31">
        <v>64.814464214732496</v>
      </c>
      <c r="AX3" s="142">
        <v>0.151</v>
      </c>
      <c r="AY3" s="142">
        <v>0</v>
      </c>
      <c r="AZ3" s="33">
        <v>0.19841629712581599</v>
      </c>
      <c r="BA3" s="33">
        <v>5.08684188016265E-2</v>
      </c>
      <c r="BB3" s="33">
        <v>0.239105127843906</v>
      </c>
      <c r="BC3" s="142">
        <v>8.7673620431552093E-3</v>
      </c>
      <c r="BD3" s="33">
        <v>0.211515970435007</v>
      </c>
      <c r="BE3" s="142">
        <v>0</v>
      </c>
      <c r="BF3" s="33">
        <v>9.3168403892638807</v>
      </c>
      <c r="BG3" s="33">
        <v>4.2045832304369704</v>
      </c>
      <c r="BH3" s="33">
        <v>2.9127155559870901</v>
      </c>
      <c r="BI3" s="33">
        <v>37.341363739557401</v>
      </c>
      <c r="BJ3" s="151">
        <v>0.38025361195472202</v>
      </c>
      <c r="BK3" s="33">
        <v>14.2530019401022</v>
      </c>
      <c r="BL3" s="142">
        <v>0</v>
      </c>
      <c r="BM3" s="31">
        <v>8.9508732670482694</v>
      </c>
      <c r="BN3" s="33">
        <v>5.4755638239599502</v>
      </c>
      <c r="BO3" s="33">
        <v>1.73683587614225</v>
      </c>
      <c r="BP3" s="151">
        <v>34.524133952378698</v>
      </c>
      <c r="BQ3" s="33">
        <v>0.581037206370843</v>
      </c>
      <c r="BR3" s="33">
        <v>4.4629503894942797</v>
      </c>
      <c r="BS3" s="142">
        <v>0</v>
      </c>
      <c r="BT3" s="152">
        <v>5.8248148743849103E-11</v>
      </c>
      <c r="BU3" s="33">
        <v>61.978569669267699</v>
      </c>
      <c r="BV3" s="33">
        <v>5.8408161275820101</v>
      </c>
      <c r="BW3" s="33">
        <v>86.519845252947903</v>
      </c>
      <c r="BX3" s="33">
        <v>0.78807318479307498</v>
      </c>
      <c r="BY3" s="33">
        <v>61.559352804157797</v>
      </c>
      <c r="BZ3" s="142">
        <v>0</v>
      </c>
      <c r="CA3" s="152">
        <v>6.5121125827348802E-11</v>
      </c>
      <c r="CB3" s="33">
        <v>173.89259907047301</v>
      </c>
      <c r="CC3" s="33">
        <v>11.0950709064118</v>
      </c>
      <c r="CD3" s="33">
        <v>163.020578015941</v>
      </c>
      <c r="CE3" s="33">
        <v>4.7568428378802796</v>
      </c>
      <c r="CF3" s="151">
        <v>43.663864380183597</v>
      </c>
    </row>
    <row r="4" spans="1:84" x14ac:dyDescent="0.35">
      <c r="A4" s="150" t="s">
        <v>412</v>
      </c>
      <c r="B4" s="31" t="s">
        <v>404</v>
      </c>
      <c r="C4" s="31" t="s">
        <v>404</v>
      </c>
      <c r="D4" s="31" t="s">
        <v>258</v>
      </c>
      <c r="I4" s="31" t="s">
        <v>95</v>
      </c>
      <c r="J4" s="31" t="s">
        <v>405</v>
      </c>
      <c r="L4" s="31">
        <v>2021</v>
      </c>
      <c r="N4" s="31" t="s">
        <v>413</v>
      </c>
      <c r="O4" s="31">
        <v>1</v>
      </c>
      <c r="P4" s="31" t="s">
        <v>407</v>
      </c>
      <c r="Q4" s="31">
        <v>200000</v>
      </c>
      <c r="R4" s="31">
        <v>12000</v>
      </c>
      <c r="S4" s="31">
        <v>1.6</v>
      </c>
      <c r="V4" s="31">
        <v>16.3</v>
      </c>
      <c r="W4" s="31">
        <v>99.7</v>
      </c>
      <c r="X4" s="31">
        <v>0</v>
      </c>
      <c r="Z4" s="31" t="s">
        <v>408</v>
      </c>
      <c r="AB4" s="31" t="s">
        <v>409</v>
      </c>
      <c r="AC4" s="142">
        <v>0</v>
      </c>
      <c r="AD4" s="142">
        <v>0</v>
      </c>
      <c r="AE4" s="142">
        <v>23.993600000000001</v>
      </c>
      <c r="AF4" s="33">
        <v>8.6316320005165093</v>
      </c>
      <c r="AG4" s="31">
        <v>90.212305029722998</v>
      </c>
      <c r="AH4" s="33">
        <v>8.9319234093352993</v>
      </c>
      <c r="AI4" s="33">
        <v>21.922717326755301</v>
      </c>
      <c r="AJ4" s="142">
        <v>0.16300000000000001</v>
      </c>
      <c r="AK4" s="142">
        <v>0</v>
      </c>
      <c r="AL4" s="33">
        <v>0.32435602046064199</v>
      </c>
      <c r="AM4" s="151">
        <v>6.9050741601061894E-2</v>
      </c>
      <c r="AN4" s="33">
        <v>0.398907343165324</v>
      </c>
      <c r="AO4" s="31">
        <v>1.51908992191803E-2</v>
      </c>
      <c r="AP4" s="33">
        <v>0.26908046521593498</v>
      </c>
      <c r="AQ4" s="142">
        <v>0</v>
      </c>
      <c r="AR4" s="33">
        <v>18.087447200629601</v>
      </c>
      <c r="AS4" s="142">
        <v>96.911649999999995</v>
      </c>
      <c r="AT4" s="33">
        <v>16.239983042103798</v>
      </c>
      <c r="AU4" s="33">
        <v>244.32823495007699</v>
      </c>
      <c r="AV4" s="33">
        <v>12.1496790611746</v>
      </c>
      <c r="AW4" s="151">
        <v>71.466878796597797</v>
      </c>
      <c r="AX4" s="142">
        <v>0.16300000000000001</v>
      </c>
      <c r="AY4" s="142">
        <v>0</v>
      </c>
      <c r="AZ4" s="33">
        <v>0.21418447967886101</v>
      </c>
      <c r="BA4" s="142">
        <v>6.5892343294282105E-2</v>
      </c>
      <c r="BB4" s="33">
        <v>0.35779883414582098</v>
      </c>
      <c r="BC4" s="31">
        <v>1.3933466831558499E-2</v>
      </c>
      <c r="BD4" s="33">
        <v>0.23309240931678399</v>
      </c>
      <c r="BE4" s="142">
        <v>0</v>
      </c>
      <c r="BF4" s="33">
        <v>11.2320207884653</v>
      </c>
      <c r="BG4" s="33">
        <v>4.5387222951074602</v>
      </c>
      <c r="BH4" s="33">
        <v>3.77298248805721</v>
      </c>
      <c r="BI4" s="33">
        <v>49.894728759008203</v>
      </c>
      <c r="BJ4" s="33">
        <v>0.60874304930020995</v>
      </c>
      <c r="BK4" s="33">
        <v>16.601671331835298</v>
      </c>
      <c r="BL4" s="142">
        <v>0</v>
      </c>
      <c r="BM4" s="33">
        <v>10.733417953429401</v>
      </c>
      <c r="BN4" s="33">
        <v>5.9107079689104101</v>
      </c>
      <c r="BO4" s="33">
        <v>2.24980820109413</v>
      </c>
      <c r="BP4" s="33">
        <v>51.819110892471997</v>
      </c>
      <c r="BQ4" s="33">
        <v>0.92932053382438795</v>
      </c>
      <c r="BR4" s="31">
        <v>5.19340330315225</v>
      </c>
      <c r="BS4" s="142">
        <v>0</v>
      </c>
      <c r="BT4" s="152">
        <v>7.0054510472136999E-11</v>
      </c>
      <c r="BU4" s="33">
        <v>66.904018914507503</v>
      </c>
      <c r="BV4" s="33">
        <v>7.5658939370277203</v>
      </c>
      <c r="BW4" s="33">
        <v>125.78312772767001</v>
      </c>
      <c r="BX4" s="33">
        <v>1.2277322325236499</v>
      </c>
      <c r="BY4" s="33">
        <v>75.538757661281196</v>
      </c>
      <c r="BZ4" s="142">
        <v>0</v>
      </c>
      <c r="CA4" s="152">
        <v>7.9265360078197698E-11</v>
      </c>
      <c r="CB4" s="33">
        <v>187.71187846680201</v>
      </c>
      <c r="CC4" s="33">
        <v>14.3719863574039</v>
      </c>
      <c r="CD4" s="33">
        <v>254.886593594548</v>
      </c>
      <c r="CE4" s="33">
        <v>6.9555804358367697</v>
      </c>
      <c r="CF4" s="33">
        <v>52.418444609765302</v>
      </c>
    </row>
    <row r="5" spans="1:84" x14ac:dyDescent="0.35">
      <c r="A5" s="150" t="s">
        <v>414</v>
      </c>
      <c r="B5" s="31" t="s">
        <v>404</v>
      </c>
      <c r="C5" s="31" t="s">
        <v>404</v>
      </c>
      <c r="D5" s="31" t="s">
        <v>258</v>
      </c>
      <c r="I5" s="87" t="s">
        <v>97</v>
      </c>
      <c r="J5" s="31" t="s">
        <v>405</v>
      </c>
      <c r="L5" s="31">
        <v>2021</v>
      </c>
      <c r="N5" s="31" t="s">
        <v>413</v>
      </c>
      <c r="O5" s="31">
        <v>1</v>
      </c>
      <c r="P5" s="31" t="s">
        <v>407</v>
      </c>
      <c r="Q5" s="31">
        <v>200000</v>
      </c>
      <c r="R5" s="31">
        <v>12000</v>
      </c>
      <c r="S5" s="31">
        <v>1.6</v>
      </c>
      <c r="V5" s="31">
        <v>16.399999999999999</v>
      </c>
      <c r="W5" s="31">
        <v>71.8</v>
      </c>
      <c r="X5" s="31">
        <v>0</v>
      </c>
      <c r="Z5" s="31" t="s">
        <v>408</v>
      </c>
      <c r="AB5" s="31" t="s">
        <v>409</v>
      </c>
      <c r="AC5" s="142">
        <v>0</v>
      </c>
      <c r="AD5" s="142">
        <v>0</v>
      </c>
      <c r="AE5" s="142">
        <v>24.140799999999999</v>
      </c>
      <c r="AF5" s="33">
        <v>7.7046868594376701</v>
      </c>
      <c r="AG5" s="33">
        <v>78.086623922470693</v>
      </c>
      <c r="AH5" s="33">
        <v>7.8844002431942197</v>
      </c>
      <c r="AI5" s="33">
        <v>20.626641573471499</v>
      </c>
      <c r="AJ5" s="142">
        <v>0.16400000000000001</v>
      </c>
      <c r="AK5" s="142">
        <v>0</v>
      </c>
      <c r="AL5" s="33">
        <v>0.32634593469659701</v>
      </c>
      <c r="AM5" s="142">
        <v>6.1635429014616501E-2</v>
      </c>
      <c r="AN5" s="33">
        <v>0.34490915170601899</v>
      </c>
      <c r="AO5" s="31">
        <v>1.1507532600923E-2</v>
      </c>
      <c r="AP5" s="33">
        <v>0.25872036674608001</v>
      </c>
      <c r="AQ5" s="142">
        <v>0</v>
      </c>
      <c r="AR5" s="33">
        <v>17.5688410025374</v>
      </c>
      <c r="AS5" s="142">
        <v>97.506200000000007</v>
      </c>
      <c r="AT5" s="31">
        <v>14.4959822122283</v>
      </c>
      <c r="AU5" s="33">
        <v>205.728084517154</v>
      </c>
      <c r="AV5" s="33">
        <v>10.3602351126268</v>
      </c>
      <c r="AW5" s="33">
        <v>68.333650912780399</v>
      </c>
      <c r="AX5" s="142">
        <v>0.16400000000000001</v>
      </c>
      <c r="AY5" s="142">
        <v>0</v>
      </c>
      <c r="AZ5" s="151">
        <v>0.21549849489161499</v>
      </c>
      <c r="BA5" s="142">
        <v>5.88162089726059E-2</v>
      </c>
      <c r="BB5" s="33">
        <v>0.30885137570579402</v>
      </c>
      <c r="BC5" s="31">
        <v>1.05619300260215E-2</v>
      </c>
      <c r="BD5" s="151">
        <v>0.222930099210292</v>
      </c>
      <c r="BE5" s="142">
        <v>0</v>
      </c>
      <c r="BF5" s="33">
        <v>10.341081228661199</v>
      </c>
      <c r="BG5" s="33">
        <v>4.56656721716333</v>
      </c>
      <c r="BH5" s="151">
        <v>3.3678044424140601</v>
      </c>
      <c r="BI5" s="33">
        <v>41.1867733464683</v>
      </c>
      <c r="BJ5" s="33">
        <v>0.459742948802284</v>
      </c>
      <c r="BK5" s="33">
        <v>15.4954690142426</v>
      </c>
      <c r="BL5" s="142">
        <v>0</v>
      </c>
      <c r="BM5" s="33">
        <v>9.90514200314154</v>
      </c>
      <c r="BN5" s="151">
        <v>5.9469699809896204</v>
      </c>
      <c r="BO5" s="33">
        <v>2.0082028152020199</v>
      </c>
      <c r="BP5" s="33">
        <v>41.1605025134728</v>
      </c>
      <c r="BQ5" s="33">
        <v>0.70098416697791399</v>
      </c>
      <c r="BR5" s="33">
        <v>4.8493665013678502</v>
      </c>
      <c r="BS5" s="142">
        <v>0</v>
      </c>
      <c r="BT5" s="152">
        <v>6.4568553169460797E-11</v>
      </c>
      <c r="BU5" s="33">
        <v>67.314473018277496</v>
      </c>
      <c r="BV5" s="151">
        <v>6.7533976880650703</v>
      </c>
      <c r="BW5" s="31">
        <v>109.510248874583</v>
      </c>
      <c r="BX5" s="31">
        <v>0.94486056920415096</v>
      </c>
      <c r="BY5" s="33">
        <v>68.954582763806499</v>
      </c>
      <c r="BZ5" s="142">
        <v>0</v>
      </c>
      <c r="CA5" s="152">
        <v>7.2668954417410895E-11</v>
      </c>
      <c r="CB5" s="151">
        <v>188.863485083163</v>
      </c>
      <c r="CC5" s="33">
        <v>12.828588432092699</v>
      </c>
      <c r="CD5" s="33">
        <v>205.744844328444</v>
      </c>
      <c r="CE5" s="33">
        <v>5.61843890015213</v>
      </c>
      <c r="CF5" s="33">
        <v>48.295115471317203</v>
      </c>
    </row>
    <row r="6" spans="1:84" x14ac:dyDescent="0.35">
      <c r="A6" s="150" t="s">
        <v>415</v>
      </c>
      <c r="B6" s="31" t="s">
        <v>404</v>
      </c>
      <c r="C6" s="31" t="s">
        <v>404</v>
      </c>
      <c r="D6" s="31" t="s">
        <v>270</v>
      </c>
      <c r="I6" s="31" t="s">
        <v>89</v>
      </c>
      <c r="J6" s="31" t="s">
        <v>405</v>
      </c>
      <c r="L6" s="31">
        <v>2021</v>
      </c>
      <c r="M6" s="31" t="s">
        <v>416</v>
      </c>
      <c r="N6" s="31" t="s">
        <v>417</v>
      </c>
      <c r="O6" s="31">
        <v>1</v>
      </c>
      <c r="P6" s="31" t="s">
        <v>407</v>
      </c>
      <c r="Q6" s="31">
        <v>200000</v>
      </c>
      <c r="R6" s="31">
        <v>12000</v>
      </c>
      <c r="S6" s="31">
        <v>1.6</v>
      </c>
      <c r="U6" s="31">
        <v>5.4</v>
      </c>
      <c r="AA6" s="31" t="s">
        <v>418</v>
      </c>
      <c r="AC6" s="31">
        <v>123.968260917412</v>
      </c>
      <c r="AD6" s="142">
        <v>0</v>
      </c>
      <c r="AE6" s="142">
        <v>33.749826929999998</v>
      </c>
      <c r="AF6" s="31">
        <v>4.6618356631494198</v>
      </c>
      <c r="AG6" s="31">
        <v>28.769077104734901</v>
      </c>
      <c r="AH6" s="142">
        <v>4.7338441036284999</v>
      </c>
      <c r="AI6" s="31">
        <v>15.816087848818</v>
      </c>
      <c r="AJ6" s="142">
        <v>0.47490247499999999</v>
      </c>
      <c r="AK6" s="142">
        <v>0</v>
      </c>
      <c r="AL6" s="142">
        <v>0.179000085</v>
      </c>
      <c r="AM6" s="142">
        <v>3.7293435325264399E-2</v>
      </c>
      <c r="AN6" s="31">
        <v>0.129948721588827</v>
      </c>
      <c r="AO6" s="142">
        <v>1.8490549113401799E-3</v>
      </c>
      <c r="AP6" s="31">
        <v>0.221893553544903</v>
      </c>
      <c r="AQ6" s="31">
        <v>134.41178191175899</v>
      </c>
      <c r="AR6" s="31">
        <v>29.878568683260301</v>
      </c>
      <c r="AS6" s="142">
        <v>83.800777229999994</v>
      </c>
      <c r="AT6" s="31">
        <v>8.7710101763016706</v>
      </c>
      <c r="AU6" s="31">
        <v>65.365874296568904</v>
      </c>
      <c r="AV6" s="31">
        <v>5.2489444801635496</v>
      </c>
      <c r="AW6" s="31">
        <v>56.352311560001503</v>
      </c>
      <c r="AX6" s="142">
        <v>0.46678950000000002</v>
      </c>
      <c r="AY6" s="142">
        <v>0</v>
      </c>
      <c r="AZ6" s="142">
        <v>0.17202650858400001</v>
      </c>
      <c r="BA6" s="142">
        <v>3.55876242035559E-2</v>
      </c>
      <c r="BB6" s="31">
        <v>0.11769128965649001</v>
      </c>
      <c r="BC6" s="142">
        <v>1.7191979191900899E-3</v>
      </c>
      <c r="BD6" s="31">
        <v>0.187021908510975</v>
      </c>
      <c r="BE6" s="142">
        <v>0</v>
      </c>
      <c r="BF6" s="31">
        <v>10.9862778053461</v>
      </c>
      <c r="BG6" s="142">
        <v>2.7435647699999999</v>
      </c>
      <c r="BH6" s="31">
        <v>2.0377402927060402</v>
      </c>
      <c r="BI6" s="31">
        <v>16.634484473844399</v>
      </c>
      <c r="BJ6" s="142">
        <v>7.7543746540564298E-2</v>
      </c>
      <c r="BK6" s="31">
        <v>11.7099967389659</v>
      </c>
      <c r="BL6" s="31">
        <v>0.92686821362007699</v>
      </c>
      <c r="BM6" s="31">
        <v>9.4894120543747391</v>
      </c>
      <c r="BN6" s="142">
        <v>9.6784826400000004</v>
      </c>
      <c r="BO6" s="31">
        <v>1.2150930561542701</v>
      </c>
      <c r="BP6" s="31">
        <v>9.7177334898987198</v>
      </c>
      <c r="BQ6" s="31">
        <v>0.102113256140259</v>
      </c>
      <c r="BR6" s="31">
        <v>3.5112082702167</v>
      </c>
      <c r="BS6" s="31">
        <v>2.4508706578413602</v>
      </c>
      <c r="BT6" s="147">
        <v>5.6997385829858202E-11</v>
      </c>
      <c r="BU6" s="142">
        <v>115.62531867</v>
      </c>
      <c r="BV6" s="31">
        <v>4.0862439660461902</v>
      </c>
      <c r="BW6" s="31">
        <v>48.748169953425297</v>
      </c>
      <c r="BX6" s="31">
        <v>0.19261631394515899</v>
      </c>
      <c r="BY6" s="31">
        <v>46.414801900782898</v>
      </c>
      <c r="BZ6" s="31">
        <v>16.039525941338098</v>
      </c>
      <c r="CA6" s="147">
        <v>1.00124796423641E-10</v>
      </c>
      <c r="CB6" s="142">
        <v>117.32737788</v>
      </c>
      <c r="CC6" s="31">
        <v>7.7621287083640196</v>
      </c>
      <c r="CD6" s="31">
        <v>48.811979894566299</v>
      </c>
      <c r="CE6" s="31">
        <v>1.97348946231184</v>
      </c>
      <c r="CF6" s="31">
        <v>33.549199523847498</v>
      </c>
    </row>
    <row r="7" spans="1:84" x14ac:dyDescent="0.35">
      <c r="A7" s="150" t="s">
        <v>419</v>
      </c>
      <c r="B7" s="31" t="s">
        <v>404</v>
      </c>
      <c r="C7" s="31" t="s">
        <v>404</v>
      </c>
      <c r="D7" s="31" t="s">
        <v>270</v>
      </c>
      <c r="I7" s="31" t="s">
        <v>93</v>
      </c>
      <c r="J7" s="31" t="s">
        <v>405</v>
      </c>
      <c r="L7" s="31">
        <v>2021</v>
      </c>
      <c r="M7" s="31" t="s">
        <v>416</v>
      </c>
      <c r="N7" s="31" t="s">
        <v>420</v>
      </c>
      <c r="O7" s="31">
        <v>1</v>
      </c>
      <c r="P7" s="31" t="s">
        <v>407</v>
      </c>
      <c r="Q7" s="31">
        <v>200000</v>
      </c>
      <c r="R7" s="31">
        <v>12000</v>
      </c>
      <c r="S7" s="31">
        <v>1.6</v>
      </c>
      <c r="U7" s="31">
        <v>5.8</v>
      </c>
      <c r="AA7" s="31" t="s">
        <v>418</v>
      </c>
      <c r="AC7" s="31">
        <v>133.15109505944201</v>
      </c>
      <c r="AD7" s="142">
        <v>0</v>
      </c>
      <c r="AE7" s="142">
        <v>36.249814110000003</v>
      </c>
      <c r="AF7" s="31">
        <v>5.4335320632105697</v>
      </c>
      <c r="AG7" s="31">
        <v>33.485891173287001</v>
      </c>
      <c r="AH7" s="31">
        <v>5.5199376207529598</v>
      </c>
      <c r="AI7" s="31">
        <v>16.979057483684802</v>
      </c>
      <c r="AJ7" s="31">
        <v>0.51008043611111098</v>
      </c>
      <c r="AK7" s="142">
        <v>0</v>
      </c>
      <c r="AL7" s="31">
        <v>0.19225935055555499</v>
      </c>
      <c r="AM7" s="142">
        <v>4.3466799610477599E-2</v>
      </c>
      <c r="AN7" s="31">
        <v>0.15110602335473899</v>
      </c>
      <c r="AO7" s="142">
        <v>2.1527078609039399E-3</v>
      </c>
      <c r="AP7" s="31">
        <v>0.23118967678781099</v>
      </c>
      <c r="AQ7" s="31">
        <v>144.36821020151899</v>
      </c>
      <c r="AR7" s="31">
        <v>30.617920695130898</v>
      </c>
      <c r="AS7" s="142">
        <v>90.008242210000006</v>
      </c>
      <c r="AT7" s="31">
        <v>10.2229182801105</v>
      </c>
      <c r="AU7" s="31">
        <v>75.896478487125094</v>
      </c>
      <c r="AV7" s="31">
        <v>6.1199245954572996</v>
      </c>
      <c r="AW7" s="31">
        <v>59.163759022671201</v>
      </c>
      <c r="AX7" s="142">
        <v>0.50136650000000005</v>
      </c>
      <c r="AY7" s="142">
        <v>0</v>
      </c>
      <c r="AZ7" s="31">
        <v>0.184769212923555</v>
      </c>
      <c r="BA7" s="142">
        <v>4.1478617252002303E-2</v>
      </c>
      <c r="BB7" s="31">
        <v>0.13689469550021299</v>
      </c>
      <c r="BC7" s="142">
        <v>2.0014494536736501E-3</v>
      </c>
      <c r="BD7" s="31">
        <v>0.19614055612397699</v>
      </c>
      <c r="BE7" s="142">
        <v>0</v>
      </c>
      <c r="BF7" s="31">
        <v>12.190660487014</v>
      </c>
      <c r="BG7" s="142">
        <v>2.9467917899999998</v>
      </c>
      <c r="BH7" s="31">
        <v>2.3750573844626501</v>
      </c>
      <c r="BI7" s="31">
        <v>19.408215510117401</v>
      </c>
      <c r="BJ7" s="142">
        <v>8.9250498742693002E-2</v>
      </c>
      <c r="BK7" s="31">
        <v>12.702592813786399</v>
      </c>
      <c r="BL7" s="142">
        <v>0.99552511833267598</v>
      </c>
      <c r="BM7" s="31">
        <v>10.526204786304501</v>
      </c>
      <c r="BN7" s="142">
        <v>10.395407280000001</v>
      </c>
      <c r="BO7" s="31">
        <v>1.4162333375643801</v>
      </c>
      <c r="BP7" s="31">
        <v>11.3145588378502</v>
      </c>
      <c r="BQ7" s="31">
        <v>0.11872993225605601</v>
      </c>
      <c r="BR7" s="31">
        <v>3.8199127211241501</v>
      </c>
      <c r="BS7" s="31">
        <v>2.6324166324962799</v>
      </c>
      <c r="BT7" s="147">
        <v>6.3431468968861803E-11</v>
      </c>
      <c r="BU7" s="142">
        <v>124.19015709</v>
      </c>
      <c r="BV7" s="31">
        <v>4.7626598644648599</v>
      </c>
      <c r="BW7" s="31">
        <v>56.665904628744002</v>
      </c>
      <c r="BX7" s="31">
        <v>0.22393594003168399</v>
      </c>
      <c r="BY7" s="31">
        <v>52.322786412501799</v>
      </c>
      <c r="BZ7" s="31">
        <v>17.227638974029801</v>
      </c>
      <c r="CA7" s="147">
        <v>1.10935712672511E-10</v>
      </c>
      <c r="CB7" s="142">
        <v>126.01829476</v>
      </c>
      <c r="CC7" s="31">
        <v>9.0470317409623693</v>
      </c>
      <c r="CD7" s="31">
        <v>56.7858825026752</v>
      </c>
      <c r="CE7" s="31">
        <v>2.2982445415818602</v>
      </c>
      <c r="CF7" s="31">
        <v>37.249065500374599</v>
      </c>
    </row>
    <row r="8" spans="1:84" x14ac:dyDescent="0.35">
      <c r="A8" s="150" t="s">
        <v>421</v>
      </c>
      <c r="B8" s="31" t="s">
        <v>404</v>
      </c>
      <c r="C8" s="31" t="s">
        <v>404</v>
      </c>
      <c r="D8" s="31" t="s">
        <v>270</v>
      </c>
      <c r="I8" s="31" t="s">
        <v>95</v>
      </c>
      <c r="J8" s="31" t="s">
        <v>405</v>
      </c>
      <c r="L8" s="31">
        <v>2021</v>
      </c>
      <c r="M8" s="31" t="s">
        <v>416</v>
      </c>
      <c r="N8" s="31" t="s">
        <v>422</v>
      </c>
      <c r="O8" s="31">
        <v>1</v>
      </c>
      <c r="P8" s="31" t="s">
        <v>407</v>
      </c>
      <c r="Q8" s="31">
        <v>200000</v>
      </c>
      <c r="R8" s="31">
        <v>12000</v>
      </c>
      <c r="S8" s="31">
        <v>1.6</v>
      </c>
      <c r="U8" s="31">
        <v>8</v>
      </c>
      <c r="AA8" s="31" t="s">
        <v>418</v>
      </c>
      <c r="AC8" s="31">
        <v>183.65668284060999</v>
      </c>
      <c r="AD8" s="142">
        <v>0</v>
      </c>
      <c r="AE8" s="142">
        <v>49.999743600000002</v>
      </c>
      <c r="AF8" s="142">
        <v>7.0950965951885099</v>
      </c>
      <c r="AG8" s="31">
        <v>43.822605046811702</v>
      </c>
      <c r="AH8" s="31">
        <v>7.2276690637179897</v>
      </c>
      <c r="AI8" s="31">
        <v>19.218328559372001</v>
      </c>
      <c r="AJ8" s="31">
        <v>0.703559222222222</v>
      </c>
      <c r="AK8" s="142">
        <v>0</v>
      </c>
      <c r="AL8" s="31">
        <v>0.26518531111111099</v>
      </c>
      <c r="AM8" s="142">
        <v>5.6758870350313698E-2</v>
      </c>
      <c r="AN8" s="31">
        <v>0.197229132056324</v>
      </c>
      <c r="AO8" s="142">
        <v>2.8018218641857502E-3</v>
      </c>
      <c r="AP8" s="31">
        <v>0.24908914661898299</v>
      </c>
      <c r="AQ8" s="31">
        <v>199.128565795198</v>
      </c>
      <c r="AR8" s="31">
        <v>31.970769153625302</v>
      </c>
      <c r="AS8" s="142">
        <v>124.14929960000001</v>
      </c>
      <c r="AT8" s="31">
        <v>13.3490686791391</v>
      </c>
      <c r="AU8" s="31">
        <v>99.118382521023406</v>
      </c>
      <c r="AV8" s="31">
        <v>8.0099163882271398</v>
      </c>
      <c r="AW8" s="31">
        <v>64.577135946043597</v>
      </c>
      <c r="AX8" s="142">
        <v>0.69154000000000004</v>
      </c>
      <c r="AY8" s="142">
        <v>0</v>
      </c>
      <c r="AZ8" s="31">
        <v>0.25485408679111099</v>
      </c>
      <c r="BA8" s="142">
        <v>5.4162705329453102E-2</v>
      </c>
      <c r="BB8" s="31">
        <v>0.17869661369127199</v>
      </c>
      <c r="BC8" s="142">
        <v>2.6040676786659302E-3</v>
      </c>
      <c r="BD8" s="31">
        <v>0.21369830074343699</v>
      </c>
      <c r="BE8" s="142">
        <v>0</v>
      </c>
      <c r="BF8" s="31">
        <v>14.3973795960072</v>
      </c>
      <c r="BG8" s="142">
        <v>4.0645404000000003</v>
      </c>
      <c r="BH8" s="31">
        <v>3.10134574818745</v>
      </c>
      <c r="BI8" s="31">
        <v>25.497935390965299</v>
      </c>
      <c r="BJ8" s="31">
        <v>0.114329622204513</v>
      </c>
      <c r="BK8" s="31">
        <v>14.613813548660501</v>
      </c>
      <c r="BL8" s="31">
        <v>1.37313809425196</v>
      </c>
      <c r="BM8" s="31">
        <v>12.425277004242799</v>
      </c>
      <c r="BN8" s="142">
        <v>14.338492799999999</v>
      </c>
      <c r="BO8" s="31">
        <v>1.8493149970312599</v>
      </c>
      <c r="BP8" s="31">
        <v>14.828764641149199</v>
      </c>
      <c r="BQ8" s="31">
        <v>0.15318898404935399</v>
      </c>
      <c r="BR8" s="142">
        <v>4.4143159859455396</v>
      </c>
      <c r="BS8" s="31">
        <v>3.63091949309832</v>
      </c>
      <c r="BT8" s="147">
        <v>7.5242441787697302E-11</v>
      </c>
      <c r="BU8" s="142">
        <v>171.29676839999999</v>
      </c>
      <c r="BV8" s="31">
        <v>6.2190728600281497</v>
      </c>
      <c r="BW8" s="31">
        <v>74.065222674363596</v>
      </c>
      <c r="BX8" s="31">
        <v>0.28854657604161899</v>
      </c>
      <c r="BY8" s="31">
        <v>63.698473649783402</v>
      </c>
      <c r="BZ8" s="31">
        <v>23.7622606538343</v>
      </c>
      <c r="CA8" s="147">
        <v>1.3072580990533E-10</v>
      </c>
      <c r="CB8" s="142">
        <v>173.81833760000001</v>
      </c>
      <c r="CC8" s="31">
        <v>11.8135981080299</v>
      </c>
      <c r="CD8" s="31">
        <v>74.288306684049104</v>
      </c>
      <c r="CE8" s="31">
        <v>2.9886131909785898</v>
      </c>
      <c r="CF8" s="31">
        <v>44.3730716796981</v>
      </c>
    </row>
    <row r="9" spans="1:84" x14ac:dyDescent="0.35">
      <c r="A9" s="150" t="s">
        <v>423</v>
      </c>
      <c r="B9" s="31" t="s">
        <v>404</v>
      </c>
      <c r="C9" s="31" t="s">
        <v>404</v>
      </c>
      <c r="D9" s="31" t="s">
        <v>270</v>
      </c>
      <c r="I9" s="87" t="s">
        <v>97</v>
      </c>
      <c r="J9" s="31" t="s">
        <v>405</v>
      </c>
      <c r="L9" s="31">
        <v>2021</v>
      </c>
      <c r="M9" s="31" t="s">
        <v>416</v>
      </c>
      <c r="N9" s="31" t="s">
        <v>422</v>
      </c>
      <c r="O9" s="31">
        <v>1</v>
      </c>
      <c r="P9" s="31" t="s">
        <v>407</v>
      </c>
      <c r="Q9" s="31">
        <v>200000</v>
      </c>
      <c r="R9" s="31">
        <v>12000</v>
      </c>
      <c r="S9" s="31">
        <v>1.6</v>
      </c>
      <c r="U9" s="31">
        <v>6.7</v>
      </c>
      <c r="AA9" s="31" t="s">
        <v>418</v>
      </c>
      <c r="AC9" s="31">
        <v>153.81247187901101</v>
      </c>
      <c r="AD9" s="142">
        <v>0</v>
      </c>
      <c r="AE9" s="142">
        <v>41.874785265</v>
      </c>
      <c r="AF9" s="31">
        <v>7.0950965951885099</v>
      </c>
      <c r="AG9" s="31">
        <v>43.822605046811702</v>
      </c>
      <c r="AH9" s="31">
        <v>7.2276690637179897</v>
      </c>
      <c r="AI9" s="31">
        <v>19.218328559372001</v>
      </c>
      <c r="AJ9" s="31">
        <v>0.58923084861111097</v>
      </c>
      <c r="AK9" s="142">
        <v>0</v>
      </c>
      <c r="AL9" s="31">
        <v>0.22209269805555501</v>
      </c>
      <c r="AM9" s="142">
        <v>5.6758870350313698E-2</v>
      </c>
      <c r="AN9" s="31">
        <v>0.197229132056324</v>
      </c>
      <c r="AO9" s="142">
        <v>2.8018218641857502E-3</v>
      </c>
      <c r="AP9" s="31">
        <v>0.24908914661898299</v>
      </c>
      <c r="AQ9" s="31">
        <v>166.77017385347901</v>
      </c>
      <c r="AR9" s="31">
        <v>31.970769153625302</v>
      </c>
      <c r="AS9" s="142">
        <v>103.975038415</v>
      </c>
      <c r="AT9" s="31">
        <v>13.3490686791391</v>
      </c>
      <c r="AU9" s="31">
        <v>99.118382521023406</v>
      </c>
      <c r="AV9" s="31">
        <v>8.0099163882271398</v>
      </c>
      <c r="AW9" s="31">
        <v>64.577135946043597</v>
      </c>
      <c r="AX9" s="142">
        <v>0.57916475000000001</v>
      </c>
      <c r="AY9" s="142">
        <v>0</v>
      </c>
      <c r="AZ9" s="31">
        <v>0.21344029768755499</v>
      </c>
      <c r="BA9" s="142">
        <v>5.4162705329453102E-2</v>
      </c>
      <c r="BB9" s="31">
        <v>0.17869661369127199</v>
      </c>
      <c r="BC9" s="142">
        <v>2.6040676786659302E-3</v>
      </c>
      <c r="BD9" s="31">
        <v>0.21369830074343699</v>
      </c>
      <c r="BE9" s="142">
        <v>0</v>
      </c>
      <c r="BF9" s="31">
        <v>14.3973795960072</v>
      </c>
      <c r="BG9" s="142">
        <v>3.4040525850000001</v>
      </c>
      <c r="BH9" s="31">
        <v>3.10134574818745</v>
      </c>
      <c r="BI9" s="31">
        <v>25.497935390965299</v>
      </c>
      <c r="BJ9" s="31">
        <v>0.114329622204513</v>
      </c>
      <c r="BK9" s="31">
        <v>14.613813548660501</v>
      </c>
      <c r="BL9" s="31">
        <v>1.15000315393602</v>
      </c>
      <c r="BM9" s="31">
        <v>12.425277004242799</v>
      </c>
      <c r="BN9" s="142">
        <v>12.00848772</v>
      </c>
      <c r="BO9" s="31">
        <v>1.8493149970312599</v>
      </c>
      <c r="BP9" s="31">
        <v>14.828764641149199</v>
      </c>
      <c r="BQ9" s="31">
        <v>0.15318898404935399</v>
      </c>
      <c r="BR9" s="31">
        <v>4.4143159859455396</v>
      </c>
      <c r="BS9" s="31">
        <v>3.0408950754698401</v>
      </c>
      <c r="BT9" s="147">
        <v>7.5242441787697302E-11</v>
      </c>
      <c r="BU9" s="142">
        <v>143.46104353499999</v>
      </c>
      <c r="BV9" s="31">
        <v>6.2190728600281497</v>
      </c>
      <c r="BW9" s="31">
        <v>74.065222674363596</v>
      </c>
      <c r="BX9" s="31">
        <v>0.28854657604161899</v>
      </c>
      <c r="BY9" s="31">
        <v>63.698473649783402</v>
      </c>
      <c r="BZ9" s="31">
        <v>19.900893297586201</v>
      </c>
      <c r="CA9" s="147">
        <v>1.3072580990533E-10</v>
      </c>
      <c r="CB9" s="142">
        <v>145.57285773999999</v>
      </c>
      <c r="CC9" s="31">
        <v>11.8135981080299</v>
      </c>
      <c r="CD9" s="31">
        <v>74.288306684049104</v>
      </c>
      <c r="CE9" s="31">
        <v>2.9886131909785898</v>
      </c>
      <c r="CF9" s="31">
        <v>44.3730716796981</v>
      </c>
    </row>
  </sheetData>
  <sheetProtection algorithmName="SHA-512" hashValue="YNIRczjrUzlK841pM3U3kNTHJSk3n5cR84dUF6tq46f75USid49eWcqqrfqsU4NDSZtrN0IyWc0HZf4MtyFwKw==" saltValue="y+Sgb44+E5B5CROrB/Lvsw==" spinCount="100000" sheet="1" objects="1" scenarios="1"/>
  <dataConsolidate/>
  <phoneticPr fontId="6" type="noConversion"/>
  <pageMargins left="0.7" right="0.7" top="0.75" bottom="0.75" header="0.3" footer="0.3"/>
  <pageSetup paperSize="9" orientation="portrait"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9873C-8DAD-4A2B-A458-B610CBD9FDCC}">
  <sheetPr codeName="Sheet3">
    <tabColor theme="0" tint="-0.499984740745262"/>
  </sheetPr>
  <dimension ref="A1:AM86"/>
  <sheetViews>
    <sheetView zoomScaleNormal="100" workbookViewId="0">
      <selection activeCell="B5" sqref="B5"/>
    </sheetView>
  </sheetViews>
  <sheetFormatPr defaultColWidth="8.640625" defaultRowHeight="14.15" x14ac:dyDescent="0.35"/>
  <cols>
    <col min="1" max="1" width="27.7109375" style="31" customWidth="1"/>
    <col min="2" max="2" width="17.7109375" style="31" customWidth="1"/>
    <col min="3" max="3" width="17.640625" style="31" customWidth="1"/>
    <col min="4" max="4" width="16.640625" style="31" customWidth="1"/>
    <col min="5" max="5" width="22.7109375" style="31" customWidth="1"/>
    <col min="6" max="6" width="10.35546875" style="31" customWidth="1"/>
    <col min="7" max="8" width="8.640625" style="31"/>
    <col min="9" max="9" width="15.7109375" style="31" customWidth="1"/>
    <col min="10" max="10" width="8.640625" style="31"/>
    <col min="11" max="11" width="12.35546875" style="31" customWidth="1"/>
    <col min="12" max="18" width="8.640625" style="31"/>
    <col min="19" max="19" width="8.7109375" style="31" customWidth="1"/>
    <col min="20" max="20" width="11.35546875" style="31" customWidth="1"/>
    <col min="21" max="21" width="12.35546875" style="31" customWidth="1"/>
    <col min="22" max="31" width="8.640625" style="31" bestFit="1" customWidth="1"/>
    <col min="32" max="32" width="10.2109375" style="31" bestFit="1" customWidth="1"/>
    <col min="33" max="34" width="8.640625" style="31" bestFit="1" customWidth="1"/>
    <col min="35" max="36" width="8.640625" style="31"/>
    <col min="37" max="37" width="13.640625" style="31" customWidth="1"/>
    <col min="38" max="38" width="13.5" style="31" customWidth="1"/>
    <col min="39" max="16384" width="8.640625" style="31"/>
  </cols>
  <sheetData>
    <row r="1" spans="1:14" x14ac:dyDescent="0.35">
      <c r="A1" s="30" t="s">
        <v>198</v>
      </c>
    </row>
    <row r="2" spans="1:14" x14ac:dyDescent="0.35">
      <c r="A2" s="153" t="s">
        <v>424</v>
      </c>
      <c r="B2" s="145" t="s">
        <v>551</v>
      </c>
      <c r="C2" s="145" t="s">
        <v>552</v>
      </c>
      <c r="D2" s="35"/>
      <c r="E2" s="153" t="s">
        <v>425</v>
      </c>
      <c r="F2" s="145" t="s">
        <v>551</v>
      </c>
      <c r="G2" s="145" t="s">
        <v>552</v>
      </c>
    </row>
    <row r="3" spans="1:14" x14ac:dyDescent="0.35">
      <c r="A3" s="38" t="s">
        <v>210</v>
      </c>
      <c r="B3" s="137">
        <f>SUMPRODUCT('2b. Kosten'!Q5:Q14,'2b. Kosten'!C5:C14)</f>
        <v>28810.890000000003</v>
      </c>
      <c r="C3" s="137">
        <f>SUMPRODUCT('2b. Kosten'!AE5:AE14,'2b. Kosten'!C5:C14)</f>
        <v>27219.464999999997</v>
      </c>
      <c r="E3" s="38" t="str">
        <f>A3</f>
        <v>Anschaffung</v>
      </c>
      <c r="F3" s="154">
        <f>B3/SUMPRODUCT('2. Eingaben Fahrzeug-Ebene'!$C$5:$C$14,'2. Eingaben Fahrzeug-Ebene'!$Y$5:$Y$14)</f>
        <v>0.27702778846153847</v>
      </c>
      <c r="G3" s="154">
        <f>C3/SUMPRODUCT('2. Eingaben Fahrzeug-Ebene'!$C$5:$C$14,'2. Eingaben Fahrzeug-Ebene'!$Y$5:$Y$14)</f>
        <v>0.26172562499999996</v>
      </c>
      <c r="L3" s="137"/>
      <c r="M3" s="137"/>
      <c r="N3" s="137"/>
    </row>
    <row r="4" spans="1:14" x14ac:dyDescent="0.35">
      <c r="A4" s="38" t="s">
        <v>118</v>
      </c>
      <c r="B4" s="137">
        <f>SUMPRODUCT('2b. Kosten'!R5:R14,'2b. Kosten'!C5:C14)</f>
        <v>-7847.9167814577122</v>
      </c>
      <c r="C4" s="137">
        <f>SUMPRODUCT('2b. Kosten'!AF5:AF14,'2b. Kosten'!C5:C14)</f>
        <v>-7643.7340027351711</v>
      </c>
      <c r="E4" s="38" t="str">
        <f t="shared" ref="E4:E11" si="0">A4</f>
        <v>Restwert</v>
      </c>
      <c r="F4" s="154">
        <f>B4/SUMPRODUCT('2. Eingaben Fahrzeug-Ebene'!$C$5:$C$14,'2. Eingaben Fahrzeug-Ebene'!$Y$5:$Y$14)</f>
        <v>-7.5460738283247231E-2</v>
      </c>
      <c r="G4" s="154">
        <f>C4/SUMPRODUCT('2. Eingaben Fahrzeug-Ebene'!$C$5:$C$14,'2. Eingaben Fahrzeug-Ebene'!$Y$5:$Y$14)</f>
        <v>-7.3497442333992025E-2</v>
      </c>
    </row>
    <row r="5" spans="1:14" x14ac:dyDescent="0.35">
      <c r="A5" s="38" t="s">
        <v>614</v>
      </c>
      <c r="B5" s="137">
        <f>SUMPRODUCT('2b. Kosten'!S5:S14,'2b. Kosten'!C5:C14)</f>
        <v>20962.973218542291</v>
      </c>
      <c r="C5" s="137">
        <f>SUMPRODUCT('2b. Kosten'!AG5:AG14,'2b. Kosten'!C5:C14)</f>
        <v>19575.730997264825</v>
      </c>
      <c r="D5" s="137"/>
      <c r="E5" s="38" t="str">
        <f t="shared" si="0"/>
        <v>Acquisition (déduction faite de la valeur résiduelle)</v>
      </c>
      <c r="F5" s="154">
        <f>B5/SUMPRODUCT('2. Eingaben Fahrzeug-Ebene'!$C$5:$C$14,'2. Eingaben Fahrzeug-Ebene'!$Y$5:$Y$14)</f>
        <v>0.20156705017829127</v>
      </c>
      <c r="G5" s="154">
        <f>C5/SUMPRODUCT('2. Eingaben Fahrzeug-Ebene'!$C$5:$C$14,'2. Eingaben Fahrzeug-Ebene'!$Y$5:$Y$14)</f>
        <v>0.18822818266600794</v>
      </c>
    </row>
    <row r="6" spans="1:14" x14ac:dyDescent="0.35">
      <c r="A6" s="88" t="s">
        <v>615</v>
      </c>
      <c r="B6" s="137">
        <f>SUMPRODUCT('2b. Kosten'!T5:T14,'2b. Kosten'!C5:C14)</f>
        <v>2416.1139618267403</v>
      </c>
      <c r="C6" s="137">
        <f>SUMPRODUCT('2b. Kosten'!AH5:AH14,'2b. Kosten'!C5:C14)</f>
        <v>4832.2279236534805</v>
      </c>
      <c r="E6" s="38" t="str">
        <f t="shared" si="0"/>
        <v>Service et réparations</v>
      </c>
      <c r="F6" s="154">
        <f>B6/SUMPRODUCT('2. Eingaben Fahrzeug-Ebene'!$C$5:$C$14,'2. Eingaben Fahrzeug-Ebene'!$Y$5:$Y$14)</f>
        <v>2.3231865017564812E-2</v>
      </c>
      <c r="G6" s="154">
        <f>C6/SUMPRODUCT('2. Eingaben Fahrzeug-Ebene'!$C$5:$C$14,'2. Eingaben Fahrzeug-Ebene'!$Y$5:$Y$14)</f>
        <v>4.6463730035129623E-2</v>
      </c>
    </row>
    <row r="7" spans="1:14" x14ac:dyDescent="0.35">
      <c r="A7" s="88" t="s">
        <v>616</v>
      </c>
      <c r="B7" s="137">
        <f>SUMPRODUCT('2b. Kosten'!U5:U14,'2b. Kosten'!C5:C14)</f>
        <v>1747.0362493208738</v>
      </c>
      <c r="C7" s="137">
        <f>SUMPRODUCT('2b. Kosten'!AI5:AI14,'2b. Kosten'!C5:C14)</f>
        <v>1486.8393611241479</v>
      </c>
      <c r="E7" s="38" t="str">
        <f t="shared" si="0"/>
        <v>Pneus</v>
      </c>
      <c r="F7" s="154">
        <f>B7/SUMPRODUCT('2. Eingaben Fahrzeug-Ebene'!$C$5:$C$14,'2. Eingaben Fahrzeug-Ebene'!$Y$5:$Y$14)</f>
        <v>1.6798425474239171E-2</v>
      </c>
      <c r="G7" s="154">
        <f>C7/SUMPRODUCT('2. Eingaben Fahrzeug-Ebene'!$C$5:$C$14,'2. Eingaben Fahrzeug-Ebene'!$Y$5:$Y$14)</f>
        <v>1.4296532318501422E-2</v>
      </c>
    </row>
    <row r="8" spans="1:14" x14ac:dyDescent="0.35">
      <c r="A8" s="38" t="s">
        <v>617</v>
      </c>
      <c r="B8" s="137">
        <f ca="1">SUMPRODUCT('2b. Kosten'!V5:V14,'2b. Kosten'!C5:C14)</f>
        <v>3891.554221182269</v>
      </c>
      <c r="C8" s="137">
        <f>SUMPRODUCT('2b. Kosten'!AJ5:AJ14,'2b. Kosten'!C5:C14)</f>
        <v>10089.691904588468</v>
      </c>
      <c r="E8" s="38" t="str">
        <f t="shared" si="0"/>
        <v>Énergie</v>
      </c>
      <c r="F8" s="154">
        <f ca="1">B8/SUMPRODUCT('2. Eingaben Fahrzeug-Ebene'!$C$5:$C$14,'2. Eingaben Fahrzeug-Ebene'!$Y$5:$Y$14)</f>
        <v>3.7418790588291048E-2</v>
      </c>
      <c r="G8" s="154">
        <f>C8/SUMPRODUCT('2. Eingaben Fahrzeug-Ebene'!$C$5:$C$14,'2. Eingaben Fahrzeug-Ebene'!$Y$5:$Y$14)</f>
        <v>9.7016268313350654E-2</v>
      </c>
    </row>
    <row r="9" spans="1:14" x14ac:dyDescent="0.35">
      <c r="A9" s="38" t="s">
        <v>570</v>
      </c>
      <c r="B9" s="137">
        <f ca="1">SUMPRODUCT('2b. Kosten'!W5:W14,'2b. Kosten'!C5:C14)</f>
        <v>1720.6191365841023</v>
      </c>
      <c r="C9" s="137">
        <f>SUMPRODUCT('2b. Kosten'!AK5:AK14,'2b. Kosten'!C5:C14)</f>
        <v>0</v>
      </c>
      <c r="E9" s="38" t="s">
        <v>570</v>
      </c>
      <c r="F9" s="154">
        <f ca="1">B9/SUMPRODUCT('2. Eingaben Fahrzeug-Ebene'!$C$5:$C$14,'2. Eingaben Fahrzeug-Ebene'!$Y$5:$Y$14)</f>
        <v>1.6544414774847138E-2</v>
      </c>
      <c r="G9" s="154">
        <f>C9/SUMPRODUCT('2. Eingaben Fahrzeug-Ebene'!$C$5:$C$14,'2. Eingaben Fahrzeug-Ebene'!$Y$5:$Y$14)</f>
        <v>0</v>
      </c>
    </row>
    <row r="10" spans="1:14" x14ac:dyDescent="0.35">
      <c r="A10" s="38" t="s">
        <v>618</v>
      </c>
      <c r="B10" s="137">
        <f>SUMPRODUCT('2b. Kosten'!X5:X14,'2b. Kosten'!C5:C14)</f>
        <v>4460.5180833724435</v>
      </c>
      <c r="C10" s="137">
        <f>SUMPRODUCT('2b. Kosten'!AL5:AL14,'2b. Kosten'!C5:C14)</f>
        <v>4460.5180833724435</v>
      </c>
      <c r="E10" s="38" t="str">
        <f t="shared" si="0"/>
        <v>Assurance</v>
      </c>
      <c r="F10" s="154">
        <f>B10/SUMPRODUCT('2. Eingaben Fahrzeug-Ebene'!$C$5:$C$14,'2. Eingaben Fahrzeug-Ebene'!$Y$5:$Y$14)</f>
        <v>4.2889596955504261E-2</v>
      </c>
      <c r="G10" s="154">
        <f>C10/SUMPRODUCT('2. Eingaben Fahrzeug-Ebene'!$C$5:$C$14,'2. Eingaben Fahrzeug-Ebene'!$Y$5:$Y$14)</f>
        <v>4.2889596955504261E-2</v>
      </c>
    </row>
    <row r="11" spans="1:14" x14ac:dyDescent="0.35">
      <c r="A11" s="38" t="s">
        <v>619</v>
      </c>
      <c r="B11" s="137">
        <f>SUMPRODUCT('2b. Kosten'!Y5:Y14,'2b. Kosten'!C5:C14)</f>
        <v>1486.8393611241479</v>
      </c>
      <c r="C11" s="137">
        <f>SUMPRODUCT('2b. Kosten'!AM5:AM14,'2b. Kosten'!C5:C14)</f>
        <v>1486.8393611241479</v>
      </c>
      <c r="E11" s="38" t="str">
        <f t="shared" si="0"/>
        <v>Gestion de flotte</v>
      </c>
      <c r="F11" s="154">
        <f>B11/SUMPRODUCT('2. Eingaben Fahrzeug-Ebene'!$C$5:$C$14,'2. Eingaben Fahrzeug-Ebene'!$Y$5:$Y$14)</f>
        <v>1.4296532318501422E-2</v>
      </c>
      <c r="G11" s="154">
        <f>C11/SUMPRODUCT('2. Eingaben Fahrzeug-Ebene'!$C$5:$C$14,'2. Eingaben Fahrzeug-Ebene'!$Y$5:$Y$14)</f>
        <v>1.4296532318501422E-2</v>
      </c>
    </row>
    <row r="13" spans="1:14" x14ac:dyDescent="0.35">
      <c r="A13" s="31" t="s">
        <v>426</v>
      </c>
      <c r="B13" s="137">
        <f ca="1">SUM(B5:B11)</f>
        <v>36685.654231952867</v>
      </c>
      <c r="C13" s="137">
        <f>SUM(C5:C11)</f>
        <v>41931.847631127515</v>
      </c>
      <c r="E13" s="31" t="s">
        <v>426</v>
      </c>
      <c r="F13" s="154">
        <f ca="1">SUM(F5:F11)</f>
        <v>0.35274667530723913</v>
      </c>
      <c r="G13" s="154">
        <f t="shared" ref="G13" si="1">SUM(G5:G11)</f>
        <v>0.40319084260699534</v>
      </c>
    </row>
    <row r="14" spans="1:14" x14ac:dyDescent="0.35">
      <c r="A14" s="31" t="s">
        <v>427</v>
      </c>
      <c r="B14" s="137">
        <f ca="1">B13-MIN(B13:C13)</f>
        <v>0</v>
      </c>
      <c r="C14" s="137">
        <f ca="1">C13-MIN(B13:C13)</f>
        <v>5246.1933991746482</v>
      </c>
      <c r="E14" s="31" t="s">
        <v>427</v>
      </c>
      <c r="F14" s="154">
        <f ca="1">F13-MIN(F13:G13)</f>
        <v>0</v>
      </c>
      <c r="G14" s="154">
        <f ca="1">G13-MIN(F13:G13)</f>
        <v>5.0444167299756204E-2</v>
      </c>
    </row>
    <row r="15" spans="1:14" x14ac:dyDescent="0.35">
      <c r="A15" s="31" t="s">
        <v>427</v>
      </c>
      <c r="B15" s="155">
        <f ca="1">B14/MIN(B13:C13)</f>
        <v>0</v>
      </c>
      <c r="C15" s="155">
        <f ca="1">C14/MIN(B13:C13)</f>
        <v>0.14300394824648546</v>
      </c>
      <c r="E15" s="31" t="s">
        <v>427</v>
      </c>
      <c r="F15" s="155">
        <f ca="1">F14/MIN(F13:G13)</f>
        <v>0</v>
      </c>
      <c r="G15" s="155">
        <f ca="1">G14/MIN(F13:G13)</f>
        <v>0.14300394824648538</v>
      </c>
    </row>
    <row r="16" spans="1:14" x14ac:dyDescent="0.35">
      <c r="B16" s="156" t="str">
        <f ca="1">IF(B15&gt;0,TEXT(B15,"+0.0%; -0.0%; 0.0%"),"")</f>
        <v/>
      </c>
      <c r="C16" s="156" t="str">
        <f ca="1">IF(C15&gt;0,TEXT(C15,"+0.0%; -0.0%; 0.0%"),"")</f>
        <v>+14.3%</v>
      </c>
      <c r="F16" s="156" t="str">
        <f ca="1">IF(F15&gt;0,TEXT(F15,"+0.0%; -0.0%; 0.0%"),"")</f>
        <v/>
      </c>
      <c r="G16" s="156" t="str">
        <f ca="1">IF(G15&gt;0,TEXT(G15,"+0.0%; -0.0%; 0.0%"),"")</f>
        <v>+14.3%</v>
      </c>
    </row>
    <row r="18" spans="1:39" x14ac:dyDescent="0.35">
      <c r="B18" s="137">
        <f ca="1">ROUND(B13,-2)</f>
        <v>36700</v>
      </c>
      <c r="C18" s="137">
        <f>ROUND(C13,-2)</f>
        <v>41900</v>
      </c>
    </row>
    <row r="19" spans="1:39" x14ac:dyDescent="0.35">
      <c r="G19" s="33"/>
      <c r="H19" s="33"/>
    </row>
    <row r="20" spans="1:39" x14ac:dyDescent="0.35">
      <c r="A20" s="30" t="s">
        <v>570</v>
      </c>
    </row>
    <row r="21" spans="1:39" ht="29.25" customHeight="1" x14ac:dyDescent="0.35">
      <c r="A21" s="157" t="s">
        <v>533</v>
      </c>
      <c r="B21" s="158" t="s">
        <v>428</v>
      </c>
      <c r="C21" s="545" t="s">
        <v>168</v>
      </c>
      <c r="D21" s="547"/>
      <c r="E21" s="548" t="s">
        <v>429</v>
      </c>
      <c r="F21" s="549"/>
      <c r="G21" s="550"/>
      <c r="H21" s="545" t="s">
        <v>429</v>
      </c>
      <c r="I21" s="546"/>
      <c r="J21" s="546"/>
      <c r="K21" s="546"/>
      <c r="L21" s="546"/>
      <c r="M21" s="546"/>
      <c r="N21" s="546"/>
      <c r="O21" s="546"/>
      <c r="P21" s="546"/>
      <c r="Q21" s="546"/>
      <c r="R21" s="546"/>
      <c r="S21" s="547"/>
      <c r="T21" s="545" t="s">
        <v>598</v>
      </c>
      <c r="U21" s="547"/>
      <c r="V21" s="545" t="s">
        <v>599</v>
      </c>
      <c r="W21" s="546"/>
      <c r="X21" s="546"/>
      <c r="Y21" s="546"/>
      <c r="Z21" s="546"/>
      <c r="AA21" s="546"/>
      <c r="AB21" s="546"/>
      <c r="AC21" s="546"/>
      <c r="AD21" s="546"/>
      <c r="AE21" s="547"/>
      <c r="AF21" s="545" t="s">
        <v>540</v>
      </c>
      <c r="AG21" s="546"/>
      <c r="AH21" s="546"/>
      <c r="AI21" s="547"/>
      <c r="AJ21" s="159" t="s">
        <v>539</v>
      </c>
      <c r="AK21" s="160" t="s">
        <v>168</v>
      </c>
      <c r="AL21" s="160" t="s">
        <v>429</v>
      </c>
      <c r="AM21" s="161" t="s">
        <v>538</v>
      </c>
    </row>
    <row r="22" spans="1:39" x14ac:dyDescent="0.35">
      <c r="A22" s="38" t="s">
        <v>431</v>
      </c>
      <c r="B22" s="31">
        <f>'Éléments saisis (inputs)'!$J$24</f>
        <v>11</v>
      </c>
      <c r="C22" s="31" cm="1">
        <f t="array" ref="C22:D22">TRANSPOSE(INDEX(Ladeleistung,_xlfn.SEQUENCE(2)))</f>
        <v>11</v>
      </c>
      <c r="D22" s="31">
        <v>22</v>
      </c>
      <c r="E22" s="31" t="s">
        <v>432</v>
      </c>
      <c r="F22" s="31" t="s">
        <v>433</v>
      </c>
      <c r="G22" s="31" t="s">
        <v>434</v>
      </c>
      <c r="H22" s="31" cm="1">
        <f t="array" ref="H22:S22">TRANSPOSE(Ladeleistung)</f>
        <v>11</v>
      </c>
      <c r="I22" s="31">
        <v>22</v>
      </c>
      <c r="J22" s="31">
        <v>50</v>
      </c>
      <c r="K22" s="31">
        <v>66</v>
      </c>
      <c r="L22" s="31">
        <v>75</v>
      </c>
      <c r="M22" s="31">
        <v>100</v>
      </c>
      <c r="N22" s="31">
        <v>120</v>
      </c>
      <c r="O22" s="31">
        <v>150</v>
      </c>
      <c r="P22" s="31">
        <v>180</v>
      </c>
      <c r="Q22" s="31">
        <v>200</v>
      </c>
      <c r="R22" s="31">
        <v>225</v>
      </c>
      <c r="S22" s="31">
        <v>250</v>
      </c>
      <c r="T22" s="31" cm="1">
        <f t="array" ref="T22:AE22">TRANSPOSE(Ladeleistung)</f>
        <v>11</v>
      </c>
      <c r="U22" s="31">
        <v>22</v>
      </c>
      <c r="V22" s="31">
        <v>50</v>
      </c>
      <c r="W22" s="31">
        <v>66</v>
      </c>
      <c r="X22" s="31">
        <v>75</v>
      </c>
      <c r="Y22" s="31">
        <v>100</v>
      </c>
      <c r="Z22" s="31">
        <v>120</v>
      </c>
      <c r="AA22" s="31">
        <v>150</v>
      </c>
      <c r="AB22" s="31">
        <v>180</v>
      </c>
      <c r="AC22" s="31">
        <v>200</v>
      </c>
      <c r="AD22" s="31">
        <v>225</v>
      </c>
      <c r="AE22" s="31">
        <v>250</v>
      </c>
      <c r="AF22" s="31" t="s">
        <v>435</v>
      </c>
      <c r="AG22" s="31" t="s">
        <v>436</v>
      </c>
      <c r="AH22" s="31" t="s">
        <v>437</v>
      </c>
      <c r="AI22" s="31" t="s">
        <v>434</v>
      </c>
      <c r="AJ22" s="162"/>
    </row>
    <row r="23" spans="1:39" x14ac:dyDescent="0.35">
      <c r="A23" s="88" t="s">
        <v>463</v>
      </c>
      <c r="B23" s="31">
        <f ca="1">SUMPRODUCT('2a. Ladekonzept'!V5:V14,'2a. Ladekonzept'!C5:C14)</f>
        <v>0</v>
      </c>
      <c r="C23" s="31" cm="1">
        <f t="array" aca="1" ref="C23" ca="1">SUM(('2a. Ladekonzept'!$Z$5:$Z$14=C22)*('2a. Ladekonzept'!$X$5:$X$14)*('2a. Ladekonzept'!$C$5:$C$14))</f>
        <v>1</v>
      </c>
      <c r="D23" s="31" cm="1">
        <f t="array" aca="1" ref="D23" ca="1">SUM(('2a. Ladekonzept'!$Z$5:$Z$14=D22)*('2a. Ladekonzept'!$X$5:$X$14)*('2a. Ladekonzept'!$C$5:$C$14))</f>
        <v>0</v>
      </c>
      <c r="E23" s="137">
        <f ca="1">SUM(H23:M23)</f>
        <v>0</v>
      </c>
      <c r="F23" s="31">
        <f ca="1">SUM(N23:O23)</f>
        <v>0</v>
      </c>
      <c r="G23" s="31">
        <f ca="1">SUM(P23:S23)</f>
        <v>0</v>
      </c>
      <c r="H23" s="31" cm="1">
        <f t="array" aca="1" ref="H23" ca="1">SUM(('2a. Ladekonzept'!$AF$5:$AF$14=H22)*('2a. Ladekonzept'!$AD$5:$AD$14)*('2a. Ladekonzept'!$C$5:$C$14))</f>
        <v>0</v>
      </c>
      <c r="I23" s="31" cm="1">
        <f t="array" aca="1" ref="I23" ca="1">SUM(('2a. Ladekonzept'!$AF$5:$AF$14=I22)*('2a. Ladekonzept'!$AD$5:$AD$14)*('2a. Ladekonzept'!$C$5:$C$14))</f>
        <v>0</v>
      </c>
      <c r="J23" s="31" cm="1">
        <f t="array" aca="1" ref="J23" ca="1">SUM(('2a. Ladekonzept'!$AF$5:$AF$14=J22)*('2a. Ladekonzept'!$AD$5:$AD$14)*('2a. Ladekonzept'!$C$5:$C$14))</f>
        <v>0</v>
      </c>
      <c r="K23" s="31" cm="1">
        <f t="array" aca="1" ref="K23" ca="1">SUM(('2a. Ladekonzept'!$AF$5:$AF$14=K22)*('2a. Ladekonzept'!$AD$5:$AD$14)*('2a. Ladekonzept'!$C$5:$C$14))</f>
        <v>0</v>
      </c>
      <c r="L23" s="31" cm="1">
        <f t="array" aca="1" ref="L23" ca="1">SUM(('2a. Ladekonzept'!$AF$5:$AF$14=L22)*('2a. Ladekonzept'!$AD$5:$AD$14)*('2a. Ladekonzept'!$C$5:$C$14))</f>
        <v>0</v>
      </c>
      <c r="M23" s="31" cm="1">
        <f t="array" aca="1" ref="M23" ca="1">SUM(('2a. Ladekonzept'!$AF$5:$AF$14=M22)*('2a. Ladekonzept'!$AD$5:$AD$14)*('2a. Ladekonzept'!$C$5:$C$14))</f>
        <v>0</v>
      </c>
      <c r="N23" s="31" cm="1">
        <f t="array" aca="1" ref="N23" ca="1">SUM(('2a. Ladekonzept'!$AF$5:$AF$14=N22)*('2a. Ladekonzept'!$AD$5:$AD$14)*('2a. Ladekonzept'!$C$5:$C$14))</f>
        <v>0</v>
      </c>
      <c r="O23" s="31" cm="1">
        <f t="array" aca="1" ref="O23" ca="1">SUM(('2a. Ladekonzept'!$AF$5:$AF$14=O22)*('2a. Ladekonzept'!$AD$5:$AD$14)*('2a. Ladekonzept'!$C$5:$C$14))</f>
        <v>0</v>
      </c>
      <c r="P23" s="31" cm="1">
        <f t="array" aca="1" ref="P23" ca="1">SUM(('2a. Ladekonzept'!$AF$5:$AF$14=P22)*('2a. Ladekonzept'!$AD$5:$AD$14)*('2a. Ladekonzept'!$C$5:$C$14))</f>
        <v>0</v>
      </c>
      <c r="Q23" s="31" cm="1">
        <f t="array" aca="1" ref="Q23" ca="1">SUM(('2a. Ladekonzept'!$AF$5:$AF$14=Q22)*('2a. Ladekonzept'!$AD$5:$AD$14)*('2a. Ladekonzept'!$C$5:$C$14))</f>
        <v>0</v>
      </c>
      <c r="R23" s="31" cm="1">
        <f t="array" aca="1" ref="R23" ca="1">SUM(('2a. Ladekonzept'!$AF$5:$AF$14=R22)*('2a. Ladekonzept'!$AD$5:$AD$14)*('2a. Ladekonzept'!$C$5:$C$14))</f>
        <v>0</v>
      </c>
      <c r="S23" s="31" cm="1">
        <f t="array" aca="1" ref="S23" ca="1">SUM(('2a. Ladekonzept'!$AF$5:$AF$14=S22)*('2a. Ladekonzept'!$AD$5:$AD$14)*('2a. Ladekonzept'!$C$5:$C$14))</f>
        <v>0</v>
      </c>
      <c r="T23" s="31">
        <f ca="1">MAX(C23-MAX(I23-D23,0),H23-MAX(D23-I23,0))</f>
        <v>1</v>
      </c>
      <c r="U23" s="31">
        <f ca="1">MAX(D23,I23)</f>
        <v>0</v>
      </c>
      <c r="V23" s="31">
        <f ca="1">J23</f>
        <v>0</v>
      </c>
      <c r="W23" s="31">
        <f t="shared" ref="W23:AE23" ca="1" si="2">K23</f>
        <v>0</v>
      </c>
      <c r="X23" s="31">
        <f t="shared" ca="1" si="2"/>
        <v>0</v>
      </c>
      <c r="Y23" s="31">
        <f t="shared" ca="1" si="2"/>
        <v>0</v>
      </c>
      <c r="Z23" s="31">
        <f t="shared" ca="1" si="2"/>
        <v>0</v>
      </c>
      <c r="AA23" s="31">
        <f t="shared" ca="1" si="2"/>
        <v>0</v>
      </c>
      <c r="AB23" s="31">
        <f t="shared" ca="1" si="2"/>
        <v>0</v>
      </c>
      <c r="AC23" s="31">
        <f t="shared" ca="1" si="2"/>
        <v>0</v>
      </c>
      <c r="AD23" s="31">
        <f t="shared" ca="1" si="2"/>
        <v>0</v>
      </c>
      <c r="AE23" s="31">
        <f t="shared" ca="1" si="2"/>
        <v>0</v>
      </c>
      <c r="AJ23" s="162"/>
    </row>
    <row r="24" spans="1:39" x14ac:dyDescent="0.35">
      <c r="A24" s="88" t="s">
        <v>464</v>
      </c>
      <c r="B24" s="31">
        <f ca="1">ROUNDUP(B23,0)</f>
        <v>0</v>
      </c>
      <c r="C24" s="137">
        <f t="shared" ref="C24:D24" ca="1" si="3">ROUNDUP(C23,0)</f>
        <v>1</v>
      </c>
      <c r="D24" s="137">
        <f t="shared" ca="1" si="3"/>
        <v>0</v>
      </c>
      <c r="E24" s="137">
        <f ca="1">ROUNDUP(E23,0)</f>
        <v>0</v>
      </c>
      <c r="F24" s="137">
        <f ca="1">ROUNDUP(F23,0)</f>
        <v>0</v>
      </c>
      <c r="G24" s="137">
        <f ca="1">ROUNDUP(G23,0)</f>
        <v>0</v>
      </c>
      <c r="H24" s="137">
        <f t="shared" ref="H24:S24" ca="1" si="4">ROUNDUP(H23,0)</f>
        <v>0</v>
      </c>
      <c r="I24" s="137">
        <f t="shared" ca="1" si="4"/>
        <v>0</v>
      </c>
      <c r="J24" s="137">
        <f t="shared" ca="1" si="4"/>
        <v>0</v>
      </c>
      <c r="K24" s="137">
        <f t="shared" ca="1" si="4"/>
        <v>0</v>
      </c>
      <c r="L24" s="137">
        <f t="shared" ca="1" si="4"/>
        <v>0</v>
      </c>
      <c r="M24" s="137">
        <f t="shared" ca="1" si="4"/>
        <v>0</v>
      </c>
      <c r="N24" s="137">
        <f t="shared" ca="1" si="4"/>
        <v>0</v>
      </c>
      <c r="O24" s="137">
        <f t="shared" ca="1" si="4"/>
        <v>0</v>
      </c>
      <c r="P24" s="137">
        <f t="shared" ca="1" si="4"/>
        <v>0</v>
      </c>
      <c r="Q24" s="137">
        <f t="shared" ca="1" si="4"/>
        <v>0</v>
      </c>
      <c r="R24" s="137">
        <f t="shared" ca="1" si="4"/>
        <v>0</v>
      </c>
      <c r="S24" s="137">
        <f t="shared" ca="1" si="4"/>
        <v>0</v>
      </c>
      <c r="T24" s="31">
        <f ca="1">ROUNDUP(T23,0)</f>
        <v>1</v>
      </c>
      <c r="U24" s="31">
        <f ca="1">ROUNDUP(U23,0)</f>
        <v>0</v>
      </c>
      <c r="V24" s="31">
        <f t="shared" ref="V24:AE24" ca="1" si="5">ROUNDUP(J23,0)</f>
        <v>0</v>
      </c>
      <c r="W24" s="31">
        <f t="shared" ca="1" si="5"/>
        <v>0</v>
      </c>
      <c r="X24" s="31">
        <f t="shared" ca="1" si="5"/>
        <v>0</v>
      </c>
      <c r="Y24" s="31">
        <f t="shared" ca="1" si="5"/>
        <v>0</v>
      </c>
      <c r="Z24" s="31">
        <f t="shared" ca="1" si="5"/>
        <v>0</v>
      </c>
      <c r="AA24" s="31">
        <f t="shared" ca="1" si="5"/>
        <v>0</v>
      </c>
      <c r="AB24" s="31">
        <f t="shared" ca="1" si="5"/>
        <v>0</v>
      </c>
      <c r="AC24" s="31">
        <f t="shared" ca="1" si="5"/>
        <v>0</v>
      </c>
      <c r="AD24" s="31">
        <f t="shared" ca="1" si="5"/>
        <v>0</v>
      </c>
      <c r="AE24" s="31">
        <f t="shared" ca="1" si="5"/>
        <v>0</v>
      </c>
      <c r="AF24" s="31">
        <f ca="1">SUM(T24:U24)</f>
        <v>1</v>
      </c>
      <c r="AG24" s="31">
        <f ca="1">SUM(V24:X24)</f>
        <v>0</v>
      </c>
      <c r="AH24" s="31">
        <f ca="1">SUM(Y24:AA24)</f>
        <v>0</v>
      </c>
      <c r="AI24" s="31">
        <f ca="1">SUM(AB24:AE24)</f>
        <v>0</v>
      </c>
      <c r="AJ24" s="162"/>
    </row>
    <row r="25" spans="1:39" s="137" customFormat="1" x14ac:dyDescent="0.35">
      <c r="A25" s="88" t="s">
        <v>438</v>
      </c>
      <c r="B25" s="137" cm="1">
        <f t="array" aca="1" ref="B25" ca="1">SUM(('2a. Ladekonzept'!$S$5:$S$14)*('2a. Ladekonzept'!$C$5:$C$14))/'2d. Annahmen'!$B$56</f>
        <v>0</v>
      </c>
      <c r="C25" s="137" cm="1">
        <f t="array" aca="1" ref="C25" ca="1">SUM(('2a. Ladekonzept'!$Z$5:$Z$14=C22)*('2a. Ladekonzept'!$T$5:$T$14)*('2a. Ladekonzept'!$C$5:$C$14))/'2d. Annahmen'!$B$56</f>
        <v>16.777777777777779</v>
      </c>
      <c r="D25" s="137" cm="1">
        <f t="array" aca="1" ref="D25" ca="1">SUM(('2a. Ladekonzept'!$Z$5:$Z$14=D22)*('2a. Ladekonzept'!$T$5:$T$14)*('2a. Ladekonzept'!$C$5:$C$14))</f>
        <v>0</v>
      </c>
      <c r="E25" s="137">
        <f t="shared" ref="E25:E26" ca="1" si="6">SUM(H25:M25)</f>
        <v>0</v>
      </c>
      <c r="F25" s="31">
        <f t="shared" ref="F25" ca="1" si="7">SUM(N25:O25)</f>
        <v>0</v>
      </c>
      <c r="G25" s="137">
        <f ca="1">SUM(P25:S25)</f>
        <v>0</v>
      </c>
      <c r="H25" s="137" cm="1">
        <f t="array" aca="1" ref="H25" ca="1">SUM(('2a. Ladekonzept'!$AF$5:$AF$14=H22)*('2a. Ladekonzept'!$U$5:$U$14)*('2a. Ladekonzept'!$C$5:$C$14))/'2d. Annahmen'!$B$56</f>
        <v>0</v>
      </c>
      <c r="I25" s="137" cm="1">
        <f t="array" aca="1" ref="I25" ca="1">SUM(('2a. Ladekonzept'!$AF$5:$AF$14=I22)*('2a. Ladekonzept'!$U$5:$U$14)*('2a. Ladekonzept'!$C$5:$C$14))/'2d. Annahmen'!$B$56</f>
        <v>0</v>
      </c>
      <c r="J25" s="137" cm="1">
        <f t="array" aca="1" ref="J25" ca="1">SUM(('2a. Ladekonzept'!$AF$5:$AF$14=J22)*('2a. Ladekonzept'!$U$5:$U$14)*('2a. Ladekonzept'!$C$5:$C$14))/'2d. Annahmen'!$B$56</f>
        <v>0</v>
      </c>
      <c r="K25" s="137" cm="1">
        <f t="array" aca="1" ref="K25" ca="1">SUM(('2a. Ladekonzept'!$AF$5:$AF$14=K22)*('2a. Ladekonzept'!$U$5:$U$14)*('2a. Ladekonzept'!$C$5:$C$14))/'2d. Annahmen'!$B$56</f>
        <v>0</v>
      </c>
      <c r="L25" s="137" cm="1">
        <f t="array" aca="1" ref="L25" ca="1">SUM(('2a. Ladekonzept'!$AF$5:$AF$14=L22)*('2a. Ladekonzept'!$U$5:$U$14)*('2a. Ladekonzept'!$C$5:$C$14))/'2d. Annahmen'!$B$56</f>
        <v>0</v>
      </c>
      <c r="M25" s="137" cm="1">
        <f t="array" aca="1" ref="M25" ca="1">SUM(('2a. Ladekonzept'!$AF$5:$AF$14=M22)*('2a. Ladekonzept'!$U$5:$U$14)*('2a. Ladekonzept'!$C$5:$C$14))/'2d. Annahmen'!$B$56</f>
        <v>0</v>
      </c>
      <c r="N25" s="137" cm="1">
        <f t="array" aca="1" ref="N25" ca="1">SUM(('2a. Ladekonzept'!$AF$5:$AF$14=N22)*('2a. Ladekonzept'!$U$5:$U$14)*('2a. Ladekonzept'!$C$5:$C$14))/'2d. Annahmen'!$B$56</f>
        <v>0</v>
      </c>
      <c r="O25" s="137" cm="1">
        <f t="array" aca="1" ref="O25" ca="1">SUM(('2a. Ladekonzept'!$AF$5:$AF$14=O22)*('2a. Ladekonzept'!$U$5:$U$14)*('2a. Ladekonzept'!$C$5:$C$14))/'2d. Annahmen'!$B$56</f>
        <v>0</v>
      </c>
      <c r="P25" s="137" cm="1">
        <f t="array" aca="1" ref="P25" ca="1">SUM(('2a. Ladekonzept'!$AF$5:$AF$14=P22)*('2a. Ladekonzept'!$U$5:$U$14)*('2a. Ladekonzept'!$C$5:$C$14))/'2d. Annahmen'!$B$56</f>
        <v>0</v>
      </c>
      <c r="Q25" s="137" cm="1">
        <f t="array" aca="1" ref="Q25" ca="1">SUM(('2a. Ladekonzept'!$AF$5:$AF$14=Q22)*('2a. Ladekonzept'!$U$5:$U$14)*('2a. Ladekonzept'!$C$5:$C$14))/'2d. Annahmen'!$B$56</f>
        <v>0</v>
      </c>
      <c r="R25" s="137" cm="1">
        <f t="array" aca="1" ref="R25" ca="1">SUM(('2a. Ladekonzept'!$AF$5:$AF$14=R22)*('2a. Ladekonzept'!$U$5:$U$14)*('2a. Ladekonzept'!$C$5:$C$14))/'2d. Annahmen'!$B$56</f>
        <v>0</v>
      </c>
      <c r="S25" s="137" cm="1">
        <f t="array" aca="1" ref="S25" ca="1">SUM(('2a. Ladekonzept'!$AF$5:$AF$14=S22)*('2a. Ladekonzept'!$U$5:$U$14)*('2a. Ladekonzept'!$C$5:$C$14))/'2d. Annahmen'!$B$56</f>
        <v>0</v>
      </c>
      <c r="T25" s="137">
        <f ca="1">C25+H25</f>
        <v>16.777777777777779</v>
      </c>
      <c r="U25" s="137">
        <f ca="1">D25+I25</f>
        <v>0</v>
      </c>
      <c r="V25" s="137">
        <f ca="1">J25</f>
        <v>0</v>
      </c>
      <c r="W25" s="137">
        <f t="shared" ref="W25:AE25" ca="1" si="8">K25</f>
        <v>0</v>
      </c>
      <c r="X25" s="137">
        <f t="shared" ca="1" si="8"/>
        <v>0</v>
      </c>
      <c r="Y25" s="137">
        <f t="shared" ca="1" si="8"/>
        <v>0</v>
      </c>
      <c r="Z25" s="137">
        <f t="shared" ca="1" si="8"/>
        <v>0</v>
      </c>
      <c r="AA25" s="137">
        <f t="shared" ca="1" si="8"/>
        <v>0</v>
      </c>
      <c r="AB25" s="137">
        <f t="shared" ca="1" si="8"/>
        <v>0</v>
      </c>
      <c r="AC25" s="137">
        <f t="shared" ca="1" si="8"/>
        <v>0</v>
      </c>
      <c r="AD25" s="137">
        <f t="shared" ca="1" si="8"/>
        <v>0</v>
      </c>
      <c r="AE25" s="137">
        <f t="shared" ca="1" si="8"/>
        <v>0</v>
      </c>
      <c r="AF25" s="137">
        <f ca="1">SUM(T25:U25)</f>
        <v>16.777777777777779</v>
      </c>
      <c r="AG25" s="137">
        <f ca="1">SUM(V25:X25)</f>
        <v>0</v>
      </c>
      <c r="AH25" s="137">
        <f ca="1">SUM(Y25:AA25)</f>
        <v>0</v>
      </c>
      <c r="AI25" s="137">
        <f ca="1">SUM(AB25:AE25)</f>
        <v>0</v>
      </c>
      <c r="AJ25" s="163">
        <f ca="1">SUMPRODUCT('2a. Ladekonzept'!$S$5:$S$14,'2c. LCA'!$C$5:$C$14)/'2d. Annahmen'!$B$56</f>
        <v>0</v>
      </c>
      <c r="AK25" s="137">
        <f ca="1">SUMPRODUCT('2a. Ladekonzept'!$T$5:$T$14,'2c. LCA'!$C$5:$C$14)/'2d. Annahmen'!$B$56</f>
        <v>16.777777777777779</v>
      </c>
      <c r="AL25" s="137">
        <f ca="1">SUMPRODUCT('2a. Ladekonzept'!$U$5:$U$14,'2c. LCA'!$C$5:$C$14)/'2d. Annahmen'!$B$56</f>
        <v>0</v>
      </c>
      <c r="AM25" s="137">
        <f ca="1">SUMPRODUCT('2a. Ladekonzept'!$Q$5:$Q$14,'2c. LCA'!$C$5:$C$14)/'2d. Annahmen'!$B$56</f>
        <v>0</v>
      </c>
    </row>
    <row r="26" spans="1:39" s="137" customFormat="1" x14ac:dyDescent="0.35">
      <c r="A26" s="88" t="s">
        <v>439</v>
      </c>
      <c r="B26" s="137" cm="1">
        <f t="array" aca="1" ref="B26" ca="1">SUM(('2a. Ladekonzept'!$S$5:$S$14)*('2. Eingaben Fahrzeug-Ebene'!$W$5:$W$14)*('2a. Ladekonzept'!$C$5:$C$14))/'2d. Annahmen'!$B$56</f>
        <v>0</v>
      </c>
      <c r="C26" s="137" cm="1">
        <f t="array" aca="1" ref="C26" ca="1">SUM(('2a. Ladekonzept'!$Z$5:$Z$14=C22)*('2a. Ladekonzept'!$T$5:$T$14)*('2. Eingaben Fahrzeug-Ebene'!$W$5:$W$14)*('2a. Ladekonzept'!$C$5:$C$14))/'2d. Annahmen'!$B$56</f>
        <v>4362.2222222222217</v>
      </c>
      <c r="D26" s="137" cm="1">
        <f t="array" aca="1" ref="D26" ca="1">SUM(('2a. Ladekonzept'!$Z$5:$Z$14=D22)*('2a. Ladekonzept'!$T$5:$T$14)*('2. Eingaben Fahrzeug-Ebene'!$W$5:$W$14)*('2a. Ladekonzept'!$C$5:$C$14))/'2d. Annahmen'!$B$56</f>
        <v>0</v>
      </c>
      <c r="E26" s="137">
        <f t="shared" ca="1" si="6"/>
        <v>0</v>
      </c>
      <c r="F26" s="31">
        <f t="shared" ref="F26" ca="1" si="9">SUM(N26:O26)</f>
        <v>0</v>
      </c>
      <c r="G26" s="137">
        <f ca="1">SUM(P26:S26)</f>
        <v>0</v>
      </c>
      <c r="H26" s="137" cm="1">
        <f t="array" aca="1" ref="H26" ca="1">SUM(('2a. Ladekonzept'!$AF$5:$AF$14=H22)*('2a. Ladekonzept'!$U$5:$U$14)*('2. Eingaben Fahrzeug-Ebene'!$W$5:$W$14)*('2a. Ladekonzept'!$C$5:$C$14))/'2d. Annahmen'!$B$56</f>
        <v>0</v>
      </c>
      <c r="I26" s="137" cm="1">
        <f t="array" aca="1" ref="I26" ca="1">SUM(('2a. Ladekonzept'!$AF$5:$AF$14=I22)*('2a. Ladekonzept'!$U$5:$U$14)*('2. Eingaben Fahrzeug-Ebene'!$W$5:$W$14)*('2a. Ladekonzept'!$C$5:$C$14))/'2d. Annahmen'!$B$56</f>
        <v>0</v>
      </c>
      <c r="J26" s="137" cm="1">
        <f t="array" aca="1" ref="J26" ca="1">SUM(('2a. Ladekonzept'!$AF$5:$AF$14=J22)*('2a. Ladekonzept'!$U$5:$U$14)*('2. Eingaben Fahrzeug-Ebene'!$W$5:$W$14)*('2a. Ladekonzept'!$C$5:$C$14))/'2d. Annahmen'!$B$56</f>
        <v>0</v>
      </c>
      <c r="K26" s="137" cm="1">
        <f t="array" aca="1" ref="K26" ca="1">SUM(('2a. Ladekonzept'!$AF$5:$AF$14=K22)*('2a. Ladekonzept'!$U$5:$U$14)*('2. Eingaben Fahrzeug-Ebene'!$W$5:$W$14)*('2a. Ladekonzept'!$C$5:$C$14))/'2d. Annahmen'!$B$56</f>
        <v>0</v>
      </c>
      <c r="L26" s="137" cm="1">
        <f t="array" aca="1" ref="L26" ca="1">SUM(('2a. Ladekonzept'!$AF$5:$AF$14=L22)*('2a. Ladekonzept'!$U$5:$U$14)*('2. Eingaben Fahrzeug-Ebene'!$W$5:$W$14)*('2a. Ladekonzept'!$C$5:$C$14))/'2d. Annahmen'!$B$56</f>
        <v>0</v>
      </c>
      <c r="M26" s="137" cm="1">
        <f t="array" aca="1" ref="M26" ca="1">SUM(('2a. Ladekonzept'!$AF$5:$AF$14=M22)*('2a. Ladekonzept'!$U$5:$U$14)*('2. Eingaben Fahrzeug-Ebene'!$W$5:$W$14)*('2a. Ladekonzept'!$C$5:$C$14))/'2d. Annahmen'!$B$56</f>
        <v>0</v>
      </c>
      <c r="N26" s="137" cm="1">
        <f t="array" aca="1" ref="N26" ca="1">SUM(('2a. Ladekonzept'!$AF$5:$AF$14=N22)*('2a. Ladekonzept'!$U$5:$U$14)*('2. Eingaben Fahrzeug-Ebene'!$W$5:$W$14)*('2a. Ladekonzept'!$C$5:$C$14))/'2d. Annahmen'!$B$56</f>
        <v>0</v>
      </c>
      <c r="O26" s="137" cm="1">
        <f t="array" aca="1" ref="O26" ca="1">SUM(('2a. Ladekonzept'!$AF$5:$AF$14=O22)*('2a. Ladekonzept'!$U$5:$U$14)*('2. Eingaben Fahrzeug-Ebene'!$W$5:$W$14)*('2a. Ladekonzept'!$C$5:$C$14))/'2d. Annahmen'!$B$56</f>
        <v>0</v>
      </c>
      <c r="P26" s="137" cm="1">
        <f t="array" aca="1" ref="P26" ca="1">SUM(('2a. Ladekonzept'!$AF$5:$AF$14=P22)*('2a. Ladekonzept'!$U$5:$U$14)*('2. Eingaben Fahrzeug-Ebene'!$W$5:$W$14)*('2a. Ladekonzept'!$C$5:$C$14))/'2d. Annahmen'!$B$56</f>
        <v>0</v>
      </c>
      <c r="Q26" s="137" cm="1">
        <f t="array" aca="1" ref="Q26" ca="1">SUM(('2a. Ladekonzept'!$AF$5:$AF$14=Q22)*('2a. Ladekonzept'!$U$5:$U$14)*('2. Eingaben Fahrzeug-Ebene'!$W$5:$W$14)*('2a. Ladekonzept'!$C$5:$C$14))/'2d. Annahmen'!$B$56</f>
        <v>0</v>
      </c>
      <c r="R26" s="137" cm="1">
        <f t="array" aca="1" ref="R26" ca="1">SUM(('2a. Ladekonzept'!$AF$5:$AF$14=R22)*('2a. Ladekonzept'!$U$5:$U$14)*('2. Eingaben Fahrzeug-Ebene'!$W$5:$W$14)*('2a. Ladekonzept'!$C$5:$C$14))/'2d. Annahmen'!$B$56</f>
        <v>0</v>
      </c>
      <c r="S26" s="137" cm="1">
        <f t="array" aca="1" ref="S26" ca="1">SUM(('2a. Ladekonzept'!$AF$5:$AF$14=S22)*('2a. Ladekonzept'!$U$5:$U$14)*('2. Eingaben Fahrzeug-Ebene'!$W$5:$W$14)*('2a. Ladekonzept'!$C$5:$C$14))/'2d. Annahmen'!$B$56</f>
        <v>0</v>
      </c>
      <c r="T26" s="137">
        <f ca="1">C26+H26</f>
        <v>4362.2222222222217</v>
      </c>
      <c r="U26" s="137">
        <f ca="1">D26+I26</f>
        <v>0</v>
      </c>
      <c r="V26" s="137">
        <f ca="1">J26</f>
        <v>0</v>
      </c>
      <c r="W26" s="137">
        <f t="shared" ref="W26:AE26" ca="1" si="10">K26</f>
        <v>0</v>
      </c>
      <c r="X26" s="137">
        <f t="shared" ca="1" si="10"/>
        <v>0</v>
      </c>
      <c r="Y26" s="137">
        <f t="shared" ca="1" si="10"/>
        <v>0</v>
      </c>
      <c r="Z26" s="137">
        <f t="shared" ca="1" si="10"/>
        <v>0</v>
      </c>
      <c r="AA26" s="137">
        <f t="shared" ca="1" si="10"/>
        <v>0</v>
      </c>
      <c r="AB26" s="137">
        <f t="shared" ca="1" si="10"/>
        <v>0</v>
      </c>
      <c r="AC26" s="137">
        <f t="shared" ca="1" si="10"/>
        <v>0</v>
      </c>
      <c r="AD26" s="137">
        <f t="shared" ca="1" si="10"/>
        <v>0</v>
      </c>
      <c r="AE26" s="137">
        <f t="shared" ca="1" si="10"/>
        <v>0</v>
      </c>
      <c r="AF26" s="137">
        <f ca="1">SUM(T26:U26)</f>
        <v>4362.2222222222217</v>
      </c>
      <c r="AG26" s="137">
        <f ca="1">SUM(V26:X26)</f>
        <v>0</v>
      </c>
      <c r="AH26" s="137">
        <f ca="1">SUM(Y26:AA26)</f>
        <v>0</v>
      </c>
      <c r="AI26" s="137">
        <f ca="1">SUM(AB26:AE26)</f>
        <v>0</v>
      </c>
      <c r="AJ26" s="163">
        <f ca="1">SUMPRODUCT('2a. Ladekonzept'!$S$5:$S$14,'2. Eingaben Fahrzeug-Ebene'!$W$5:$W$14,'2c. LCA'!$C$5:$C$14)/'2d. Annahmen'!$B$56</f>
        <v>0</v>
      </c>
      <c r="AK26" s="137">
        <f ca="1">SUMPRODUCT('2a. Ladekonzept'!$T$5:$T$14,'2. Eingaben Fahrzeug-Ebene'!$W$5:$W$14,'2c. LCA'!$C$5:$C$14)/'2d. Annahmen'!$B$56</f>
        <v>4362.2222222222217</v>
      </c>
      <c r="AL26" s="137">
        <f ca="1">SUMPRODUCT('2a. Ladekonzept'!$U$5:$U$14,'2. Eingaben Fahrzeug-Ebene'!$W$5:$W$14,'2c. LCA'!$C$5:$C$14)/'2d. Annahmen'!$B$56</f>
        <v>0</v>
      </c>
      <c r="AM26" s="137">
        <f ca="1">SUMPRODUCT('2a. Ladekonzept'!$Q$5:$Q$14,'2. Eingaben Fahrzeug-Ebene'!$W$5:$W$14,'2c. LCA'!$C$5:$C$14)/'2d. Annahmen'!$B$56</f>
        <v>0</v>
      </c>
    </row>
    <row r="27" spans="1:39" s="137" customFormat="1" x14ac:dyDescent="0.35">
      <c r="A27" s="88" t="s">
        <v>440</v>
      </c>
      <c r="B27" s="137">
        <f ca="1">B24*INDEX('2d. Annahmen'!$B$38:$B$50,MATCH('1b. Corrected Inputs Segment'!$J$24,Ladeleistung,0))</f>
        <v>0</v>
      </c>
      <c r="F27" s="31"/>
      <c r="G27" s="31"/>
      <c r="T27" s="137" cm="1">
        <f t="array" aca="1" ref="T27:AE27" ca="1">T24:AE24*TRANSPOSE('2d. Annahmen'!B38:B49)</f>
        <v>1632</v>
      </c>
      <c r="U27" s="137">
        <f ca="1"/>
        <v>0</v>
      </c>
      <c r="V27" s="137">
        <f ca="1"/>
        <v>0</v>
      </c>
      <c r="W27" s="137">
        <f ca="1"/>
        <v>0</v>
      </c>
      <c r="X27" s="137">
        <f ca="1"/>
        <v>0</v>
      </c>
      <c r="Y27" s="137">
        <f ca="1"/>
        <v>0</v>
      </c>
      <c r="Z27" s="137">
        <f ca="1"/>
        <v>0</v>
      </c>
      <c r="AA27" s="137">
        <f ca="1"/>
        <v>0</v>
      </c>
      <c r="AB27" s="137">
        <f ca="1"/>
        <v>0</v>
      </c>
      <c r="AC27" s="137">
        <f ca="1"/>
        <v>0</v>
      </c>
      <c r="AD27" s="137">
        <f ca="1"/>
        <v>0</v>
      </c>
      <c r="AE27" s="137">
        <f ca="1"/>
        <v>0</v>
      </c>
    </row>
    <row r="28" spans="1:39" x14ac:dyDescent="0.35">
      <c r="A28" s="88" t="s">
        <v>441</v>
      </c>
      <c r="B28" s="31">
        <f ca="1">IF(B24&gt;0,B27/SUMPRODUCT('2a. Ladekonzept'!V5:V14,'2a. Ladekonzept'!C5:C14),0)</f>
        <v>0</v>
      </c>
      <c r="T28" s="31">
        <f ca="1">IF(T23&gt;0,T27/T23,0)</f>
        <v>1632</v>
      </c>
      <c r="U28" s="31">
        <f t="shared" ref="U28:AE28" ca="1" si="11">IF(U23&gt;0,U27/U23,0)</f>
        <v>0</v>
      </c>
      <c r="V28" s="31">
        <f t="shared" ca="1" si="11"/>
        <v>0</v>
      </c>
      <c r="W28" s="31">
        <f t="shared" ca="1" si="11"/>
        <v>0</v>
      </c>
      <c r="X28" s="31">
        <f t="shared" ca="1" si="11"/>
        <v>0</v>
      </c>
      <c r="Y28" s="31">
        <f t="shared" ca="1" si="11"/>
        <v>0</v>
      </c>
      <c r="Z28" s="31">
        <f t="shared" ca="1" si="11"/>
        <v>0</v>
      </c>
      <c r="AA28" s="31">
        <f t="shared" ca="1" si="11"/>
        <v>0</v>
      </c>
      <c r="AB28" s="31">
        <f t="shared" ca="1" si="11"/>
        <v>0</v>
      </c>
      <c r="AC28" s="31">
        <f t="shared" ca="1" si="11"/>
        <v>0</v>
      </c>
      <c r="AD28" s="31">
        <f t="shared" ca="1" si="11"/>
        <v>0</v>
      </c>
      <c r="AE28" s="31">
        <f t="shared" ca="1" si="11"/>
        <v>0</v>
      </c>
    </row>
    <row r="29" spans="1:39" x14ac:dyDescent="0.35">
      <c r="A29" s="88"/>
    </row>
    <row r="30" spans="1:39" ht="28.3" x14ac:dyDescent="0.35">
      <c r="A30" s="153" t="s">
        <v>541</v>
      </c>
      <c r="B30" s="161" t="s">
        <v>539</v>
      </c>
      <c r="C30" s="160" t="s">
        <v>168</v>
      </c>
      <c r="D30" s="160" t="s">
        <v>429</v>
      </c>
      <c r="E30" s="161" t="s">
        <v>538</v>
      </c>
      <c r="F30" s="161" t="s">
        <v>36</v>
      </c>
      <c r="G30" s="162" t="s">
        <v>539</v>
      </c>
      <c r="H30" s="31" t="s">
        <v>598</v>
      </c>
      <c r="I30" s="161" t="s">
        <v>599</v>
      </c>
      <c r="J30" s="161" t="s">
        <v>538</v>
      </c>
      <c r="K30" s="161" t="s">
        <v>36</v>
      </c>
    </row>
    <row r="31" spans="1:39" x14ac:dyDescent="0.35">
      <c r="A31" s="38" t="s">
        <v>438</v>
      </c>
      <c r="B31" s="32">
        <f ca="1">B25</f>
        <v>0</v>
      </c>
      <c r="C31" s="32">
        <f ca="1">SUM(C25:D25)</f>
        <v>16.777777777777779</v>
      </c>
      <c r="D31" s="32">
        <f ca="1">SUM(H25:S25)</f>
        <v>0</v>
      </c>
      <c r="E31" s="32">
        <f ca="1">AM25</f>
        <v>0</v>
      </c>
      <c r="F31" s="32">
        <f ca="1">SUM(B31:E31)</f>
        <v>16.777777777777779</v>
      </c>
      <c r="G31" s="164">
        <f ca="1">B31</f>
        <v>0</v>
      </c>
      <c r="H31" s="56">
        <f ca="1">SUM(T25:U25)</f>
        <v>16.777777777777779</v>
      </c>
      <c r="I31" s="32">
        <f ca="1">SUM(V25:AE25)</f>
        <v>0</v>
      </c>
      <c r="J31" s="165">
        <f ca="1">E31</f>
        <v>0</v>
      </c>
      <c r="K31" s="32">
        <f ca="1">SUM(G31:J31)</f>
        <v>16.777777777777779</v>
      </c>
    </row>
    <row r="32" spans="1:39" x14ac:dyDescent="0.35">
      <c r="A32" s="38" t="s">
        <v>439</v>
      </c>
      <c r="B32" s="32">
        <f ca="1">B26</f>
        <v>0</v>
      </c>
      <c r="C32" s="32">
        <f ca="1">SUM(C26:D26)</f>
        <v>4362.2222222222217</v>
      </c>
      <c r="D32" s="32">
        <f ca="1">SUM(H26:S26)</f>
        <v>0</v>
      </c>
      <c r="E32" s="32">
        <f ca="1">AM26</f>
        <v>0</v>
      </c>
      <c r="F32" s="32">
        <f ca="1">SUM(B32:E32)</f>
        <v>4362.2222222222217</v>
      </c>
      <c r="G32" s="166">
        <f ca="1">B32</f>
        <v>0</v>
      </c>
      <c r="H32" s="32">
        <f ca="1">SUM(T26:U26)</f>
        <v>4362.2222222222217</v>
      </c>
      <c r="I32" s="32">
        <f ca="1">SUM(V26:AE26)</f>
        <v>0</v>
      </c>
      <c r="J32" s="165">
        <f ca="1">E32</f>
        <v>0</v>
      </c>
      <c r="K32" s="32">
        <f ca="1">SUM(G32:J32)</f>
        <v>4362.2222222222217</v>
      </c>
    </row>
    <row r="33" spans="1:11" x14ac:dyDescent="0.35">
      <c r="A33" s="38" t="s">
        <v>442</v>
      </c>
      <c r="B33" s="141">
        <f ca="1">B32/$F$32</f>
        <v>0</v>
      </c>
      <c r="C33" s="141">
        <f t="shared" ref="C33:F33" ca="1" si="12">C32/$F$32</f>
        <v>1</v>
      </c>
      <c r="D33" s="141">
        <f ca="1">D32/$F$32</f>
        <v>0</v>
      </c>
      <c r="E33" s="141">
        <f t="shared" ca="1" si="12"/>
        <v>0</v>
      </c>
      <c r="F33" s="141">
        <f t="shared" ca="1" si="12"/>
        <v>1</v>
      </c>
      <c r="G33" s="167">
        <f ca="1">G32/$K$32</f>
        <v>0</v>
      </c>
      <c r="H33" s="141">
        <f t="shared" ref="H33:K33" ca="1" si="13">H32/$K$32</f>
        <v>1</v>
      </c>
      <c r="I33" s="141">
        <f t="shared" ca="1" si="13"/>
        <v>0</v>
      </c>
      <c r="J33" s="141">
        <f t="shared" ca="1" si="13"/>
        <v>0</v>
      </c>
      <c r="K33" s="141">
        <f t="shared" ca="1" si="13"/>
        <v>1</v>
      </c>
    </row>
    <row r="34" spans="1:11" x14ac:dyDescent="0.35">
      <c r="A34" s="38" t="s">
        <v>443</v>
      </c>
      <c r="B34" s="141"/>
      <c r="C34" s="141"/>
      <c r="D34" s="141"/>
      <c r="E34" s="141"/>
      <c r="F34" s="141"/>
      <c r="G34" s="32" t="e">
        <f ca="1">IF(G32=0,NA(),G32)</f>
        <v>#N/A</v>
      </c>
      <c r="H34" s="32">
        <f ca="1">IF(H32=0,NA(),H32)</f>
        <v>4362.2222222222217</v>
      </c>
      <c r="I34" s="32" t="e">
        <f t="shared" ref="I34:J34" ca="1" si="14">IF(I32=0,NA(),I32)</f>
        <v>#N/A</v>
      </c>
      <c r="J34" s="32" t="e">
        <f t="shared" ca="1" si="14"/>
        <v>#N/A</v>
      </c>
      <c r="K34" s="32"/>
    </row>
    <row r="36" spans="1:11" x14ac:dyDescent="0.35">
      <c r="A36" s="153" t="s">
        <v>444</v>
      </c>
      <c r="B36" s="161" t="s">
        <v>539</v>
      </c>
      <c r="C36" s="161" t="s">
        <v>540</v>
      </c>
      <c r="E36" s="153" t="s">
        <v>445</v>
      </c>
      <c r="F36" s="161" t="s">
        <v>539</v>
      </c>
      <c r="G36" s="161" t="s">
        <v>459</v>
      </c>
      <c r="H36" s="161" t="s">
        <v>460</v>
      </c>
      <c r="I36" s="161" t="s">
        <v>461</v>
      </c>
      <c r="J36" s="161" t="s">
        <v>462</v>
      </c>
    </row>
    <row r="37" spans="1:11" x14ac:dyDescent="0.35">
      <c r="A37" s="38" t="s">
        <v>446</v>
      </c>
      <c r="B37" s="31">
        <f ca="1">B22*B24</f>
        <v>0</v>
      </c>
      <c r="C37" s="32">
        <f ca="1">MAX(SUMPRODUCT('2a. Ladekonzept'!AB5:AB14,'2b. Kosten'!C5:C14),SUMPRODUCT('2a. Ladekonzept'!AI5:AI14,'2b. Kosten'!C5:C14))</f>
        <v>8.8000000000000007</v>
      </c>
      <c r="E37" s="168" t="s">
        <v>447</v>
      </c>
      <c r="F37" s="31">
        <f ca="1">B24</f>
        <v>0</v>
      </c>
      <c r="G37" s="31">
        <f ca="1">SUM(T24:U24)</f>
        <v>1</v>
      </c>
      <c r="H37" s="31">
        <f ca="1">SUM(V24:AA24)</f>
        <v>0</v>
      </c>
      <c r="I37" s="31">
        <f ca="1">SUM(AB24:AE24)</f>
        <v>0</v>
      </c>
      <c r="J37" s="31">
        <f ca="1">SUM(G37:I37)</f>
        <v>1</v>
      </c>
    </row>
    <row r="38" spans="1:11" x14ac:dyDescent="0.35">
      <c r="A38" s="38" t="s">
        <v>448</v>
      </c>
      <c r="B38" s="32">
        <v>0</v>
      </c>
      <c r="C38" s="32">
        <f ca="1">MAX(C37-'Éléments saisis (inputs)'!$J$27,0)</f>
        <v>0</v>
      </c>
      <c r="E38" s="38" t="s">
        <v>440</v>
      </c>
      <c r="F38" s="31">
        <f ca="1">IF(F37&gt;0,'2d. Annahmen'!$F$65+'2d. Annahmen'!$F$66*F37,0)</f>
        <v>0</v>
      </c>
      <c r="G38" s="31">
        <f ca="1">IF(G37&gt;0,'2d. Annahmen'!B$65+'2d. Annahmen'!B$66*G37,0)</f>
        <v>3000</v>
      </c>
      <c r="H38" s="31">
        <f ca="1">IF(H37&gt;0,'2d. Annahmen'!C$65+'2d. Annahmen'!C$66*H37,0)</f>
        <v>0</v>
      </c>
      <c r="I38" s="31">
        <f ca="1">IF(I37&gt;0,'2d. Annahmen'!D$65+'2d. Annahmen'!D$66*I37,0)</f>
        <v>0</v>
      </c>
      <c r="J38" s="31">
        <f ca="1">SUM(G38:I38)</f>
        <v>3000</v>
      </c>
    </row>
    <row r="39" spans="1:11" x14ac:dyDescent="0.35">
      <c r="A39" s="38" t="s">
        <v>440</v>
      </c>
      <c r="B39" s="137">
        <v>0</v>
      </c>
      <c r="C39" s="137">
        <f ca="1">IF(C38&gt;0,'2d. Annahmen'!$B$61*C38+'2d. Annahmen'!$B$60,0)</f>
        <v>0</v>
      </c>
      <c r="E39" s="38" t="s">
        <v>441</v>
      </c>
      <c r="F39" s="31">
        <f ca="1">IF(F37&gt;0,F38/SUM(B23),0)</f>
        <v>0</v>
      </c>
      <c r="G39" s="31">
        <f ca="1">IF(G37&gt;0,G38/SUM(H23:I23,C23:D23),0)</f>
        <v>3000</v>
      </c>
      <c r="H39" s="31">
        <f ca="1">IF(H37&gt;0,H38/SUM(J23:O23),0)</f>
        <v>0</v>
      </c>
      <c r="I39" s="31">
        <f ca="1">IF(I37&gt;0,I38/SUM(P23:S23),0)</f>
        <v>0</v>
      </c>
      <c r="J39" s="31">
        <f ca="1">IF(J37&gt;0,J38/SUM(H23:S23,C23:D23),0)</f>
        <v>3000</v>
      </c>
    </row>
    <row r="40" spans="1:11" x14ac:dyDescent="0.35">
      <c r="A40" s="38" t="s">
        <v>449</v>
      </c>
      <c r="B40" s="142">
        <f>'Éléments saisis (inputs)'!J19</f>
        <v>0.24</v>
      </c>
      <c r="C40" s="154">
        <f ca="1">SUMPRODUCT('2b. Kosten'!AY5:AY14,'2b. Kosten'!C5:C14)/SUMPRODUCT('2b. Kosten'!D5:D14,'2b. Kosten'!C5:C14)+'Éléments saisis (inputs)'!$J$20</f>
        <v>0.24</v>
      </c>
    </row>
    <row r="41" spans="1:11" x14ac:dyDescent="0.35">
      <c r="A41" s="38" t="s">
        <v>450</v>
      </c>
      <c r="B41" s="137">
        <f ca="1">IFERROR(B39/B37,0)</f>
        <v>0</v>
      </c>
      <c r="C41" s="137">
        <f ca="1">IFERROR(C39/C37,0)</f>
        <v>0</v>
      </c>
    </row>
    <row r="42" spans="1:11" x14ac:dyDescent="0.35">
      <c r="C42" s="154"/>
    </row>
    <row r="43" spans="1:11" x14ac:dyDescent="0.35">
      <c r="C43" s="154"/>
    </row>
    <row r="44" spans="1:11" x14ac:dyDescent="0.35">
      <c r="A44" s="30" t="s">
        <v>451</v>
      </c>
    </row>
    <row r="45" spans="1:11" x14ac:dyDescent="0.35">
      <c r="A45" s="153" t="s">
        <v>452</v>
      </c>
      <c r="B45" s="145" t="s">
        <v>551</v>
      </c>
      <c r="C45" s="145" t="s">
        <v>552</v>
      </c>
      <c r="E45" s="153" t="s">
        <v>453</v>
      </c>
      <c r="F45" s="145" t="s">
        <v>551</v>
      </c>
      <c r="G45" s="145" t="s">
        <v>552</v>
      </c>
    </row>
    <row r="46" spans="1:11" x14ac:dyDescent="0.35">
      <c r="A46" s="38" t="s">
        <v>594</v>
      </c>
      <c r="B46" s="137">
        <f ca="1">SUMPRODUCT('2c. LCA'!N5:N14,'2. Eingaben Fahrzeug-Ebene'!$Y5:$Y14,'2c. LCA'!$C$5:$C$14)/1000</f>
        <v>0</v>
      </c>
      <c r="C46" s="137">
        <f ca="1">SUMPRODUCT('2c. LCA'!V5:V14,'2. Eingaben Fahrzeug-Ebene'!$Y5:$Y14,'2c. LCA'!$C$5:$C$14)/1000</f>
        <v>13847.713886181969</v>
      </c>
      <c r="E46" s="38" t="s">
        <v>594</v>
      </c>
      <c r="F46" s="137">
        <f ca="1">B46/SUMPRODUCT('2. Eingaben Fahrzeug-Ebene'!$Y$5:$Y$14,'2. Eingaben Fahrzeug-Ebene'!$C$5:$C$14)*1000</f>
        <v>0</v>
      </c>
      <c r="G46" s="137">
        <f ca="1">C46/SUMPRODUCT('2. Eingaben Fahrzeug-Ebene'!$Y$5:$Y$14,'2. Eingaben Fahrzeug-Ebene'!$C$5:$C$14)*1000</f>
        <v>133.15109505944201</v>
      </c>
    </row>
    <row r="47" spans="1:11" x14ac:dyDescent="0.35">
      <c r="A47" s="38" t="s">
        <v>595</v>
      </c>
      <c r="B47" s="137">
        <f ca="1">SUMPRODUCT('2c. LCA'!P5:P14,'2. Eingaben Fahrzeug-Ebene'!$Y5:$Y14,'2c. LCA'!$C$5:$C$14)/1000</f>
        <v>2311.6288</v>
      </c>
      <c r="C47" s="137">
        <f ca="1">SUMPRODUCT('2c. LCA'!X5:X14,'2. Eingaben Fahrzeug-Ebene'!$Y5:$Y14,'2c. LCA'!$C$5:$C$14)/1000</f>
        <v>3769.9806674400006</v>
      </c>
      <c r="E47" s="38" t="s">
        <v>595</v>
      </c>
      <c r="F47" s="137">
        <f ca="1">B47/SUMPRODUCT('2. Eingaben Fahrzeug-Ebene'!$Y$5:$Y$14,'2. Eingaben Fahrzeug-Ebene'!$C$5:$C$14)*1000</f>
        <v>22.2272</v>
      </c>
      <c r="G47" s="137">
        <f ca="1">C47/SUMPRODUCT('2. Eingaben Fahrzeug-Ebene'!$Y$5:$Y$14,'2. Eingaben Fahrzeug-Ebene'!$C$5:$C$14)*1000</f>
        <v>36.24981411000001</v>
      </c>
    </row>
    <row r="48" spans="1:11" x14ac:dyDescent="0.35">
      <c r="A48" s="38" t="s">
        <v>240</v>
      </c>
      <c r="B48" s="137">
        <f ca="1">SUMPRODUCT('2c. LCA'!Q5:Q14,'2. Eingaben Fahrzeug-Ebene'!$Y5:$Y14,'2c. LCA'!$C$5:$C$14)/1000</f>
        <v>693.01006395559841</v>
      </c>
      <c r="C48" s="137">
        <f ca="1">SUMPRODUCT('2c. LCA'!Y5:Y14,'2. Eingaben Fahrzeug-Ebene'!$Y5:$Y14,'2c. LCA'!$C$5:$C$14)/1000</f>
        <v>565.08733457389928</v>
      </c>
      <c r="E48" s="38" t="s">
        <v>240</v>
      </c>
      <c r="F48" s="137">
        <f ca="1">B48/SUMPRODUCT('2. Eingaben Fahrzeug-Ebene'!$Y$5:$Y$14,'2. Eingaben Fahrzeug-Ebene'!$C$5:$C$14)*1000</f>
        <v>6.6635583072653697</v>
      </c>
      <c r="G48" s="137">
        <f ca="1">C48/SUMPRODUCT('2. Eingaben Fahrzeug-Ebene'!$Y$5:$Y$14,'2. Eingaben Fahrzeug-Ebene'!$C$5:$C$14)*1000</f>
        <v>5.4335320632105697</v>
      </c>
    </row>
    <row r="49" spans="1:13" x14ac:dyDescent="0.35">
      <c r="A49" s="38" t="s">
        <v>549</v>
      </c>
      <c r="B49" s="137">
        <f ca="1">SUMPRODUCT('2c. LCA'!R5:R14,'2. Eingaben Fahrzeug-Ebene'!$Y5:$Y14,'2c. LCA'!$C$5:$C$14)/1000</f>
        <v>6192.4962697953788</v>
      </c>
      <c r="C49" s="137">
        <f ca="1">SUMPRODUCT('2c. LCA'!Z5:Z14,'2. Eingaben Fahrzeug-Ebene'!$Y5:$Y14,'2c. LCA'!$C$5:$C$14)/1000</f>
        <v>3482.5326820218479</v>
      </c>
      <c r="E49" s="38" t="s">
        <v>549</v>
      </c>
      <c r="F49" s="137">
        <f ca="1">B49/SUMPRODUCT('2. Eingaben Fahrzeug-Ebene'!$Y$5:$Y$14,'2. Eingaben Fahrzeug-Ebene'!$C$5:$C$14)*1000</f>
        <v>59.543233363417102</v>
      </c>
      <c r="G49" s="137">
        <f ca="1">C49/SUMPRODUCT('2. Eingaben Fahrzeug-Ebene'!$Y$5:$Y$14,'2. Eingaben Fahrzeug-Ebene'!$C$5:$C$14)*1000</f>
        <v>33.485891173287001</v>
      </c>
    </row>
    <row r="50" spans="1:13" x14ac:dyDescent="0.35">
      <c r="A50" s="38" t="s">
        <v>596</v>
      </c>
      <c r="B50" s="137">
        <f ca="1">SUMPRODUCT('2c. LCA'!S5:S14,'2. Eingaben Fahrzeug-Ebene'!$Y5:$Y14,'2c. LCA'!$C$5:$C$14)/1000</f>
        <v>711.56959518578947</v>
      </c>
      <c r="C50" s="137">
        <f ca="1">SUMPRODUCT('2c. LCA'!AA5:AA14,'2. Eingaben Fahrzeug-Ebene'!$Y5:$Y14,'2c. LCA'!$C$5:$C$14)/1000</f>
        <v>574.07351255830781</v>
      </c>
      <c r="E50" s="38" t="s">
        <v>596</v>
      </c>
      <c r="F50" s="137">
        <f ca="1">B50/SUMPRODUCT('2. Eingaben Fahrzeug-Ebene'!$Y$5:$Y$14,'2. Eingaben Fahrzeug-Ebene'!$C$5:$C$14)*1000</f>
        <v>6.8420153383248987</v>
      </c>
      <c r="G50" s="137">
        <f ca="1">C50/SUMPRODUCT('2. Eingaben Fahrzeug-Ebene'!$Y$5:$Y$14,'2. Eingaben Fahrzeug-Ebene'!$C$5:$C$14)*1000</f>
        <v>5.5199376207529598</v>
      </c>
    </row>
    <row r="51" spans="1:13" x14ac:dyDescent="0.35">
      <c r="A51" s="38" t="s">
        <v>597</v>
      </c>
      <c r="B51" s="137">
        <f ca="1">SUMPRODUCT('2c. LCA'!T5:T14,'2. Eingaben Fahrzeug-Ebene'!$Y5:$Y14,'2c. LCA'!$C$5:$C$14)/1000</f>
        <v>1993.7748460177288</v>
      </c>
      <c r="C51" s="137">
        <f ca="1">SUMPRODUCT('2c. LCA'!AB5:AB14,'2. Eingaben Fahrzeug-Ebene'!$Y5:$Y14,'2c. LCA'!$C$5:$C$14)/1000</f>
        <v>1765.8219783032193</v>
      </c>
      <c r="E51" s="38" t="s">
        <v>597</v>
      </c>
      <c r="F51" s="137">
        <f ca="1">B51/SUMPRODUCT('2. Eingaben Fahrzeug-Ebene'!$Y$5:$Y$14,'2. Eingaben Fahrzeug-Ebene'!$C$5:$C$14)*1000</f>
        <v>19.1709119809397</v>
      </c>
      <c r="G51" s="137">
        <f ca="1">C51/SUMPRODUCT('2. Eingaben Fahrzeug-Ebene'!$Y$5:$Y$14,'2. Eingaben Fahrzeug-Ebene'!$C$5:$C$14)*1000</f>
        <v>16.979057483684802</v>
      </c>
    </row>
    <row r="52" spans="1:13" x14ac:dyDescent="0.35">
      <c r="A52" s="35" t="s">
        <v>36</v>
      </c>
      <c r="B52" s="137">
        <f ca="1">SUM(B46:B51)</f>
        <v>11902.479574954494</v>
      </c>
      <c r="C52" s="137">
        <f ca="1">SUM(C46:C51)</f>
        <v>24005.210061079244</v>
      </c>
      <c r="E52" s="35" t="s">
        <v>36</v>
      </c>
      <c r="F52" s="137">
        <f ca="1">SUM(F46:F51)</f>
        <v>114.44691898994708</v>
      </c>
      <c r="G52" s="137">
        <f ca="1">SUM(G46:G51)</f>
        <v>230.81932751037738</v>
      </c>
    </row>
    <row r="53" spans="1:13" x14ac:dyDescent="0.35">
      <c r="A53" s="35"/>
      <c r="B53" s="137">
        <f ca="1">B52-MIN(B52:C52)</f>
        <v>0</v>
      </c>
      <c r="C53" s="137">
        <f ca="1">C52-MIN(B52:C52)</f>
        <v>12102.73048612475</v>
      </c>
      <c r="E53" s="35"/>
      <c r="F53" s="137">
        <f ca="1">F52-MIN(F52:G52)</f>
        <v>0</v>
      </c>
      <c r="G53" s="137">
        <f ca="1">G52-MIN(F52:G52)</f>
        <v>116.3724085204303</v>
      </c>
      <c r="I53" s="137"/>
      <c r="J53" s="137"/>
      <c r="K53" s="137"/>
      <c r="L53" s="137"/>
      <c r="M53" s="137"/>
    </row>
    <row r="54" spans="1:13" x14ac:dyDescent="0.35">
      <c r="B54" s="155">
        <f ca="1">B53/MIN(B52:C52)</f>
        <v>0</v>
      </c>
      <c r="C54" s="155">
        <f ca="1">C53/MIN(B52:C52)</f>
        <v>1.0168243020212049</v>
      </c>
      <c r="F54" s="155">
        <f ca="1">F53/MIN(F52:G52)</f>
        <v>0</v>
      </c>
      <c r="G54" s="155">
        <f ca="1">G53/MIN(F52:G52)</f>
        <v>1.0168243020212047</v>
      </c>
    </row>
    <row r="55" spans="1:13" x14ac:dyDescent="0.35">
      <c r="B55" s="156" t="str">
        <f ca="1">IF(B54&gt;0,TEXT(B54,"+0.0%; -0.0%; 0.0%"),"")</f>
        <v/>
      </c>
      <c r="C55" s="156" t="str">
        <f ca="1">IF(C54&gt;0,TEXT(C54,"+0.0%; -0.0%; 0.0%"),"")</f>
        <v>+101.7%</v>
      </c>
      <c r="F55" s="156" t="str">
        <f ca="1">IF(F54&gt;0,TEXT(F54,"+0.0%; -0.0%; 0.0%"),"")</f>
        <v/>
      </c>
      <c r="G55" s="156" t="str">
        <f ca="1">IF(G54&gt;0,TEXT(G54,"+0.0%; -0.0%; 0.0%"),"")</f>
        <v>+101.7%</v>
      </c>
    </row>
    <row r="56" spans="1:13" x14ac:dyDescent="0.35">
      <c r="B56" s="156"/>
      <c r="C56" s="156"/>
      <c r="F56" s="156"/>
      <c r="G56" s="156"/>
    </row>
    <row r="57" spans="1:13" x14ac:dyDescent="0.35">
      <c r="B57" s="169">
        <f ca="1">ROUND(B52,-2)</f>
        <v>11900</v>
      </c>
      <c r="C57" s="169">
        <f ca="1">ROUND(C52,-2)</f>
        <v>24000</v>
      </c>
      <c r="F57" s="156"/>
      <c r="G57" s="156"/>
    </row>
    <row r="58" spans="1:13" x14ac:dyDescent="0.35">
      <c r="B58" s="156"/>
      <c r="C58" s="156"/>
      <c r="F58" s="156"/>
      <c r="G58" s="156"/>
    </row>
    <row r="59" spans="1:13" x14ac:dyDescent="0.35">
      <c r="A59" s="153" t="s">
        <v>454</v>
      </c>
      <c r="B59" s="145" t="s">
        <v>455</v>
      </c>
    </row>
    <row r="60" spans="1:13" x14ac:dyDescent="0.35">
      <c r="A60" s="38" t="s">
        <v>456</v>
      </c>
      <c r="B60" s="137">
        <f ca="1">C46-B46</f>
        <v>13847.713886181969</v>
      </c>
    </row>
    <row r="61" spans="1:13" x14ac:dyDescent="0.35">
      <c r="A61" s="38" t="s">
        <v>36</v>
      </c>
      <c r="B61" s="137">
        <f ca="1">SUM(C46:C51)-SUM(B46:B51)</f>
        <v>12102.73048612475</v>
      </c>
    </row>
    <row r="86" spans="4:20" x14ac:dyDescent="0.35">
      <c r="D86" s="31" t="e">
        <f ca="1">_xlfn.FORMULATEXT(E24)</f>
        <v>#N/A</v>
      </c>
      <c r="E86" s="31" t="e">
        <f ca="1">_xlfn.FORMULATEXT(F24)</f>
        <v>#N/A</v>
      </c>
      <c r="F86" s="31" t="e">
        <f ca="1">_xlfn.FORMULATEXT(G24)</f>
        <v>#N/A</v>
      </c>
      <c r="G86" s="31" t="e">
        <f ca="1">_xlfn.FORMULATEXT(H24)</f>
        <v>#N/A</v>
      </c>
      <c r="H86" s="31" t="e">
        <f t="shared" ref="H86:R86" ca="1" si="15">_xlfn.FORMULATEXT(I23)</f>
        <v>#N/A</v>
      </c>
      <c r="I86" s="31" t="e">
        <f t="shared" ca="1" si="15"/>
        <v>#N/A</v>
      </c>
      <c r="J86" s="31" t="e">
        <f t="shared" ca="1" si="15"/>
        <v>#N/A</v>
      </c>
      <c r="K86" s="31" t="e">
        <f t="shared" ca="1" si="15"/>
        <v>#N/A</v>
      </c>
      <c r="L86" s="31" t="e">
        <f t="shared" ca="1" si="15"/>
        <v>#N/A</v>
      </c>
      <c r="M86" s="31" t="e">
        <f t="shared" ca="1" si="15"/>
        <v>#N/A</v>
      </c>
      <c r="N86" s="31" t="e">
        <f t="shared" ca="1" si="15"/>
        <v>#N/A</v>
      </c>
      <c r="O86" s="31" t="e">
        <f t="shared" ca="1" si="15"/>
        <v>#N/A</v>
      </c>
      <c r="P86" s="31" t="e">
        <f t="shared" ca="1" si="15"/>
        <v>#N/A</v>
      </c>
      <c r="Q86" s="31" t="e">
        <f t="shared" ca="1" si="15"/>
        <v>#N/A</v>
      </c>
      <c r="R86" s="31" t="e">
        <f t="shared" ca="1" si="15"/>
        <v>#N/A</v>
      </c>
      <c r="T86" s="31" t="e">
        <f ca="1">_xlfn.FORMULATEXT(U24)</f>
        <v>#N/A</v>
      </c>
    </row>
  </sheetData>
  <sheetProtection algorithmName="SHA-512" hashValue="HUPtU5mnp709KyaJeqzPEZDVDSiq3GnIcbHWaUEC1U/PSUGtwV9Hbr/OTVI5wecrW2QwF+w9IeIGLJ5SAVIqpA==" saltValue="fanWrlJzpdMaa2UhA2bb2A==" spinCount="100000" sheet="1" objects="1" scenarios="1"/>
  <mergeCells count="6">
    <mergeCell ref="AF21:AI21"/>
    <mergeCell ref="C21:D21"/>
    <mergeCell ref="E21:G21"/>
    <mergeCell ref="H21:S21"/>
    <mergeCell ref="T21:U21"/>
    <mergeCell ref="V21:AE21"/>
  </mergeCell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07BA1-F4E7-47EE-BAB7-F3D4A0919AD0}">
  <sheetPr codeName="Sheet18">
    <tabColor theme="2"/>
  </sheetPr>
  <dimension ref="B2:AE95"/>
  <sheetViews>
    <sheetView zoomScaleNormal="100" workbookViewId="0"/>
  </sheetViews>
  <sheetFormatPr defaultColWidth="9.140625" defaultRowHeight="14.15" x14ac:dyDescent="0.35"/>
  <cols>
    <col min="1" max="2" width="2.2109375" style="236" customWidth="1"/>
    <col min="3" max="3" width="18.2109375" style="236" customWidth="1"/>
    <col min="4" max="4" width="18.85546875" style="236" customWidth="1"/>
    <col min="5" max="5" width="18.640625" style="236" customWidth="1"/>
    <col min="6" max="12" width="12.640625" style="236" customWidth="1"/>
    <col min="13" max="13" width="13.78515625" style="236" customWidth="1"/>
    <col min="14" max="14" width="3" style="236" customWidth="1"/>
    <col min="15" max="15" width="2.7109375" style="236" customWidth="1"/>
    <col min="16" max="16" width="2.2109375" style="236" customWidth="1"/>
    <col min="17" max="17" width="72.2109375" style="236" customWidth="1"/>
    <col min="18" max="20" width="12.640625" style="236" customWidth="1"/>
    <col min="21" max="21" width="10.640625" style="236" customWidth="1"/>
    <col min="22" max="26" width="9.140625" style="236"/>
    <col min="27" max="27" width="10.7109375" style="236" customWidth="1"/>
    <col min="28" max="29" width="9.140625" style="236"/>
    <col min="30" max="30" width="33.140625" style="236" customWidth="1"/>
    <col min="31" max="31" width="4.35546875" style="236" customWidth="1"/>
    <col min="32" max="16384" width="9.140625" style="236"/>
  </cols>
  <sheetData>
    <row r="2" spans="2:31" ht="15.45" x14ac:dyDescent="0.4">
      <c r="B2" s="260"/>
      <c r="C2" s="261" t="s">
        <v>549</v>
      </c>
      <c r="D2" s="261"/>
      <c r="E2" s="260"/>
      <c r="F2" s="260"/>
      <c r="G2" s="260"/>
      <c r="H2" s="260"/>
      <c r="I2" s="260"/>
      <c r="J2" s="260"/>
      <c r="K2" s="260"/>
      <c r="L2" s="260"/>
      <c r="M2" s="260"/>
      <c r="N2" s="260"/>
      <c r="O2" s="338"/>
      <c r="P2" s="260"/>
      <c r="Q2" s="261" t="s">
        <v>570</v>
      </c>
      <c r="R2" s="260"/>
      <c r="S2" s="260"/>
      <c r="T2" s="260"/>
      <c r="U2" s="260"/>
      <c r="V2" s="260"/>
      <c r="W2" s="260"/>
      <c r="X2" s="260"/>
      <c r="Y2" s="260"/>
      <c r="Z2" s="260"/>
      <c r="AA2" s="260"/>
      <c r="AB2" s="260"/>
      <c r="AC2" s="260"/>
      <c r="AD2" s="260"/>
      <c r="AE2" s="260"/>
    </row>
    <row r="3" spans="2:31" ht="15.45" x14ac:dyDescent="0.4">
      <c r="B3" s="262"/>
      <c r="C3" s="263"/>
      <c r="D3" s="263"/>
      <c r="E3" s="262"/>
      <c r="F3" s="262"/>
      <c r="G3" s="262"/>
      <c r="H3" s="262"/>
      <c r="I3" s="262"/>
      <c r="J3" s="262"/>
      <c r="K3" s="262"/>
      <c r="L3" s="262"/>
      <c r="M3" s="262"/>
      <c r="N3" s="262"/>
      <c r="O3" s="338"/>
      <c r="P3" s="262"/>
      <c r="Q3" s="263"/>
      <c r="R3" s="262"/>
      <c r="S3" s="262"/>
      <c r="T3" s="262"/>
      <c r="U3" s="262"/>
      <c r="V3" s="262"/>
      <c r="W3" s="262"/>
      <c r="X3" s="262"/>
      <c r="Y3" s="262"/>
      <c r="Z3" s="262"/>
      <c r="AA3" s="262"/>
      <c r="AB3" s="262"/>
      <c r="AC3" s="262"/>
      <c r="AD3" s="262"/>
      <c r="AE3" s="262"/>
    </row>
    <row r="4" spans="2:31" x14ac:dyDescent="0.35">
      <c r="B4" s="283"/>
      <c r="C4" s="264"/>
      <c r="D4" s="264"/>
      <c r="E4" s="424"/>
      <c r="F4" s="551" t="s">
        <v>486</v>
      </c>
      <c r="G4" s="552"/>
      <c r="H4" s="552"/>
      <c r="I4" s="553"/>
      <c r="J4" s="554" t="s">
        <v>567</v>
      </c>
      <c r="K4" s="555"/>
      <c r="L4" s="555"/>
      <c r="M4" s="312"/>
      <c r="N4" s="283"/>
      <c r="O4" s="338"/>
      <c r="P4" s="283"/>
      <c r="Q4" s="312"/>
      <c r="R4" s="551" t="s">
        <v>572</v>
      </c>
      <c r="S4" s="552"/>
      <c r="T4" s="552"/>
      <c r="U4" s="552"/>
      <c r="V4" s="552"/>
      <c r="W4" s="552"/>
      <c r="X4" s="552"/>
      <c r="Y4" s="552"/>
      <c r="Z4" s="552"/>
      <c r="AA4" s="552"/>
      <c r="AB4" s="552"/>
      <c r="AC4" s="553"/>
      <c r="AD4" s="425"/>
      <c r="AE4" s="283"/>
    </row>
    <row r="5" spans="2:31" ht="28.3" x14ac:dyDescent="0.35">
      <c r="B5" s="283"/>
      <c r="C5" s="482" t="s">
        <v>550</v>
      </c>
      <c r="D5" s="565" t="s">
        <v>553</v>
      </c>
      <c r="E5" s="566"/>
      <c r="F5" s="470" t="s">
        <v>547</v>
      </c>
      <c r="G5" s="471" t="s">
        <v>512</v>
      </c>
      <c r="H5" s="471" t="s">
        <v>548</v>
      </c>
      <c r="I5" s="268" t="s">
        <v>97</v>
      </c>
      <c r="J5" s="556"/>
      <c r="K5" s="557"/>
      <c r="L5" s="557"/>
      <c r="M5" s="312"/>
      <c r="N5" s="283"/>
      <c r="O5" s="338"/>
      <c r="P5" s="283"/>
      <c r="Q5" s="269" t="s">
        <v>553</v>
      </c>
      <c r="R5" s="266">
        <f>'2d. Annahmen'!A38</f>
        <v>11</v>
      </c>
      <c r="S5" s="267">
        <f>'2d. Annahmen'!A39</f>
        <v>22</v>
      </c>
      <c r="T5" s="267">
        <f>'2d. Annahmen'!A40</f>
        <v>50</v>
      </c>
      <c r="U5" s="267">
        <f>'2d. Annahmen'!A41</f>
        <v>66</v>
      </c>
      <c r="V5" s="267">
        <f>'2d. Annahmen'!A42</f>
        <v>75</v>
      </c>
      <c r="W5" s="267">
        <f>'2d. Annahmen'!A43</f>
        <v>100</v>
      </c>
      <c r="X5" s="267">
        <f>'2d. Annahmen'!A44</f>
        <v>120</v>
      </c>
      <c r="Y5" s="267">
        <f>'2d. Annahmen'!A45</f>
        <v>150</v>
      </c>
      <c r="Z5" s="267">
        <f>'2d. Annahmen'!A46</f>
        <v>180</v>
      </c>
      <c r="AA5" s="267">
        <f>'2d. Annahmen'!A47</f>
        <v>200</v>
      </c>
      <c r="AB5" s="267">
        <f>'2d. Annahmen'!A48</f>
        <v>225</v>
      </c>
      <c r="AC5" s="267">
        <f>'2d. Annahmen'!A49</f>
        <v>250</v>
      </c>
      <c r="AD5" s="270" t="s">
        <v>567</v>
      </c>
      <c r="AE5" s="283"/>
    </row>
    <row r="6" spans="2:31" x14ac:dyDescent="0.35">
      <c r="B6" s="283"/>
      <c r="C6" s="563" t="s">
        <v>551</v>
      </c>
      <c r="D6" s="567" t="s">
        <v>554</v>
      </c>
      <c r="E6" s="568"/>
      <c r="F6" s="426">
        <f>'2d. Annahmen'!F4</f>
        <v>46.46</v>
      </c>
      <c r="G6" s="320">
        <f>'2d. Annahmen'!F5</f>
        <v>58.625</v>
      </c>
      <c r="H6" s="320">
        <f>'2d. Annahmen'!F6</f>
        <v>99.65</v>
      </c>
      <c r="I6" s="427">
        <f>'2d. Annahmen'!F7</f>
        <v>71.760000000000005</v>
      </c>
      <c r="J6" s="558" t="s">
        <v>612</v>
      </c>
      <c r="K6" s="558"/>
      <c r="L6" s="558"/>
      <c r="M6" s="428"/>
      <c r="N6" s="283"/>
      <c r="O6" s="338"/>
      <c r="P6" s="283"/>
      <c r="Q6" s="429" t="s">
        <v>571</v>
      </c>
      <c r="R6" s="319">
        <f>ROUND('2d. Annahmen'!B38,-2)</f>
        <v>1600</v>
      </c>
      <c r="S6" s="319">
        <f>ROUND('2d. Annahmen'!B39,-2)</f>
        <v>2000</v>
      </c>
      <c r="T6" s="319">
        <f>ROUND('2d. Annahmen'!B40,-2)</f>
        <v>23400</v>
      </c>
      <c r="U6" s="319">
        <f>ROUND('2d. Annahmen'!B41,-2)</f>
        <v>27500</v>
      </c>
      <c r="V6" s="319">
        <f>ROUND('2d. Annahmen'!B42,-2)</f>
        <v>29600</v>
      </c>
      <c r="W6" s="319">
        <f>ROUND('2d. Annahmen'!B43,-2)</f>
        <v>35400</v>
      </c>
      <c r="X6" s="319">
        <f>ROUND('2d. Annahmen'!B44,-2)</f>
        <v>39500</v>
      </c>
      <c r="Y6" s="319">
        <f>ROUND('2d. Annahmen'!B45,-2)</f>
        <v>45200</v>
      </c>
      <c r="Z6" s="319">
        <f>ROUND('2d. Annahmen'!B46,-2)</f>
        <v>50000</v>
      </c>
      <c r="AA6" s="319">
        <f>ROUND('2d. Annahmen'!B47,-2)</f>
        <v>52800</v>
      </c>
      <c r="AB6" s="319">
        <f>ROUND('2d. Annahmen'!B48,-2)</f>
        <v>55800</v>
      </c>
      <c r="AC6" s="319">
        <f>ROUND('2d. Annahmen'!B49,-2)</f>
        <v>58300</v>
      </c>
      <c r="AD6" s="430" t="s">
        <v>578</v>
      </c>
      <c r="AE6" s="283"/>
    </row>
    <row r="7" spans="2:31" x14ac:dyDescent="0.35">
      <c r="B7" s="283"/>
      <c r="C7" s="564"/>
      <c r="D7" s="569" t="s">
        <v>555</v>
      </c>
      <c r="E7" s="495"/>
      <c r="F7" s="426">
        <f>'2d. Annahmen'!G4</f>
        <v>37.167999999999999</v>
      </c>
      <c r="G7" s="320">
        <f>'2d. Annahmen'!G5</f>
        <v>46.900000000000006</v>
      </c>
      <c r="H7" s="320">
        <f>'2d. Annahmen'!G6</f>
        <v>79.720000000000013</v>
      </c>
      <c r="I7" s="427">
        <f>'2d. Annahmen'!G7</f>
        <v>57.408000000000008</v>
      </c>
      <c r="J7" s="317" t="s">
        <v>568</v>
      </c>
      <c r="K7" s="317"/>
      <c r="L7" s="283"/>
      <c r="M7" s="283"/>
      <c r="N7" s="283"/>
      <c r="O7" s="338"/>
      <c r="P7" s="283"/>
      <c r="Q7" s="431"/>
      <c r="R7" s="432"/>
      <c r="S7" s="432"/>
      <c r="T7" s="432"/>
      <c r="U7" s="432"/>
      <c r="V7" s="432"/>
      <c r="W7" s="432"/>
      <c r="X7" s="432"/>
      <c r="Y7" s="432"/>
      <c r="Z7" s="432"/>
      <c r="AA7" s="432"/>
      <c r="AB7" s="432"/>
      <c r="AC7" s="432"/>
      <c r="AD7" s="432"/>
      <c r="AE7" s="283"/>
    </row>
    <row r="8" spans="2:31" x14ac:dyDescent="0.35">
      <c r="B8" s="283"/>
      <c r="C8" s="564"/>
      <c r="D8" s="569" t="s">
        <v>556</v>
      </c>
      <c r="E8" s="495"/>
      <c r="F8" s="426">
        <f>'2d. Annahmen'!H4</f>
        <v>14.9</v>
      </c>
      <c r="G8" s="320">
        <f>'2d. Annahmen'!H5</f>
        <v>15.1</v>
      </c>
      <c r="H8" s="320">
        <f>'2d. Annahmen'!H6</f>
        <v>16.3</v>
      </c>
      <c r="I8" s="427">
        <f>'2d. Annahmen'!H7</f>
        <v>16.399999999999999</v>
      </c>
      <c r="J8" s="558" t="s">
        <v>612</v>
      </c>
      <c r="K8" s="558"/>
      <c r="L8" s="558"/>
      <c r="M8" s="283"/>
      <c r="N8" s="283"/>
      <c r="O8" s="338"/>
      <c r="P8" s="283"/>
      <c r="Q8" s="269" t="s">
        <v>553</v>
      </c>
      <c r="R8" s="271" t="s">
        <v>564</v>
      </c>
      <c r="S8" s="556" t="s">
        <v>567</v>
      </c>
      <c r="T8" s="557"/>
      <c r="U8" s="557"/>
      <c r="V8" s="557"/>
      <c r="W8" s="557"/>
      <c r="X8" s="283"/>
      <c r="Y8" s="283"/>
      <c r="Z8" s="283"/>
      <c r="AA8" s="283"/>
      <c r="AB8" s="283"/>
      <c r="AC8" s="283"/>
      <c r="AD8" s="283"/>
      <c r="AE8" s="283"/>
    </row>
    <row r="9" spans="2:31" x14ac:dyDescent="0.35">
      <c r="B9" s="283"/>
      <c r="C9" s="564"/>
      <c r="D9" s="570" t="s">
        <v>557</v>
      </c>
      <c r="E9" s="571"/>
      <c r="F9" s="336">
        <f>'2d. Annahmen'!I4</f>
        <v>200000</v>
      </c>
      <c r="G9" s="319">
        <f>'2d. Annahmen'!I5</f>
        <v>200000</v>
      </c>
      <c r="H9" s="319">
        <f>'2d. Annahmen'!I6</f>
        <v>200000</v>
      </c>
      <c r="I9" s="433">
        <f>'2d. Annahmen'!I7</f>
        <v>200000</v>
      </c>
      <c r="J9" s="474" t="s">
        <v>613</v>
      </c>
      <c r="K9" s="474"/>
      <c r="L9" s="474"/>
      <c r="M9" s="337"/>
      <c r="N9" s="283"/>
      <c r="O9" s="338"/>
      <c r="P9" s="283"/>
      <c r="Q9" s="429" t="s">
        <v>573</v>
      </c>
      <c r="R9" s="318">
        <f>'2d. Annahmen'!B54</f>
        <v>10</v>
      </c>
      <c r="S9" s="475" t="s">
        <v>605</v>
      </c>
      <c r="T9" s="272"/>
      <c r="U9" s="272"/>
      <c r="V9" s="283"/>
      <c r="W9" s="283"/>
      <c r="X9" s="283"/>
      <c r="Y9" s="283"/>
      <c r="Z9" s="283"/>
      <c r="AA9" s="283"/>
      <c r="AB9" s="283"/>
      <c r="AC9" s="283"/>
      <c r="AD9" s="283"/>
      <c r="AE9" s="283"/>
    </row>
    <row r="10" spans="2:31" x14ac:dyDescent="0.35">
      <c r="B10" s="283"/>
      <c r="C10" s="563" t="s">
        <v>552</v>
      </c>
      <c r="D10" s="567" t="s">
        <v>558</v>
      </c>
      <c r="E10" s="568"/>
      <c r="F10" s="434">
        <f>'2d. Annahmen'!F13</f>
        <v>5.4</v>
      </c>
      <c r="G10" s="435">
        <f>'2d. Annahmen'!F14</f>
        <v>5.8</v>
      </c>
      <c r="H10" s="435">
        <f>'2d. Annahmen'!F15</f>
        <v>8</v>
      </c>
      <c r="I10" s="436">
        <f>'2d. Annahmen'!F16</f>
        <v>6.7</v>
      </c>
      <c r="J10" s="561" t="s">
        <v>612</v>
      </c>
      <c r="K10" s="562"/>
      <c r="L10" s="562"/>
      <c r="M10" s="283"/>
      <c r="N10" s="283"/>
      <c r="O10" s="338"/>
      <c r="P10" s="283"/>
      <c r="Q10" s="472" t="s">
        <v>628</v>
      </c>
      <c r="R10" s="437">
        <f>'2d. Annahmen'!B56</f>
        <v>0.9</v>
      </c>
      <c r="S10" s="317" t="s">
        <v>568</v>
      </c>
      <c r="T10" s="272"/>
      <c r="U10" s="272"/>
      <c r="V10" s="283"/>
      <c r="W10" s="283"/>
      <c r="X10" s="283"/>
      <c r="Y10" s="283"/>
      <c r="Z10" s="283"/>
      <c r="AA10" s="283"/>
      <c r="AB10" s="283"/>
      <c r="AC10" s="283"/>
      <c r="AD10" s="283"/>
      <c r="AE10" s="283"/>
    </row>
    <row r="11" spans="2:31" x14ac:dyDescent="0.35">
      <c r="B11" s="283"/>
      <c r="C11" s="564"/>
      <c r="D11" s="569" t="s">
        <v>557</v>
      </c>
      <c r="E11" s="495"/>
      <c r="F11" s="336">
        <f>'2d. Annahmen'!G13</f>
        <v>200000</v>
      </c>
      <c r="G11" s="319">
        <f>'2d. Annahmen'!G14</f>
        <v>200000</v>
      </c>
      <c r="H11" s="319">
        <f>'2d. Annahmen'!G15</f>
        <v>200000</v>
      </c>
      <c r="I11" s="433">
        <f>'2d. Annahmen'!G16</f>
        <v>200000</v>
      </c>
      <c r="J11" s="485" t="s">
        <v>613</v>
      </c>
      <c r="K11" s="283"/>
      <c r="L11" s="283"/>
      <c r="M11" s="283"/>
      <c r="N11" s="283"/>
      <c r="O11" s="338"/>
      <c r="P11" s="283"/>
      <c r="Q11" s="472" t="s">
        <v>629</v>
      </c>
      <c r="R11" s="437">
        <f>'2d. Annahmen'!B57</f>
        <v>0.95</v>
      </c>
      <c r="S11" s="317" t="s">
        <v>568</v>
      </c>
      <c r="T11" s="272"/>
      <c r="U11" s="272"/>
      <c r="V11" s="283"/>
      <c r="W11" s="283"/>
      <c r="X11" s="283"/>
      <c r="Y11" s="283"/>
      <c r="Z11" s="283"/>
      <c r="AA11" s="283"/>
      <c r="AB11" s="283"/>
      <c r="AC11" s="283"/>
      <c r="AD11" s="283"/>
      <c r="AE11" s="283"/>
    </row>
    <row r="12" spans="2:31" x14ac:dyDescent="0.35">
      <c r="B12" s="283"/>
      <c r="C12" s="285"/>
      <c r="D12" s="285"/>
      <c r="E12" s="283"/>
      <c r="F12" s="283"/>
      <c r="G12" s="283"/>
      <c r="H12" s="283"/>
      <c r="I12" s="283"/>
      <c r="J12" s="283"/>
      <c r="K12" s="283"/>
      <c r="L12" s="283"/>
      <c r="M12" s="283"/>
      <c r="N12" s="283"/>
      <c r="O12" s="338"/>
      <c r="P12" s="283"/>
      <c r="Q12" s="431" t="s">
        <v>574</v>
      </c>
      <c r="R12" s="450">
        <f>'2d. Annahmen'!B55</f>
        <v>1.4999999999999999E-2</v>
      </c>
      <c r="S12" s="475" t="s">
        <v>605</v>
      </c>
      <c r="T12" s="451"/>
      <c r="U12" s="451"/>
      <c r="V12" s="283"/>
      <c r="W12" s="283"/>
      <c r="X12" s="283"/>
      <c r="Y12" s="283"/>
      <c r="Z12" s="283"/>
      <c r="AA12" s="283"/>
      <c r="AB12" s="283"/>
      <c r="AC12" s="283"/>
      <c r="AD12" s="283"/>
      <c r="AE12" s="283"/>
    </row>
    <row r="13" spans="2:31" x14ac:dyDescent="0.35">
      <c r="B13" s="283"/>
      <c r="C13" s="285"/>
      <c r="D13" s="285"/>
      <c r="E13" s="283"/>
      <c r="F13" s="438"/>
      <c r="G13" s="283"/>
      <c r="H13" s="283"/>
      <c r="I13" s="283"/>
      <c r="J13" s="283"/>
      <c r="K13" s="283"/>
      <c r="L13" s="283"/>
      <c r="M13" s="283"/>
      <c r="N13" s="283"/>
      <c r="O13" s="338"/>
      <c r="P13" s="283"/>
      <c r="Q13" s="283"/>
      <c r="R13" s="283"/>
      <c r="S13" s="283"/>
      <c r="T13" s="283"/>
      <c r="U13" s="283"/>
      <c r="V13" s="283"/>
      <c r="W13" s="283"/>
      <c r="X13" s="283"/>
      <c r="Y13" s="283"/>
      <c r="Z13" s="283"/>
      <c r="AA13" s="283"/>
      <c r="AB13" s="283"/>
      <c r="AC13" s="283"/>
      <c r="AD13" s="283"/>
      <c r="AE13" s="283"/>
    </row>
    <row r="14" spans="2:31" x14ac:dyDescent="0.35">
      <c r="B14" s="283"/>
      <c r="C14" s="274"/>
      <c r="D14" s="274"/>
      <c r="E14" s="312"/>
      <c r="F14" s="551" t="s">
        <v>486</v>
      </c>
      <c r="G14" s="552"/>
      <c r="H14" s="552"/>
      <c r="I14" s="553"/>
      <c r="J14" s="275"/>
      <c r="K14" s="250"/>
      <c r="L14" s="250"/>
      <c r="M14" s="250"/>
      <c r="N14" s="283"/>
      <c r="O14" s="338"/>
      <c r="P14" s="338"/>
      <c r="Q14" s="338"/>
      <c r="R14" s="338"/>
      <c r="S14" s="338"/>
      <c r="T14" s="338"/>
      <c r="U14" s="338"/>
      <c r="V14" s="338"/>
      <c r="W14" s="338"/>
      <c r="X14" s="338"/>
      <c r="Y14" s="338"/>
      <c r="Z14" s="338"/>
      <c r="AA14" s="338"/>
      <c r="AB14" s="338"/>
      <c r="AC14" s="338"/>
      <c r="AD14" s="338"/>
      <c r="AE14" s="338"/>
    </row>
    <row r="15" spans="2:31" ht="28.75" x14ac:dyDescent="0.4">
      <c r="B15" s="283"/>
      <c r="C15" s="482" t="s">
        <v>550</v>
      </c>
      <c r="D15" s="565" t="s">
        <v>553</v>
      </c>
      <c r="E15" s="566"/>
      <c r="F15" s="470" t="s">
        <v>547</v>
      </c>
      <c r="G15" s="471" t="s">
        <v>512</v>
      </c>
      <c r="H15" s="471" t="s">
        <v>548</v>
      </c>
      <c r="I15" s="268" t="s">
        <v>97</v>
      </c>
      <c r="J15" s="270" t="s">
        <v>567</v>
      </c>
      <c r="K15" s="276"/>
      <c r="L15" s="276"/>
      <c r="M15" s="276"/>
      <c r="N15" s="283"/>
      <c r="O15" s="338"/>
      <c r="P15" s="260"/>
      <c r="Q15" s="261" t="s">
        <v>575</v>
      </c>
      <c r="R15" s="260"/>
      <c r="S15" s="260"/>
      <c r="T15" s="260"/>
      <c r="U15" s="260"/>
      <c r="V15" s="260"/>
      <c r="W15" s="260"/>
      <c r="X15" s="260"/>
      <c r="Y15" s="338"/>
      <c r="Z15" s="338"/>
      <c r="AA15" s="338"/>
      <c r="AB15" s="338"/>
      <c r="AC15" s="338"/>
      <c r="AD15" s="338"/>
      <c r="AE15" s="338"/>
    </row>
    <row r="16" spans="2:31" ht="14.9" customHeight="1" x14ac:dyDescent="0.35">
      <c r="B16" s="283"/>
      <c r="C16" s="563" t="s">
        <v>551</v>
      </c>
      <c r="D16" s="573" t="s">
        <v>559</v>
      </c>
      <c r="E16" s="574"/>
      <c r="F16" s="319">
        <f>'2d. Annahmen'!K4</f>
        <v>25801.200000000001</v>
      </c>
      <c r="G16" s="319">
        <f>'2d. Annahmen'!K5</f>
        <v>32012.100000000002</v>
      </c>
      <c r="H16" s="319">
        <f>'2d. Annahmen'!K6</f>
        <v>75085.2</v>
      </c>
      <c r="I16" s="453">
        <f>'2d. Annahmen'!K7</f>
        <v>44609.4</v>
      </c>
      <c r="J16" s="474" t="s">
        <v>611</v>
      </c>
      <c r="K16" s="474"/>
      <c r="L16" s="474"/>
      <c r="M16" s="277"/>
      <c r="N16" s="283"/>
      <c r="O16" s="338"/>
      <c r="P16" s="283"/>
      <c r="Q16" s="283"/>
      <c r="R16" s="283"/>
      <c r="S16" s="283"/>
      <c r="T16" s="283"/>
      <c r="U16" s="283"/>
      <c r="V16" s="283"/>
      <c r="W16" s="283"/>
      <c r="X16" s="283"/>
      <c r="Y16" s="338"/>
      <c r="Z16" s="338"/>
      <c r="AA16" s="338"/>
      <c r="AB16" s="338"/>
      <c r="AC16" s="338"/>
      <c r="AD16" s="338"/>
      <c r="AE16" s="338"/>
    </row>
    <row r="17" spans="2:24" ht="14.15" customHeight="1" x14ac:dyDescent="0.35">
      <c r="B17" s="283"/>
      <c r="C17" s="564"/>
      <c r="D17" s="575" t="s">
        <v>560</v>
      </c>
      <c r="E17" s="576"/>
      <c r="F17" s="319">
        <f>'2d. Annahmen'!L4</f>
        <v>350</v>
      </c>
      <c r="G17" s="319">
        <f>'2d. Annahmen'!L5</f>
        <v>470</v>
      </c>
      <c r="H17" s="319">
        <f>'2d. Annahmen'!L6</f>
        <v>750</v>
      </c>
      <c r="I17" s="319">
        <f>'2d. Annahmen'!L7</f>
        <v>590</v>
      </c>
      <c r="J17" s="317" t="s">
        <v>265</v>
      </c>
      <c r="K17" s="283"/>
      <c r="L17" s="283"/>
      <c r="M17" s="283"/>
      <c r="N17" s="283"/>
      <c r="O17" s="338"/>
      <c r="P17" s="283"/>
      <c r="Q17" s="269" t="s">
        <v>553</v>
      </c>
      <c r="R17" s="271" t="s">
        <v>564</v>
      </c>
      <c r="S17" s="556" t="s">
        <v>567</v>
      </c>
      <c r="T17" s="557"/>
      <c r="U17" s="557"/>
      <c r="V17" s="557"/>
      <c r="W17" s="557"/>
      <c r="X17" s="283"/>
    </row>
    <row r="18" spans="2:24" x14ac:dyDescent="0.35">
      <c r="B18" s="283"/>
      <c r="C18" s="564"/>
      <c r="D18" s="575" t="s">
        <v>561</v>
      </c>
      <c r="E18" s="576"/>
      <c r="F18" s="319">
        <f>'2d. Annahmen'!M4</f>
        <v>455</v>
      </c>
      <c r="G18" s="319">
        <f>'2d. Annahmen'!M5</f>
        <v>650</v>
      </c>
      <c r="H18" s="319">
        <f>'2d. Annahmen'!M6</f>
        <v>1000</v>
      </c>
      <c r="I18" s="319">
        <f>'2d. Annahmen'!M7</f>
        <v>850</v>
      </c>
      <c r="J18" s="317" t="s">
        <v>265</v>
      </c>
      <c r="K18" s="283"/>
      <c r="L18" s="283"/>
      <c r="M18" s="283"/>
      <c r="N18" s="283"/>
      <c r="O18" s="338"/>
      <c r="P18" s="283"/>
      <c r="Q18" s="315" t="s">
        <v>573</v>
      </c>
      <c r="R18" s="319">
        <f>'2d. Annahmen'!B62</f>
        <v>20</v>
      </c>
      <c r="S18" s="475" t="s">
        <v>605</v>
      </c>
      <c r="T18" s="283"/>
      <c r="U18" s="283"/>
      <c r="V18" s="283"/>
      <c r="W18" s="283"/>
      <c r="X18" s="283"/>
    </row>
    <row r="19" spans="2:24" x14ac:dyDescent="0.35">
      <c r="B19" s="283"/>
      <c r="C19" s="564"/>
      <c r="D19" s="575" t="s">
        <v>562</v>
      </c>
      <c r="E19" s="576"/>
      <c r="F19" s="319">
        <f>'2d. Annahmen'!C22</f>
        <v>900</v>
      </c>
      <c r="G19" s="319">
        <f>'2d. Annahmen'!C23</f>
        <v>1200</v>
      </c>
      <c r="H19" s="319">
        <f>'2d. Annahmen'!C24</f>
        <v>2000</v>
      </c>
      <c r="I19" s="319">
        <f>'2d. Annahmen'!C25</f>
        <v>1500</v>
      </c>
      <c r="J19" s="317" t="s">
        <v>265</v>
      </c>
      <c r="K19" s="283"/>
      <c r="L19" s="283"/>
      <c r="M19" s="283"/>
      <c r="N19" s="283"/>
      <c r="O19" s="338"/>
      <c r="P19" s="283"/>
      <c r="Q19" s="315" t="s">
        <v>576</v>
      </c>
      <c r="R19" s="319">
        <f>'2d. Annahmen'!B60</f>
        <v>50000</v>
      </c>
      <c r="S19" s="317" t="s">
        <v>578</v>
      </c>
      <c r="T19" s="283"/>
      <c r="U19" s="283"/>
      <c r="V19" s="283"/>
      <c r="W19" s="283"/>
      <c r="X19" s="283"/>
    </row>
    <row r="20" spans="2:24" x14ac:dyDescent="0.35">
      <c r="B20" s="283"/>
      <c r="C20" s="572"/>
      <c r="D20" s="577" t="s">
        <v>563</v>
      </c>
      <c r="E20" s="578"/>
      <c r="F20" s="319">
        <f>'2d. Annahmen'!D22</f>
        <v>400</v>
      </c>
      <c r="G20" s="319">
        <f>'2d. Annahmen'!D23</f>
        <v>400</v>
      </c>
      <c r="H20" s="319">
        <f>'2d. Annahmen'!D24</f>
        <v>400</v>
      </c>
      <c r="I20" s="319">
        <f>'2d. Annahmen'!D25</f>
        <v>400</v>
      </c>
      <c r="J20" s="317" t="s">
        <v>265</v>
      </c>
      <c r="K20" s="283"/>
      <c r="L20" s="283"/>
      <c r="M20" s="283"/>
      <c r="N20" s="283"/>
      <c r="O20" s="338"/>
      <c r="P20" s="283"/>
      <c r="Q20" s="315" t="s">
        <v>577</v>
      </c>
      <c r="R20" s="319">
        <f>'2d. Annahmen'!B61</f>
        <v>200</v>
      </c>
      <c r="S20" s="317" t="s">
        <v>578</v>
      </c>
      <c r="T20" s="277"/>
      <c r="U20" s="277"/>
      <c r="V20" s="283"/>
      <c r="W20" s="283"/>
      <c r="X20" s="283"/>
    </row>
    <row r="21" spans="2:24" x14ac:dyDescent="0.35">
      <c r="B21" s="283"/>
      <c r="C21" s="563" t="s">
        <v>552</v>
      </c>
      <c r="D21" s="573" t="s">
        <v>559</v>
      </c>
      <c r="E21" s="574"/>
      <c r="F21" s="439">
        <f>'2d. Annahmen'!H13</f>
        <v>19204.05</v>
      </c>
      <c r="G21" s="439">
        <f>'2d. Annahmen'!H14</f>
        <v>32022.899999999998</v>
      </c>
      <c r="H21" s="439">
        <f>'2d. Annahmen'!H15</f>
        <v>73755.349999999991</v>
      </c>
      <c r="I21" s="439">
        <f>'2d. Annahmen'!H16</f>
        <v>37775.699999999997</v>
      </c>
      <c r="J21" s="486" t="s">
        <v>611</v>
      </c>
      <c r="K21" s="273"/>
      <c r="L21" s="273"/>
      <c r="M21" s="273"/>
      <c r="N21" s="277"/>
      <c r="O21" s="338"/>
      <c r="P21" s="283"/>
      <c r="Q21" s="452" t="s">
        <v>606</v>
      </c>
      <c r="R21" s="319">
        <f>'2d. Annahmen'!B65</f>
        <v>2000</v>
      </c>
      <c r="S21" s="317" t="s">
        <v>578</v>
      </c>
      <c r="T21" s="283"/>
      <c r="U21" s="283"/>
      <c r="V21" s="283"/>
      <c r="W21" s="283"/>
      <c r="X21" s="283"/>
    </row>
    <row r="22" spans="2:24" ht="14.15" customHeight="1" x14ac:dyDescent="0.35">
      <c r="B22" s="283"/>
      <c r="C22" s="564"/>
      <c r="D22" s="575" t="s">
        <v>560</v>
      </c>
      <c r="E22" s="576"/>
      <c r="F22" s="319">
        <f>'2d. Annahmen'!I13</f>
        <v>300</v>
      </c>
      <c r="G22" s="319">
        <f>'2d. Annahmen'!I14</f>
        <v>400</v>
      </c>
      <c r="H22" s="319">
        <f>'2d. Annahmen'!I15</f>
        <v>650</v>
      </c>
      <c r="I22" s="319">
        <f>'2d. Annahmen'!I16</f>
        <v>500</v>
      </c>
      <c r="J22" s="317" t="s">
        <v>265</v>
      </c>
      <c r="K22" s="283"/>
      <c r="L22" s="283"/>
      <c r="M22" s="283"/>
      <c r="N22" s="283"/>
      <c r="O22" s="338"/>
      <c r="P22" s="283"/>
      <c r="Q22" s="452" t="s">
        <v>607</v>
      </c>
      <c r="R22" s="319">
        <v>8500</v>
      </c>
      <c r="S22" s="317" t="s">
        <v>578</v>
      </c>
      <c r="T22" s="283"/>
      <c r="U22" s="283"/>
      <c r="V22" s="283"/>
      <c r="W22" s="283"/>
      <c r="X22" s="283"/>
    </row>
    <row r="23" spans="2:24" x14ac:dyDescent="0.35">
      <c r="B23" s="283"/>
      <c r="C23" s="564"/>
      <c r="D23" s="575" t="s">
        <v>561</v>
      </c>
      <c r="E23" s="576"/>
      <c r="F23" s="319">
        <f>'2d. Annahmen'!J13</f>
        <v>700</v>
      </c>
      <c r="G23" s="319">
        <f>'2d. Annahmen'!J14</f>
        <v>1000</v>
      </c>
      <c r="H23" s="319">
        <f>'2d. Annahmen'!J15</f>
        <v>1500</v>
      </c>
      <c r="I23" s="319">
        <f>'2d. Annahmen'!J16</f>
        <v>1300</v>
      </c>
      <c r="J23" s="317" t="s">
        <v>265</v>
      </c>
      <c r="K23" s="283"/>
      <c r="L23" s="283"/>
      <c r="M23" s="283"/>
      <c r="N23" s="283"/>
      <c r="O23" s="338"/>
      <c r="P23" s="283"/>
      <c r="Q23" s="452" t="s">
        <v>608</v>
      </c>
      <c r="R23" s="319">
        <v>15000</v>
      </c>
      <c r="S23" s="317" t="s">
        <v>578</v>
      </c>
      <c r="T23" s="283"/>
      <c r="U23" s="283"/>
      <c r="V23" s="283"/>
      <c r="W23" s="283"/>
      <c r="X23" s="283"/>
    </row>
    <row r="24" spans="2:24" x14ac:dyDescent="0.35">
      <c r="B24" s="283"/>
      <c r="C24" s="564"/>
      <c r="D24" s="575" t="s">
        <v>562</v>
      </c>
      <c r="E24" s="576"/>
      <c r="F24" s="319">
        <f>'2d. Annahmen'!C22</f>
        <v>900</v>
      </c>
      <c r="G24" s="319">
        <f>'2d. Annahmen'!C23</f>
        <v>1200</v>
      </c>
      <c r="H24" s="319">
        <f>'2d. Annahmen'!C24</f>
        <v>2000</v>
      </c>
      <c r="I24" s="319">
        <f>'2d. Annahmen'!C25</f>
        <v>1500</v>
      </c>
      <c r="J24" s="317" t="s">
        <v>265</v>
      </c>
      <c r="K24" s="283"/>
      <c r="L24" s="283"/>
      <c r="M24" s="283"/>
      <c r="N24" s="283"/>
      <c r="O24" s="338"/>
      <c r="P24" s="283"/>
      <c r="Q24" s="452" t="s">
        <v>609</v>
      </c>
      <c r="R24" s="319">
        <f>'2d. Annahmen'!B66</f>
        <v>1000</v>
      </c>
      <c r="S24" s="317" t="s">
        <v>578</v>
      </c>
      <c r="T24" s="283"/>
      <c r="U24" s="283"/>
      <c r="V24" s="283"/>
      <c r="W24" s="283"/>
      <c r="X24" s="283"/>
    </row>
    <row r="25" spans="2:24" x14ac:dyDescent="0.35">
      <c r="B25" s="283"/>
      <c r="C25" s="564"/>
      <c r="D25" s="575" t="s">
        <v>563</v>
      </c>
      <c r="E25" s="576"/>
      <c r="F25" s="319">
        <f>'2d. Annahmen'!D22</f>
        <v>400</v>
      </c>
      <c r="G25" s="319">
        <f>'2d. Annahmen'!D23</f>
        <v>400</v>
      </c>
      <c r="H25" s="319">
        <f>'2d. Annahmen'!D24</f>
        <v>400</v>
      </c>
      <c r="I25" s="319">
        <f>'2d. Annahmen'!D25</f>
        <v>400</v>
      </c>
      <c r="J25" s="317" t="s">
        <v>265</v>
      </c>
      <c r="K25" s="283"/>
      <c r="L25" s="283"/>
      <c r="M25" s="283"/>
      <c r="N25" s="283"/>
      <c r="O25" s="338"/>
      <c r="P25" s="283"/>
      <c r="Q25" s="452" t="s">
        <v>610</v>
      </c>
      <c r="R25" s="319">
        <f>'2d. Annahmen'!C66</f>
        <v>3000</v>
      </c>
      <c r="S25" s="317" t="s">
        <v>578</v>
      </c>
      <c r="T25" s="283"/>
      <c r="U25" s="283"/>
      <c r="V25" s="283"/>
      <c r="W25" s="283"/>
      <c r="X25" s="283"/>
    </row>
    <row r="26" spans="2:24" x14ac:dyDescent="0.35">
      <c r="B26" s="283"/>
      <c r="C26" s="285"/>
      <c r="D26" s="285"/>
      <c r="E26" s="283"/>
      <c r="F26" s="438"/>
      <c r="G26" s="438"/>
      <c r="H26" s="438"/>
      <c r="I26" s="438"/>
      <c r="J26" s="283"/>
      <c r="K26" s="283"/>
      <c r="L26" s="283"/>
      <c r="M26" s="283"/>
      <c r="N26" s="283"/>
      <c r="O26" s="338"/>
      <c r="P26" s="283"/>
      <c r="Q26" s="283"/>
      <c r="R26" s="283"/>
      <c r="S26" s="283"/>
      <c r="T26" s="283"/>
      <c r="U26" s="283"/>
      <c r="V26" s="283"/>
      <c r="W26" s="283"/>
      <c r="X26" s="283"/>
    </row>
    <row r="27" spans="2:24" x14ac:dyDescent="0.35">
      <c r="B27" s="283"/>
      <c r="C27" s="285"/>
      <c r="D27" s="285"/>
      <c r="E27" s="283"/>
      <c r="F27" s="438"/>
      <c r="G27" s="438"/>
      <c r="H27" s="438"/>
      <c r="I27" s="438"/>
      <c r="J27" s="283"/>
      <c r="K27" s="283"/>
      <c r="L27" s="283"/>
      <c r="M27" s="283"/>
      <c r="N27" s="283"/>
      <c r="O27" s="338"/>
      <c r="P27" s="338"/>
      <c r="Q27" s="338"/>
      <c r="R27" s="338"/>
      <c r="S27" s="338"/>
      <c r="T27" s="338"/>
      <c r="U27" s="338"/>
      <c r="V27" s="338"/>
    </row>
    <row r="28" spans="2:24" x14ac:dyDescent="0.35">
      <c r="B28" s="283"/>
      <c r="C28" s="440"/>
      <c r="D28" s="440"/>
      <c r="E28" s="312"/>
      <c r="F28" s="559" t="s">
        <v>569</v>
      </c>
      <c r="G28" s="551" t="s">
        <v>557</v>
      </c>
      <c r="H28" s="552"/>
      <c r="I28" s="552"/>
      <c r="J28" s="552"/>
      <c r="K28" s="552"/>
      <c r="L28" s="553"/>
      <c r="M28" s="425"/>
      <c r="N28" s="283"/>
      <c r="O28" s="338"/>
      <c r="P28" s="338"/>
      <c r="Q28" s="338"/>
      <c r="R28" s="338"/>
      <c r="S28" s="338"/>
      <c r="T28" s="338"/>
      <c r="U28" s="338"/>
      <c r="V28" s="338"/>
    </row>
    <row r="29" spans="2:24" x14ac:dyDescent="0.35">
      <c r="B29" s="283"/>
      <c r="C29" s="482" t="s">
        <v>550</v>
      </c>
      <c r="D29" s="482" t="s">
        <v>553</v>
      </c>
      <c r="E29" s="269" t="s">
        <v>486</v>
      </c>
      <c r="F29" s="560"/>
      <c r="G29" s="278">
        <v>10000</v>
      </c>
      <c r="H29" s="278">
        <v>15000</v>
      </c>
      <c r="I29" s="278">
        <v>20000</v>
      </c>
      <c r="J29" s="278">
        <v>25000</v>
      </c>
      <c r="K29" s="278">
        <v>30000</v>
      </c>
      <c r="L29" s="278">
        <v>35000</v>
      </c>
      <c r="M29" s="270" t="s">
        <v>567</v>
      </c>
      <c r="N29" s="283"/>
      <c r="O29" s="338"/>
      <c r="P29" s="338"/>
      <c r="Q29" s="338"/>
      <c r="R29" s="441"/>
      <c r="S29" s="338"/>
      <c r="T29" s="338"/>
      <c r="U29" s="338"/>
      <c r="V29" s="338"/>
    </row>
    <row r="30" spans="2:24" x14ac:dyDescent="0.35">
      <c r="B30" s="283"/>
      <c r="C30" s="563" t="s">
        <v>551</v>
      </c>
      <c r="D30" s="563" t="s">
        <v>565</v>
      </c>
      <c r="E30" s="563" t="s">
        <v>547</v>
      </c>
      <c r="F30" s="279">
        <v>12</v>
      </c>
      <c r="G30" s="437">
        <f>G60*(1+'2d. Annahmen'!$N$4)</f>
        <v>0.67242563888888895</v>
      </c>
      <c r="H30" s="437">
        <f>H60*(1+'2d. Annahmen'!$N$4)</f>
        <v>0.66171777777777785</v>
      </c>
      <c r="I30" s="437">
        <f>I60*(1+'2d. Annahmen'!$N$4)</f>
        <v>0.65100991666666674</v>
      </c>
      <c r="J30" s="437">
        <f>J60*(1+'2d. Annahmen'!$N$4)</f>
        <v>0.63877352777777774</v>
      </c>
      <c r="K30" s="437">
        <f>K60*(1+'2d. Annahmen'!$N$4)</f>
        <v>0.6204175833333333</v>
      </c>
      <c r="L30" s="437">
        <f>L60*(1+'2d. Annahmen'!$N$4)</f>
        <v>0.60206163888888897</v>
      </c>
      <c r="M30" s="317" t="s">
        <v>265</v>
      </c>
      <c r="N30" s="283"/>
      <c r="O30" s="338"/>
      <c r="P30" s="338"/>
      <c r="Q30" s="338"/>
      <c r="R30" s="441"/>
      <c r="S30" s="338"/>
      <c r="T30" s="338"/>
      <c r="U30" s="338"/>
      <c r="V30" s="338"/>
    </row>
    <row r="31" spans="2:24" x14ac:dyDescent="0.35">
      <c r="B31" s="283"/>
      <c r="C31" s="564"/>
      <c r="D31" s="564"/>
      <c r="E31" s="564"/>
      <c r="F31" s="279">
        <v>24</v>
      </c>
      <c r="G31" s="437">
        <f>G61*(1+'2d. Annahmen'!$N$4)</f>
        <v>0.61907008333333335</v>
      </c>
      <c r="H31" s="437">
        <f>H61*(1+'2d. Annahmen'!$N$4)</f>
        <v>0.60019555555555559</v>
      </c>
      <c r="I31" s="437">
        <f>I61*(1+'2d. Annahmen'!$N$4)</f>
        <v>0.58132102777777783</v>
      </c>
      <c r="J31" s="437">
        <f>J61*(1+'2d. Annahmen'!$N$4)</f>
        <v>0.55975149999999996</v>
      </c>
      <c r="K31" s="437">
        <f>K61*(1+'2d. Annahmen'!$N$4)</f>
        <v>0.52739516666666675</v>
      </c>
      <c r="L31" s="437">
        <f>L61*(1+'2d. Annahmen'!$N$4)</f>
        <v>0.49504019444444447</v>
      </c>
      <c r="M31" s="317" t="s">
        <v>265</v>
      </c>
      <c r="N31" s="283"/>
      <c r="O31" s="338"/>
      <c r="P31" s="338"/>
      <c r="Q31" s="338"/>
      <c r="R31" s="441"/>
      <c r="S31" s="338"/>
      <c r="T31" s="338"/>
      <c r="U31" s="338"/>
      <c r="V31" s="338"/>
    </row>
    <row r="32" spans="2:24" x14ac:dyDescent="0.35">
      <c r="B32" s="283"/>
      <c r="C32" s="564"/>
      <c r="D32" s="564"/>
      <c r="E32" s="564"/>
      <c r="F32" s="279">
        <v>36</v>
      </c>
      <c r="G32" s="437">
        <f>G62*(1+'2d. Annahmen'!$N$4)</f>
        <v>0.55859999999999999</v>
      </c>
      <c r="H32" s="437">
        <f>H62*(1+'2d. Annahmen'!$N$4)</f>
        <v>0.53410000000000002</v>
      </c>
      <c r="I32" s="437">
        <f>I62*(1+'2d. Annahmen'!$N$4)</f>
        <v>0.50960000000000005</v>
      </c>
      <c r="J32" s="437">
        <f>J62*(1+'2d. Annahmen'!$N$4)</f>
        <v>0.48160058333333333</v>
      </c>
      <c r="K32" s="437">
        <f>K62*(1+'2d. Annahmen'!$N$4)</f>
        <v>0.43959941666666669</v>
      </c>
      <c r="L32" s="437">
        <f>L62*(1+'2d. Annahmen'!$N$4)</f>
        <v>0.39759961111111114</v>
      </c>
      <c r="M32" s="317" t="s">
        <v>265</v>
      </c>
      <c r="N32" s="283"/>
      <c r="O32" s="338"/>
      <c r="P32" s="338"/>
      <c r="Q32" s="338"/>
      <c r="R32" s="441"/>
      <c r="S32" s="338"/>
      <c r="T32" s="338"/>
      <c r="U32" s="338"/>
      <c r="V32" s="338"/>
    </row>
    <row r="33" spans="2:18" x14ac:dyDescent="0.35">
      <c r="B33" s="283"/>
      <c r="C33" s="564"/>
      <c r="D33" s="564"/>
      <c r="E33" s="564"/>
      <c r="F33" s="279">
        <v>48</v>
      </c>
      <c r="G33" s="437">
        <f>G63*(1+'2d. Annahmen'!$N$4)</f>
        <v>0.49101675</v>
      </c>
      <c r="H33" s="437">
        <f>H63*(1+'2d. Annahmen'!$N$4)</f>
        <v>0.46343111111111113</v>
      </c>
      <c r="I33" s="437">
        <f>I63*(1+'2d. Annahmen'!$N$4)</f>
        <v>0.43584547222222225</v>
      </c>
      <c r="J33" s="437">
        <f>J63*(1+'2d. Annahmen'!$N$4)</f>
        <v>0.40431941666666665</v>
      </c>
      <c r="K33" s="437">
        <f>K63*(1+'2d. Annahmen'!$N$4)</f>
        <v>0.35703169444444444</v>
      </c>
      <c r="L33" s="437">
        <f>L63*(1+'2d. Annahmen'!$N$4)</f>
        <v>0.30974261111111107</v>
      </c>
      <c r="M33" s="317" t="s">
        <v>265</v>
      </c>
      <c r="N33" s="283"/>
      <c r="O33" s="338"/>
      <c r="P33" s="338"/>
      <c r="Q33" s="338"/>
      <c r="R33" s="441"/>
    </row>
    <row r="34" spans="2:18" x14ac:dyDescent="0.35">
      <c r="B34" s="283"/>
      <c r="C34" s="564"/>
      <c r="D34" s="564"/>
      <c r="E34" s="564"/>
      <c r="F34" s="279">
        <v>60</v>
      </c>
      <c r="G34" s="437">
        <f>G64*(1+'2d. Annahmen'!$N$4)</f>
        <v>0.3928166666666667</v>
      </c>
      <c r="H34" s="437">
        <f>H64*(1+'2d. Annahmen'!$N$4)</f>
        <v>0.36627500000000002</v>
      </c>
      <c r="I34" s="437">
        <f>I64*(1+'2d. Annahmen'!$N$4)</f>
        <v>0.33973333333333339</v>
      </c>
      <c r="J34" s="437">
        <f>J64*(1+'2d. Annahmen'!$N$4)</f>
        <v>0.30858294444444451</v>
      </c>
      <c r="K34" s="437">
        <f>K64*(1+'2d. Annahmen'!$N$4)</f>
        <v>0.26390038888888889</v>
      </c>
      <c r="L34" s="437">
        <f>L64*(1+'2d. Annahmen'!$N$4)</f>
        <v>0.21839980555555555</v>
      </c>
      <c r="M34" s="317" t="s">
        <v>265</v>
      </c>
      <c r="N34" s="283"/>
      <c r="O34" s="338"/>
      <c r="P34" s="338"/>
      <c r="Q34" s="338"/>
      <c r="R34" s="441"/>
    </row>
    <row r="35" spans="2:18" x14ac:dyDescent="0.35">
      <c r="B35" s="283"/>
      <c r="C35" s="564"/>
      <c r="D35" s="564"/>
      <c r="E35" s="564"/>
      <c r="F35" s="279">
        <v>72</v>
      </c>
      <c r="G35" s="437">
        <f>G65*(1+'2d. Annahmen'!$N$4)</f>
        <v>0.27875555555555553</v>
      </c>
      <c r="H35" s="437">
        <f>H65*(1+'2d. Annahmen'!$N$4)</f>
        <v>0.2569777777777778</v>
      </c>
      <c r="I35" s="437">
        <f>I65*(1+'2d. Annahmen'!$N$4)</f>
        <v>0.23519999999999999</v>
      </c>
      <c r="J35" s="437">
        <f>J65*(1+'2d. Annahmen'!$N$4)</f>
        <v>0.21031072222222225</v>
      </c>
      <c r="K35" s="437">
        <f>K65*(1+'2d. Annahmen'!$N$4)</f>
        <v>0.17297816666666668</v>
      </c>
      <c r="L35" s="437">
        <f>L65*(1+'2d. Annahmen'!$N$4)</f>
        <v>0.13564425000000002</v>
      </c>
      <c r="M35" s="317" t="s">
        <v>265</v>
      </c>
      <c r="N35" s="283"/>
      <c r="O35" s="338"/>
      <c r="P35" s="338"/>
      <c r="Q35" s="338"/>
      <c r="R35" s="441"/>
    </row>
    <row r="36" spans="2:18" x14ac:dyDescent="0.35">
      <c r="B36" s="283"/>
      <c r="C36" s="564"/>
      <c r="D36" s="564"/>
      <c r="E36" s="563" t="s">
        <v>512</v>
      </c>
      <c r="F36" s="280">
        <v>12</v>
      </c>
      <c r="G36" s="442">
        <f>G60*(1+'2d. Annahmen'!$N$5)</f>
        <v>0.66556415277777781</v>
      </c>
      <c r="H36" s="442">
        <f>H60*(1+'2d. Annahmen'!$N$5)</f>
        <v>0.65496555555555558</v>
      </c>
      <c r="I36" s="442">
        <f>I60*(1+'2d. Annahmen'!$N$5)</f>
        <v>0.64436695833333335</v>
      </c>
      <c r="J36" s="442">
        <f>J60*(1+'2d. Annahmen'!$N$5)</f>
        <v>0.63225543055555555</v>
      </c>
      <c r="K36" s="442">
        <f>K60*(1+'2d. Annahmen'!$N$5)</f>
        <v>0.61408679166666658</v>
      </c>
      <c r="L36" s="442">
        <f>L60*(1+'2d. Annahmen'!$N$5)</f>
        <v>0.59591815277777782</v>
      </c>
      <c r="M36" s="443" t="s">
        <v>265</v>
      </c>
      <c r="N36" s="283"/>
      <c r="O36" s="338"/>
      <c r="P36" s="338"/>
      <c r="Q36" s="338"/>
      <c r="R36" s="441"/>
    </row>
    <row r="37" spans="2:18" x14ac:dyDescent="0.35">
      <c r="B37" s="283"/>
      <c r="C37" s="564"/>
      <c r="D37" s="564"/>
      <c r="E37" s="564"/>
      <c r="F37" s="279">
        <v>24</v>
      </c>
      <c r="G37" s="444">
        <f>G61*(1+'2d. Annahmen'!$N$5)</f>
        <v>0.61275304166666666</v>
      </c>
      <c r="H37" s="444">
        <f>H61*(1+'2d. Annahmen'!$N$5)</f>
        <v>0.59407111111111111</v>
      </c>
      <c r="I37" s="444">
        <f>I61*(1+'2d. Annahmen'!$N$5)</f>
        <v>0.57538918055555566</v>
      </c>
      <c r="J37" s="444">
        <f>J61*(1+'2d. Annahmen'!$N$5)</f>
        <v>0.55403974999999994</v>
      </c>
      <c r="K37" s="444">
        <f>K61*(1+'2d. Annahmen'!$N$5)</f>
        <v>0.52201358333333336</v>
      </c>
      <c r="L37" s="444">
        <f>L61*(1+'2d. Annahmen'!$N$5)</f>
        <v>0.4899887638888889</v>
      </c>
      <c r="M37" s="317" t="s">
        <v>265</v>
      </c>
      <c r="N37" s="283"/>
      <c r="O37" s="338"/>
      <c r="P37" s="338"/>
      <c r="Q37" s="338"/>
      <c r="R37" s="441"/>
    </row>
    <row r="38" spans="2:18" x14ac:dyDescent="0.35">
      <c r="B38" s="283"/>
      <c r="C38" s="564"/>
      <c r="D38" s="564"/>
      <c r="E38" s="564"/>
      <c r="F38" s="279">
        <v>36</v>
      </c>
      <c r="G38" s="444">
        <f>G62*(1+'2d. Annahmen'!$N$5)</f>
        <v>0.55289999999999995</v>
      </c>
      <c r="H38" s="444">
        <f>H62*(1+'2d. Annahmen'!$N$5)</f>
        <v>0.52865000000000006</v>
      </c>
      <c r="I38" s="444">
        <f>I62*(1+'2d. Annahmen'!$N$5)</f>
        <v>0.50439999999999996</v>
      </c>
      <c r="J38" s="444">
        <f>J62*(1+'2d. Annahmen'!$N$5)</f>
        <v>0.47668629166666671</v>
      </c>
      <c r="K38" s="444">
        <f>K62*(1+'2d. Annahmen'!$N$5)</f>
        <v>0.43511370833333335</v>
      </c>
      <c r="L38" s="444">
        <f>L62*(1+'2d. Annahmen'!$N$5)</f>
        <v>0.39354247222222227</v>
      </c>
      <c r="M38" s="317" t="s">
        <v>265</v>
      </c>
      <c r="N38" s="283"/>
      <c r="O38" s="338"/>
      <c r="P38" s="338"/>
      <c r="Q38" s="338"/>
      <c r="R38" s="441"/>
    </row>
    <row r="39" spans="2:18" x14ac:dyDescent="0.35">
      <c r="B39" s="283"/>
      <c r="C39" s="564"/>
      <c r="D39" s="564"/>
      <c r="E39" s="564"/>
      <c r="F39" s="279">
        <v>48</v>
      </c>
      <c r="G39" s="444">
        <f>G63*(1+'2d. Annahmen'!$N$5)</f>
        <v>0.48600637499999999</v>
      </c>
      <c r="H39" s="444">
        <f>H63*(1+'2d. Annahmen'!$N$5)</f>
        <v>0.45870222222222223</v>
      </c>
      <c r="I39" s="444">
        <f>I63*(1+'2d. Annahmen'!$N$5)</f>
        <v>0.43139806944444448</v>
      </c>
      <c r="J39" s="444">
        <f>J63*(1+'2d. Annahmen'!$N$5)</f>
        <v>0.40019370833333334</v>
      </c>
      <c r="K39" s="444">
        <f>K63*(1+'2d. Annahmen'!$N$5)</f>
        <v>0.35338851388888892</v>
      </c>
      <c r="L39" s="444">
        <f>L63*(1+'2d. Annahmen'!$N$5)</f>
        <v>0.30658197222222217</v>
      </c>
      <c r="M39" s="317" t="s">
        <v>265</v>
      </c>
      <c r="N39" s="283"/>
      <c r="O39" s="338"/>
      <c r="P39" s="338"/>
      <c r="Q39" s="338"/>
      <c r="R39" s="441"/>
    </row>
    <row r="40" spans="2:18" x14ac:dyDescent="0.35">
      <c r="B40" s="283"/>
      <c r="C40" s="564"/>
      <c r="D40" s="564"/>
      <c r="E40" s="564"/>
      <c r="F40" s="279">
        <v>60</v>
      </c>
      <c r="G40" s="444">
        <f>G64*(1+'2d. Annahmen'!$N$5)</f>
        <v>0.38880833333333337</v>
      </c>
      <c r="H40" s="444">
        <f>H64*(1+'2d. Annahmen'!$N$5)</f>
        <v>0.36253750000000001</v>
      </c>
      <c r="I40" s="444">
        <f>I64*(1+'2d. Annahmen'!$N$5)</f>
        <v>0.33626666666666671</v>
      </c>
      <c r="J40" s="444">
        <f>J64*(1+'2d. Annahmen'!$N$5)</f>
        <v>0.30543413888888893</v>
      </c>
      <c r="K40" s="444">
        <f>K64*(1+'2d. Annahmen'!$N$5)</f>
        <v>0.26120752777777778</v>
      </c>
      <c r="L40" s="444">
        <f>L64*(1+'2d. Annahmen'!$N$5)</f>
        <v>0.21617123611111111</v>
      </c>
      <c r="M40" s="317" t="s">
        <v>265</v>
      </c>
      <c r="N40" s="283"/>
      <c r="O40" s="338"/>
      <c r="P40" s="338"/>
      <c r="Q40" s="338"/>
      <c r="R40" s="441"/>
    </row>
    <row r="41" spans="2:18" x14ac:dyDescent="0.35">
      <c r="B41" s="283"/>
      <c r="C41" s="564"/>
      <c r="D41" s="564"/>
      <c r="E41" s="564"/>
      <c r="F41" s="279">
        <v>72</v>
      </c>
      <c r="G41" s="444">
        <f>G65*(1+'2d. Annahmen'!$N$5)</f>
        <v>0.27591111111111111</v>
      </c>
      <c r="H41" s="444">
        <f>H65*(1+'2d. Annahmen'!$N$5)</f>
        <v>0.25435555555555556</v>
      </c>
      <c r="I41" s="444">
        <f>I65*(1+'2d. Annahmen'!$N$5)</f>
        <v>0.23279999999999998</v>
      </c>
      <c r="J41" s="444">
        <f>J65*(1+'2d. Annahmen'!$N$5)</f>
        <v>0.20816469444444446</v>
      </c>
      <c r="K41" s="444">
        <f>K65*(1+'2d. Annahmen'!$N$5)</f>
        <v>0.17121308333333335</v>
      </c>
      <c r="L41" s="444">
        <f>L65*(1+'2d. Annahmen'!$N$5)</f>
        <v>0.13426012500000001</v>
      </c>
      <c r="M41" s="317" t="s">
        <v>265</v>
      </c>
      <c r="N41" s="283"/>
      <c r="O41" s="338"/>
      <c r="P41" s="338"/>
      <c r="Q41" s="338"/>
      <c r="R41" s="441"/>
    </row>
    <row r="42" spans="2:18" x14ac:dyDescent="0.35">
      <c r="B42" s="283"/>
      <c r="C42" s="564"/>
      <c r="D42" s="564"/>
      <c r="E42" s="563" t="s">
        <v>548</v>
      </c>
      <c r="F42" s="280">
        <v>12</v>
      </c>
      <c r="G42" s="442">
        <f>G60*(1+'2d. Annahmen'!$N$6)</f>
        <v>0.65870266666666666</v>
      </c>
      <c r="H42" s="442">
        <f>H60*(1+'2d. Annahmen'!$N$6)</f>
        <v>0.64821333333333342</v>
      </c>
      <c r="I42" s="442">
        <f>I60*(1+'2d. Annahmen'!$N$6)</f>
        <v>0.63772400000000007</v>
      </c>
      <c r="J42" s="442">
        <f>J60*(1+'2d. Annahmen'!$N$6)</f>
        <v>0.62573733333333326</v>
      </c>
      <c r="K42" s="442">
        <f>K60*(1+'2d. Annahmen'!$N$6)</f>
        <v>0.60775599999999996</v>
      </c>
      <c r="L42" s="442">
        <f>L60*(1+'2d. Annahmen'!$N$6)</f>
        <v>0.58977466666666667</v>
      </c>
      <c r="M42" s="443" t="s">
        <v>265</v>
      </c>
      <c r="N42" s="283"/>
      <c r="O42" s="338"/>
      <c r="P42" s="338"/>
      <c r="Q42" s="338"/>
      <c r="R42" s="441"/>
    </row>
    <row r="43" spans="2:18" x14ac:dyDescent="0.35">
      <c r="B43" s="283"/>
      <c r="C43" s="564"/>
      <c r="D43" s="564"/>
      <c r="E43" s="564"/>
      <c r="F43" s="279">
        <v>24</v>
      </c>
      <c r="G43" s="444">
        <f>G61*(1+'2d. Annahmen'!$N$6)</f>
        <v>0.60643600000000009</v>
      </c>
      <c r="H43" s="444">
        <f>H61*(1+'2d. Annahmen'!$N$6)</f>
        <v>0.58794666666666662</v>
      </c>
      <c r="I43" s="444">
        <f>I61*(1+'2d. Annahmen'!$N$6)</f>
        <v>0.56945733333333337</v>
      </c>
      <c r="J43" s="444">
        <f>J61*(1+'2d. Annahmen'!$N$6)</f>
        <v>0.54832799999999993</v>
      </c>
      <c r="K43" s="444">
        <f>K61*(1+'2d. Annahmen'!$N$6)</f>
        <v>0.51663200000000009</v>
      </c>
      <c r="L43" s="444">
        <f>L61*(1+'2d. Annahmen'!$N$6)</f>
        <v>0.48493733333333339</v>
      </c>
      <c r="M43" s="317" t="s">
        <v>265</v>
      </c>
      <c r="N43" s="283"/>
      <c r="O43" s="338"/>
      <c r="P43" s="338"/>
      <c r="Q43" s="338"/>
      <c r="R43" s="441"/>
    </row>
    <row r="44" spans="2:18" x14ac:dyDescent="0.35">
      <c r="B44" s="283"/>
      <c r="C44" s="564"/>
      <c r="D44" s="564"/>
      <c r="E44" s="564"/>
      <c r="F44" s="279">
        <v>36</v>
      </c>
      <c r="G44" s="444">
        <f>G62*(1+'2d. Annahmen'!$N$6)</f>
        <v>0.54719999999999991</v>
      </c>
      <c r="H44" s="444">
        <f>H62*(1+'2d. Annahmen'!$N$6)</f>
        <v>0.5232</v>
      </c>
      <c r="I44" s="444">
        <f>I62*(1+'2d. Annahmen'!$N$6)</f>
        <v>0.49919999999999998</v>
      </c>
      <c r="J44" s="444">
        <f>J62*(1+'2d. Annahmen'!$N$6)</f>
        <v>0.47177200000000002</v>
      </c>
      <c r="K44" s="444">
        <f>K62*(1+'2d. Annahmen'!$N$6)</f>
        <v>0.43062800000000001</v>
      </c>
      <c r="L44" s="444">
        <f>L62*(1+'2d. Annahmen'!$N$6)</f>
        <v>0.38948533333333335</v>
      </c>
      <c r="M44" s="317" t="s">
        <v>265</v>
      </c>
      <c r="N44" s="283"/>
      <c r="O44" s="338"/>
      <c r="P44" s="338"/>
      <c r="Q44" s="338"/>
      <c r="R44" s="441"/>
    </row>
    <row r="45" spans="2:18" x14ac:dyDescent="0.35">
      <c r="B45" s="283"/>
      <c r="C45" s="564"/>
      <c r="D45" s="564"/>
      <c r="E45" s="564"/>
      <c r="F45" s="279">
        <v>48</v>
      </c>
      <c r="G45" s="444">
        <f>G63*(1+'2d. Annahmen'!$N$6)</f>
        <v>0.48099599999999998</v>
      </c>
      <c r="H45" s="444">
        <f>H63*(1+'2d. Annahmen'!$N$6)</f>
        <v>0.45397333333333334</v>
      </c>
      <c r="I45" s="444">
        <f>I63*(1+'2d. Annahmen'!$N$6)</f>
        <v>0.4269506666666667</v>
      </c>
      <c r="J45" s="444">
        <f>J63*(1+'2d. Annahmen'!$N$6)</f>
        <v>0.39606799999999998</v>
      </c>
      <c r="K45" s="444">
        <f>K63*(1+'2d. Annahmen'!$N$6)</f>
        <v>0.34974533333333335</v>
      </c>
      <c r="L45" s="444">
        <f>L63*(1+'2d. Annahmen'!$N$6)</f>
        <v>0.30342133333333332</v>
      </c>
      <c r="M45" s="317" t="s">
        <v>265</v>
      </c>
      <c r="N45" s="283"/>
      <c r="O45" s="338"/>
      <c r="P45" s="338"/>
      <c r="Q45" s="338"/>
      <c r="R45" s="441"/>
    </row>
    <row r="46" spans="2:18" x14ac:dyDescent="0.35">
      <c r="B46" s="283"/>
      <c r="C46" s="564"/>
      <c r="D46" s="564"/>
      <c r="E46" s="564"/>
      <c r="F46" s="279">
        <v>60</v>
      </c>
      <c r="G46" s="444">
        <f>G64*(1+'2d. Annahmen'!$N$6)</f>
        <v>0.38480000000000003</v>
      </c>
      <c r="H46" s="444">
        <f>H64*(1+'2d. Annahmen'!$N$6)</f>
        <v>0.35880000000000001</v>
      </c>
      <c r="I46" s="444">
        <f>I64*(1+'2d. Annahmen'!$N$6)</f>
        <v>0.33280000000000004</v>
      </c>
      <c r="J46" s="444">
        <f>J64*(1+'2d. Annahmen'!$N$6)</f>
        <v>0.30228533333333335</v>
      </c>
      <c r="K46" s="444">
        <f>K64*(1+'2d. Annahmen'!$N$6)</f>
        <v>0.25851466666666667</v>
      </c>
      <c r="L46" s="444">
        <f>L64*(1+'2d. Annahmen'!$N$6)</f>
        <v>0.21394266666666667</v>
      </c>
      <c r="M46" s="317" t="s">
        <v>265</v>
      </c>
      <c r="N46" s="283"/>
      <c r="O46" s="338"/>
      <c r="P46" s="338"/>
      <c r="Q46" s="338"/>
      <c r="R46" s="441"/>
    </row>
    <row r="47" spans="2:18" x14ac:dyDescent="0.35">
      <c r="B47" s="283"/>
      <c r="C47" s="564"/>
      <c r="D47" s="564"/>
      <c r="E47" s="564"/>
      <c r="F47" s="279">
        <v>72</v>
      </c>
      <c r="G47" s="444">
        <f>G65*(1+'2d. Annahmen'!$N$6)</f>
        <v>0.27306666666666668</v>
      </c>
      <c r="H47" s="444">
        <f>H65*(1+'2d. Annahmen'!$N$6)</f>
        <v>0.25173333333333336</v>
      </c>
      <c r="I47" s="444">
        <f>I65*(1+'2d. Annahmen'!$N$6)</f>
        <v>0.23039999999999999</v>
      </c>
      <c r="J47" s="444">
        <f>J65*(1+'2d. Annahmen'!$N$6)</f>
        <v>0.20601866666666668</v>
      </c>
      <c r="K47" s="444">
        <f>K65*(1+'2d. Annahmen'!$N$6)</f>
        <v>0.16944800000000002</v>
      </c>
      <c r="L47" s="444">
        <f>L65*(1+'2d. Annahmen'!$N$6)</f>
        <v>0.13287600000000002</v>
      </c>
      <c r="M47" s="317" t="s">
        <v>265</v>
      </c>
      <c r="N47" s="283"/>
      <c r="O47" s="338"/>
      <c r="P47" s="338"/>
      <c r="Q47" s="338"/>
      <c r="R47" s="441"/>
    </row>
    <row r="48" spans="2:18" x14ac:dyDescent="0.35">
      <c r="B48" s="283"/>
      <c r="C48" s="564"/>
      <c r="D48" s="564"/>
      <c r="E48" s="563" t="s">
        <v>97</v>
      </c>
      <c r="F48" s="280">
        <v>12</v>
      </c>
      <c r="G48" s="442">
        <f>G60*(1+'2d. Annahmen'!$N$7)</f>
        <v>0.66213340972222223</v>
      </c>
      <c r="H48" s="442">
        <f>H60*(1+'2d. Annahmen'!$N$7)</f>
        <v>0.65158944444444444</v>
      </c>
      <c r="I48" s="442">
        <f>I60*(1+'2d. Annahmen'!$N$7)</f>
        <v>0.64104547916666677</v>
      </c>
      <c r="J48" s="442">
        <f>J60*(1+'2d. Annahmen'!$N$7)</f>
        <v>0.6289963819444444</v>
      </c>
      <c r="K48" s="442">
        <f>K60*(1+'2d. Annahmen'!$N$7)</f>
        <v>0.61092139583333327</v>
      </c>
      <c r="L48" s="442">
        <f>L60*(1+'2d. Annahmen'!$N$7)</f>
        <v>0.59284640972222225</v>
      </c>
      <c r="M48" s="443" t="s">
        <v>265</v>
      </c>
      <c r="N48" s="283"/>
      <c r="O48" s="338"/>
      <c r="P48" s="338"/>
      <c r="Q48" s="338"/>
      <c r="R48" s="441"/>
    </row>
    <row r="49" spans="2:18" x14ac:dyDescent="0.35">
      <c r="B49" s="283"/>
      <c r="C49" s="564"/>
      <c r="D49" s="564"/>
      <c r="E49" s="564"/>
      <c r="F49" s="279">
        <v>24</v>
      </c>
      <c r="G49" s="444">
        <f>G61*(1+'2d. Annahmen'!$N$7)</f>
        <v>0.60959452083333343</v>
      </c>
      <c r="H49" s="444">
        <f>H61*(1+'2d. Annahmen'!$N$7)</f>
        <v>0.59100888888888892</v>
      </c>
      <c r="I49" s="444">
        <f>I61*(1+'2d. Annahmen'!$N$7)</f>
        <v>0.57242325694444451</v>
      </c>
      <c r="J49" s="444">
        <f>J61*(1+'2d. Annahmen'!$N$7)</f>
        <v>0.55118387499999999</v>
      </c>
      <c r="K49" s="444">
        <f>K61*(1+'2d. Annahmen'!$N$7)</f>
        <v>0.51932279166666673</v>
      </c>
      <c r="L49" s="444">
        <f>L61*(1+'2d. Annahmen'!$N$7)</f>
        <v>0.48746304861111117</v>
      </c>
      <c r="M49" s="317" t="s">
        <v>265</v>
      </c>
      <c r="N49" s="283"/>
      <c r="O49" s="338"/>
      <c r="P49" s="338"/>
      <c r="Q49" s="338"/>
      <c r="R49" s="441"/>
    </row>
    <row r="50" spans="2:18" x14ac:dyDescent="0.35">
      <c r="B50" s="283"/>
      <c r="C50" s="564"/>
      <c r="D50" s="564"/>
      <c r="E50" s="564"/>
      <c r="F50" s="279">
        <v>36</v>
      </c>
      <c r="G50" s="444">
        <f>G62*(1+'2d. Annahmen'!$N$7)</f>
        <v>0.55004999999999993</v>
      </c>
      <c r="H50" s="444">
        <f>H62*(1+'2d. Annahmen'!$N$7)</f>
        <v>0.52592499999999998</v>
      </c>
      <c r="I50" s="444">
        <f>I62*(1+'2d. Annahmen'!$N$7)</f>
        <v>0.50180000000000002</v>
      </c>
      <c r="J50" s="444">
        <f>J62*(1+'2d. Annahmen'!$N$7)</f>
        <v>0.47422914583333337</v>
      </c>
      <c r="K50" s="444">
        <f>K62*(1+'2d. Annahmen'!$N$7)</f>
        <v>0.43287085416666671</v>
      </c>
      <c r="L50" s="444">
        <f>L62*(1+'2d. Annahmen'!$N$7)</f>
        <v>0.39151390277777781</v>
      </c>
      <c r="M50" s="317" t="s">
        <v>265</v>
      </c>
      <c r="N50" s="283"/>
      <c r="O50" s="338"/>
      <c r="P50" s="338"/>
      <c r="Q50" s="338"/>
      <c r="R50" s="441"/>
    </row>
    <row r="51" spans="2:18" x14ac:dyDescent="0.35">
      <c r="B51" s="283"/>
      <c r="C51" s="564"/>
      <c r="D51" s="564"/>
      <c r="E51" s="564"/>
      <c r="F51" s="279">
        <v>48</v>
      </c>
      <c r="G51" s="444">
        <f>G63*(1+'2d. Annahmen'!$N$7)</f>
        <v>0.48350118749999998</v>
      </c>
      <c r="H51" s="444">
        <f>H63*(1+'2d. Annahmen'!$N$7)</f>
        <v>0.45633777777777779</v>
      </c>
      <c r="I51" s="444">
        <f>I63*(1+'2d. Annahmen'!$N$7)</f>
        <v>0.42917436805555559</v>
      </c>
      <c r="J51" s="444">
        <f>J63*(1+'2d. Annahmen'!$N$7)</f>
        <v>0.39813085416666666</v>
      </c>
      <c r="K51" s="444">
        <f>K63*(1+'2d. Annahmen'!$N$7)</f>
        <v>0.35156692361111114</v>
      </c>
      <c r="L51" s="444">
        <f>L63*(1+'2d. Annahmen'!$N$7)</f>
        <v>0.30500165277777774</v>
      </c>
      <c r="M51" s="317" t="s">
        <v>265</v>
      </c>
      <c r="N51" s="283"/>
      <c r="O51" s="338"/>
      <c r="P51" s="338"/>
      <c r="Q51" s="338"/>
      <c r="R51" s="441"/>
    </row>
    <row r="52" spans="2:18" x14ac:dyDescent="0.35">
      <c r="B52" s="283"/>
      <c r="C52" s="564"/>
      <c r="D52" s="564"/>
      <c r="E52" s="564"/>
      <c r="F52" s="279">
        <v>60</v>
      </c>
      <c r="G52" s="444">
        <f>G64*(1+'2d. Annahmen'!$N$7)</f>
        <v>0.38680416666666667</v>
      </c>
      <c r="H52" s="444">
        <f>H64*(1+'2d. Annahmen'!$N$7)</f>
        <v>0.36066875000000004</v>
      </c>
      <c r="I52" s="444">
        <f>I64*(1+'2d. Annahmen'!$N$7)</f>
        <v>0.3345333333333334</v>
      </c>
      <c r="J52" s="444">
        <f>J64*(1+'2d. Annahmen'!$N$7)</f>
        <v>0.30385973611111117</v>
      </c>
      <c r="K52" s="444">
        <f>K64*(1+'2d. Annahmen'!$N$7)</f>
        <v>0.25986109722222223</v>
      </c>
      <c r="L52" s="444">
        <f>L64*(1+'2d. Annahmen'!$N$7)</f>
        <v>0.21505695138888889</v>
      </c>
      <c r="M52" s="317" t="s">
        <v>265</v>
      </c>
      <c r="N52" s="283"/>
      <c r="O52" s="338"/>
      <c r="P52" s="338"/>
      <c r="Q52" s="338"/>
      <c r="R52" s="441"/>
    </row>
    <row r="53" spans="2:18" x14ac:dyDescent="0.35">
      <c r="B53" s="283"/>
      <c r="C53" s="564"/>
      <c r="D53" s="572"/>
      <c r="E53" s="564"/>
      <c r="F53" s="279">
        <v>72</v>
      </c>
      <c r="G53" s="444">
        <f>G65*(1+'2d. Annahmen'!$N$7)</f>
        <v>0.27448888888888889</v>
      </c>
      <c r="H53" s="444">
        <f>H65*(1+'2d. Annahmen'!$N$7)</f>
        <v>0.25304444444444446</v>
      </c>
      <c r="I53" s="444">
        <f>I65*(1+'2d. Annahmen'!$N$7)</f>
        <v>0.23159999999999997</v>
      </c>
      <c r="J53" s="444">
        <f>J65*(1+'2d. Annahmen'!$N$7)</f>
        <v>0.20709168055555557</v>
      </c>
      <c r="K53" s="444">
        <f>K65*(1+'2d. Annahmen'!$N$7)</f>
        <v>0.17033054166666667</v>
      </c>
      <c r="L53" s="444">
        <f>L65*(1+'2d. Annahmen'!$N$7)</f>
        <v>0.13356806250000003</v>
      </c>
      <c r="M53" s="317" t="s">
        <v>265</v>
      </c>
      <c r="N53" s="283"/>
      <c r="O53" s="338"/>
      <c r="P53" s="338"/>
      <c r="Q53" s="338"/>
      <c r="R53" s="441"/>
    </row>
    <row r="54" spans="2:18" x14ac:dyDescent="0.35">
      <c r="B54" s="283"/>
      <c r="C54" s="563" t="s">
        <v>552</v>
      </c>
      <c r="D54" s="563" t="s">
        <v>565</v>
      </c>
      <c r="E54" s="563" t="s">
        <v>547</v>
      </c>
      <c r="F54" s="280">
        <v>12</v>
      </c>
      <c r="G54" s="442">
        <f>G60*(1+'2d. Annahmen'!$K$13)</f>
        <v>0.69644084027777775</v>
      </c>
      <c r="H54" s="442">
        <f>H60*(1+'2d. Annahmen'!$K$13)</f>
        <v>0.68535055555555557</v>
      </c>
      <c r="I54" s="442">
        <f>I60*(1+'2d. Annahmen'!$K$13)</f>
        <v>0.6742602708333334</v>
      </c>
      <c r="J54" s="442">
        <f>J60*(1+'2d. Annahmen'!$K$13)</f>
        <v>0.66158686805555544</v>
      </c>
      <c r="K54" s="442">
        <f>K60*(1+'2d. Annahmen'!$K$13)</f>
        <v>0.64257535416666656</v>
      </c>
      <c r="L54" s="442">
        <f>L60*(1+'2d. Annahmen'!$K$13)</f>
        <v>0.62356384027777778</v>
      </c>
      <c r="M54" s="443" t="s">
        <v>265</v>
      </c>
      <c r="N54" s="283"/>
      <c r="O54" s="338"/>
      <c r="P54" s="338"/>
      <c r="Q54" s="338"/>
      <c r="R54" s="441"/>
    </row>
    <row r="55" spans="2:18" x14ac:dyDescent="0.35">
      <c r="B55" s="283"/>
      <c r="C55" s="564"/>
      <c r="D55" s="564"/>
      <c r="E55" s="564"/>
      <c r="F55" s="279">
        <v>24</v>
      </c>
      <c r="G55" s="444">
        <f>G61*(1+'2d. Annahmen'!$K$13)</f>
        <v>0.64117972916666666</v>
      </c>
      <c r="H55" s="444">
        <f>H61*(1+'2d. Annahmen'!$K$13)</f>
        <v>0.62163111111111102</v>
      </c>
      <c r="I55" s="444">
        <f>I61*(1+'2d. Annahmen'!$K$13)</f>
        <v>0.60208249305555561</v>
      </c>
      <c r="J55" s="444">
        <f>J61*(1+'2d. Annahmen'!$K$13)</f>
        <v>0.57974262499999996</v>
      </c>
      <c r="K55" s="444">
        <f>K61*(1+'2d. Annahmen'!$K$13)</f>
        <v>0.54623070833333331</v>
      </c>
      <c r="L55" s="444">
        <f>L61*(1+'2d. Annahmen'!$K$13)</f>
        <v>0.51272020138888885</v>
      </c>
      <c r="M55" s="317" t="s">
        <v>265</v>
      </c>
      <c r="N55" s="283"/>
      <c r="O55" s="338"/>
      <c r="P55" s="338"/>
      <c r="Q55" s="338"/>
      <c r="R55" s="441"/>
    </row>
    <row r="56" spans="2:18" x14ac:dyDescent="0.35">
      <c r="B56" s="283"/>
      <c r="C56" s="564"/>
      <c r="D56" s="564"/>
      <c r="E56" s="564"/>
      <c r="F56" s="279">
        <v>36</v>
      </c>
      <c r="G56" s="444">
        <f>G62*(1+'2d. Annahmen'!$K$13)</f>
        <v>0.5785499999999999</v>
      </c>
      <c r="H56" s="444">
        <f>H62*(1+'2d. Annahmen'!$K$13)</f>
        <v>0.55317499999999997</v>
      </c>
      <c r="I56" s="444">
        <f>I62*(1+'2d. Annahmen'!$K$13)</f>
        <v>0.52779999999999994</v>
      </c>
      <c r="J56" s="444">
        <f>J62*(1+'2d. Annahmen'!$K$13)</f>
        <v>0.49880060416666666</v>
      </c>
      <c r="K56" s="444">
        <f>K62*(1+'2d. Annahmen'!$K$13)</f>
        <v>0.45529939583333334</v>
      </c>
      <c r="L56" s="444">
        <f>L62*(1+'2d. Annahmen'!$K$13)</f>
        <v>0.4117995972222222</v>
      </c>
      <c r="M56" s="317" t="s">
        <v>265</v>
      </c>
      <c r="N56" s="283"/>
      <c r="O56" s="338"/>
      <c r="P56" s="338"/>
      <c r="Q56" s="338"/>
      <c r="R56" s="441"/>
    </row>
    <row r="57" spans="2:18" x14ac:dyDescent="0.35">
      <c r="B57" s="283"/>
      <c r="C57" s="564"/>
      <c r="D57" s="564"/>
      <c r="E57" s="564"/>
      <c r="F57" s="279">
        <v>48</v>
      </c>
      <c r="G57" s="444">
        <f>G63*(1+'2d. Annahmen'!$K$13)</f>
        <v>0.50855306249999999</v>
      </c>
      <c r="H57" s="444">
        <f>H63*(1+'2d. Annahmen'!$K$13)</f>
        <v>0.4799822222222222</v>
      </c>
      <c r="I57" s="444">
        <f>I63*(1+'2d. Annahmen'!$K$13)</f>
        <v>0.45141138194444441</v>
      </c>
      <c r="J57" s="444">
        <f>J63*(1+'2d. Annahmen'!$K$13)</f>
        <v>0.41875939583333327</v>
      </c>
      <c r="K57" s="444">
        <f>K63*(1+'2d. Annahmen'!$K$13)</f>
        <v>0.36978282638888887</v>
      </c>
      <c r="L57" s="444">
        <f>L63*(1+'2d. Annahmen'!$K$13)</f>
        <v>0.32080484722222219</v>
      </c>
      <c r="M57" s="317" t="s">
        <v>265</v>
      </c>
      <c r="N57" s="283"/>
      <c r="O57" s="338"/>
      <c r="P57" s="338"/>
      <c r="Q57" s="338"/>
      <c r="R57" s="441"/>
    </row>
    <row r="58" spans="2:18" x14ac:dyDescent="0.35">
      <c r="B58" s="283"/>
      <c r="C58" s="564"/>
      <c r="D58" s="564"/>
      <c r="E58" s="564"/>
      <c r="F58" s="279">
        <v>60</v>
      </c>
      <c r="G58" s="444">
        <f>G64*(1+'2d. Annahmen'!$K$13)</f>
        <v>0.40684583333333335</v>
      </c>
      <c r="H58" s="444">
        <f>H64*(1+'2d. Annahmen'!$K$13)</f>
        <v>0.37935625000000001</v>
      </c>
      <c r="I58" s="444">
        <f>I64*(1+'2d. Annahmen'!$K$13)</f>
        <v>0.35186666666666672</v>
      </c>
      <c r="J58" s="444">
        <f>J64*(1+'2d. Annahmen'!$K$13)</f>
        <v>0.31960376388888889</v>
      </c>
      <c r="K58" s="444">
        <f>K64*(1+'2d. Annahmen'!$K$13)</f>
        <v>0.27332540277777778</v>
      </c>
      <c r="L58" s="444">
        <f>L64*(1+'2d. Annahmen'!$K$13)</f>
        <v>0.22619979861111111</v>
      </c>
      <c r="M58" s="317" t="s">
        <v>265</v>
      </c>
      <c r="N58" s="283"/>
      <c r="O58" s="338"/>
      <c r="P58" s="338"/>
      <c r="Q58" s="338"/>
      <c r="R58" s="441"/>
    </row>
    <row r="59" spans="2:18" x14ac:dyDescent="0.35">
      <c r="B59" s="283"/>
      <c r="C59" s="564"/>
      <c r="D59" s="564"/>
      <c r="E59" s="572"/>
      <c r="F59" s="281">
        <v>72</v>
      </c>
      <c r="G59" s="445">
        <f>G65*(1+'2d. Annahmen'!$K$13)</f>
        <v>0.28871111111111109</v>
      </c>
      <c r="H59" s="445">
        <f>H65*(1+'2d. Annahmen'!$K$13)</f>
        <v>0.26615555555555553</v>
      </c>
      <c r="I59" s="445">
        <f>I65*(1+'2d. Annahmen'!$K$13)</f>
        <v>0.24359999999999996</v>
      </c>
      <c r="J59" s="445">
        <f>J65*(1+'2d. Annahmen'!$K$13)</f>
        <v>0.21782181944444445</v>
      </c>
      <c r="K59" s="445">
        <f>K65*(1+'2d. Annahmen'!$K$13)</f>
        <v>0.17915595833333334</v>
      </c>
      <c r="L59" s="445">
        <f>L65*(1+'2d. Annahmen'!$K$13)</f>
        <v>0.14048868750000001</v>
      </c>
      <c r="M59" s="324" t="s">
        <v>265</v>
      </c>
      <c r="N59" s="283"/>
      <c r="O59" s="338"/>
      <c r="P59" s="338"/>
      <c r="Q59" s="338"/>
      <c r="R59" s="441"/>
    </row>
    <row r="60" spans="2:18" x14ac:dyDescent="0.35">
      <c r="B60" s="283"/>
      <c r="C60" s="564"/>
      <c r="D60" s="564"/>
      <c r="E60" s="563" t="s">
        <v>512</v>
      </c>
      <c r="F60" s="280">
        <v>12</v>
      </c>
      <c r="G60" s="442">
        <f>'2d. Annahmen'!B77</f>
        <v>0.68614861111111114</v>
      </c>
      <c r="H60" s="442">
        <f>'2d. Annahmen'!C77</f>
        <v>0.67522222222222228</v>
      </c>
      <c r="I60" s="442">
        <f>'2d. Annahmen'!D77</f>
        <v>0.66429583333333342</v>
      </c>
      <c r="J60" s="442">
        <f>'2d. Annahmen'!E77</f>
        <v>0.65180972222222222</v>
      </c>
      <c r="K60" s="442">
        <f>'2d. Annahmen'!F77</f>
        <v>0.63307916666666664</v>
      </c>
      <c r="L60" s="442">
        <f>'2d. Annahmen'!G77</f>
        <v>0.61434861111111116</v>
      </c>
      <c r="M60" s="443" t="s">
        <v>265</v>
      </c>
      <c r="N60" s="283"/>
      <c r="O60" s="338"/>
      <c r="P60" s="338"/>
      <c r="Q60" s="338"/>
      <c r="R60" s="441"/>
    </row>
    <row r="61" spans="2:18" x14ac:dyDescent="0.35">
      <c r="B61" s="283"/>
      <c r="C61" s="564"/>
      <c r="D61" s="564"/>
      <c r="E61" s="564"/>
      <c r="F61" s="279">
        <v>24</v>
      </c>
      <c r="G61" s="444">
        <f>'2d. Annahmen'!B78</f>
        <v>0.63170416666666673</v>
      </c>
      <c r="H61" s="444">
        <f>'2d. Annahmen'!C78</f>
        <v>0.61244444444444446</v>
      </c>
      <c r="I61" s="444">
        <f>'2d. Annahmen'!D78</f>
        <v>0.59318472222222229</v>
      </c>
      <c r="J61" s="444">
        <f>'2d. Annahmen'!E78</f>
        <v>0.57117499999999999</v>
      </c>
      <c r="K61" s="444">
        <f>'2d. Annahmen'!F78</f>
        <v>0.53815833333333341</v>
      </c>
      <c r="L61" s="444">
        <f>'2d. Annahmen'!G78</f>
        <v>0.50514305555555561</v>
      </c>
      <c r="M61" s="317" t="s">
        <v>265</v>
      </c>
      <c r="N61" s="283"/>
      <c r="O61" s="338"/>
      <c r="P61" s="338"/>
      <c r="Q61" s="338"/>
      <c r="R61" s="441"/>
    </row>
    <row r="62" spans="2:18" x14ac:dyDescent="0.35">
      <c r="B62" s="283"/>
      <c r="C62" s="564"/>
      <c r="D62" s="564"/>
      <c r="E62" s="564"/>
      <c r="F62" s="279">
        <v>36</v>
      </c>
      <c r="G62" s="444">
        <f>'2d. Annahmen'!B79</f>
        <v>0.56999999999999995</v>
      </c>
      <c r="H62" s="444">
        <f>'2d. Annahmen'!C79</f>
        <v>0.54500000000000004</v>
      </c>
      <c r="I62" s="444">
        <f>'2d. Annahmen'!D79</f>
        <v>0.52</v>
      </c>
      <c r="J62" s="444">
        <f>'2d. Annahmen'!E79</f>
        <v>0.49142916666666669</v>
      </c>
      <c r="K62" s="444">
        <f>'2d. Annahmen'!F79</f>
        <v>0.44857083333333336</v>
      </c>
      <c r="L62" s="444">
        <f>'2d. Annahmen'!G79</f>
        <v>0.40571388888888893</v>
      </c>
      <c r="M62" s="317" t="s">
        <v>265</v>
      </c>
      <c r="N62" s="283"/>
      <c r="O62" s="338"/>
      <c r="P62" s="338"/>
      <c r="Q62" s="338"/>
      <c r="R62" s="441"/>
    </row>
    <row r="63" spans="2:18" x14ac:dyDescent="0.35">
      <c r="B63" s="283"/>
      <c r="C63" s="564"/>
      <c r="D63" s="564"/>
      <c r="E63" s="564"/>
      <c r="F63" s="279">
        <v>48</v>
      </c>
      <c r="G63" s="444">
        <f>'2d. Annahmen'!B80</f>
        <v>0.50103750000000002</v>
      </c>
      <c r="H63" s="444">
        <f>'2d. Annahmen'!C80</f>
        <v>0.47288888888888891</v>
      </c>
      <c r="I63" s="444">
        <f>'2d. Annahmen'!D80</f>
        <v>0.4447402777777778</v>
      </c>
      <c r="J63" s="444">
        <f>'2d. Annahmen'!E80</f>
        <v>0.41257083333333333</v>
      </c>
      <c r="K63" s="444">
        <f>'2d. Annahmen'!F80</f>
        <v>0.36431805555555558</v>
      </c>
      <c r="L63" s="444">
        <f>'2d. Annahmen'!G80</f>
        <v>0.31606388888888887</v>
      </c>
      <c r="M63" s="317" t="s">
        <v>265</v>
      </c>
      <c r="N63" s="283"/>
      <c r="O63" s="338"/>
      <c r="P63" s="338"/>
      <c r="Q63" s="338"/>
      <c r="R63" s="441"/>
    </row>
    <row r="64" spans="2:18" x14ac:dyDescent="0.35">
      <c r="B64" s="283"/>
      <c r="C64" s="564"/>
      <c r="D64" s="564"/>
      <c r="E64" s="564"/>
      <c r="F64" s="279">
        <v>60</v>
      </c>
      <c r="G64" s="444">
        <f>'2d. Annahmen'!B81</f>
        <v>0.40083333333333337</v>
      </c>
      <c r="H64" s="444">
        <f>'2d. Annahmen'!C81</f>
        <v>0.37375000000000003</v>
      </c>
      <c r="I64" s="444">
        <f>'2d. Annahmen'!D81</f>
        <v>0.34666666666666673</v>
      </c>
      <c r="J64" s="444">
        <f>'2d. Annahmen'!E81</f>
        <v>0.31488055555555561</v>
      </c>
      <c r="K64" s="444">
        <f>'2d. Annahmen'!F81</f>
        <v>0.26928611111111111</v>
      </c>
      <c r="L64" s="444">
        <f>'2d. Annahmen'!G81</f>
        <v>0.22285694444444445</v>
      </c>
      <c r="M64" s="317" t="s">
        <v>265</v>
      </c>
      <c r="N64" s="283"/>
      <c r="O64" s="338"/>
      <c r="P64" s="338"/>
      <c r="Q64" s="338"/>
      <c r="R64" s="441"/>
    </row>
    <row r="65" spans="2:18" x14ac:dyDescent="0.35">
      <c r="B65" s="283"/>
      <c r="C65" s="564"/>
      <c r="D65" s="564"/>
      <c r="E65" s="564"/>
      <c r="F65" s="279">
        <v>72</v>
      </c>
      <c r="G65" s="444">
        <f>'2d. Annahmen'!B82</f>
        <v>0.28444444444444444</v>
      </c>
      <c r="H65" s="444">
        <f>'2d. Annahmen'!C82</f>
        <v>0.26222222222222225</v>
      </c>
      <c r="I65" s="444">
        <f>'2d. Annahmen'!D82</f>
        <v>0.24</v>
      </c>
      <c r="J65" s="444">
        <f>'2d. Annahmen'!E82</f>
        <v>0.21460277777777781</v>
      </c>
      <c r="K65" s="444">
        <f>'2d. Annahmen'!F82</f>
        <v>0.17650833333333335</v>
      </c>
      <c r="L65" s="444">
        <f>'2d. Annahmen'!G82</f>
        <v>0.13841250000000002</v>
      </c>
      <c r="M65" s="317" t="s">
        <v>265</v>
      </c>
      <c r="N65" s="283"/>
      <c r="O65" s="338"/>
      <c r="P65" s="338"/>
      <c r="Q65" s="338"/>
      <c r="R65" s="441"/>
    </row>
    <row r="66" spans="2:18" x14ac:dyDescent="0.35">
      <c r="B66" s="283"/>
      <c r="C66" s="564"/>
      <c r="D66" s="564"/>
      <c r="E66" s="563" t="s">
        <v>548</v>
      </c>
      <c r="F66" s="280">
        <v>12</v>
      </c>
      <c r="G66" s="442">
        <f>G60*(1+'2d. Annahmen'!$K$15)</f>
        <v>0.67242563888888895</v>
      </c>
      <c r="H66" s="442">
        <f>H60*(1+'2d. Annahmen'!$K$15)</f>
        <v>0.66171777777777785</v>
      </c>
      <c r="I66" s="442">
        <f>I60*(1+'2d. Annahmen'!$K$15)</f>
        <v>0.65100991666666674</v>
      </c>
      <c r="J66" s="442">
        <f>J60*(1+'2d. Annahmen'!$K$15)</f>
        <v>0.63877352777777774</v>
      </c>
      <c r="K66" s="442">
        <f>K60*(1+'2d. Annahmen'!$K$15)</f>
        <v>0.6204175833333333</v>
      </c>
      <c r="L66" s="442">
        <f>L60*(1+'2d. Annahmen'!$K$15)</f>
        <v>0.60206163888888897</v>
      </c>
      <c r="M66" s="443" t="s">
        <v>265</v>
      </c>
      <c r="N66" s="283"/>
      <c r="O66" s="338"/>
      <c r="P66" s="338"/>
      <c r="Q66" s="338"/>
      <c r="R66" s="441"/>
    </row>
    <row r="67" spans="2:18" x14ac:dyDescent="0.35">
      <c r="B67" s="283"/>
      <c r="C67" s="564"/>
      <c r="D67" s="564"/>
      <c r="E67" s="564"/>
      <c r="F67" s="279">
        <v>24</v>
      </c>
      <c r="G67" s="444">
        <f>G61*(1+'2d. Annahmen'!$K$15)</f>
        <v>0.61907008333333335</v>
      </c>
      <c r="H67" s="444">
        <f>H61*(1+'2d. Annahmen'!$K$15)</f>
        <v>0.60019555555555559</v>
      </c>
      <c r="I67" s="444">
        <f>I61*(1+'2d. Annahmen'!$K$15)</f>
        <v>0.58132102777777783</v>
      </c>
      <c r="J67" s="444">
        <f>J61*(1+'2d. Annahmen'!$K$15)</f>
        <v>0.55975149999999996</v>
      </c>
      <c r="K67" s="444">
        <f>K61*(1+'2d. Annahmen'!$K$15)</f>
        <v>0.52739516666666675</v>
      </c>
      <c r="L67" s="444">
        <f>L61*(1+'2d. Annahmen'!$K$15)</f>
        <v>0.49504019444444447</v>
      </c>
      <c r="M67" s="317" t="s">
        <v>265</v>
      </c>
      <c r="N67" s="283"/>
      <c r="O67" s="338"/>
      <c r="P67" s="338"/>
      <c r="Q67" s="338"/>
      <c r="R67" s="441"/>
    </row>
    <row r="68" spans="2:18" x14ac:dyDescent="0.35">
      <c r="B68" s="283"/>
      <c r="C68" s="564"/>
      <c r="D68" s="564"/>
      <c r="E68" s="564"/>
      <c r="F68" s="279">
        <v>36</v>
      </c>
      <c r="G68" s="444">
        <f>G62*(1+'2d. Annahmen'!$K$15)</f>
        <v>0.55859999999999999</v>
      </c>
      <c r="H68" s="444">
        <f>H62*(1+'2d. Annahmen'!$K$15)</f>
        <v>0.53410000000000002</v>
      </c>
      <c r="I68" s="444">
        <f>I62*(1+'2d. Annahmen'!$K$15)</f>
        <v>0.50960000000000005</v>
      </c>
      <c r="J68" s="444">
        <f>J62*(1+'2d. Annahmen'!$K$15)</f>
        <v>0.48160058333333333</v>
      </c>
      <c r="K68" s="444">
        <f>K62*(1+'2d. Annahmen'!$K$15)</f>
        <v>0.43959941666666669</v>
      </c>
      <c r="L68" s="444">
        <f>L62*(1+'2d. Annahmen'!$K$15)</f>
        <v>0.39759961111111114</v>
      </c>
      <c r="M68" s="317" t="s">
        <v>265</v>
      </c>
      <c r="N68" s="283"/>
      <c r="O68" s="338"/>
      <c r="P68" s="338"/>
      <c r="Q68" s="338"/>
      <c r="R68" s="441"/>
    </row>
    <row r="69" spans="2:18" x14ac:dyDescent="0.35">
      <c r="B69" s="283"/>
      <c r="C69" s="564"/>
      <c r="D69" s="564"/>
      <c r="E69" s="564"/>
      <c r="F69" s="279">
        <v>48</v>
      </c>
      <c r="G69" s="444">
        <f>G63*(1+'2d. Annahmen'!$K$15)</f>
        <v>0.49101675</v>
      </c>
      <c r="H69" s="444">
        <f>H63*(1+'2d. Annahmen'!$K$15)</f>
        <v>0.46343111111111113</v>
      </c>
      <c r="I69" s="444">
        <f>I63*(1+'2d. Annahmen'!$K$15)</f>
        <v>0.43584547222222225</v>
      </c>
      <c r="J69" s="444">
        <f>J63*(1+'2d. Annahmen'!$K$15)</f>
        <v>0.40431941666666665</v>
      </c>
      <c r="K69" s="444">
        <f>K63*(1+'2d. Annahmen'!$K$15)</f>
        <v>0.35703169444444444</v>
      </c>
      <c r="L69" s="444">
        <f>L63*(1+'2d. Annahmen'!$K$15)</f>
        <v>0.30974261111111107</v>
      </c>
      <c r="M69" s="317" t="s">
        <v>265</v>
      </c>
      <c r="N69" s="283"/>
      <c r="O69" s="338"/>
      <c r="P69" s="338"/>
      <c r="Q69" s="338"/>
      <c r="R69" s="441"/>
    </row>
    <row r="70" spans="2:18" x14ac:dyDescent="0.35">
      <c r="B70" s="283"/>
      <c r="C70" s="564"/>
      <c r="D70" s="564"/>
      <c r="E70" s="564"/>
      <c r="F70" s="279">
        <v>60</v>
      </c>
      <c r="G70" s="444">
        <f>G64*(1+'2d. Annahmen'!$K$15)</f>
        <v>0.3928166666666667</v>
      </c>
      <c r="H70" s="444">
        <f>H64*(1+'2d. Annahmen'!$K$15)</f>
        <v>0.36627500000000002</v>
      </c>
      <c r="I70" s="444">
        <f>I64*(1+'2d. Annahmen'!$K$15)</f>
        <v>0.33973333333333339</v>
      </c>
      <c r="J70" s="444">
        <f>J64*(1+'2d. Annahmen'!$K$15)</f>
        <v>0.30858294444444451</v>
      </c>
      <c r="K70" s="444">
        <f>K64*(1+'2d. Annahmen'!$K$15)</f>
        <v>0.26390038888888889</v>
      </c>
      <c r="L70" s="444">
        <f>L64*(1+'2d. Annahmen'!$K$15)</f>
        <v>0.21839980555555555</v>
      </c>
      <c r="M70" s="317" t="s">
        <v>265</v>
      </c>
      <c r="N70" s="283"/>
      <c r="O70" s="338"/>
      <c r="P70" s="338"/>
      <c r="Q70" s="338"/>
      <c r="R70" s="441"/>
    </row>
    <row r="71" spans="2:18" x14ac:dyDescent="0.35">
      <c r="B71" s="283"/>
      <c r="C71" s="564"/>
      <c r="D71" s="564"/>
      <c r="E71" s="564"/>
      <c r="F71" s="279">
        <v>72</v>
      </c>
      <c r="G71" s="444">
        <f>G65*(1+'2d. Annahmen'!$K$15)</f>
        <v>0.27875555555555553</v>
      </c>
      <c r="H71" s="444">
        <f>H65*(1+'2d. Annahmen'!$K$15)</f>
        <v>0.2569777777777778</v>
      </c>
      <c r="I71" s="444">
        <f>I65*(1+'2d. Annahmen'!$K$15)</f>
        <v>0.23519999999999999</v>
      </c>
      <c r="J71" s="444">
        <f>J65*(1+'2d. Annahmen'!$K$15)</f>
        <v>0.21031072222222225</v>
      </c>
      <c r="K71" s="444">
        <f>K65*(1+'2d. Annahmen'!$K$15)</f>
        <v>0.17297816666666668</v>
      </c>
      <c r="L71" s="444">
        <f>L65*(1+'2d. Annahmen'!$K$15)</f>
        <v>0.13564425000000002</v>
      </c>
      <c r="M71" s="317" t="s">
        <v>265</v>
      </c>
      <c r="N71" s="283"/>
      <c r="O71" s="338"/>
      <c r="P71" s="338"/>
      <c r="Q71" s="338"/>
      <c r="R71" s="441"/>
    </row>
    <row r="72" spans="2:18" ht="14.25" customHeight="1" x14ac:dyDescent="0.35">
      <c r="B72" s="283"/>
      <c r="C72" s="564"/>
      <c r="D72" s="564"/>
      <c r="E72" s="563" t="s">
        <v>97</v>
      </c>
      <c r="F72" s="280">
        <v>12</v>
      </c>
      <c r="G72" s="442">
        <f>G60*(1+'2d. Annahmen'!$K$16)</f>
        <v>0.67928712499999999</v>
      </c>
      <c r="H72" s="442">
        <f>H60*(1+'2d. Annahmen'!$K$16)</f>
        <v>0.66847000000000001</v>
      </c>
      <c r="I72" s="442">
        <f>I60*(1+'2d. Annahmen'!$K$16)</f>
        <v>0.65765287500000003</v>
      </c>
      <c r="J72" s="442">
        <f>J60*(1+'2d. Annahmen'!$K$16)</f>
        <v>0.64529162500000004</v>
      </c>
      <c r="K72" s="442">
        <f>K60*(1+'2d. Annahmen'!$K$16)</f>
        <v>0.62674837499999991</v>
      </c>
      <c r="L72" s="442">
        <f>L60*(1+'2d. Annahmen'!$K$16)</f>
        <v>0.60820512500000001</v>
      </c>
      <c r="M72" s="443" t="s">
        <v>265</v>
      </c>
      <c r="N72" s="283"/>
      <c r="O72" s="338"/>
      <c r="P72" s="338"/>
      <c r="Q72" s="338"/>
      <c r="R72" s="441"/>
    </row>
    <row r="73" spans="2:18" x14ac:dyDescent="0.35">
      <c r="B73" s="283"/>
      <c r="C73" s="564"/>
      <c r="D73" s="564"/>
      <c r="E73" s="564"/>
      <c r="F73" s="279">
        <v>24</v>
      </c>
      <c r="G73" s="444">
        <f>G61*(1+'2d. Annahmen'!$K$16)</f>
        <v>0.62538712500000004</v>
      </c>
      <c r="H73" s="444">
        <f>H61*(1+'2d. Annahmen'!$K$16)</f>
        <v>0.60631999999999997</v>
      </c>
      <c r="I73" s="444">
        <f>I61*(1+'2d. Annahmen'!$K$16)</f>
        <v>0.58725287500000012</v>
      </c>
      <c r="J73" s="444">
        <f>J61*(1+'2d. Annahmen'!$K$16)</f>
        <v>0.56546324999999997</v>
      </c>
      <c r="K73" s="444">
        <f>K61*(1+'2d. Annahmen'!$K$16)</f>
        <v>0.53277675000000002</v>
      </c>
      <c r="L73" s="444">
        <f>L61*(1+'2d. Annahmen'!$K$16)</f>
        <v>0.50009162500000004</v>
      </c>
      <c r="M73" s="317" t="s">
        <v>265</v>
      </c>
      <c r="N73" s="283"/>
      <c r="O73" s="338"/>
      <c r="P73" s="338"/>
      <c r="Q73" s="446"/>
      <c r="R73" s="441"/>
    </row>
    <row r="74" spans="2:18" x14ac:dyDescent="0.35">
      <c r="B74" s="283"/>
      <c r="C74" s="564"/>
      <c r="D74" s="564"/>
      <c r="E74" s="564"/>
      <c r="F74" s="279">
        <v>36</v>
      </c>
      <c r="G74" s="444">
        <f>G62*(1+'2d. Annahmen'!$K$16)</f>
        <v>0.56429999999999991</v>
      </c>
      <c r="H74" s="444">
        <f>H62*(1+'2d. Annahmen'!$K$16)</f>
        <v>0.53955000000000009</v>
      </c>
      <c r="I74" s="444">
        <f>I62*(1+'2d. Annahmen'!$K$16)</f>
        <v>0.51480000000000004</v>
      </c>
      <c r="J74" s="444">
        <f>J62*(1+'2d. Annahmen'!$K$16)</f>
        <v>0.48651487500000001</v>
      </c>
      <c r="K74" s="444">
        <f>K62*(1+'2d. Annahmen'!$K$16)</f>
        <v>0.44408512500000002</v>
      </c>
      <c r="L74" s="444">
        <f>L62*(1+'2d. Annahmen'!$K$16)</f>
        <v>0.40165675000000006</v>
      </c>
      <c r="M74" s="317" t="s">
        <v>265</v>
      </c>
      <c r="N74" s="283"/>
      <c r="O74" s="338"/>
      <c r="P74" s="338"/>
      <c r="Q74" s="338"/>
      <c r="R74" s="441"/>
    </row>
    <row r="75" spans="2:18" x14ac:dyDescent="0.35">
      <c r="B75" s="283"/>
      <c r="C75" s="564"/>
      <c r="D75" s="564"/>
      <c r="E75" s="564"/>
      <c r="F75" s="279">
        <v>48</v>
      </c>
      <c r="G75" s="444">
        <f>G63*(1+'2d. Annahmen'!$K$16)</f>
        <v>0.49602712500000001</v>
      </c>
      <c r="H75" s="444">
        <f>H63*(1+'2d. Annahmen'!$K$16)</f>
        <v>0.46816000000000002</v>
      </c>
      <c r="I75" s="444">
        <f>I63*(1+'2d. Annahmen'!$K$16)</f>
        <v>0.44029287500000003</v>
      </c>
      <c r="J75" s="444">
        <f>J63*(1+'2d. Annahmen'!$K$16)</f>
        <v>0.40844512500000002</v>
      </c>
      <c r="K75" s="444">
        <f>K63*(1+'2d. Annahmen'!$K$16)</f>
        <v>0.36067487500000001</v>
      </c>
      <c r="L75" s="444">
        <f>L63*(1+'2d. Annahmen'!$K$16)</f>
        <v>0.31290324999999997</v>
      </c>
      <c r="M75" s="317" t="s">
        <v>265</v>
      </c>
      <c r="N75" s="283"/>
      <c r="O75" s="338"/>
      <c r="P75" s="338"/>
      <c r="Q75" s="338"/>
      <c r="R75" s="441"/>
    </row>
    <row r="76" spans="2:18" x14ac:dyDescent="0.35">
      <c r="B76" s="283"/>
      <c r="C76" s="564"/>
      <c r="D76" s="564"/>
      <c r="E76" s="564"/>
      <c r="F76" s="279">
        <v>60</v>
      </c>
      <c r="G76" s="444">
        <f>G64*(1+'2d. Annahmen'!$K$16)</f>
        <v>0.39682500000000004</v>
      </c>
      <c r="H76" s="444">
        <f>H64*(1+'2d. Annahmen'!$K$16)</f>
        <v>0.37001250000000002</v>
      </c>
      <c r="I76" s="444">
        <f>I64*(1+'2d. Annahmen'!$K$16)</f>
        <v>0.34320000000000006</v>
      </c>
      <c r="J76" s="444">
        <f>J64*(1+'2d. Annahmen'!$K$16)</f>
        <v>0.31173175000000003</v>
      </c>
      <c r="K76" s="444">
        <f>K64*(1+'2d. Annahmen'!$K$16)</f>
        <v>0.26659325</v>
      </c>
      <c r="L76" s="444">
        <f>L64*(1+'2d. Annahmen'!$K$16)</f>
        <v>0.22062837500000002</v>
      </c>
      <c r="M76" s="317" t="s">
        <v>265</v>
      </c>
      <c r="N76" s="283"/>
      <c r="O76" s="338"/>
      <c r="P76" s="338"/>
      <c r="Q76" s="338"/>
      <c r="R76" s="441"/>
    </row>
    <row r="77" spans="2:18" x14ac:dyDescent="0.35">
      <c r="B77" s="283"/>
      <c r="C77" s="564"/>
      <c r="D77" s="564"/>
      <c r="E77" s="564"/>
      <c r="F77" s="279">
        <v>72</v>
      </c>
      <c r="G77" s="444">
        <f>G65*(1+'2d. Annahmen'!$K$16)</f>
        <v>0.28160000000000002</v>
      </c>
      <c r="H77" s="444">
        <f>H65*(1+'2d. Annahmen'!$K$16)</f>
        <v>0.2596</v>
      </c>
      <c r="I77" s="444">
        <f>I65*(1+'2d. Annahmen'!$K$16)</f>
        <v>0.23759999999999998</v>
      </c>
      <c r="J77" s="444">
        <f>J65*(1+'2d. Annahmen'!$K$16)</f>
        <v>0.21245675000000003</v>
      </c>
      <c r="K77" s="444">
        <f>K65*(1+'2d. Annahmen'!$K$16)</f>
        <v>0.17474325000000002</v>
      </c>
      <c r="L77" s="444">
        <f>L65*(1+'2d. Annahmen'!$K$16)</f>
        <v>0.13702837500000001</v>
      </c>
      <c r="M77" s="317" t="s">
        <v>265</v>
      </c>
      <c r="N77" s="283"/>
      <c r="O77" s="338"/>
      <c r="P77" s="338"/>
      <c r="Q77" s="338"/>
      <c r="R77" s="441"/>
    </row>
    <row r="78" spans="2:18" x14ac:dyDescent="0.35">
      <c r="B78" s="283"/>
      <c r="C78" s="285"/>
      <c r="D78" s="285"/>
      <c r="E78" s="283"/>
      <c r="F78" s="438"/>
      <c r="G78" s="438"/>
      <c r="H78" s="438"/>
      <c r="I78" s="438"/>
      <c r="J78" s="283"/>
      <c r="K78" s="283"/>
      <c r="L78" s="283"/>
      <c r="M78" s="283"/>
      <c r="N78" s="283"/>
      <c r="O78" s="338"/>
      <c r="P78" s="338"/>
      <c r="Q78" s="338"/>
      <c r="R78" s="441"/>
    </row>
    <row r="79" spans="2:18" x14ac:dyDescent="0.35">
      <c r="B79" s="283"/>
      <c r="C79" s="283"/>
      <c r="D79" s="283"/>
      <c r="E79" s="283"/>
      <c r="F79" s="283"/>
      <c r="G79" s="283"/>
      <c r="H79" s="283"/>
      <c r="I79" s="283"/>
      <c r="J79" s="283"/>
      <c r="K79" s="283"/>
      <c r="L79" s="283"/>
      <c r="M79" s="283"/>
      <c r="N79" s="283"/>
      <c r="O79" s="338"/>
      <c r="P79" s="338"/>
      <c r="Q79" s="338"/>
      <c r="R79" s="441"/>
    </row>
    <row r="80" spans="2:18" x14ac:dyDescent="0.35">
      <c r="B80" s="283"/>
      <c r="C80" s="265" t="s">
        <v>550</v>
      </c>
      <c r="D80" s="565" t="s">
        <v>553</v>
      </c>
      <c r="E80" s="566"/>
      <c r="F80" s="271" t="s">
        <v>564</v>
      </c>
      <c r="G80" s="484" t="s">
        <v>567</v>
      </c>
      <c r="H80" s="283"/>
      <c r="I80" s="283"/>
      <c r="J80" s="283"/>
      <c r="K80" s="283"/>
      <c r="L80" s="283"/>
      <c r="M80" s="283"/>
      <c r="N80" s="283"/>
      <c r="O80" s="338"/>
      <c r="P80" s="338"/>
      <c r="Q80" s="338"/>
      <c r="R80" s="441"/>
    </row>
    <row r="81" spans="2:21" x14ac:dyDescent="0.35">
      <c r="B81" s="283"/>
      <c r="C81" s="283" t="s">
        <v>551</v>
      </c>
      <c r="D81" s="579" t="s">
        <v>566</v>
      </c>
      <c r="E81" s="580"/>
      <c r="F81" s="447">
        <f>'2d. Annahmen'!B29</f>
        <v>0.1</v>
      </c>
      <c r="G81" s="317" t="s">
        <v>265</v>
      </c>
      <c r="H81" s="283"/>
      <c r="I81" s="283"/>
      <c r="J81" s="283"/>
      <c r="K81" s="283"/>
      <c r="L81" s="283"/>
      <c r="M81" s="283"/>
      <c r="N81" s="283"/>
      <c r="O81" s="338"/>
      <c r="P81" s="338"/>
      <c r="Q81" s="338"/>
      <c r="R81" s="441"/>
      <c r="S81" s="338"/>
      <c r="T81" s="338"/>
      <c r="U81" s="338"/>
    </row>
    <row r="82" spans="2:21" x14ac:dyDescent="0.35">
      <c r="B82" s="283"/>
      <c r="C82" s="428" t="s">
        <v>552</v>
      </c>
      <c r="D82" s="567" t="s">
        <v>566</v>
      </c>
      <c r="E82" s="568"/>
      <c r="F82" s="448">
        <f>'2d. Annahmen'!B30</f>
        <v>0.15</v>
      </c>
      <c r="G82" s="443" t="s">
        <v>265</v>
      </c>
      <c r="H82" s="283"/>
      <c r="I82" s="283"/>
      <c r="J82" s="283"/>
      <c r="K82" s="283"/>
      <c r="L82" s="283"/>
      <c r="M82" s="283"/>
      <c r="N82" s="283"/>
      <c r="O82" s="338"/>
      <c r="P82" s="338"/>
      <c r="Q82" s="338"/>
      <c r="R82" s="441"/>
      <c r="S82" s="338"/>
      <c r="T82" s="338"/>
      <c r="U82" s="338"/>
    </row>
    <row r="83" spans="2:21" x14ac:dyDescent="0.35">
      <c r="B83" s="283"/>
      <c r="C83" s="8"/>
      <c r="D83" s="8"/>
      <c r="E83" s="283"/>
      <c r="F83" s="283"/>
      <c r="G83" s="283"/>
      <c r="H83" s="283"/>
      <c r="I83" s="283"/>
      <c r="J83" s="283"/>
      <c r="K83" s="283"/>
      <c r="L83" s="283"/>
      <c r="M83" s="283"/>
      <c r="N83" s="283"/>
      <c r="O83" s="338"/>
      <c r="P83" s="338"/>
      <c r="Q83" s="338"/>
      <c r="R83" s="441"/>
      <c r="S83" s="338"/>
      <c r="T83" s="338"/>
      <c r="U83" s="338"/>
    </row>
    <row r="88" spans="2:21" x14ac:dyDescent="0.35">
      <c r="B88" s="338"/>
      <c r="C88" s="338"/>
      <c r="D88" s="338"/>
      <c r="E88" s="338"/>
      <c r="F88" s="338"/>
      <c r="G88" s="338"/>
      <c r="H88" s="338"/>
      <c r="I88" s="338"/>
      <c r="J88" s="338"/>
      <c r="K88" s="338"/>
      <c r="L88" s="338"/>
      <c r="M88" s="338"/>
      <c r="N88" s="338"/>
      <c r="O88" s="338"/>
      <c r="P88" s="338"/>
      <c r="Q88" s="338"/>
      <c r="R88" s="338"/>
      <c r="S88" s="338"/>
      <c r="T88" s="338"/>
      <c r="U88" s="449"/>
    </row>
    <row r="95" spans="2:21" x14ac:dyDescent="0.35">
      <c r="B95" s="338"/>
      <c r="C95" s="282"/>
      <c r="D95" s="282"/>
      <c r="E95" s="338"/>
      <c r="F95" s="338"/>
      <c r="G95" s="338"/>
      <c r="H95" s="338"/>
      <c r="I95" s="338"/>
      <c r="J95" s="338"/>
      <c r="K95" s="338"/>
      <c r="L95" s="338"/>
      <c r="M95" s="338"/>
      <c r="N95" s="338"/>
      <c r="O95" s="338"/>
      <c r="P95" s="338"/>
      <c r="Q95" s="338"/>
      <c r="R95" s="338"/>
      <c r="S95" s="338"/>
      <c r="T95" s="338"/>
      <c r="U95" s="338"/>
    </row>
  </sheetData>
  <sheetProtection algorithmName="SHA-512" hashValue="P0JJ3ITPPVITIuaIiBqfoOfNz4k8fOw07323MrNqFDGMi1j53dZn1RoGMct4QcRRjqhT49RVu9daWcPiYzv+eg==" saltValue="mZjufbnup/8vdRUOgto9yQ==" spinCount="100000" sheet="1" objects="1" scenarios="1" formatColumns="0" formatRows="0"/>
  <dataConsolidate/>
  <mergeCells count="48">
    <mergeCell ref="D81:E81"/>
    <mergeCell ref="D82:E82"/>
    <mergeCell ref="E48:E53"/>
    <mergeCell ref="D30:D53"/>
    <mergeCell ref="D54:D77"/>
    <mergeCell ref="D80:E80"/>
    <mergeCell ref="E30:E35"/>
    <mergeCell ref="E36:E41"/>
    <mergeCell ref="E42:E47"/>
    <mergeCell ref="E66:E71"/>
    <mergeCell ref="D24:E24"/>
    <mergeCell ref="D25:E25"/>
    <mergeCell ref="D15:E15"/>
    <mergeCell ref="E54:E59"/>
    <mergeCell ref="E60:E65"/>
    <mergeCell ref="D18:E18"/>
    <mergeCell ref="D19:E19"/>
    <mergeCell ref="D20:E20"/>
    <mergeCell ref="D21:E21"/>
    <mergeCell ref="D22:E22"/>
    <mergeCell ref="D23:E23"/>
    <mergeCell ref="C54:C77"/>
    <mergeCell ref="C30:C53"/>
    <mergeCell ref="D5:E5"/>
    <mergeCell ref="D6:E6"/>
    <mergeCell ref="D7:E7"/>
    <mergeCell ref="D8:E8"/>
    <mergeCell ref="D9:E9"/>
    <mergeCell ref="E72:E77"/>
    <mergeCell ref="C21:C25"/>
    <mergeCell ref="C16:C20"/>
    <mergeCell ref="C6:C9"/>
    <mergeCell ref="C10:C11"/>
    <mergeCell ref="D10:E10"/>
    <mergeCell ref="D11:E11"/>
    <mergeCell ref="D16:E16"/>
    <mergeCell ref="D17:E17"/>
    <mergeCell ref="R4:AC4"/>
    <mergeCell ref="J4:L5"/>
    <mergeCell ref="J8:L8"/>
    <mergeCell ref="F4:I4"/>
    <mergeCell ref="F28:F29"/>
    <mergeCell ref="G28:L28"/>
    <mergeCell ref="F14:I14"/>
    <mergeCell ref="J10:L10"/>
    <mergeCell ref="J6:L6"/>
    <mergeCell ref="S8:W8"/>
    <mergeCell ref="S17:W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8CD61-C194-4226-ABD6-4A397D01AEE1}">
  <sheetPr codeName="Sheet1">
    <tabColor theme="3"/>
  </sheetPr>
  <dimension ref="B2:S373"/>
  <sheetViews>
    <sheetView tabSelected="1" zoomScaleNormal="100" workbookViewId="0">
      <selection activeCell="D12" sqref="D12"/>
    </sheetView>
  </sheetViews>
  <sheetFormatPr defaultColWidth="9.2109375" defaultRowHeight="14.15" x14ac:dyDescent="0.35"/>
  <cols>
    <col min="1" max="1" width="3.35546875" style="221" customWidth="1"/>
    <col min="2" max="2" width="2.640625" style="226" customWidth="1"/>
    <col min="3" max="3" width="60.85546875" style="221" customWidth="1"/>
    <col min="4" max="4" width="18.640625" style="226" customWidth="1"/>
    <col min="5" max="5" width="11.7109375" style="226" customWidth="1"/>
    <col min="6" max="6" width="67.140625" style="227" customWidth="1"/>
    <col min="7" max="7" width="7.2109375" style="221" customWidth="1"/>
    <col min="8" max="8" width="2.640625" style="221" customWidth="1"/>
    <col min="9" max="9" width="69.5" style="221" customWidth="1"/>
    <col min="10" max="11" width="9.2109375" style="221" customWidth="1"/>
    <col min="12" max="12" width="35.640625" style="221" customWidth="1"/>
    <col min="13" max="13" width="9.2109375" style="221"/>
    <col min="14" max="14" width="53.140625" style="221" customWidth="1"/>
    <col min="15" max="15" width="14.35546875" style="221" customWidth="1"/>
    <col min="16" max="16" width="15.2109375" style="221" customWidth="1"/>
    <col min="17" max="17" width="9.2109375" style="221"/>
    <col min="18" max="18" width="53.140625" style="221" customWidth="1"/>
    <col min="19" max="19" width="14.35546875" style="221" customWidth="1"/>
    <col min="20" max="20" width="15.2109375" style="221" customWidth="1"/>
    <col min="21" max="21" width="9.2109375" style="221"/>
    <col min="22" max="22" width="49.35546875" style="221" customWidth="1"/>
    <col min="23" max="23" width="13.35546875" style="221" customWidth="1"/>
    <col min="24" max="24" width="14.2109375" style="221" customWidth="1"/>
    <col min="25" max="16384" width="9.2109375" style="221"/>
  </cols>
  <sheetData>
    <row r="2" spans="2:19" ht="17.600000000000001" x14ac:dyDescent="0.35">
      <c r="B2" s="218"/>
      <c r="C2" s="219" t="s">
        <v>469</v>
      </c>
      <c r="D2" s="218"/>
      <c r="E2" s="218"/>
      <c r="F2" s="220"/>
      <c r="G2" s="284"/>
      <c r="H2" s="284"/>
      <c r="I2" s="284"/>
      <c r="J2" s="284"/>
      <c r="K2" s="284"/>
      <c r="L2" s="284"/>
      <c r="M2" s="284"/>
      <c r="N2" s="284"/>
      <c r="O2" s="284"/>
      <c r="P2" s="284"/>
      <c r="Q2" s="284"/>
      <c r="R2" s="284"/>
      <c r="S2" s="284"/>
    </row>
    <row r="3" spans="2:19" x14ac:dyDescent="0.35">
      <c r="B3" s="285"/>
      <c r="C3" s="286"/>
      <c r="D3" s="285"/>
      <c r="E3" s="285"/>
      <c r="F3" s="287"/>
      <c r="G3" s="284"/>
      <c r="H3" s="284"/>
      <c r="I3" s="284"/>
      <c r="J3" s="284"/>
      <c r="K3" s="284"/>
      <c r="L3" s="284"/>
      <c r="M3" s="284"/>
      <c r="N3" s="284"/>
      <c r="O3" s="284"/>
      <c r="P3" s="284"/>
      <c r="Q3" s="284"/>
      <c r="R3" s="284"/>
      <c r="S3" s="284"/>
    </row>
    <row r="4" spans="2:19" x14ac:dyDescent="0.35">
      <c r="B4" s="285"/>
      <c r="C4" s="286"/>
      <c r="D4" s="487" t="s">
        <v>470</v>
      </c>
      <c r="E4" s="488"/>
      <c r="F4" s="222" t="s">
        <v>473</v>
      </c>
      <c r="G4" s="284"/>
      <c r="H4" s="284"/>
      <c r="I4" s="284"/>
      <c r="J4" s="284"/>
      <c r="K4" s="284"/>
      <c r="L4" s="284"/>
      <c r="M4" s="284"/>
      <c r="N4" s="284"/>
      <c r="O4" s="284"/>
      <c r="P4" s="284"/>
      <c r="Q4" s="284"/>
      <c r="R4" s="284"/>
      <c r="S4" s="284"/>
    </row>
    <row r="5" spans="2:19" x14ac:dyDescent="0.35">
      <c r="B5" s="285"/>
      <c r="C5" s="286"/>
      <c r="D5" s="489" t="s">
        <v>471</v>
      </c>
      <c r="E5" s="490"/>
      <c r="F5" s="222" t="s">
        <v>474</v>
      </c>
      <c r="G5" s="284"/>
      <c r="H5" s="284"/>
      <c r="I5" s="284"/>
      <c r="J5" s="284"/>
      <c r="K5" s="284"/>
      <c r="L5" s="284"/>
      <c r="M5" s="284"/>
      <c r="N5" s="284"/>
      <c r="O5" s="284"/>
      <c r="P5" s="284"/>
      <c r="Q5" s="284"/>
      <c r="R5" s="284"/>
      <c r="S5" s="284"/>
    </row>
    <row r="6" spans="2:19" x14ac:dyDescent="0.35">
      <c r="B6" s="285"/>
      <c r="C6" s="286"/>
      <c r="D6" s="491" t="s">
        <v>472</v>
      </c>
      <c r="E6" s="492"/>
      <c r="F6" s="222" t="s">
        <v>475</v>
      </c>
      <c r="G6" s="284"/>
      <c r="H6" s="284"/>
      <c r="I6" s="284"/>
      <c r="J6" s="284"/>
      <c r="K6" s="284"/>
      <c r="L6" s="284"/>
      <c r="M6" s="284"/>
      <c r="N6" s="284"/>
      <c r="O6" s="284"/>
      <c r="P6" s="284"/>
      <c r="Q6" s="284"/>
      <c r="R6" s="284"/>
      <c r="S6" s="284"/>
    </row>
    <row r="7" spans="2:19" x14ac:dyDescent="0.35">
      <c r="B7" s="285"/>
      <c r="C7" s="286"/>
      <c r="D7" s="285"/>
      <c r="E7" s="285"/>
      <c r="F7" s="287"/>
      <c r="G7" s="284"/>
      <c r="H7" s="284"/>
      <c r="I7" s="284"/>
      <c r="J7" s="284"/>
      <c r="K7" s="284"/>
      <c r="L7" s="284"/>
      <c r="M7" s="284"/>
      <c r="N7" s="284"/>
      <c r="O7" s="284"/>
      <c r="P7" s="284"/>
      <c r="Q7" s="284"/>
      <c r="R7" s="284"/>
      <c r="S7" s="284"/>
    </row>
    <row r="9" spans="2:19" ht="17.600000000000001" x14ac:dyDescent="0.35">
      <c r="B9" s="218"/>
      <c r="C9" s="219" t="s">
        <v>476</v>
      </c>
      <c r="D9" s="218"/>
      <c r="E9" s="218"/>
      <c r="F9" s="220"/>
      <c r="G9" s="284"/>
      <c r="H9" s="284"/>
      <c r="I9" s="284"/>
      <c r="J9" s="284"/>
      <c r="K9" s="284"/>
      <c r="L9" s="284"/>
      <c r="M9" s="284"/>
      <c r="N9" s="284"/>
      <c r="O9" s="284"/>
      <c r="P9" s="284"/>
      <c r="Q9" s="284"/>
      <c r="R9" s="284"/>
      <c r="S9" s="284"/>
    </row>
    <row r="10" spans="2:19" x14ac:dyDescent="0.35">
      <c r="B10" s="223"/>
      <c r="C10" s="224"/>
      <c r="D10" s="285"/>
      <c r="E10" s="285"/>
      <c r="F10" s="287"/>
      <c r="G10" s="284"/>
      <c r="H10" s="284"/>
      <c r="I10" s="284"/>
      <c r="J10" s="284"/>
      <c r="K10" s="284"/>
      <c r="L10" s="284"/>
      <c r="M10" s="284"/>
      <c r="N10" s="284"/>
      <c r="O10" s="284"/>
      <c r="P10" s="284"/>
      <c r="Q10" s="284"/>
      <c r="R10" s="284"/>
      <c r="S10" s="284"/>
    </row>
    <row r="11" spans="2:19" x14ac:dyDescent="0.35">
      <c r="B11" s="223"/>
      <c r="C11" s="224" t="s">
        <v>0</v>
      </c>
      <c r="D11" s="285"/>
      <c r="E11" s="285"/>
      <c r="F11" s="287"/>
      <c r="G11" s="284"/>
      <c r="H11" s="284"/>
      <c r="I11" s="284"/>
      <c r="J11" s="284"/>
      <c r="K11" s="284"/>
      <c r="L11" s="284"/>
      <c r="M11" s="284"/>
      <c r="N11" s="284"/>
      <c r="O11" s="284"/>
      <c r="P11" s="284"/>
      <c r="Q11" s="284"/>
      <c r="R11" s="284"/>
      <c r="S11" s="284"/>
    </row>
    <row r="12" spans="2:19" ht="32.15" x14ac:dyDescent="0.35">
      <c r="B12" s="285"/>
      <c r="C12" s="286" t="s">
        <v>477</v>
      </c>
      <c r="D12" s="288">
        <v>1</v>
      </c>
      <c r="E12" s="285"/>
      <c r="F12" s="225" t="s">
        <v>478</v>
      </c>
      <c r="G12" s="284"/>
      <c r="H12" s="284"/>
      <c r="I12" s="284"/>
      <c r="J12" s="284"/>
      <c r="K12" s="284"/>
      <c r="L12" s="284"/>
      <c r="M12" s="284"/>
      <c r="N12" s="284"/>
      <c r="O12" s="284"/>
      <c r="P12" s="284"/>
      <c r="Q12" s="284"/>
      <c r="R12" s="284"/>
      <c r="S12" s="284"/>
    </row>
    <row r="13" spans="2:19" x14ac:dyDescent="0.35">
      <c r="B13" s="285"/>
      <c r="C13" s="286"/>
      <c r="D13" s="285"/>
      <c r="E13" s="285"/>
      <c r="F13" s="287"/>
      <c r="G13" s="284"/>
      <c r="H13" s="284"/>
      <c r="I13" s="284"/>
      <c r="J13" s="284"/>
      <c r="K13" s="284"/>
      <c r="L13" s="284"/>
      <c r="M13" s="284"/>
      <c r="N13" s="284"/>
      <c r="O13" s="284"/>
      <c r="P13" s="284"/>
      <c r="Q13" s="284"/>
      <c r="R13" s="284"/>
      <c r="S13" s="284"/>
    </row>
    <row r="14" spans="2:19" x14ac:dyDescent="0.35">
      <c r="B14" s="289"/>
      <c r="C14" s="284"/>
      <c r="D14" s="284"/>
      <c r="E14" s="284"/>
      <c r="F14" s="290"/>
      <c r="G14" s="284"/>
      <c r="H14" s="284"/>
      <c r="I14" s="284"/>
      <c r="J14" s="284"/>
      <c r="K14" s="284"/>
      <c r="L14" s="284"/>
      <c r="M14" s="284"/>
      <c r="N14" s="284"/>
      <c r="O14" s="284"/>
      <c r="P14" s="284"/>
      <c r="Q14" s="284"/>
      <c r="R14" s="284"/>
      <c r="S14" s="228"/>
    </row>
    <row r="15" spans="2:19" s="229" customFormat="1" ht="17.600000000000001" x14ac:dyDescent="0.35">
      <c r="B15" s="218"/>
      <c r="C15" s="219" t="s">
        <v>1</v>
      </c>
      <c r="D15" s="218"/>
      <c r="E15" s="218"/>
      <c r="F15" s="220"/>
      <c r="H15" s="219"/>
      <c r="I15" s="219" t="s">
        <v>516</v>
      </c>
      <c r="J15" s="218"/>
      <c r="K15" s="218"/>
      <c r="L15" s="219"/>
    </row>
    <row r="16" spans="2:19" x14ac:dyDescent="0.35">
      <c r="B16" s="230"/>
      <c r="C16" s="231"/>
      <c r="D16" s="285"/>
      <c r="E16" s="285"/>
      <c r="F16" s="287"/>
      <c r="G16" s="284"/>
      <c r="H16" s="231"/>
      <c r="I16" s="231"/>
      <c r="J16" s="285"/>
      <c r="K16" s="286"/>
      <c r="L16" s="286"/>
      <c r="M16" s="284"/>
      <c r="N16" s="284"/>
      <c r="O16" s="284"/>
      <c r="P16" s="284"/>
      <c r="Q16" s="284"/>
      <c r="R16" s="284"/>
      <c r="S16" s="284"/>
    </row>
    <row r="17" spans="2:12" x14ac:dyDescent="0.35">
      <c r="B17" s="223"/>
      <c r="C17" s="224" t="s">
        <v>479</v>
      </c>
      <c r="D17" s="285"/>
      <c r="E17" s="285"/>
      <c r="F17" s="287"/>
      <c r="G17" s="284"/>
      <c r="H17" s="224"/>
      <c r="I17" s="224" t="s">
        <v>517</v>
      </c>
      <c r="J17" s="285"/>
      <c r="K17" s="286"/>
      <c r="L17" s="286"/>
    </row>
    <row r="18" spans="2:12" x14ac:dyDescent="0.35">
      <c r="B18" s="285"/>
      <c r="C18" s="286" t="s">
        <v>480</v>
      </c>
      <c r="D18" s="291">
        <v>1</v>
      </c>
      <c r="E18" s="292"/>
      <c r="F18" s="232"/>
      <c r="G18" s="284"/>
      <c r="H18" s="224"/>
      <c r="I18" s="286" t="s">
        <v>518</v>
      </c>
      <c r="J18" s="293">
        <f>'1a. Defaults Segment-Ebene'!J18</f>
        <v>1.8</v>
      </c>
      <c r="K18" s="286" t="s">
        <v>4</v>
      </c>
      <c r="L18" s="286"/>
    </row>
    <row r="19" spans="2:12" ht="42.9" x14ac:dyDescent="0.35">
      <c r="B19" s="285"/>
      <c r="C19" s="286" t="s">
        <v>481</v>
      </c>
      <c r="D19" s="294" t="s">
        <v>509</v>
      </c>
      <c r="E19" s="285"/>
      <c r="F19" s="232" t="s">
        <v>600</v>
      </c>
      <c r="G19" s="284"/>
      <c r="H19" s="286"/>
      <c r="I19" s="286" t="s">
        <v>519</v>
      </c>
      <c r="J19" s="293">
        <f>'1a. Defaults Segment-Ebene'!J19</f>
        <v>0.24</v>
      </c>
      <c r="K19" s="286" t="s">
        <v>7</v>
      </c>
      <c r="L19" s="286"/>
    </row>
    <row r="20" spans="2:12" x14ac:dyDescent="0.35">
      <c r="B20" s="285"/>
      <c r="C20" s="286" t="s">
        <v>482</v>
      </c>
      <c r="D20" s="294" t="s">
        <v>510</v>
      </c>
      <c r="E20" s="285"/>
      <c r="F20" s="287"/>
      <c r="G20" s="284"/>
      <c r="H20" s="286"/>
      <c r="I20" s="286" t="s">
        <v>520</v>
      </c>
      <c r="J20" s="293">
        <f>'1a. Defaults Segment-Ebene'!J20</f>
        <v>0.24</v>
      </c>
      <c r="K20" s="286" t="s">
        <v>7</v>
      </c>
      <c r="L20" s="286"/>
    </row>
    <row r="21" spans="2:12" ht="21.45" x14ac:dyDescent="0.35">
      <c r="B21" s="285"/>
      <c r="C21" s="286" t="s">
        <v>483</v>
      </c>
      <c r="D21" s="294" t="str">
        <f>'1a. Defaults Segment-Ebene'!D21</f>
        <v>Non</v>
      </c>
      <c r="E21" s="285"/>
      <c r="F21" s="232" t="s">
        <v>484</v>
      </c>
      <c r="G21" s="284"/>
      <c r="H21" s="286"/>
      <c r="I21" s="286" t="s">
        <v>521</v>
      </c>
      <c r="J21" s="293">
        <f>'1a. Defaults Segment-Ebene'!J21</f>
        <v>0.55000000000000004</v>
      </c>
      <c r="K21" s="286" t="s">
        <v>7</v>
      </c>
      <c r="L21" s="286"/>
    </row>
    <row r="22" spans="2:12" x14ac:dyDescent="0.35">
      <c r="B22" s="285"/>
      <c r="C22" s="286"/>
      <c r="D22" s="285"/>
      <c r="E22" s="285"/>
      <c r="F22" s="287"/>
      <c r="G22" s="284"/>
      <c r="H22" s="286"/>
      <c r="I22" s="286"/>
      <c r="J22" s="285"/>
      <c r="K22" s="286"/>
      <c r="L22" s="286"/>
    </row>
    <row r="23" spans="2:12" x14ac:dyDescent="0.35">
      <c r="B23" s="285"/>
      <c r="C23" s="224" t="s">
        <v>485</v>
      </c>
      <c r="D23" s="285"/>
      <c r="E23" s="285"/>
      <c r="F23" s="287"/>
      <c r="G23" s="284"/>
      <c r="H23" s="224"/>
      <c r="I23" s="224" t="s">
        <v>522</v>
      </c>
      <c r="J23" s="285"/>
      <c r="K23" s="286"/>
      <c r="L23" s="286"/>
    </row>
    <row r="24" spans="2:12" x14ac:dyDescent="0.35">
      <c r="B24" s="285"/>
      <c r="C24" s="286" t="s">
        <v>486</v>
      </c>
      <c r="D24" s="294" t="s">
        <v>512</v>
      </c>
      <c r="E24" s="285"/>
      <c r="F24" s="287"/>
      <c r="G24" s="284"/>
      <c r="H24" s="286"/>
      <c r="I24" s="286" t="s">
        <v>523</v>
      </c>
      <c r="J24" s="295">
        <f>'1a. Defaults Segment-Ebene'!J24</f>
        <v>11</v>
      </c>
      <c r="K24" s="286" t="s">
        <v>12</v>
      </c>
      <c r="L24" s="286"/>
    </row>
    <row r="25" spans="2:12" x14ac:dyDescent="0.35">
      <c r="B25" s="285"/>
      <c r="C25" s="286" t="s">
        <v>487</v>
      </c>
      <c r="D25" s="295">
        <f>'1a. Defaults Segment-Ebene'!D25</f>
        <v>5.8</v>
      </c>
      <c r="E25" s="285" t="s">
        <v>13</v>
      </c>
      <c r="F25" s="232" t="str">
        <f>'1a. Defaults Segment-Ebene'!F25</f>
        <v>Valeur par défaut: 5.8 l/100 km</v>
      </c>
      <c r="G25" s="284"/>
      <c r="H25" s="286"/>
      <c r="I25" s="286" t="s">
        <v>524</v>
      </c>
      <c r="J25" s="295">
        <f>'1a. Defaults Segment-Ebene'!J25</f>
        <v>11</v>
      </c>
      <c r="K25" s="286" t="s">
        <v>12</v>
      </c>
      <c r="L25" s="286"/>
    </row>
    <row r="26" spans="2:12" x14ac:dyDescent="0.35">
      <c r="B26" s="285"/>
      <c r="C26" s="286" t="s">
        <v>488</v>
      </c>
      <c r="D26" s="295">
        <f>'1a. Defaults Segment-Ebene'!D26</f>
        <v>15.1</v>
      </c>
      <c r="E26" s="285" t="s">
        <v>14</v>
      </c>
      <c r="F26" s="232" t="str">
        <f>'1a. Defaults Segment-Ebene'!F26</f>
        <v>Valeur par défaut: 15.1 kWh/100 km</v>
      </c>
      <c r="G26" s="284"/>
      <c r="H26" s="286"/>
      <c r="I26" s="286" t="s">
        <v>525</v>
      </c>
      <c r="J26" s="295">
        <f>'1a. Defaults Segment-Ebene'!J26</f>
        <v>250</v>
      </c>
      <c r="K26" s="286" t="s">
        <v>12</v>
      </c>
      <c r="L26" s="286"/>
    </row>
    <row r="27" spans="2:12" ht="32.15" x14ac:dyDescent="0.35">
      <c r="B27" s="285"/>
      <c r="C27" s="296" t="s">
        <v>489</v>
      </c>
      <c r="D27" s="297">
        <f>'1a. Defaults Segment-Ebene'!D27</f>
        <v>58.625</v>
      </c>
      <c r="E27" s="285" t="s">
        <v>15</v>
      </c>
      <c r="F27" s="232" t="str">
        <f>"Capacité de stockage effectivement utilisable, calculée à partir de la capacité brute moins la marge de sécurité et de santé du fabricant. En règle générale, env. 90-95% de la capacité brute. "&amp;'1a. Defaults Segment-Ebene'!F27</f>
        <v>Capacité de stockage effectivement utilisable, calculée à partir de la capacité brute moins la marge de sécurité et de santé du fabricant. En règle générale, env. 90-95% de la capacité brute. Valeur par défaut: 58.6 kWh</v>
      </c>
      <c r="G27" s="284"/>
      <c r="H27" s="286"/>
      <c r="I27" s="286" t="s">
        <v>526</v>
      </c>
      <c r="J27" s="298">
        <f>'1a. Defaults Segment-Ebene'!J27</f>
        <v>40</v>
      </c>
      <c r="K27" s="286" t="s">
        <v>16</v>
      </c>
      <c r="L27" s="286"/>
    </row>
    <row r="28" spans="2:12" x14ac:dyDescent="0.35">
      <c r="B28" s="285"/>
      <c r="C28" s="286"/>
      <c r="D28" s="285"/>
      <c r="E28" s="285"/>
      <c r="F28" s="287"/>
      <c r="G28" s="284"/>
      <c r="H28" s="286"/>
      <c r="I28" s="454" t="s">
        <v>601</v>
      </c>
      <c r="J28" s="298">
        <f>'1a. Defaults Segment-Ebene'!J28</f>
        <v>1</v>
      </c>
      <c r="K28" s="286"/>
      <c r="L28" s="286"/>
    </row>
    <row r="29" spans="2:12" x14ac:dyDescent="0.35">
      <c r="B29" s="223"/>
      <c r="C29" s="224" t="s">
        <v>490</v>
      </c>
      <c r="D29" s="285"/>
      <c r="E29" s="285"/>
      <c r="F29" s="287"/>
      <c r="G29" s="284"/>
      <c r="H29" s="286"/>
      <c r="I29" s="454" t="s">
        <v>602</v>
      </c>
      <c r="J29" s="298">
        <f>'1a. Defaults Segment-Ebene'!J29</f>
        <v>1</v>
      </c>
      <c r="K29" s="286"/>
      <c r="L29" s="286"/>
    </row>
    <row r="30" spans="2:12" ht="32.15" x14ac:dyDescent="0.35">
      <c r="B30" s="285"/>
      <c r="C30" s="286" t="s">
        <v>491</v>
      </c>
      <c r="D30" s="468" t="s">
        <v>511</v>
      </c>
      <c r="E30" s="285"/>
      <c r="F30" s="225" t="s">
        <v>499</v>
      </c>
      <c r="G30" s="284"/>
      <c r="H30" s="286"/>
      <c r="I30" s="286"/>
      <c r="J30" s="286"/>
      <c r="K30" s="286"/>
      <c r="L30" s="286"/>
    </row>
    <row r="31" spans="2:12" x14ac:dyDescent="0.35">
      <c r="B31" s="285"/>
      <c r="C31" s="286" t="s">
        <v>492</v>
      </c>
      <c r="D31" s="295">
        <f>'1a. Defaults Segment-Ebene'!D31</f>
        <v>260</v>
      </c>
      <c r="E31" s="285"/>
      <c r="F31" s="232" t="str">
        <f>'1a. Defaults Segment-Ebene'!F31</f>
        <v>Valeur par défaut: 260</v>
      </c>
      <c r="G31" s="284"/>
      <c r="H31" s="284"/>
      <c r="I31" s="284"/>
      <c r="J31" s="284"/>
      <c r="K31" s="284"/>
      <c r="L31" s="284"/>
    </row>
    <row r="32" spans="2:12" ht="21.45" x14ac:dyDescent="0.35">
      <c r="B32" s="285"/>
      <c r="C32" s="286" t="s">
        <v>493</v>
      </c>
      <c r="D32" s="295">
        <f>'1a. Defaults Segment-Ebene'!D32</f>
        <v>100</v>
      </c>
      <c r="E32" s="285" t="s">
        <v>513</v>
      </c>
      <c r="F32" s="232" t="str">
        <f>"Distance moyenne parcourue par véhicule lors d’une journée de travail type, hors distance domicile-travail. "&amp;'1a. Defaults Segment-Ebene'!F32</f>
        <v>Distance moyenne parcourue par véhicule lors d’une journée de travail type, hors distance domicile-travail. Valeur par défaut: 100 km/jour</v>
      </c>
      <c r="G32" s="284"/>
      <c r="H32" s="284"/>
      <c r="I32" s="284"/>
      <c r="J32" s="284"/>
      <c r="K32" s="284"/>
      <c r="L32" s="284"/>
    </row>
    <row r="33" spans="2:9" x14ac:dyDescent="0.35">
      <c r="B33" s="285"/>
      <c r="C33" s="286" t="s">
        <v>494</v>
      </c>
      <c r="D33" s="295">
        <f>'1a. Defaults Segment-Ebene'!D33</f>
        <v>0</v>
      </c>
      <c r="E33" s="285" t="s">
        <v>513</v>
      </c>
      <c r="F33" s="232" t="str">
        <f>"Distance domicile-travail par véhicule lors d’une journée de travail type. "&amp;'1a. Defaults Segment-Ebene'!F33</f>
        <v>Distance domicile-travail par véhicule lors d’une journée de travail type. Valeur par défaut: 0 km/jour</v>
      </c>
      <c r="G33" s="284"/>
      <c r="H33" s="284"/>
      <c r="I33" s="284"/>
    </row>
    <row r="34" spans="2:9" ht="21.45" x14ac:dyDescent="0.35">
      <c r="B34" s="285"/>
      <c r="C34" s="286" t="s">
        <v>495</v>
      </c>
      <c r="D34" s="295">
        <f>'1a. Defaults Segment-Ebene'!D34</f>
        <v>1</v>
      </c>
      <c r="E34" s="285"/>
      <c r="F34" s="225" t="str">
        <f>"Toutes les utilisations au cours d’une journée de travail type. Une utilisation est définie comme un trajet à partir du site de l’entreprise jusqu’au retour au site de l’entreprise. "&amp;'1a. Defaults Segment-Ebene'!F34</f>
        <v>Toutes les utilisations au cours d’une journée de travail type. Une utilisation est définie comme un trajet à partir du site de l’entreprise jusqu’au retour au site de l’entreprise. Valeur par défaut: 1</v>
      </c>
      <c r="G34" s="284"/>
      <c r="H34" s="284"/>
      <c r="I34" s="284"/>
    </row>
    <row r="35" spans="2:9" x14ac:dyDescent="0.35">
      <c r="B35" s="285"/>
      <c r="C35" s="286" t="s">
        <v>496</v>
      </c>
      <c r="D35" s="299">
        <f>D34</f>
        <v>1</v>
      </c>
      <c r="E35" s="285"/>
      <c r="F35" s="232"/>
      <c r="G35" s="284"/>
      <c r="H35" s="284"/>
      <c r="I35" s="284"/>
    </row>
    <row r="36" spans="2:9" x14ac:dyDescent="0.35">
      <c r="B36" s="285"/>
      <c r="C36" s="286" t="s">
        <v>497</v>
      </c>
      <c r="D36" s="295">
        <f>'1a. Defaults Segment-Ebene'!D36</f>
        <v>1</v>
      </c>
      <c r="E36" s="285" t="s">
        <v>514</v>
      </c>
      <c r="F36" s="232" t="str">
        <f>'1a. Defaults Segment-Ebene'!F36</f>
        <v>Valeur par défaut: 1 Heure</v>
      </c>
      <c r="G36" s="284"/>
      <c r="H36" s="284"/>
      <c r="I36" s="284"/>
    </row>
    <row r="37" spans="2:9" ht="21.45" x14ac:dyDescent="0.35">
      <c r="B37" s="285"/>
      <c r="C37" s="286" t="s">
        <v>498</v>
      </c>
      <c r="D37" s="295">
        <f>'1a. Defaults Segment-Ebene'!D37</f>
        <v>8</v>
      </c>
      <c r="E37" s="285" t="s">
        <v>514</v>
      </c>
      <c r="F37" s="232" t="str">
        <f>"Temps de recharge disponible au domicile ou sur le site de l’entreprise pendant la nuit. "&amp;'1a. Defaults Segment-Ebene'!F37</f>
        <v>Temps de recharge disponible au domicile ou sur le site de l’entreprise pendant la nuit. Valeur par défaut: 8 Heures</v>
      </c>
      <c r="G37" s="284"/>
      <c r="H37" s="284"/>
      <c r="I37" s="284"/>
    </row>
    <row r="38" spans="2:9" ht="21.45" x14ac:dyDescent="0.35">
      <c r="B38" s="285"/>
      <c r="C38" s="454" t="s">
        <v>603</v>
      </c>
      <c r="D38" s="295">
        <f>'1a. Defaults Segment-Ebene'!D38</f>
        <v>1</v>
      </c>
      <c r="E38" s="285"/>
      <c r="F38" s="232" t="str">
        <f>"En cas de travail en équipe, il est généralement possible d’utiliser un point de recharge sur le site de l’entreprise pour plusieurs véhicules. "&amp;'1a. Defaults Segment-Ebene'!F38</f>
        <v>En cas de travail en équipe, il est généralement possible d’utiliser un point de recharge sur le site de l’entreprise pour plusieurs véhicules. Valeur par défaut: 1</v>
      </c>
      <c r="G38" s="284"/>
      <c r="H38" s="284"/>
      <c r="I38" s="284"/>
    </row>
    <row r="39" spans="2:9" x14ac:dyDescent="0.35">
      <c r="B39" s="285"/>
      <c r="C39" s="286"/>
      <c r="D39" s="285"/>
      <c r="E39" s="285"/>
      <c r="F39" s="287"/>
      <c r="G39" s="284"/>
      <c r="H39" s="284"/>
      <c r="I39" s="284"/>
    </row>
    <row r="40" spans="2:9" x14ac:dyDescent="0.35">
      <c r="B40" s="223"/>
      <c r="C40" s="224" t="s">
        <v>500</v>
      </c>
      <c r="D40" s="285"/>
      <c r="E40" s="285"/>
      <c r="F40" s="287"/>
      <c r="G40" s="284"/>
      <c r="H40" s="284"/>
      <c r="I40" s="284"/>
    </row>
    <row r="41" spans="2:9" x14ac:dyDescent="0.35">
      <c r="B41" s="285"/>
      <c r="C41" s="286" t="s">
        <v>501</v>
      </c>
      <c r="D41" s="295">
        <v>48</v>
      </c>
      <c r="E41" s="285" t="s">
        <v>515</v>
      </c>
      <c r="F41" s="232"/>
      <c r="G41" s="284"/>
      <c r="H41" s="284"/>
      <c r="I41" s="284"/>
    </row>
    <row r="42" spans="2:9" x14ac:dyDescent="0.35">
      <c r="B42" s="285"/>
      <c r="C42" s="296" t="s">
        <v>502</v>
      </c>
      <c r="D42" s="300">
        <f>'1a. Defaults Segment-Ebene'!D42</f>
        <v>0.03</v>
      </c>
      <c r="E42" s="301"/>
      <c r="F42" s="232" t="str">
        <f>'1a. Defaults Segment-Ebene'!F42</f>
        <v>Valeur par défaut: 3.0%</v>
      </c>
      <c r="G42" s="284"/>
      <c r="H42" s="284"/>
      <c r="I42" s="284"/>
    </row>
    <row r="43" spans="2:9" x14ac:dyDescent="0.35">
      <c r="B43" s="285"/>
      <c r="C43" s="286" t="s">
        <v>503</v>
      </c>
      <c r="D43" s="302">
        <f>'1a. Defaults Segment-Ebene'!D43</f>
        <v>27219.464999999997</v>
      </c>
      <c r="E43" s="303" t="s">
        <v>24</v>
      </c>
      <c r="F43" s="232" t="str">
        <f>'1a. Defaults Segment-Ebene'!F43</f>
        <v>Valeur par défaut: 27’219 CHF</v>
      </c>
      <c r="G43" s="284"/>
      <c r="H43" s="284"/>
      <c r="I43" s="284"/>
    </row>
    <row r="44" spans="2:9" x14ac:dyDescent="0.35">
      <c r="B44" s="285"/>
      <c r="C44" s="286" t="s">
        <v>504</v>
      </c>
      <c r="D44" s="304">
        <f>'1a. Defaults Segment-Ebene'!D44</f>
        <v>0.05</v>
      </c>
      <c r="E44" s="285" t="s">
        <v>25</v>
      </c>
      <c r="F44" s="232" t="str">
        <f>'1a. Defaults Segment-Ebene'!F44</f>
        <v>Valeur par défaut: 0.050 CHF/km</v>
      </c>
      <c r="G44" s="284"/>
      <c r="H44" s="284"/>
      <c r="I44" s="284"/>
    </row>
    <row r="45" spans="2:9" ht="21.45" x14ac:dyDescent="0.35">
      <c r="B45" s="285"/>
      <c r="C45" s="286" t="s">
        <v>505</v>
      </c>
      <c r="D45" s="300">
        <f>'1a. Defaults Segment-Ebene'!D45</f>
        <v>0.31606388888888887</v>
      </c>
      <c r="E45" s="305"/>
      <c r="F45" s="232" t="str">
        <f>"Valeur résiduelle visée lors de la vente/restitution du véhicule en % des coûts d’acquisition. "&amp;'1a. Defaults Segment-Ebene'!F45</f>
        <v>Valeur résiduelle visée lors de la vente/restitution du véhicule en % des coûts d’acquisition. Valeur par défaut: 31.6%</v>
      </c>
      <c r="G45" s="284"/>
      <c r="H45" s="284"/>
      <c r="I45" s="284"/>
    </row>
    <row r="46" spans="2:9" x14ac:dyDescent="0.35">
      <c r="B46" s="285"/>
      <c r="C46" s="296" t="s">
        <v>506</v>
      </c>
      <c r="D46" s="302">
        <f>'1a. Defaults Segment-Ebene'!D46</f>
        <v>28810.890000000003</v>
      </c>
      <c r="E46" s="303" t="s">
        <v>24</v>
      </c>
      <c r="F46" s="232" t="str">
        <f>'1a. Defaults Segment-Ebene'!F46</f>
        <v>Valeur par défaut: 28’811 CHF</v>
      </c>
      <c r="G46" s="284"/>
      <c r="H46" s="284"/>
      <c r="I46" s="284"/>
    </row>
    <row r="47" spans="2:9" x14ac:dyDescent="0.35">
      <c r="B47" s="285"/>
      <c r="C47" s="306" t="s">
        <v>507</v>
      </c>
      <c r="D47" s="304">
        <f>'1a. Defaults Segment-Ebene'!D47</f>
        <v>2.5000000000000001E-2</v>
      </c>
      <c r="E47" s="285" t="s">
        <v>25</v>
      </c>
      <c r="F47" s="232" t="str">
        <f>'1a. Defaults Segment-Ebene'!F47</f>
        <v>Valeur par défaut: 0.025 CHF/km</v>
      </c>
      <c r="G47" s="284"/>
      <c r="H47" s="284"/>
      <c r="I47" s="307"/>
    </row>
    <row r="48" spans="2:9" ht="21.45" x14ac:dyDescent="0.35">
      <c r="B48" s="285"/>
      <c r="C48" s="306" t="s">
        <v>508</v>
      </c>
      <c r="D48" s="300">
        <f>'1a. Defaults Segment-Ebene'!D48</f>
        <v>0.30658197222222217</v>
      </c>
      <c r="E48" s="308"/>
      <c r="F48" s="232" t="str">
        <f>"Valeur résiduelle visée lors de la vente/restitution du véhicule en % des coûts d’acquisition. "&amp;'1a. Defaults Segment-Ebene'!F48</f>
        <v>Valeur résiduelle visée lors de la vente/restitution du véhicule en % des coûts d’acquisition. Valeur par défaut: 30.7%</v>
      </c>
      <c r="G48" s="284"/>
      <c r="H48" s="284"/>
      <c r="I48" s="284"/>
    </row>
    <row r="49" spans="2:11" x14ac:dyDescent="0.35">
      <c r="B49" s="285"/>
      <c r="C49" s="286"/>
      <c r="D49" s="308"/>
      <c r="E49" s="308"/>
      <c r="F49" s="287"/>
      <c r="G49" s="284"/>
      <c r="H49" s="284"/>
      <c r="I49" s="284"/>
      <c r="J49" s="284"/>
      <c r="K49" s="284"/>
    </row>
    <row r="50" spans="2:11" x14ac:dyDescent="0.35">
      <c r="B50" s="289"/>
      <c r="C50" s="284"/>
      <c r="D50" s="309"/>
      <c r="E50" s="309"/>
      <c r="F50" s="290"/>
      <c r="G50" s="284"/>
      <c r="H50" s="284"/>
      <c r="I50" s="284"/>
      <c r="J50" s="284"/>
      <c r="K50" s="284"/>
    </row>
    <row r="51" spans="2:11" ht="17.600000000000001" x14ac:dyDescent="0.35">
      <c r="B51" s="218"/>
      <c r="C51" s="219" t="s">
        <v>26</v>
      </c>
      <c r="D51" s="218"/>
      <c r="E51" s="218"/>
      <c r="F51" s="220"/>
      <c r="G51" s="284"/>
      <c r="H51" s="284"/>
      <c r="I51" s="284"/>
      <c r="J51" s="310"/>
      <c r="K51" s="310"/>
    </row>
    <row r="52" spans="2:11" x14ac:dyDescent="0.35">
      <c r="B52" s="230"/>
      <c r="C52" s="231"/>
      <c r="D52" s="285"/>
      <c r="E52" s="285"/>
      <c r="F52" s="287"/>
      <c r="G52" s="284"/>
      <c r="H52" s="284"/>
      <c r="I52" s="284"/>
      <c r="J52" s="284"/>
      <c r="K52" s="284"/>
    </row>
    <row r="53" spans="2:11" x14ac:dyDescent="0.35">
      <c r="B53" s="223"/>
      <c r="C53" s="224" t="str">
        <f t="shared" ref="C53:C84" si="0">IF(C17&lt;&gt;"",C17,"")</f>
        <v>Structure des segments</v>
      </c>
      <c r="D53" s="285"/>
      <c r="E53" s="285" t="str">
        <f t="shared" ref="E53:E84" si="1">IF(E17&lt;&gt;"",E17,"")</f>
        <v/>
      </c>
      <c r="F53" s="287"/>
      <c r="G53" s="284"/>
      <c r="H53" s="284"/>
      <c r="I53" s="284"/>
      <c r="J53" s="284"/>
      <c r="K53" s="284"/>
    </row>
    <row r="54" spans="2:11" x14ac:dyDescent="0.35">
      <c r="B54" s="285"/>
      <c r="C54" s="286" t="str">
        <f t="shared" si="0"/>
        <v>Nombre de véhicules</v>
      </c>
      <c r="D54" s="291">
        <v>1</v>
      </c>
      <c r="E54" s="285" t="str">
        <f t="shared" si="1"/>
        <v/>
      </c>
      <c r="F54" s="232"/>
      <c r="G54" s="284"/>
      <c r="H54" s="284"/>
      <c r="I54" s="284"/>
      <c r="J54" s="284"/>
      <c r="K54" s="284"/>
    </row>
    <row r="55" spans="2:11" ht="42.9" x14ac:dyDescent="0.35">
      <c r="B55" s="285"/>
      <c r="C55" s="286" t="str">
        <f t="shared" si="0"/>
        <v>Type d’utilisation</v>
      </c>
      <c r="D55" s="294" t="s">
        <v>509</v>
      </c>
      <c r="E55" s="285" t="str">
        <f t="shared" si="1"/>
        <v/>
      </c>
      <c r="F55" s="232" t="s">
        <v>600</v>
      </c>
      <c r="G55" s="284"/>
      <c r="H55" s="284"/>
      <c r="I55" s="284"/>
      <c r="J55" s="284"/>
      <c r="K55" s="284"/>
    </row>
    <row r="56" spans="2:11" x14ac:dyDescent="0.35">
      <c r="B56" s="285"/>
      <c r="C56" s="286" t="str">
        <f t="shared" si="0"/>
        <v>Domaine d’utilisation</v>
      </c>
      <c r="D56" s="294" t="s">
        <v>510</v>
      </c>
      <c r="E56" s="285" t="str">
        <f t="shared" si="1"/>
        <v/>
      </c>
      <c r="F56" s="232"/>
      <c r="G56" s="284"/>
      <c r="H56" s="284"/>
      <c r="I56" s="284"/>
      <c r="J56" s="284"/>
      <c r="K56" s="284"/>
    </row>
    <row r="57" spans="2:11" ht="21.45" x14ac:dyDescent="0.35">
      <c r="B57" s="285"/>
      <c r="C57" s="286" t="str">
        <f t="shared" si="0"/>
        <v>Possibilité de recharge à domicile</v>
      </c>
      <c r="D57" s="294" t="str">
        <f>'1a. Defaults Segment-Ebene'!D57</f>
        <v>Non</v>
      </c>
      <c r="E57" s="285" t="str">
        <f t="shared" si="1"/>
        <v/>
      </c>
      <c r="F57" s="232" t="s">
        <v>484</v>
      </c>
      <c r="G57" s="284"/>
      <c r="H57" s="284"/>
      <c r="I57" s="284"/>
      <c r="J57" s="284"/>
      <c r="K57" s="284"/>
    </row>
    <row r="58" spans="2:11" x14ac:dyDescent="0.35">
      <c r="B58" s="285"/>
      <c r="C58" s="286" t="str">
        <f t="shared" si="0"/>
        <v/>
      </c>
      <c r="D58" s="285"/>
      <c r="E58" s="285" t="str">
        <f t="shared" si="1"/>
        <v/>
      </c>
      <c r="F58" s="232"/>
      <c r="G58" s="284"/>
      <c r="H58" s="284"/>
      <c r="I58" s="284"/>
      <c r="J58" s="284"/>
      <c r="K58" s="284"/>
    </row>
    <row r="59" spans="2:11" x14ac:dyDescent="0.35">
      <c r="B59" s="285"/>
      <c r="C59" s="224" t="str">
        <f t="shared" si="0"/>
        <v>Données du véhicule</v>
      </c>
      <c r="D59" s="285"/>
      <c r="E59" s="285" t="str">
        <f t="shared" si="1"/>
        <v/>
      </c>
      <c r="F59" s="232"/>
      <c r="G59" s="284"/>
      <c r="H59" s="284"/>
      <c r="I59" s="284"/>
      <c r="J59" s="284"/>
      <c r="K59" s="284"/>
    </row>
    <row r="60" spans="2:11" x14ac:dyDescent="0.35">
      <c r="B60" s="285"/>
      <c r="C60" s="286" t="str">
        <f t="shared" si="0"/>
        <v>Taille du véhicule</v>
      </c>
      <c r="D60" s="294" t="s">
        <v>512</v>
      </c>
      <c r="E60" s="285" t="str">
        <f t="shared" si="1"/>
        <v/>
      </c>
      <c r="F60" s="232"/>
      <c r="G60" s="284"/>
      <c r="H60" s="284"/>
      <c r="I60" s="284"/>
      <c r="J60" s="284"/>
      <c r="K60" s="284"/>
    </row>
    <row r="61" spans="2:11" x14ac:dyDescent="0.35">
      <c r="B61" s="285"/>
      <c r="C61" s="286" t="str">
        <f t="shared" si="0"/>
        <v>Consommation de carburant du véhicule thermique</v>
      </c>
      <c r="D61" s="295">
        <f>'1a. Defaults Segment-Ebene'!D61</f>
        <v>5.8</v>
      </c>
      <c r="E61" s="285" t="str">
        <f t="shared" si="1"/>
        <v>l/100 km</v>
      </c>
      <c r="F61" s="232" t="str">
        <f>'1a. Defaults Segment-Ebene'!F61</f>
        <v>Valeur par défaut: 5.8 l/100 km</v>
      </c>
      <c r="G61" s="284"/>
      <c r="H61" s="284"/>
      <c r="I61" s="284"/>
      <c r="J61" s="284"/>
      <c r="K61" s="284"/>
    </row>
    <row r="62" spans="2:11" x14ac:dyDescent="0.35">
      <c r="B62" s="285"/>
      <c r="C62" s="286" t="str">
        <f t="shared" si="0"/>
        <v>Consommation énergétique du véhicule électrique</v>
      </c>
      <c r="D62" s="295">
        <f>'1a. Defaults Segment-Ebene'!D62</f>
        <v>15.1</v>
      </c>
      <c r="E62" s="285" t="str">
        <f t="shared" si="1"/>
        <v>kWh/100 km</v>
      </c>
      <c r="F62" s="232" t="str">
        <f>'1a. Defaults Segment-Ebene'!F62</f>
        <v>Valeur par défaut: 15.1 kWh/100 km</v>
      </c>
      <c r="G62" s="284"/>
      <c r="H62" s="284"/>
      <c r="I62" s="284"/>
      <c r="J62" s="284"/>
      <c r="K62" s="284"/>
    </row>
    <row r="63" spans="2:11" ht="32.15" x14ac:dyDescent="0.35">
      <c r="B63" s="285"/>
      <c r="C63" s="286" t="str">
        <f t="shared" si="0"/>
        <v>Capacité de la batterie (nette)</v>
      </c>
      <c r="D63" s="295">
        <f>'1a. Defaults Segment-Ebene'!D63</f>
        <v>58.625</v>
      </c>
      <c r="E63" s="285" t="str">
        <f t="shared" si="1"/>
        <v>kWh</v>
      </c>
      <c r="F63" s="232" t="str">
        <f>"Capacité de stockage effectivement utilisable, calculée à partir de la capacité brute moins la marge de sécurité et de santé du fabricant. En règle générale, env. 90-95% de la capacité brute. "&amp;'1a. Defaults Segment-Ebene'!F63</f>
        <v>Capacité de stockage effectivement utilisable, calculée à partir de la capacité brute moins la marge de sécurité et de santé du fabricant. En règle générale, env. 90-95% de la capacité brute. Valeur par défaut: 58.6 kWh</v>
      </c>
      <c r="G63" s="284"/>
      <c r="H63" s="284"/>
      <c r="I63" s="284"/>
      <c r="J63" s="284"/>
      <c r="K63" s="284"/>
    </row>
    <row r="64" spans="2:11" x14ac:dyDescent="0.35">
      <c r="B64" s="285"/>
      <c r="C64" s="286" t="str">
        <f t="shared" si="0"/>
        <v/>
      </c>
      <c r="D64" s="285"/>
      <c r="E64" s="285" t="str">
        <f t="shared" si="1"/>
        <v/>
      </c>
      <c r="F64" s="232"/>
      <c r="G64" s="284"/>
      <c r="H64" s="284"/>
      <c r="I64" s="284"/>
      <c r="J64" s="284"/>
      <c r="K64" s="284"/>
    </row>
    <row r="65" spans="2:6" x14ac:dyDescent="0.35">
      <c r="B65" s="223"/>
      <c r="C65" s="224" t="str">
        <f t="shared" si="0"/>
        <v>Profil de conduite et d’utilisation (indication par véhicule)</v>
      </c>
      <c r="D65" s="285"/>
      <c r="E65" s="285" t="str">
        <f t="shared" si="1"/>
        <v/>
      </c>
      <c r="F65" s="232"/>
    </row>
    <row r="66" spans="2:6" ht="32.15" x14ac:dyDescent="0.35">
      <c r="B66" s="285"/>
      <c r="C66" s="286" t="str">
        <f t="shared" si="0"/>
        <v>Modèle d’utilisation</v>
      </c>
      <c r="D66" s="468" t="s">
        <v>511</v>
      </c>
      <c r="E66" s="285" t="str">
        <f t="shared" si="1"/>
        <v/>
      </c>
      <c r="F66" s="232" t="s">
        <v>499</v>
      </c>
    </row>
    <row r="67" spans="2:6" x14ac:dyDescent="0.35">
      <c r="B67" s="285"/>
      <c r="C67" s="286" t="str">
        <f t="shared" si="0"/>
        <v>Nombre de jours de travail par an</v>
      </c>
      <c r="D67" s="295">
        <f>'1a. Defaults Segment-Ebene'!D67</f>
        <v>260</v>
      </c>
      <c r="E67" s="285" t="str">
        <f t="shared" si="1"/>
        <v/>
      </c>
      <c r="F67" s="232" t="str">
        <f>'1a. Defaults Segment-Ebene'!F67</f>
        <v>Valeur par défaut: 260</v>
      </c>
    </row>
    <row r="68" spans="2:6" ht="21.45" x14ac:dyDescent="0.35">
      <c r="B68" s="285"/>
      <c r="C68" s="286" t="str">
        <f t="shared" si="0"/>
        <v>Distance parcourue pendant le temps de travail</v>
      </c>
      <c r="D68" s="295">
        <f>'1a. Defaults Segment-Ebene'!D68</f>
        <v>100</v>
      </c>
      <c r="E68" s="285" t="str">
        <f t="shared" si="1"/>
        <v>km/jour</v>
      </c>
      <c r="F68" s="232" t="str">
        <f>"Distance moyenne parcourue par véhicule lors d’une journée de travail type, hors distance domicile-travail. "&amp;'1a. Defaults Segment-Ebene'!F68</f>
        <v>Distance moyenne parcourue par véhicule lors d’une journée de travail type, hors distance domicile-travail. Valeur par défaut: 100 km/jour</v>
      </c>
    </row>
    <row r="69" spans="2:6" x14ac:dyDescent="0.35">
      <c r="B69" s="285"/>
      <c r="C69" s="286" t="str">
        <f t="shared" si="0"/>
        <v>Distance domicile-travail (aller-retour)</v>
      </c>
      <c r="D69" s="295">
        <f>'1a. Defaults Segment-Ebene'!D69</f>
        <v>0</v>
      </c>
      <c r="E69" s="285" t="str">
        <f t="shared" si="1"/>
        <v>km/jour</v>
      </c>
      <c r="F69" s="232" t="str">
        <f>"Distance domicile-travail par véhicule lors d’une journée de travail type. "&amp;'1a. Defaults Segment-Ebene'!F69</f>
        <v>Distance domicile-travail par véhicule lors d’une journée de travail type. Valeur par défaut: 0 km/jour</v>
      </c>
    </row>
    <row r="70" spans="2:6" ht="21.45" x14ac:dyDescent="0.35">
      <c r="B70" s="285"/>
      <c r="C70" s="286" t="str">
        <f t="shared" si="0"/>
        <v>Nombre d’utilisations par jour</v>
      </c>
      <c r="D70" s="295">
        <f>'1a. Defaults Segment-Ebene'!D70</f>
        <v>1</v>
      </c>
      <c r="E70" s="285" t="str">
        <f t="shared" si="1"/>
        <v/>
      </c>
      <c r="F70" s="232" t="str">
        <f>"Toutes les utilisations au cours d’une journée de travail type. Une utilisation est définie comme un trajet à partir du site de l’entreprise jusqu’au retour au site de l’entreprise. "&amp;'1a. Defaults Segment-Ebene'!F70</f>
        <v>Toutes les utilisations au cours d’une journée de travail type. Une utilisation est définie comme un trajet à partir du site de l’entreprise jusqu’au retour au site de l’entreprise. Valeur par défaut: 1</v>
      </c>
    </row>
    <row r="71" spans="2:6" x14ac:dyDescent="0.35">
      <c r="B71" s="285"/>
      <c r="C71" s="286" t="str">
        <f t="shared" si="0"/>
        <v>Nombre de pauses par jour</v>
      </c>
      <c r="D71" s="299">
        <f>D70</f>
        <v>1</v>
      </c>
      <c r="E71" s="285" t="str">
        <f t="shared" si="1"/>
        <v/>
      </c>
      <c r="F71" s="232"/>
    </row>
    <row r="72" spans="2:6" x14ac:dyDescent="0.35">
      <c r="B72" s="285"/>
      <c r="C72" s="286" t="str">
        <f t="shared" si="0"/>
        <v>Durée d’immobilisation par pause sur le site de l’entreprise</v>
      </c>
      <c r="D72" s="295">
        <f>'1a. Defaults Segment-Ebene'!D72</f>
        <v>1</v>
      </c>
      <c r="E72" s="285" t="str">
        <f t="shared" si="1"/>
        <v>Heures</v>
      </c>
      <c r="F72" s="232" t="str">
        <f>'1a. Defaults Segment-Ebene'!F72</f>
        <v>Valeur par défaut: 1 Heure</v>
      </c>
    </row>
    <row r="73" spans="2:6" ht="21.45" x14ac:dyDescent="0.35">
      <c r="B73" s="285"/>
      <c r="C73" s="286" t="str">
        <f t="shared" si="0"/>
        <v>Durée d’immobilisation pendant la nuit</v>
      </c>
      <c r="D73" s="295">
        <f>'1a. Defaults Segment-Ebene'!D73</f>
        <v>8</v>
      </c>
      <c r="E73" s="285" t="str">
        <f t="shared" si="1"/>
        <v>Heures</v>
      </c>
      <c r="F73" s="232" t="str">
        <f>"Temps de recharge disponible au domicile ou sur le site de l’entreprise pendant la nuit. "&amp;'1a. Defaults Segment-Ebene'!F73</f>
        <v>Temps de recharge disponible au domicile ou sur le site de l’entreprise pendant la nuit. Valeur par défaut: 8 Heures</v>
      </c>
    </row>
    <row r="74" spans="2:6" ht="21.45" x14ac:dyDescent="0.35">
      <c r="B74" s="285"/>
      <c r="C74" s="286" t="str">
        <f t="shared" si="0"/>
        <v>Véhicules par point de recharge, site de l’entreprise (pendant la journée)</v>
      </c>
      <c r="D74" s="295">
        <f>'1a. Defaults Segment-Ebene'!D74</f>
        <v>1</v>
      </c>
      <c r="E74" s="285" t="str">
        <f t="shared" si="1"/>
        <v/>
      </c>
      <c r="F74" s="232" t="str">
        <f>"En cas de travail en équipe, il est généralement possible d’utiliser un point de recharge sur le site de l’entreprise pour plusieurs véhicules. "&amp;'1a. Defaults Segment-Ebene'!F74</f>
        <v>En cas de travail en équipe, il est généralement possible d’utiliser un point de recharge sur le site de l’entreprise pour plusieurs véhicules. Valeur par défaut: 1</v>
      </c>
    </row>
    <row r="75" spans="2:6" x14ac:dyDescent="0.35">
      <c r="B75" s="285"/>
      <c r="C75" s="286" t="str">
        <f t="shared" si="0"/>
        <v/>
      </c>
      <c r="D75" s="285"/>
      <c r="E75" s="285" t="str">
        <f t="shared" si="1"/>
        <v/>
      </c>
      <c r="F75" s="232"/>
    </row>
    <row r="76" spans="2:6" x14ac:dyDescent="0.35">
      <c r="B76" s="223"/>
      <c r="C76" s="224" t="str">
        <f t="shared" si="0"/>
        <v>Coûts (indication par véhicule)</v>
      </c>
      <c r="D76" s="285"/>
      <c r="E76" s="285" t="str">
        <f t="shared" si="1"/>
        <v/>
      </c>
      <c r="F76" s="232"/>
    </row>
    <row r="77" spans="2:6" x14ac:dyDescent="0.35">
      <c r="B77" s="285"/>
      <c r="C77" s="286" t="str">
        <f t="shared" si="0"/>
        <v>Durée</v>
      </c>
      <c r="D77" s="295">
        <v>48</v>
      </c>
      <c r="E77" s="285" t="str">
        <f t="shared" si="1"/>
        <v>Mois</v>
      </c>
      <c r="F77" s="232"/>
    </row>
    <row r="78" spans="2:6" x14ac:dyDescent="0.35">
      <c r="B78" s="285"/>
      <c r="C78" s="286" t="str">
        <f t="shared" si="0"/>
        <v>Taux d’intérêt du leasing</v>
      </c>
      <c r="D78" s="300">
        <f>'1a. Defaults Segment-Ebene'!D78</f>
        <v>0.03</v>
      </c>
      <c r="E78" s="285" t="str">
        <f t="shared" si="1"/>
        <v/>
      </c>
      <c r="F78" s="232" t="str">
        <f>'1a. Defaults Segment-Ebene'!F78</f>
        <v>Valeur par défaut: 3.0%</v>
      </c>
    </row>
    <row r="79" spans="2:6" x14ac:dyDescent="0.35">
      <c r="B79" s="285"/>
      <c r="C79" s="286" t="str">
        <f t="shared" si="0"/>
        <v>Prix d’acquisition, rabais de flotte du véhicule thermique inclus</v>
      </c>
      <c r="D79" s="302">
        <f>'1a. Defaults Segment-Ebene'!D79</f>
        <v>27219.464999999997</v>
      </c>
      <c r="E79" s="285" t="str">
        <f t="shared" si="1"/>
        <v>CHF</v>
      </c>
      <c r="F79" s="232" t="str">
        <f>'1a. Defaults Segment-Ebene'!F79</f>
        <v>Valeur par défaut: 27’219 CHF</v>
      </c>
    </row>
    <row r="80" spans="2:6" x14ac:dyDescent="0.35">
      <c r="B80" s="285"/>
      <c r="C80" s="286" t="str">
        <f t="shared" si="0"/>
        <v>Frais d’entretien et de réparation du véhicule thermique</v>
      </c>
      <c r="D80" s="304">
        <f>'1a. Defaults Segment-Ebene'!D80</f>
        <v>0.05</v>
      </c>
      <c r="E80" s="285" t="str">
        <f t="shared" si="1"/>
        <v>CHF/km</v>
      </c>
      <c r="F80" s="232" t="str">
        <f>'1a. Defaults Segment-Ebene'!F80</f>
        <v>Valeur par défaut: 0.050 CHF/km</v>
      </c>
    </row>
    <row r="81" spans="2:6" ht="21.45" x14ac:dyDescent="0.35">
      <c r="B81" s="285"/>
      <c r="C81" s="286" t="str">
        <f t="shared" si="0"/>
        <v>Valeur résiduelle du véhicule thermique</v>
      </c>
      <c r="D81" s="300">
        <f>'1a. Defaults Segment-Ebene'!D81</f>
        <v>0.31606388888888887</v>
      </c>
      <c r="E81" s="285" t="str">
        <f t="shared" si="1"/>
        <v/>
      </c>
      <c r="F81" s="232" t="str">
        <f>"Valeur résiduelle visée lors de la vente/restitution du véhicule en % des coûts d’acquisition. "&amp;'1a. Defaults Segment-Ebene'!F81</f>
        <v>Valeur résiduelle visée lors de la vente/restitution du véhicule en % des coûts d’acquisition. Valeur par défaut: 31.6%</v>
      </c>
    </row>
    <row r="82" spans="2:6" x14ac:dyDescent="0.35">
      <c r="B82" s="285"/>
      <c r="C82" s="286" t="str">
        <f t="shared" si="0"/>
        <v>Prix d’acquisition, rabais de flotte du véhicule électrique inclus</v>
      </c>
      <c r="D82" s="302">
        <f>'1a. Defaults Segment-Ebene'!D82</f>
        <v>28810.890000000003</v>
      </c>
      <c r="E82" s="285" t="str">
        <f t="shared" si="1"/>
        <v>CHF</v>
      </c>
      <c r="F82" s="232" t="str">
        <f>'1a. Defaults Segment-Ebene'!F82</f>
        <v>Valeur par défaut: 28’811 CHF</v>
      </c>
    </row>
    <row r="83" spans="2:6" x14ac:dyDescent="0.35">
      <c r="B83" s="285"/>
      <c r="C83" s="306" t="str">
        <f t="shared" si="0"/>
        <v>Frais d’entretien et de réparation du véhicule électrique</v>
      </c>
      <c r="D83" s="311">
        <f>'1a. Defaults Segment-Ebene'!D83</f>
        <v>2.5000000000000001E-2</v>
      </c>
      <c r="E83" s="285" t="str">
        <f t="shared" si="1"/>
        <v>CHF/km</v>
      </c>
      <c r="F83" s="232" t="str">
        <f>'1a. Defaults Segment-Ebene'!F83</f>
        <v>Valeur par défaut: 0.025 CHF/km</v>
      </c>
    </row>
    <row r="84" spans="2:6" ht="21.45" x14ac:dyDescent="0.35">
      <c r="B84" s="285"/>
      <c r="C84" s="306" t="str">
        <f t="shared" si="0"/>
        <v>Valeur résiduelle du véhicule électrique</v>
      </c>
      <c r="D84" s="300">
        <f>'1a. Defaults Segment-Ebene'!D84</f>
        <v>0.30658197222222217</v>
      </c>
      <c r="E84" s="285" t="str">
        <f t="shared" si="1"/>
        <v/>
      </c>
      <c r="F84" s="232" t="str">
        <f>"Valeur résiduelle visée lors de la vente/restitution du véhicule en % des coûts d’acquisition. "&amp;'1a. Defaults Segment-Ebene'!F84</f>
        <v>Valeur résiduelle visée lors de la vente/restitution du véhicule en % des coûts d’acquisition. Valeur par défaut: 30.7%</v>
      </c>
    </row>
    <row r="85" spans="2:6" x14ac:dyDescent="0.35">
      <c r="B85" s="285"/>
      <c r="C85" s="286"/>
      <c r="D85" s="308"/>
      <c r="E85" s="308"/>
      <c r="F85" s="287"/>
    </row>
    <row r="86" spans="2:6" x14ac:dyDescent="0.35">
      <c r="B86" s="289"/>
      <c r="C86" s="284"/>
      <c r="D86" s="309"/>
      <c r="E86" s="309"/>
      <c r="F86" s="290"/>
    </row>
    <row r="87" spans="2:6" ht="17.600000000000001" x14ac:dyDescent="0.35">
      <c r="B87" s="218"/>
      <c r="C87" s="219" t="s">
        <v>27</v>
      </c>
      <c r="D87" s="218"/>
      <c r="E87" s="218"/>
      <c r="F87" s="220"/>
    </row>
    <row r="88" spans="2:6" x14ac:dyDescent="0.35">
      <c r="B88" s="230"/>
      <c r="C88" s="231"/>
      <c r="D88" s="285"/>
      <c r="E88" s="285"/>
      <c r="F88" s="287"/>
    </row>
    <row r="89" spans="2:6" x14ac:dyDescent="0.35">
      <c r="B89" s="223"/>
      <c r="C89" s="224" t="str">
        <f t="shared" ref="C89:C120" si="2">IF(C53&lt;&gt;"",C53,"")</f>
        <v>Structure des segments</v>
      </c>
      <c r="D89" s="285"/>
      <c r="E89" s="285" t="str">
        <f t="shared" ref="E89:E120" si="3">IF(E53&lt;&gt;"",E53,"")</f>
        <v/>
      </c>
      <c r="F89" s="287"/>
    </row>
    <row r="90" spans="2:6" x14ac:dyDescent="0.35">
      <c r="B90" s="285"/>
      <c r="C90" s="286" t="str">
        <f t="shared" si="2"/>
        <v>Nombre de véhicules</v>
      </c>
      <c r="D90" s="291">
        <v>1</v>
      </c>
      <c r="E90" s="292" t="str">
        <f t="shared" si="3"/>
        <v/>
      </c>
      <c r="F90" s="232"/>
    </row>
    <row r="91" spans="2:6" ht="42.9" x14ac:dyDescent="0.35">
      <c r="B91" s="285"/>
      <c r="C91" s="286" t="str">
        <f t="shared" si="2"/>
        <v>Type d’utilisation</v>
      </c>
      <c r="D91" s="294" t="s">
        <v>509</v>
      </c>
      <c r="E91" s="285" t="str">
        <f t="shared" si="3"/>
        <v/>
      </c>
      <c r="F91" s="232" t="s">
        <v>600</v>
      </c>
    </row>
    <row r="92" spans="2:6" x14ac:dyDescent="0.35">
      <c r="B92" s="285"/>
      <c r="C92" s="286" t="str">
        <f t="shared" si="2"/>
        <v>Domaine d’utilisation</v>
      </c>
      <c r="D92" s="294" t="s">
        <v>510</v>
      </c>
      <c r="E92" s="285" t="str">
        <f t="shared" si="3"/>
        <v/>
      </c>
      <c r="F92" s="232"/>
    </row>
    <row r="93" spans="2:6" ht="21.45" x14ac:dyDescent="0.35">
      <c r="B93" s="285"/>
      <c r="C93" s="286" t="str">
        <f t="shared" si="2"/>
        <v>Possibilité de recharge à domicile</v>
      </c>
      <c r="D93" s="294" t="str">
        <f>'1a. Defaults Segment-Ebene'!D93</f>
        <v>Non</v>
      </c>
      <c r="E93" s="285" t="str">
        <f t="shared" si="3"/>
        <v/>
      </c>
      <c r="F93" s="232" t="s">
        <v>484</v>
      </c>
    </row>
    <row r="94" spans="2:6" x14ac:dyDescent="0.35">
      <c r="B94" s="285"/>
      <c r="C94" s="286" t="str">
        <f t="shared" si="2"/>
        <v/>
      </c>
      <c r="D94" s="285"/>
      <c r="E94" s="285" t="str">
        <f t="shared" si="3"/>
        <v/>
      </c>
      <c r="F94" s="232"/>
    </row>
    <row r="95" spans="2:6" x14ac:dyDescent="0.35">
      <c r="B95" s="285"/>
      <c r="C95" s="224" t="str">
        <f t="shared" si="2"/>
        <v>Données du véhicule</v>
      </c>
      <c r="D95" s="285"/>
      <c r="E95" s="285" t="str">
        <f t="shared" si="3"/>
        <v/>
      </c>
      <c r="F95" s="232"/>
    </row>
    <row r="96" spans="2:6" x14ac:dyDescent="0.35">
      <c r="B96" s="285"/>
      <c r="C96" s="286" t="str">
        <f t="shared" si="2"/>
        <v>Taille du véhicule</v>
      </c>
      <c r="D96" s="294" t="s">
        <v>512</v>
      </c>
      <c r="E96" s="285" t="str">
        <f t="shared" si="3"/>
        <v/>
      </c>
      <c r="F96" s="232"/>
    </row>
    <row r="97" spans="2:6" x14ac:dyDescent="0.35">
      <c r="B97" s="285"/>
      <c r="C97" s="286" t="str">
        <f t="shared" si="2"/>
        <v>Consommation de carburant du véhicule thermique</v>
      </c>
      <c r="D97" s="295">
        <f>'1a. Defaults Segment-Ebene'!D97</f>
        <v>5.8</v>
      </c>
      <c r="E97" s="285" t="str">
        <f t="shared" si="3"/>
        <v>l/100 km</v>
      </c>
      <c r="F97" s="232" t="str">
        <f>'1a. Defaults Segment-Ebene'!F97</f>
        <v>Valeur par défaut: 5.8 l/100 km</v>
      </c>
    </row>
    <row r="98" spans="2:6" x14ac:dyDescent="0.35">
      <c r="B98" s="285"/>
      <c r="C98" s="286" t="str">
        <f t="shared" si="2"/>
        <v>Consommation énergétique du véhicule électrique</v>
      </c>
      <c r="D98" s="295">
        <f>'1a. Defaults Segment-Ebene'!D98</f>
        <v>15.1</v>
      </c>
      <c r="E98" s="285" t="str">
        <f t="shared" si="3"/>
        <v>kWh/100 km</v>
      </c>
      <c r="F98" s="232" t="str">
        <f>'1a. Defaults Segment-Ebene'!F98</f>
        <v>Valeur par défaut: 15.1 kWh/100 km</v>
      </c>
    </row>
    <row r="99" spans="2:6" ht="32.15" x14ac:dyDescent="0.35">
      <c r="B99" s="285"/>
      <c r="C99" s="286" t="str">
        <f t="shared" si="2"/>
        <v>Capacité de la batterie (nette)</v>
      </c>
      <c r="D99" s="295">
        <f>'1a. Defaults Segment-Ebene'!D99</f>
        <v>58.625</v>
      </c>
      <c r="E99" s="285" t="str">
        <f t="shared" si="3"/>
        <v>kWh</v>
      </c>
      <c r="F99" s="232" t="str">
        <f>"Capacité de stockage effectivement utilisable, calculée à partir de la capacité brute moins la marge de sécurité et de santé du fabricant. En règle générale, env. 90-95% de la capacité brute. "&amp;'1a. Defaults Segment-Ebene'!F99</f>
        <v>Capacité de stockage effectivement utilisable, calculée à partir de la capacité brute moins la marge de sécurité et de santé du fabricant. En règle générale, env. 90-95% de la capacité brute. Valeur par défaut: 58.6 kWh</v>
      </c>
    </row>
    <row r="100" spans="2:6" x14ac:dyDescent="0.35">
      <c r="B100" s="285"/>
      <c r="C100" s="286" t="str">
        <f t="shared" si="2"/>
        <v/>
      </c>
      <c r="D100" s="285"/>
      <c r="E100" s="285" t="str">
        <f t="shared" si="3"/>
        <v/>
      </c>
      <c r="F100" s="287"/>
    </row>
    <row r="101" spans="2:6" x14ac:dyDescent="0.35">
      <c r="B101" s="223"/>
      <c r="C101" s="224" t="str">
        <f t="shared" si="2"/>
        <v>Profil de conduite et d’utilisation (indication par véhicule)</v>
      </c>
      <c r="D101" s="285"/>
      <c r="E101" s="285" t="str">
        <f t="shared" si="3"/>
        <v/>
      </c>
      <c r="F101" s="287"/>
    </row>
    <row r="102" spans="2:6" ht="32.15" x14ac:dyDescent="0.35">
      <c r="B102" s="285"/>
      <c r="C102" s="286" t="str">
        <f t="shared" si="2"/>
        <v>Modèle d’utilisation</v>
      </c>
      <c r="D102" s="468" t="s">
        <v>511</v>
      </c>
      <c r="E102" s="285" t="str">
        <f t="shared" si="3"/>
        <v/>
      </c>
      <c r="F102" s="232" t="s">
        <v>499</v>
      </c>
    </row>
    <row r="103" spans="2:6" x14ac:dyDescent="0.35">
      <c r="B103" s="285"/>
      <c r="C103" s="286" t="str">
        <f t="shared" si="2"/>
        <v>Nombre de jours de travail par an</v>
      </c>
      <c r="D103" s="295">
        <f>'1a. Defaults Segment-Ebene'!D103</f>
        <v>260</v>
      </c>
      <c r="E103" s="285" t="str">
        <f t="shared" si="3"/>
        <v/>
      </c>
      <c r="F103" s="232" t="str">
        <f>'1a. Defaults Segment-Ebene'!F103</f>
        <v>Valeur par défaut: 260</v>
      </c>
    </row>
    <row r="104" spans="2:6" ht="21.45" x14ac:dyDescent="0.35">
      <c r="B104" s="285"/>
      <c r="C104" s="286" t="str">
        <f t="shared" si="2"/>
        <v>Distance parcourue pendant le temps de travail</v>
      </c>
      <c r="D104" s="295">
        <f>'1a. Defaults Segment-Ebene'!D104</f>
        <v>100</v>
      </c>
      <c r="E104" s="285" t="str">
        <f t="shared" si="3"/>
        <v>km/jour</v>
      </c>
      <c r="F104" s="232" t="str">
        <f>"Distance moyenne parcourue par véhicule lors d’une journée de travail type, hors distance domicile-travail. "&amp;'1a. Defaults Segment-Ebene'!F104</f>
        <v>Distance moyenne parcourue par véhicule lors d’une journée de travail type, hors distance domicile-travail. Valeur par défaut: 100 km/jour</v>
      </c>
    </row>
    <row r="105" spans="2:6" x14ac:dyDescent="0.35">
      <c r="B105" s="285"/>
      <c r="C105" s="286" t="str">
        <f t="shared" si="2"/>
        <v>Distance domicile-travail (aller-retour)</v>
      </c>
      <c r="D105" s="295">
        <f>'1a. Defaults Segment-Ebene'!D105</f>
        <v>0</v>
      </c>
      <c r="E105" s="285" t="str">
        <f t="shared" si="3"/>
        <v>km/jour</v>
      </c>
      <c r="F105" s="232" t="str">
        <f>"Distance domicile-travail par véhicule lors d’une journée de travail type. "&amp;'1a. Defaults Segment-Ebene'!F105</f>
        <v>Distance domicile-travail par véhicule lors d’une journée de travail type. Valeur par défaut: 0 km/jour</v>
      </c>
    </row>
    <row r="106" spans="2:6" ht="21.45" x14ac:dyDescent="0.35">
      <c r="B106" s="285"/>
      <c r="C106" s="286" t="str">
        <f t="shared" si="2"/>
        <v>Nombre d’utilisations par jour</v>
      </c>
      <c r="D106" s="295">
        <f>'1a. Defaults Segment-Ebene'!D106</f>
        <v>1</v>
      </c>
      <c r="E106" s="285" t="str">
        <f t="shared" si="3"/>
        <v/>
      </c>
      <c r="F106" s="232" t="str">
        <f>"Toutes les utilisations au cours d’une journée de travail type. Une utilisation est définie comme un trajet à partir du site de l’entreprise jusqu’au retour au site de l’entreprise. "&amp;'1a. Defaults Segment-Ebene'!F106</f>
        <v>Toutes les utilisations au cours d’une journée de travail type. Une utilisation est définie comme un trajet à partir du site de l’entreprise jusqu’au retour au site de l’entreprise. Valeur par défaut: 1</v>
      </c>
    </row>
    <row r="107" spans="2:6" x14ac:dyDescent="0.35">
      <c r="B107" s="285"/>
      <c r="C107" s="286" t="str">
        <f t="shared" si="2"/>
        <v>Nombre de pauses par jour</v>
      </c>
      <c r="D107" s="299">
        <f>D106</f>
        <v>1</v>
      </c>
      <c r="E107" s="285" t="str">
        <f t="shared" si="3"/>
        <v/>
      </c>
      <c r="F107" s="232"/>
    </row>
    <row r="108" spans="2:6" x14ac:dyDescent="0.35">
      <c r="B108" s="285"/>
      <c r="C108" s="286" t="str">
        <f t="shared" si="2"/>
        <v>Durée d’immobilisation par pause sur le site de l’entreprise</v>
      </c>
      <c r="D108" s="295">
        <f>'1a. Defaults Segment-Ebene'!D108</f>
        <v>1</v>
      </c>
      <c r="E108" s="285" t="str">
        <f t="shared" si="3"/>
        <v>Heures</v>
      </c>
      <c r="F108" s="232" t="str">
        <f>'1a. Defaults Segment-Ebene'!F108</f>
        <v>Valeur par défaut: 1 Heure</v>
      </c>
    </row>
    <row r="109" spans="2:6" ht="21.45" x14ac:dyDescent="0.35">
      <c r="B109" s="285"/>
      <c r="C109" s="286" t="str">
        <f t="shared" si="2"/>
        <v>Durée d’immobilisation pendant la nuit</v>
      </c>
      <c r="D109" s="295">
        <f>'1a. Defaults Segment-Ebene'!D109</f>
        <v>8</v>
      </c>
      <c r="E109" s="285" t="str">
        <f t="shared" si="3"/>
        <v>Heures</v>
      </c>
      <c r="F109" s="232" t="str">
        <f>"Temps de recharge disponible au domicile ou sur le site de l’entreprise pendant la nuit. "&amp;'1a. Defaults Segment-Ebene'!F109</f>
        <v>Temps de recharge disponible au domicile ou sur le site de l’entreprise pendant la nuit. Valeur par défaut: 8 Heures</v>
      </c>
    </row>
    <row r="110" spans="2:6" ht="21.45" x14ac:dyDescent="0.35">
      <c r="B110" s="285"/>
      <c r="C110" s="286" t="str">
        <f t="shared" si="2"/>
        <v>Véhicules par point de recharge, site de l’entreprise (pendant la journée)</v>
      </c>
      <c r="D110" s="295">
        <f>'1a. Defaults Segment-Ebene'!D110</f>
        <v>1</v>
      </c>
      <c r="E110" s="285" t="str">
        <f t="shared" si="3"/>
        <v/>
      </c>
      <c r="F110" s="232" t="str">
        <f>"En cas de travail en équipe, il est généralement possible d’utiliser un point de recharge sur le site de l’entreprise pour plusieurs véhicules. "&amp;'1a. Defaults Segment-Ebene'!F110</f>
        <v>En cas de travail en équipe, il est généralement possible d’utiliser un point de recharge sur le site de l’entreprise pour plusieurs véhicules. Valeur par défaut: 1</v>
      </c>
    </row>
    <row r="111" spans="2:6" x14ac:dyDescent="0.35">
      <c r="B111" s="285"/>
      <c r="C111" s="286" t="str">
        <f t="shared" si="2"/>
        <v/>
      </c>
      <c r="D111" s="285"/>
      <c r="E111" s="285" t="str">
        <f t="shared" si="3"/>
        <v/>
      </c>
      <c r="F111" s="287"/>
    </row>
    <row r="112" spans="2:6" x14ac:dyDescent="0.35">
      <c r="B112" s="223"/>
      <c r="C112" s="224" t="str">
        <f t="shared" si="2"/>
        <v>Coûts (indication par véhicule)</v>
      </c>
      <c r="D112" s="285"/>
      <c r="E112" s="285" t="str">
        <f t="shared" si="3"/>
        <v/>
      </c>
      <c r="F112" s="287"/>
    </row>
    <row r="113" spans="2:6" x14ac:dyDescent="0.35">
      <c r="B113" s="285"/>
      <c r="C113" s="286" t="str">
        <f t="shared" si="2"/>
        <v>Durée</v>
      </c>
      <c r="D113" s="295">
        <v>48</v>
      </c>
      <c r="E113" s="285" t="str">
        <f t="shared" si="3"/>
        <v>Mois</v>
      </c>
      <c r="F113" s="232"/>
    </row>
    <row r="114" spans="2:6" x14ac:dyDescent="0.35">
      <c r="B114" s="285"/>
      <c r="C114" s="286" t="str">
        <f t="shared" si="2"/>
        <v>Taux d’intérêt du leasing</v>
      </c>
      <c r="D114" s="300">
        <f>'1a. Defaults Segment-Ebene'!D114</f>
        <v>0.03</v>
      </c>
      <c r="E114" s="301" t="str">
        <f t="shared" si="3"/>
        <v/>
      </c>
      <c r="F114" s="232" t="str">
        <f>'1a. Defaults Segment-Ebene'!F114</f>
        <v>Valeur par défaut: 3.0%</v>
      </c>
    </row>
    <row r="115" spans="2:6" x14ac:dyDescent="0.35">
      <c r="B115" s="285"/>
      <c r="C115" s="286" t="str">
        <f t="shared" si="2"/>
        <v>Prix d’acquisition, rabais de flotte du véhicule thermique inclus</v>
      </c>
      <c r="D115" s="302">
        <f>'1a. Defaults Segment-Ebene'!D115</f>
        <v>27219.464999999997</v>
      </c>
      <c r="E115" s="303" t="str">
        <f t="shared" si="3"/>
        <v>CHF</v>
      </c>
      <c r="F115" s="232" t="str">
        <f>'1a. Defaults Segment-Ebene'!F115</f>
        <v>Valeur par défaut: 27’219 CHF</v>
      </c>
    </row>
    <row r="116" spans="2:6" x14ac:dyDescent="0.35">
      <c r="B116" s="285"/>
      <c r="C116" s="286" t="str">
        <f t="shared" si="2"/>
        <v>Frais d’entretien et de réparation du véhicule thermique</v>
      </c>
      <c r="D116" s="304">
        <f>'1a. Defaults Segment-Ebene'!D116</f>
        <v>0.05</v>
      </c>
      <c r="E116" s="285" t="str">
        <f t="shared" si="3"/>
        <v>CHF/km</v>
      </c>
      <c r="F116" s="232" t="str">
        <f>'1a. Defaults Segment-Ebene'!F116</f>
        <v>Valeur par défaut: 0.050 CHF/km</v>
      </c>
    </row>
    <row r="117" spans="2:6" ht="21.45" x14ac:dyDescent="0.35">
      <c r="B117" s="285"/>
      <c r="C117" s="286" t="str">
        <f t="shared" si="2"/>
        <v>Valeur résiduelle du véhicule thermique</v>
      </c>
      <c r="D117" s="300">
        <f>'1a. Defaults Segment-Ebene'!D117</f>
        <v>0.31606388888888887</v>
      </c>
      <c r="E117" s="305" t="str">
        <f t="shared" si="3"/>
        <v/>
      </c>
      <c r="F117" s="232" t="str">
        <f>"Valeur résiduelle visée lors de la vente/restitution du véhicule en % des coûts d’acquisition. "&amp;'1a. Defaults Segment-Ebene'!F117</f>
        <v>Valeur résiduelle visée lors de la vente/restitution du véhicule en % des coûts d’acquisition. Valeur par défaut: 31.6%</v>
      </c>
    </row>
    <row r="118" spans="2:6" x14ac:dyDescent="0.35">
      <c r="B118" s="285"/>
      <c r="C118" s="286" t="str">
        <f t="shared" si="2"/>
        <v>Prix d’acquisition, rabais de flotte du véhicule électrique inclus</v>
      </c>
      <c r="D118" s="302">
        <f>'1a. Defaults Segment-Ebene'!D118</f>
        <v>28810.890000000003</v>
      </c>
      <c r="E118" s="303" t="str">
        <f t="shared" si="3"/>
        <v>CHF</v>
      </c>
      <c r="F118" s="232" t="str">
        <f>'1a. Defaults Segment-Ebene'!F118</f>
        <v>Valeur par défaut: 28’811 CHF</v>
      </c>
    </row>
    <row r="119" spans="2:6" x14ac:dyDescent="0.35">
      <c r="B119" s="285"/>
      <c r="C119" s="306" t="str">
        <f t="shared" si="2"/>
        <v>Frais d’entretien et de réparation du véhicule électrique</v>
      </c>
      <c r="D119" s="311">
        <f>'1a. Defaults Segment-Ebene'!D119</f>
        <v>2.5000000000000001E-2</v>
      </c>
      <c r="E119" s="308" t="str">
        <f t="shared" si="3"/>
        <v>CHF/km</v>
      </c>
      <c r="F119" s="232" t="str">
        <f>'1a. Defaults Segment-Ebene'!F119</f>
        <v>Valeur par défaut: 0.025 CHF/km</v>
      </c>
    </row>
    <row r="120" spans="2:6" ht="21.45" x14ac:dyDescent="0.35">
      <c r="B120" s="285"/>
      <c r="C120" s="306" t="str">
        <f t="shared" si="2"/>
        <v>Valeur résiduelle du véhicule électrique</v>
      </c>
      <c r="D120" s="300">
        <f>'1a. Defaults Segment-Ebene'!D120</f>
        <v>0.30658197222222217</v>
      </c>
      <c r="E120" s="308" t="str">
        <f t="shared" si="3"/>
        <v/>
      </c>
      <c r="F120" s="232" t="str">
        <f>"Valeur résiduelle visée lors de la vente/restitution du véhicule en % des coûts d’acquisition. "&amp;'1a. Defaults Segment-Ebene'!F120</f>
        <v>Valeur résiduelle visée lors de la vente/restitution du véhicule en % des coûts d’acquisition. Valeur par défaut: 30.7%</v>
      </c>
    </row>
    <row r="121" spans="2:6" x14ac:dyDescent="0.35">
      <c r="B121" s="285"/>
      <c r="C121" s="286"/>
      <c r="D121" s="308"/>
      <c r="E121" s="308"/>
      <c r="F121" s="287"/>
    </row>
    <row r="122" spans="2:6" x14ac:dyDescent="0.35">
      <c r="B122" s="289"/>
      <c r="C122" s="284"/>
      <c r="D122" s="309"/>
      <c r="E122" s="309"/>
      <c r="F122" s="290"/>
    </row>
    <row r="123" spans="2:6" ht="17.600000000000001" x14ac:dyDescent="0.35">
      <c r="B123" s="218"/>
      <c r="C123" s="219" t="s">
        <v>28</v>
      </c>
      <c r="D123" s="218"/>
      <c r="E123" s="218"/>
      <c r="F123" s="220"/>
    </row>
    <row r="124" spans="2:6" x14ac:dyDescent="0.35">
      <c r="B124" s="230"/>
      <c r="C124" s="231"/>
      <c r="D124" s="285"/>
      <c r="E124" s="285"/>
      <c r="F124" s="287"/>
    </row>
    <row r="125" spans="2:6" x14ac:dyDescent="0.35">
      <c r="B125" s="223"/>
      <c r="C125" s="224" t="str">
        <f t="shared" ref="C125:C156" si="4">IF(C89&lt;&gt;"",C89,"")</f>
        <v>Structure des segments</v>
      </c>
      <c r="D125" s="285"/>
      <c r="E125" s="285" t="str">
        <f t="shared" ref="E125:E156" si="5">IF(E89&lt;&gt;"",E89,"")</f>
        <v/>
      </c>
      <c r="F125" s="287"/>
    </row>
    <row r="126" spans="2:6" x14ac:dyDescent="0.35">
      <c r="B126" s="285"/>
      <c r="C126" s="286" t="str">
        <f t="shared" si="4"/>
        <v>Nombre de véhicules</v>
      </c>
      <c r="D126" s="291">
        <v>1</v>
      </c>
      <c r="E126" s="292" t="str">
        <f t="shared" si="5"/>
        <v/>
      </c>
      <c r="F126" s="232"/>
    </row>
    <row r="127" spans="2:6" ht="42.9" x14ac:dyDescent="0.35">
      <c r="B127" s="285"/>
      <c r="C127" s="286" t="str">
        <f t="shared" si="4"/>
        <v>Type d’utilisation</v>
      </c>
      <c r="D127" s="294" t="s">
        <v>509</v>
      </c>
      <c r="E127" s="285" t="str">
        <f t="shared" si="5"/>
        <v/>
      </c>
      <c r="F127" s="232" t="s">
        <v>600</v>
      </c>
    </row>
    <row r="128" spans="2:6" x14ac:dyDescent="0.35">
      <c r="B128" s="285"/>
      <c r="C128" s="286" t="str">
        <f t="shared" si="4"/>
        <v>Domaine d’utilisation</v>
      </c>
      <c r="D128" s="294" t="s">
        <v>510</v>
      </c>
      <c r="E128" s="285" t="str">
        <f t="shared" si="5"/>
        <v/>
      </c>
      <c r="F128" s="232"/>
    </row>
    <row r="129" spans="2:6" ht="21.45" x14ac:dyDescent="0.35">
      <c r="B129" s="285"/>
      <c r="C129" s="286" t="str">
        <f t="shared" si="4"/>
        <v>Possibilité de recharge à domicile</v>
      </c>
      <c r="D129" s="294" t="str">
        <f>'1a. Defaults Segment-Ebene'!D129</f>
        <v>Non</v>
      </c>
      <c r="E129" s="285" t="str">
        <f t="shared" si="5"/>
        <v/>
      </c>
      <c r="F129" s="232" t="s">
        <v>484</v>
      </c>
    </row>
    <row r="130" spans="2:6" x14ac:dyDescent="0.35">
      <c r="B130" s="285"/>
      <c r="C130" s="286" t="str">
        <f t="shared" si="4"/>
        <v/>
      </c>
      <c r="D130" s="285"/>
      <c r="E130" s="285" t="str">
        <f t="shared" si="5"/>
        <v/>
      </c>
      <c r="F130" s="232"/>
    </row>
    <row r="131" spans="2:6" x14ac:dyDescent="0.35">
      <c r="B131" s="285"/>
      <c r="C131" s="224" t="str">
        <f t="shared" si="4"/>
        <v>Données du véhicule</v>
      </c>
      <c r="D131" s="285"/>
      <c r="E131" s="285" t="str">
        <f t="shared" si="5"/>
        <v/>
      </c>
      <c r="F131" s="232"/>
    </row>
    <row r="132" spans="2:6" x14ac:dyDescent="0.35">
      <c r="B132" s="285"/>
      <c r="C132" s="286" t="str">
        <f t="shared" si="4"/>
        <v>Taille du véhicule</v>
      </c>
      <c r="D132" s="294" t="s">
        <v>512</v>
      </c>
      <c r="E132" s="285" t="str">
        <f t="shared" si="5"/>
        <v/>
      </c>
      <c r="F132" s="232"/>
    </row>
    <row r="133" spans="2:6" x14ac:dyDescent="0.35">
      <c r="B133" s="285"/>
      <c r="C133" s="286" t="str">
        <f t="shared" si="4"/>
        <v>Consommation de carburant du véhicule thermique</v>
      </c>
      <c r="D133" s="295">
        <f>'1a. Defaults Segment-Ebene'!D133</f>
        <v>5.8</v>
      </c>
      <c r="E133" s="285" t="str">
        <f t="shared" si="5"/>
        <v>l/100 km</v>
      </c>
      <c r="F133" s="232" t="str">
        <f>'1a. Defaults Segment-Ebene'!F133</f>
        <v>Valeur par défaut: 5.8 l/100 km</v>
      </c>
    </row>
    <row r="134" spans="2:6" x14ac:dyDescent="0.35">
      <c r="B134" s="285"/>
      <c r="C134" s="286" t="str">
        <f t="shared" si="4"/>
        <v>Consommation énergétique du véhicule électrique</v>
      </c>
      <c r="D134" s="295">
        <f>'1a. Defaults Segment-Ebene'!D134</f>
        <v>15.1</v>
      </c>
      <c r="E134" s="285" t="str">
        <f t="shared" si="5"/>
        <v>kWh/100 km</v>
      </c>
      <c r="F134" s="232" t="str">
        <f>'1a. Defaults Segment-Ebene'!F134</f>
        <v>Valeur par défaut: 15.1 kWh/100 km</v>
      </c>
    </row>
    <row r="135" spans="2:6" ht="32.15" x14ac:dyDescent="0.35">
      <c r="B135" s="285"/>
      <c r="C135" s="286" t="str">
        <f t="shared" si="4"/>
        <v>Capacité de la batterie (nette)</v>
      </c>
      <c r="D135" s="295">
        <f>'1a. Defaults Segment-Ebene'!D135</f>
        <v>58.625</v>
      </c>
      <c r="E135" s="285" t="str">
        <f t="shared" si="5"/>
        <v>kWh</v>
      </c>
      <c r="F135" s="232" t="str">
        <f>"Capacité de stockage effectivement utilisable, calculée à partir de la capacité brute moins la marge de sécurité et de santé du fabricant. En règle générale, env. 90-95% de la capacité brute. "&amp;'1a. Defaults Segment-Ebene'!F135</f>
        <v>Capacité de stockage effectivement utilisable, calculée à partir de la capacité brute moins la marge de sécurité et de santé du fabricant. En règle générale, env. 90-95% de la capacité brute. Valeur par défaut: 58.6 kWh</v>
      </c>
    </row>
    <row r="136" spans="2:6" x14ac:dyDescent="0.35">
      <c r="B136" s="285"/>
      <c r="C136" s="286" t="str">
        <f t="shared" si="4"/>
        <v/>
      </c>
      <c r="D136" s="285"/>
      <c r="E136" s="285" t="str">
        <f t="shared" si="5"/>
        <v/>
      </c>
      <c r="F136" s="287"/>
    </row>
    <row r="137" spans="2:6" x14ac:dyDescent="0.35">
      <c r="B137" s="223"/>
      <c r="C137" s="224" t="str">
        <f t="shared" si="4"/>
        <v>Profil de conduite et d’utilisation (indication par véhicule)</v>
      </c>
      <c r="D137" s="285"/>
      <c r="E137" s="285" t="str">
        <f t="shared" si="5"/>
        <v/>
      </c>
      <c r="F137" s="287"/>
    </row>
    <row r="138" spans="2:6" ht="32.15" x14ac:dyDescent="0.35">
      <c r="B138" s="285"/>
      <c r="C138" s="286" t="str">
        <f t="shared" si="4"/>
        <v>Modèle d’utilisation</v>
      </c>
      <c r="D138" s="468" t="s">
        <v>511</v>
      </c>
      <c r="E138" s="285" t="str">
        <f t="shared" si="5"/>
        <v/>
      </c>
      <c r="F138" s="232" t="s">
        <v>499</v>
      </c>
    </row>
    <row r="139" spans="2:6" x14ac:dyDescent="0.35">
      <c r="B139" s="285"/>
      <c r="C139" s="286" t="str">
        <f t="shared" si="4"/>
        <v>Nombre de jours de travail par an</v>
      </c>
      <c r="D139" s="295">
        <f>'1a. Defaults Segment-Ebene'!D139</f>
        <v>260</v>
      </c>
      <c r="E139" s="285" t="str">
        <f t="shared" si="5"/>
        <v/>
      </c>
      <c r="F139" s="232" t="str">
        <f>'1a. Defaults Segment-Ebene'!F139</f>
        <v>Valeur par défaut: 260</v>
      </c>
    </row>
    <row r="140" spans="2:6" ht="21.45" x14ac:dyDescent="0.35">
      <c r="B140" s="285"/>
      <c r="C140" s="286" t="str">
        <f t="shared" si="4"/>
        <v>Distance parcourue pendant le temps de travail</v>
      </c>
      <c r="D140" s="295">
        <f>'1a. Defaults Segment-Ebene'!D140</f>
        <v>100</v>
      </c>
      <c r="E140" s="285" t="str">
        <f t="shared" si="5"/>
        <v>km/jour</v>
      </c>
      <c r="F140" s="232" t="str">
        <f>"Distance moyenne parcourue par véhicule lors d’une journée de travail type, hors distance domicile-travail. "&amp;'1a. Defaults Segment-Ebene'!F140</f>
        <v>Distance moyenne parcourue par véhicule lors d’une journée de travail type, hors distance domicile-travail. Valeur par défaut: 100 km/jour</v>
      </c>
    </row>
    <row r="141" spans="2:6" x14ac:dyDescent="0.35">
      <c r="B141" s="285"/>
      <c r="C141" s="286" t="str">
        <f t="shared" si="4"/>
        <v>Distance domicile-travail (aller-retour)</v>
      </c>
      <c r="D141" s="295">
        <f>'1a. Defaults Segment-Ebene'!D141</f>
        <v>0</v>
      </c>
      <c r="E141" s="285" t="str">
        <f t="shared" si="5"/>
        <v>km/jour</v>
      </c>
      <c r="F141" s="232" t="str">
        <f>"Distance domicile-travail par véhicule lors d’une journée de travail type. "&amp;'1a. Defaults Segment-Ebene'!F141</f>
        <v>Distance domicile-travail par véhicule lors d’une journée de travail type. Valeur par défaut: 0 km/jour</v>
      </c>
    </row>
    <row r="142" spans="2:6" ht="21.45" x14ac:dyDescent="0.35">
      <c r="B142" s="285"/>
      <c r="C142" s="286" t="str">
        <f t="shared" si="4"/>
        <v>Nombre d’utilisations par jour</v>
      </c>
      <c r="D142" s="295">
        <f>'1a. Defaults Segment-Ebene'!D142</f>
        <v>1</v>
      </c>
      <c r="E142" s="285" t="str">
        <f t="shared" si="5"/>
        <v/>
      </c>
      <c r="F142" s="232" t="str">
        <f>"Toutes les utilisations au cours d’une journée de travail type. Une utilisation est définie comme un trajet à partir du site de l’entreprise jusqu’au retour au site de l’entreprise. "&amp;'1a. Defaults Segment-Ebene'!F142</f>
        <v>Toutes les utilisations au cours d’une journée de travail type. Une utilisation est définie comme un trajet à partir du site de l’entreprise jusqu’au retour au site de l’entreprise. Valeur par défaut: 1</v>
      </c>
    </row>
    <row r="143" spans="2:6" x14ac:dyDescent="0.35">
      <c r="B143" s="285"/>
      <c r="C143" s="286" t="str">
        <f t="shared" si="4"/>
        <v>Nombre de pauses par jour</v>
      </c>
      <c r="D143" s="299">
        <f>D142</f>
        <v>1</v>
      </c>
      <c r="E143" s="285" t="str">
        <f t="shared" si="5"/>
        <v/>
      </c>
      <c r="F143" s="232"/>
    </row>
    <row r="144" spans="2:6" x14ac:dyDescent="0.35">
      <c r="B144" s="285"/>
      <c r="C144" s="286" t="str">
        <f t="shared" si="4"/>
        <v>Durée d’immobilisation par pause sur le site de l’entreprise</v>
      </c>
      <c r="D144" s="295">
        <f>'1a. Defaults Segment-Ebene'!D144</f>
        <v>1</v>
      </c>
      <c r="E144" s="285" t="str">
        <f t="shared" si="5"/>
        <v>Heures</v>
      </c>
      <c r="F144" s="232" t="str">
        <f>'1a. Defaults Segment-Ebene'!F144</f>
        <v>Valeur par défaut: 1 Heure</v>
      </c>
    </row>
    <row r="145" spans="2:6" ht="21.45" x14ac:dyDescent="0.35">
      <c r="B145" s="285"/>
      <c r="C145" s="286" t="str">
        <f t="shared" si="4"/>
        <v>Durée d’immobilisation pendant la nuit</v>
      </c>
      <c r="D145" s="295">
        <f>'1a. Defaults Segment-Ebene'!D145</f>
        <v>8</v>
      </c>
      <c r="E145" s="285" t="str">
        <f t="shared" si="5"/>
        <v>Heures</v>
      </c>
      <c r="F145" s="232" t="str">
        <f>"Temps de recharge disponible au domicile ou sur le site de l’entreprise pendant la nuit. "&amp;'1a. Defaults Segment-Ebene'!F145</f>
        <v>Temps de recharge disponible au domicile ou sur le site de l’entreprise pendant la nuit. Valeur par défaut: 8 Heures</v>
      </c>
    </row>
    <row r="146" spans="2:6" ht="21.45" x14ac:dyDescent="0.35">
      <c r="B146" s="285"/>
      <c r="C146" s="286" t="str">
        <f t="shared" si="4"/>
        <v>Véhicules par point de recharge, site de l’entreprise (pendant la journée)</v>
      </c>
      <c r="D146" s="295">
        <f>'1a. Defaults Segment-Ebene'!D146</f>
        <v>1</v>
      </c>
      <c r="E146" s="285" t="str">
        <f t="shared" si="5"/>
        <v/>
      </c>
      <c r="F146" s="232" t="str">
        <f>"En cas de travail en équipe, il est généralement possible d’utiliser un point de recharge sur le site de l’entreprise pour plusieurs véhicules. "&amp;'1a. Defaults Segment-Ebene'!F146</f>
        <v>En cas de travail en équipe, il est généralement possible d’utiliser un point de recharge sur le site de l’entreprise pour plusieurs véhicules. Valeur par défaut: 1</v>
      </c>
    </row>
    <row r="147" spans="2:6" x14ac:dyDescent="0.35">
      <c r="B147" s="285"/>
      <c r="C147" s="286" t="str">
        <f t="shared" si="4"/>
        <v/>
      </c>
      <c r="D147" s="285"/>
      <c r="E147" s="285" t="str">
        <f t="shared" si="5"/>
        <v/>
      </c>
      <c r="F147" s="287"/>
    </row>
    <row r="148" spans="2:6" x14ac:dyDescent="0.35">
      <c r="B148" s="223"/>
      <c r="C148" s="224" t="str">
        <f t="shared" si="4"/>
        <v>Coûts (indication par véhicule)</v>
      </c>
      <c r="D148" s="285"/>
      <c r="E148" s="285" t="str">
        <f t="shared" si="5"/>
        <v/>
      </c>
      <c r="F148" s="287"/>
    </row>
    <row r="149" spans="2:6" x14ac:dyDescent="0.35">
      <c r="B149" s="285"/>
      <c r="C149" s="286" t="str">
        <f t="shared" si="4"/>
        <v>Durée</v>
      </c>
      <c r="D149" s="295">
        <v>48</v>
      </c>
      <c r="E149" s="285" t="str">
        <f t="shared" si="5"/>
        <v>Mois</v>
      </c>
      <c r="F149" s="232"/>
    </row>
    <row r="150" spans="2:6" x14ac:dyDescent="0.35">
      <c r="B150" s="285"/>
      <c r="C150" s="286" t="str">
        <f t="shared" si="4"/>
        <v>Taux d’intérêt du leasing</v>
      </c>
      <c r="D150" s="300">
        <f>'1a. Defaults Segment-Ebene'!D150</f>
        <v>0.03</v>
      </c>
      <c r="E150" s="301" t="str">
        <f t="shared" si="5"/>
        <v/>
      </c>
      <c r="F150" s="232" t="str">
        <f>'1a. Defaults Segment-Ebene'!F150</f>
        <v>Valeur par défaut: 3.0%</v>
      </c>
    </row>
    <row r="151" spans="2:6" x14ac:dyDescent="0.35">
      <c r="B151" s="285"/>
      <c r="C151" s="286" t="str">
        <f t="shared" si="4"/>
        <v>Prix d’acquisition, rabais de flotte du véhicule thermique inclus</v>
      </c>
      <c r="D151" s="302">
        <f>'1a. Defaults Segment-Ebene'!D151</f>
        <v>27219.464999999997</v>
      </c>
      <c r="E151" s="303" t="str">
        <f t="shared" si="5"/>
        <v>CHF</v>
      </c>
      <c r="F151" s="232" t="str">
        <f>'1a. Defaults Segment-Ebene'!F151</f>
        <v>Valeur par défaut: 27’219 CHF</v>
      </c>
    </row>
    <row r="152" spans="2:6" x14ac:dyDescent="0.35">
      <c r="B152" s="285"/>
      <c r="C152" s="286" t="str">
        <f t="shared" si="4"/>
        <v>Frais d’entretien et de réparation du véhicule thermique</v>
      </c>
      <c r="D152" s="304">
        <f>'1a. Defaults Segment-Ebene'!D152</f>
        <v>0.05</v>
      </c>
      <c r="E152" s="285" t="str">
        <f t="shared" si="5"/>
        <v>CHF/km</v>
      </c>
      <c r="F152" s="232" t="str">
        <f>'1a. Defaults Segment-Ebene'!F152</f>
        <v>Valeur par défaut: 0.050 CHF/km</v>
      </c>
    </row>
    <row r="153" spans="2:6" ht="21.45" x14ac:dyDescent="0.35">
      <c r="B153" s="285"/>
      <c r="C153" s="286" t="str">
        <f t="shared" si="4"/>
        <v>Valeur résiduelle du véhicule thermique</v>
      </c>
      <c r="D153" s="300">
        <f>'1a. Defaults Segment-Ebene'!D153</f>
        <v>0.31606388888888887</v>
      </c>
      <c r="E153" s="305" t="str">
        <f t="shared" si="5"/>
        <v/>
      </c>
      <c r="F153" s="232" t="str">
        <f>"Valeur résiduelle visée lors de la vente/restitution du véhicule en % des coûts d’acquisition. "&amp;'1a. Defaults Segment-Ebene'!F153</f>
        <v>Valeur résiduelle visée lors de la vente/restitution du véhicule en % des coûts d’acquisition. Valeur par défaut: 31.6%</v>
      </c>
    </row>
    <row r="154" spans="2:6" x14ac:dyDescent="0.35">
      <c r="B154" s="285"/>
      <c r="C154" s="286" t="str">
        <f t="shared" si="4"/>
        <v>Prix d’acquisition, rabais de flotte du véhicule électrique inclus</v>
      </c>
      <c r="D154" s="302">
        <f>'1a. Defaults Segment-Ebene'!D154</f>
        <v>28810.890000000003</v>
      </c>
      <c r="E154" s="303" t="str">
        <f t="shared" si="5"/>
        <v>CHF</v>
      </c>
      <c r="F154" s="232" t="str">
        <f>'1a. Defaults Segment-Ebene'!F154</f>
        <v>Valeur par défaut: 28’811 CHF</v>
      </c>
    </row>
    <row r="155" spans="2:6" x14ac:dyDescent="0.35">
      <c r="B155" s="285"/>
      <c r="C155" s="306" t="str">
        <f t="shared" si="4"/>
        <v>Frais d’entretien et de réparation du véhicule électrique</v>
      </c>
      <c r="D155" s="311">
        <f>'1a. Defaults Segment-Ebene'!D155</f>
        <v>2.5000000000000001E-2</v>
      </c>
      <c r="E155" s="308" t="str">
        <f t="shared" si="5"/>
        <v>CHF/km</v>
      </c>
      <c r="F155" s="232" t="str">
        <f>'1a. Defaults Segment-Ebene'!F155</f>
        <v>Valeur par défaut: 0.025 CHF/km</v>
      </c>
    </row>
    <row r="156" spans="2:6" ht="21.45" x14ac:dyDescent="0.35">
      <c r="B156" s="285"/>
      <c r="C156" s="306" t="str">
        <f t="shared" si="4"/>
        <v>Valeur résiduelle du véhicule électrique</v>
      </c>
      <c r="D156" s="300">
        <f>'1a. Defaults Segment-Ebene'!D156</f>
        <v>0.30658197222222217</v>
      </c>
      <c r="E156" s="308" t="str">
        <f t="shared" si="5"/>
        <v/>
      </c>
      <c r="F156" s="232" t="str">
        <f>"Valeur résiduelle visée lors de la vente/restitution du véhicule en % des coûts d’acquisition. "&amp;'1a. Defaults Segment-Ebene'!F156</f>
        <v>Valeur résiduelle visée lors de la vente/restitution du véhicule en % des coûts d’acquisition. Valeur par défaut: 30.7%</v>
      </c>
    </row>
    <row r="157" spans="2:6" x14ac:dyDescent="0.35">
      <c r="B157" s="285"/>
      <c r="C157" s="286"/>
      <c r="D157" s="308"/>
      <c r="E157" s="308"/>
      <c r="F157" s="287"/>
    </row>
    <row r="158" spans="2:6" x14ac:dyDescent="0.35">
      <c r="B158" s="289"/>
      <c r="C158" s="284"/>
      <c r="D158" s="309"/>
      <c r="E158" s="309"/>
      <c r="F158" s="290"/>
    </row>
    <row r="159" spans="2:6" ht="17.600000000000001" x14ac:dyDescent="0.35">
      <c r="B159" s="218"/>
      <c r="C159" s="219" t="s">
        <v>29</v>
      </c>
      <c r="D159" s="218"/>
      <c r="E159" s="218"/>
      <c r="F159" s="220"/>
    </row>
    <row r="160" spans="2:6" x14ac:dyDescent="0.35">
      <c r="B160" s="230"/>
      <c r="C160" s="231"/>
      <c r="D160" s="285"/>
      <c r="E160" s="285"/>
      <c r="F160" s="287"/>
    </row>
    <row r="161" spans="2:6" x14ac:dyDescent="0.35">
      <c r="B161" s="223"/>
      <c r="C161" s="224" t="str">
        <f t="shared" ref="C161:C192" si="6">IF(C125&lt;&gt;"",C125,"")</f>
        <v>Structure des segments</v>
      </c>
      <c r="D161" s="285"/>
      <c r="E161" s="285" t="str">
        <f t="shared" ref="E161:E192" si="7">IF(E125&lt;&gt;"",E125,"")</f>
        <v/>
      </c>
      <c r="F161" s="287"/>
    </row>
    <row r="162" spans="2:6" x14ac:dyDescent="0.35">
      <c r="B162" s="285"/>
      <c r="C162" s="286" t="str">
        <f t="shared" si="6"/>
        <v>Nombre de véhicules</v>
      </c>
      <c r="D162" s="291">
        <v>1</v>
      </c>
      <c r="E162" s="292" t="str">
        <f t="shared" si="7"/>
        <v/>
      </c>
      <c r="F162" s="232"/>
    </row>
    <row r="163" spans="2:6" ht="42.9" x14ac:dyDescent="0.35">
      <c r="B163" s="285"/>
      <c r="C163" s="286" t="str">
        <f t="shared" si="6"/>
        <v>Type d’utilisation</v>
      </c>
      <c r="D163" s="294" t="s">
        <v>509</v>
      </c>
      <c r="E163" s="285" t="str">
        <f t="shared" si="7"/>
        <v/>
      </c>
      <c r="F163" s="232" t="s">
        <v>600</v>
      </c>
    </row>
    <row r="164" spans="2:6" x14ac:dyDescent="0.35">
      <c r="B164" s="285"/>
      <c r="C164" s="286" t="str">
        <f t="shared" si="6"/>
        <v>Domaine d’utilisation</v>
      </c>
      <c r="D164" s="294" t="s">
        <v>510</v>
      </c>
      <c r="E164" s="285" t="str">
        <f t="shared" si="7"/>
        <v/>
      </c>
      <c r="F164" s="232"/>
    </row>
    <row r="165" spans="2:6" ht="21.45" x14ac:dyDescent="0.35">
      <c r="B165" s="285"/>
      <c r="C165" s="286" t="str">
        <f t="shared" si="6"/>
        <v>Possibilité de recharge à domicile</v>
      </c>
      <c r="D165" s="294" t="str">
        <f>'1a. Defaults Segment-Ebene'!D165</f>
        <v>Non</v>
      </c>
      <c r="E165" s="285" t="str">
        <f t="shared" si="7"/>
        <v/>
      </c>
      <c r="F165" s="232" t="s">
        <v>484</v>
      </c>
    </row>
    <row r="166" spans="2:6" x14ac:dyDescent="0.35">
      <c r="B166" s="285"/>
      <c r="C166" s="286" t="str">
        <f t="shared" si="6"/>
        <v/>
      </c>
      <c r="D166" s="285"/>
      <c r="E166" s="285" t="str">
        <f t="shared" si="7"/>
        <v/>
      </c>
      <c r="F166" s="232"/>
    </row>
    <row r="167" spans="2:6" x14ac:dyDescent="0.35">
      <c r="B167" s="285"/>
      <c r="C167" s="224" t="str">
        <f t="shared" si="6"/>
        <v>Données du véhicule</v>
      </c>
      <c r="D167" s="285"/>
      <c r="E167" s="285" t="str">
        <f t="shared" si="7"/>
        <v/>
      </c>
      <c r="F167" s="232"/>
    </row>
    <row r="168" spans="2:6" x14ac:dyDescent="0.35">
      <c r="B168" s="285"/>
      <c r="C168" s="286" t="str">
        <f t="shared" si="6"/>
        <v>Taille du véhicule</v>
      </c>
      <c r="D168" s="294" t="s">
        <v>512</v>
      </c>
      <c r="E168" s="285" t="str">
        <f t="shared" si="7"/>
        <v/>
      </c>
      <c r="F168" s="232"/>
    </row>
    <row r="169" spans="2:6" x14ac:dyDescent="0.35">
      <c r="B169" s="285"/>
      <c r="C169" s="286" t="str">
        <f t="shared" si="6"/>
        <v>Consommation de carburant du véhicule thermique</v>
      </c>
      <c r="D169" s="295">
        <f>'1a. Defaults Segment-Ebene'!D169</f>
        <v>5.8</v>
      </c>
      <c r="E169" s="285" t="str">
        <f t="shared" si="7"/>
        <v>l/100 km</v>
      </c>
      <c r="F169" s="232" t="str">
        <f>'1a. Defaults Segment-Ebene'!F169</f>
        <v>Valeur par défaut: 5.8 l/100 km</v>
      </c>
    </row>
    <row r="170" spans="2:6" x14ac:dyDescent="0.35">
      <c r="B170" s="285"/>
      <c r="C170" s="286" t="str">
        <f t="shared" si="6"/>
        <v>Consommation énergétique du véhicule électrique</v>
      </c>
      <c r="D170" s="295">
        <f>'1a. Defaults Segment-Ebene'!D170</f>
        <v>15.1</v>
      </c>
      <c r="E170" s="285" t="str">
        <f t="shared" si="7"/>
        <v>kWh/100 km</v>
      </c>
      <c r="F170" s="232" t="str">
        <f>'1a. Defaults Segment-Ebene'!F170</f>
        <v>Valeur par défaut: 15.1 kWh/100 km</v>
      </c>
    </row>
    <row r="171" spans="2:6" ht="32.15" x14ac:dyDescent="0.35">
      <c r="B171" s="285"/>
      <c r="C171" s="286" t="str">
        <f t="shared" si="6"/>
        <v>Capacité de la batterie (nette)</v>
      </c>
      <c r="D171" s="295">
        <f>'1a. Defaults Segment-Ebene'!D171</f>
        <v>58.625</v>
      </c>
      <c r="E171" s="285" t="str">
        <f t="shared" si="7"/>
        <v>kWh</v>
      </c>
      <c r="F171" s="232" t="str">
        <f>"Capacité de stockage effectivement utilisable, calculée à partir de la capacité brute moins la marge de sécurité et de santé du fabricant. En règle générale, env. 90-95% de la capacité brute. "&amp;'1a. Defaults Segment-Ebene'!F171</f>
        <v>Capacité de stockage effectivement utilisable, calculée à partir de la capacité brute moins la marge de sécurité et de santé du fabricant. En règle générale, env. 90-95% de la capacité brute. Valeur par défaut: 58.6 kWh</v>
      </c>
    </row>
    <row r="172" spans="2:6" x14ac:dyDescent="0.35">
      <c r="B172" s="285"/>
      <c r="C172" s="286" t="str">
        <f t="shared" si="6"/>
        <v/>
      </c>
      <c r="D172" s="285"/>
      <c r="E172" s="285" t="str">
        <f t="shared" si="7"/>
        <v/>
      </c>
      <c r="F172" s="287"/>
    </row>
    <row r="173" spans="2:6" x14ac:dyDescent="0.35">
      <c r="B173" s="223"/>
      <c r="C173" s="224" t="str">
        <f t="shared" si="6"/>
        <v>Profil de conduite et d’utilisation (indication par véhicule)</v>
      </c>
      <c r="D173" s="285"/>
      <c r="E173" s="285" t="str">
        <f t="shared" si="7"/>
        <v/>
      </c>
      <c r="F173" s="287"/>
    </row>
    <row r="174" spans="2:6" ht="32.15" x14ac:dyDescent="0.35">
      <c r="B174" s="285"/>
      <c r="C174" s="286" t="str">
        <f t="shared" si="6"/>
        <v>Modèle d’utilisation</v>
      </c>
      <c r="D174" s="468" t="s">
        <v>511</v>
      </c>
      <c r="E174" s="285" t="str">
        <f t="shared" si="7"/>
        <v/>
      </c>
      <c r="F174" s="232" t="s">
        <v>499</v>
      </c>
    </row>
    <row r="175" spans="2:6" x14ac:dyDescent="0.35">
      <c r="B175" s="285"/>
      <c r="C175" s="286" t="str">
        <f t="shared" si="6"/>
        <v>Nombre de jours de travail par an</v>
      </c>
      <c r="D175" s="295">
        <f>'1a. Defaults Segment-Ebene'!D175</f>
        <v>260</v>
      </c>
      <c r="E175" s="285" t="str">
        <f t="shared" si="7"/>
        <v/>
      </c>
      <c r="F175" s="232" t="str">
        <f>'1a. Defaults Segment-Ebene'!F175</f>
        <v>Valeur par défaut: 260</v>
      </c>
    </row>
    <row r="176" spans="2:6" ht="21.45" x14ac:dyDescent="0.35">
      <c r="B176" s="285"/>
      <c r="C176" s="286" t="str">
        <f t="shared" si="6"/>
        <v>Distance parcourue pendant le temps de travail</v>
      </c>
      <c r="D176" s="295">
        <f>'1a. Defaults Segment-Ebene'!D176</f>
        <v>100</v>
      </c>
      <c r="E176" s="285" t="str">
        <f t="shared" si="7"/>
        <v>km/jour</v>
      </c>
      <c r="F176" s="232" t="str">
        <f>"Distance moyenne parcourue par véhicule lors d’une journée de travail type, hors distance domicile-travail. "&amp;'1a. Defaults Segment-Ebene'!F176</f>
        <v>Distance moyenne parcourue par véhicule lors d’une journée de travail type, hors distance domicile-travail. Valeur par défaut: 100 km/jour</v>
      </c>
    </row>
    <row r="177" spans="2:6" x14ac:dyDescent="0.35">
      <c r="B177" s="285"/>
      <c r="C177" s="286" t="str">
        <f t="shared" si="6"/>
        <v>Distance domicile-travail (aller-retour)</v>
      </c>
      <c r="D177" s="295">
        <f>'1a. Defaults Segment-Ebene'!D177</f>
        <v>0</v>
      </c>
      <c r="E177" s="285" t="str">
        <f t="shared" si="7"/>
        <v>km/jour</v>
      </c>
      <c r="F177" s="232" t="str">
        <f>"Distance domicile-travail par véhicule lors d’une journée de travail type. "&amp;'1a. Defaults Segment-Ebene'!F177</f>
        <v>Distance domicile-travail par véhicule lors d’une journée de travail type. Valeur par défaut: 0 km/jour</v>
      </c>
    </row>
    <row r="178" spans="2:6" ht="21.45" x14ac:dyDescent="0.35">
      <c r="B178" s="285"/>
      <c r="C178" s="286" t="str">
        <f t="shared" si="6"/>
        <v>Nombre d’utilisations par jour</v>
      </c>
      <c r="D178" s="295">
        <f>'1a. Defaults Segment-Ebene'!D178</f>
        <v>1</v>
      </c>
      <c r="E178" s="285" t="str">
        <f t="shared" si="7"/>
        <v/>
      </c>
      <c r="F178" s="232" t="str">
        <f>"Toutes les utilisations au cours d’une journée de travail type. Une utilisation est définie comme un trajet à partir du site de l’entreprise jusqu’au retour au site de l’entreprise. "&amp;'1a. Defaults Segment-Ebene'!F178</f>
        <v>Toutes les utilisations au cours d’une journée de travail type. Une utilisation est définie comme un trajet à partir du site de l’entreprise jusqu’au retour au site de l’entreprise. Valeur par défaut: 1</v>
      </c>
    </row>
    <row r="179" spans="2:6" x14ac:dyDescent="0.35">
      <c r="B179" s="285"/>
      <c r="C179" s="286" t="str">
        <f t="shared" si="6"/>
        <v>Nombre de pauses par jour</v>
      </c>
      <c r="D179" s="299">
        <f>D178</f>
        <v>1</v>
      </c>
      <c r="E179" s="285" t="str">
        <f t="shared" si="7"/>
        <v/>
      </c>
      <c r="F179" s="232"/>
    </row>
    <row r="180" spans="2:6" x14ac:dyDescent="0.35">
      <c r="B180" s="285"/>
      <c r="C180" s="286" t="str">
        <f t="shared" si="6"/>
        <v>Durée d’immobilisation par pause sur le site de l’entreprise</v>
      </c>
      <c r="D180" s="295">
        <f>'1a. Defaults Segment-Ebene'!D180</f>
        <v>1</v>
      </c>
      <c r="E180" s="285" t="str">
        <f t="shared" si="7"/>
        <v>Heures</v>
      </c>
      <c r="F180" s="232" t="str">
        <f>'1a. Defaults Segment-Ebene'!F180</f>
        <v>Valeur par défaut: 1 Heure</v>
      </c>
    </row>
    <row r="181" spans="2:6" ht="21.45" x14ac:dyDescent="0.35">
      <c r="B181" s="285"/>
      <c r="C181" s="286" t="str">
        <f t="shared" si="6"/>
        <v>Durée d’immobilisation pendant la nuit</v>
      </c>
      <c r="D181" s="295">
        <f>'1a. Defaults Segment-Ebene'!D181</f>
        <v>8</v>
      </c>
      <c r="E181" s="285" t="str">
        <f t="shared" si="7"/>
        <v>Heures</v>
      </c>
      <c r="F181" s="232" t="str">
        <f>"Temps de recharge disponible au domicile ou sur le site de l’entreprise pendant la nuit. "&amp;'1a. Defaults Segment-Ebene'!F181</f>
        <v>Temps de recharge disponible au domicile ou sur le site de l’entreprise pendant la nuit. Valeur par défaut: 8 Heures</v>
      </c>
    </row>
    <row r="182" spans="2:6" ht="21.45" x14ac:dyDescent="0.35">
      <c r="B182" s="285"/>
      <c r="C182" s="286" t="str">
        <f t="shared" si="6"/>
        <v>Véhicules par point de recharge, site de l’entreprise (pendant la journée)</v>
      </c>
      <c r="D182" s="295">
        <f>'1a. Defaults Segment-Ebene'!D182</f>
        <v>1</v>
      </c>
      <c r="E182" s="285" t="str">
        <f t="shared" si="7"/>
        <v/>
      </c>
      <c r="F182" s="232" t="str">
        <f>"En cas de travail en équipe, il est généralement possible d’utiliser un point de recharge sur le site de l’entreprise pour plusieurs véhicules. "&amp;'1a. Defaults Segment-Ebene'!F182</f>
        <v>En cas de travail en équipe, il est généralement possible d’utiliser un point de recharge sur le site de l’entreprise pour plusieurs véhicules. Valeur par défaut: 1</v>
      </c>
    </row>
    <row r="183" spans="2:6" x14ac:dyDescent="0.35">
      <c r="B183" s="285"/>
      <c r="C183" s="286" t="str">
        <f t="shared" si="6"/>
        <v/>
      </c>
      <c r="D183" s="285"/>
      <c r="E183" s="285" t="str">
        <f t="shared" si="7"/>
        <v/>
      </c>
      <c r="F183" s="287"/>
    </row>
    <row r="184" spans="2:6" x14ac:dyDescent="0.35">
      <c r="B184" s="223"/>
      <c r="C184" s="224" t="str">
        <f t="shared" si="6"/>
        <v>Coûts (indication par véhicule)</v>
      </c>
      <c r="D184" s="285"/>
      <c r="E184" s="285" t="str">
        <f t="shared" si="7"/>
        <v/>
      </c>
      <c r="F184" s="287"/>
    </row>
    <row r="185" spans="2:6" x14ac:dyDescent="0.35">
      <c r="B185" s="285"/>
      <c r="C185" s="286" t="str">
        <f t="shared" si="6"/>
        <v>Durée</v>
      </c>
      <c r="D185" s="295">
        <v>48</v>
      </c>
      <c r="E185" s="285" t="str">
        <f t="shared" si="7"/>
        <v>Mois</v>
      </c>
      <c r="F185" s="232"/>
    </row>
    <row r="186" spans="2:6" x14ac:dyDescent="0.35">
      <c r="B186" s="285"/>
      <c r="C186" s="286" t="str">
        <f t="shared" si="6"/>
        <v>Taux d’intérêt du leasing</v>
      </c>
      <c r="D186" s="300">
        <f>'1a. Defaults Segment-Ebene'!D186</f>
        <v>0.03</v>
      </c>
      <c r="E186" s="301" t="str">
        <f t="shared" si="7"/>
        <v/>
      </c>
      <c r="F186" s="232" t="str">
        <f>'1a. Defaults Segment-Ebene'!F186</f>
        <v>Valeur par défaut: 3.0%</v>
      </c>
    </row>
    <row r="187" spans="2:6" x14ac:dyDescent="0.35">
      <c r="B187" s="285"/>
      <c r="C187" s="286" t="str">
        <f t="shared" si="6"/>
        <v>Prix d’acquisition, rabais de flotte du véhicule thermique inclus</v>
      </c>
      <c r="D187" s="302">
        <f>'1a. Defaults Segment-Ebene'!D187</f>
        <v>27219.464999999997</v>
      </c>
      <c r="E187" s="303" t="str">
        <f t="shared" si="7"/>
        <v>CHF</v>
      </c>
      <c r="F187" s="232" t="str">
        <f>'1a. Defaults Segment-Ebene'!F187</f>
        <v>Valeur par défaut: 27’219 CHF</v>
      </c>
    </row>
    <row r="188" spans="2:6" x14ac:dyDescent="0.35">
      <c r="B188" s="285"/>
      <c r="C188" s="286" t="str">
        <f t="shared" si="6"/>
        <v>Frais d’entretien et de réparation du véhicule thermique</v>
      </c>
      <c r="D188" s="304">
        <f>'1a. Defaults Segment-Ebene'!D188</f>
        <v>0.05</v>
      </c>
      <c r="E188" s="285" t="str">
        <f t="shared" si="7"/>
        <v>CHF/km</v>
      </c>
      <c r="F188" s="232" t="str">
        <f>'1a. Defaults Segment-Ebene'!F188</f>
        <v>Valeur par défaut: 0.050 CHF/km</v>
      </c>
    </row>
    <row r="189" spans="2:6" ht="21.45" x14ac:dyDescent="0.35">
      <c r="B189" s="285"/>
      <c r="C189" s="286" t="str">
        <f t="shared" si="6"/>
        <v>Valeur résiduelle du véhicule thermique</v>
      </c>
      <c r="D189" s="300">
        <f>'1a. Defaults Segment-Ebene'!D189</f>
        <v>0.31606388888888887</v>
      </c>
      <c r="E189" s="305" t="str">
        <f t="shared" si="7"/>
        <v/>
      </c>
      <c r="F189" s="232" t="str">
        <f>"Valeur résiduelle visée lors de la vente/restitution du véhicule en % des coûts d’acquisition. "&amp;'1a. Defaults Segment-Ebene'!F189</f>
        <v>Valeur résiduelle visée lors de la vente/restitution du véhicule en % des coûts d’acquisition. Valeur par défaut: 31.6%</v>
      </c>
    </row>
    <row r="190" spans="2:6" x14ac:dyDescent="0.35">
      <c r="B190" s="285"/>
      <c r="C190" s="286" t="str">
        <f t="shared" si="6"/>
        <v>Prix d’acquisition, rabais de flotte du véhicule électrique inclus</v>
      </c>
      <c r="D190" s="302">
        <f>'1a. Defaults Segment-Ebene'!D190</f>
        <v>28810.890000000003</v>
      </c>
      <c r="E190" s="303" t="str">
        <f t="shared" si="7"/>
        <v>CHF</v>
      </c>
      <c r="F190" s="232" t="str">
        <f>'1a. Defaults Segment-Ebene'!F190</f>
        <v>Valeur par défaut: 28’811 CHF</v>
      </c>
    </row>
    <row r="191" spans="2:6" x14ac:dyDescent="0.35">
      <c r="B191" s="285"/>
      <c r="C191" s="306" t="str">
        <f t="shared" si="6"/>
        <v>Frais d’entretien et de réparation du véhicule électrique</v>
      </c>
      <c r="D191" s="311">
        <f>'1a. Defaults Segment-Ebene'!D191</f>
        <v>2.5000000000000001E-2</v>
      </c>
      <c r="E191" s="308" t="str">
        <f t="shared" si="7"/>
        <v>CHF/km</v>
      </c>
      <c r="F191" s="232" t="str">
        <f>'1a. Defaults Segment-Ebene'!F191</f>
        <v>Valeur par défaut: 0.025 CHF/km</v>
      </c>
    </row>
    <row r="192" spans="2:6" ht="21.45" x14ac:dyDescent="0.35">
      <c r="B192" s="285"/>
      <c r="C192" s="306" t="str">
        <f t="shared" si="6"/>
        <v>Valeur résiduelle du véhicule électrique</v>
      </c>
      <c r="D192" s="300">
        <f>'1a. Defaults Segment-Ebene'!D192</f>
        <v>0.30658197222222217</v>
      </c>
      <c r="E192" s="308" t="str">
        <f t="shared" si="7"/>
        <v/>
      </c>
      <c r="F192" s="232" t="str">
        <f>"Valeur résiduelle visée lors de la vente/restitution du véhicule en % des coûts d’acquisition. "&amp;'1a. Defaults Segment-Ebene'!F192</f>
        <v>Valeur résiduelle visée lors de la vente/restitution du véhicule en % des coûts d’acquisition. Valeur par défaut: 30.7%</v>
      </c>
    </row>
    <row r="193" spans="2:6" x14ac:dyDescent="0.35">
      <c r="B193" s="285"/>
      <c r="C193" s="286"/>
      <c r="D193" s="308"/>
      <c r="E193" s="308"/>
      <c r="F193" s="287"/>
    </row>
    <row r="194" spans="2:6" x14ac:dyDescent="0.35">
      <c r="B194" s="289"/>
      <c r="C194" s="284"/>
      <c r="D194" s="309"/>
      <c r="E194" s="309"/>
      <c r="F194" s="290"/>
    </row>
    <row r="195" spans="2:6" ht="17.600000000000001" x14ac:dyDescent="0.35">
      <c r="B195" s="218"/>
      <c r="C195" s="219" t="s">
        <v>30</v>
      </c>
      <c r="D195" s="218"/>
      <c r="E195" s="218"/>
      <c r="F195" s="220"/>
    </row>
    <row r="196" spans="2:6" x14ac:dyDescent="0.35">
      <c r="B196" s="230"/>
      <c r="C196" s="231"/>
      <c r="D196" s="285"/>
      <c r="E196" s="285"/>
      <c r="F196" s="287"/>
    </row>
    <row r="197" spans="2:6" x14ac:dyDescent="0.35">
      <c r="B197" s="223"/>
      <c r="C197" s="224" t="str">
        <f t="shared" ref="C197:C228" si="8">IF(C161&lt;&gt;"",C161,"")</f>
        <v>Structure des segments</v>
      </c>
      <c r="D197" s="285"/>
      <c r="E197" s="285" t="str">
        <f t="shared" ref="E197:E228" si="9">IF(E161&lt;&gt;"",E161,"")</f>
        <v/>
      </c>
      <c r="F197" s="287"/>
    </row>
    <row r="198" spans="2:6" x14ac:dyDescent="0.35">
      <c r="B198" s="285"/>
      <c r="C198" s="286" t="str">
        <f t="shared" si="8"/>
        <v>Nombre de véhicules</v>
      </c>
      <c r="D198" s="291">
        <v>1</v>
      </c>
      <c r="E198" s="292" t="str">
        <f t="shared" si="9"/>
        <v/>
      </c>
      <c r="F198" s="232"/>
    </row>
    <row r="199" spans="2:6" ht="42.9" x14ac:dyDescent="0.35">
      <c r="B199" s="285"/>
      <c r="C199" s="286" t="str">
        <f t="shared" si="8"/>
        <v>Type d’utilisation</v>
      </c>
      <c r="D199" s="294" t="s">
        <v>509</v>
      </c>
      <c r="E199" s="285" t="str">
        <f t="shared" si="9"/>
        <v/>
      </c>
      <c r="F199" s="232" t="s">
        <v>600</v>
      </c>
    </row>
    <row r="200" spans="2:6" x14ac:dyDescent="0.35">
      <c r="B200" s="285"/>
      <c r="C200" s="286" t="str">
        <f t="shared" si="8"/>
        <v>Domaine d’utilisation</v>
      </c>
      <c r="D200" s="294" t="s">
        <v>510</v>
      </c>
      <c r="E200" s="285" t="str">
        <f t="shared" si="9"/>
        <v/>
      </c>
      <c r="F200" s="232"/>
    </row>
    <row r="201" spans="2:6" ht="21.45" x14ac:dyDescent="0.35">
      <c r="B201" s="285"/>
      <c r="C201" s="286" t="str">
        <f t="shared" si="8"/>
        <v>Possibilité de recharge à domicile</v>
      </c>
      <c r="D201" s="294" t="str">
        <f>'1a. Defaults Segment-Ebene'!D201</f>
        <v>Non</v>
      </c>
      <c r="E201" s="285" t="str">
        <f t="shared" si="9"/>
        <v/>
      </c>
      <c r="F201" s="232" t="s">
        <v>484</v>
      </c>
    </row>
    <row r="202" spans="2:6" x14ac:dyDescent="0.35">
      <c r="B202" s="285"/>
      <c r="C202" s="286" t="str">
        <f t="shared" si="8"/>
        <v/>
      </c>
      <c r="D202" s="285"/>
      <c r="E202" s="285" t="str">
        <f t="shared" si="9"/>
        <v/>
      </c>
      <c r="F202" s="232"/>
    </row>
    <row r="203" spans="2:6" x14ac:dyDescent="0.35">
      <c r="B203" s="285"/>
      <c r="C203" s="224" t="str">
        <f t="shared" si="8"/>
        <v>Données du véhicule</v>
      </c>
      <c r="D203" s="285"/>
      <c r="E203" s="285" t="str">
        <f t="shared" si="9"/>
        <v/>
      </c>
      <c r="F203" s="232"/>
    </row>
    <row r="204" spans="2:6" x14ac:dyDescent="0.35">
      <c r="B204" s="285"/>
      <c r="C204" s="286" t="str">
        <f t="shared" si="8"/>
        <v>Taille du véhicule</v>
      </c>
      <c r="D204" s="294" t="s">
        <v>512</v>
      </c>
      <c r="E204" s="285" t="str">
        <f t="shared" si="9"/>
        <v/>
      </c>
      <c r="F204" s="232"/>
    </row>
    <row r="205" spans="2:6" x14ac:dyDescent="0.35">
      <c r="B205" s="285"/>
      <c r="C205" s="286" t="str">
        <f t="shared" si="8"/>
        <v>Consommation de carburant du véhicule thermique</v>
      </c>
      <c r="D205" s="295">
        <f>'1a. Defaults Segment-Ebene'!D205</f>
        <v>5.8</v>
      </c>
      <c r="E205" s="285" t="str">
        <f t="shared" si="9"/>
        <v>l/100 km</v>
      </c>
      <c r="F205" s="232" t="str">
        <f>'1a. Defaults Segment-Ebene'!F205</f>
        <v>Valeur par défaut: 5.8 l/100 km</v>
      </c>
    </row>
    <row r="206" spans="2:6" x14ac:dyDescent="0.35">
      <c r="B206" s="285"/>
      <c r="C206" s="286" t="str">
        <f t="shared" si="8"/>
        <v>Consommation énergétique du véhicule électrique</v>
      </c>
      <c r="D206" s="295">
        <f>'1a. Defaults Segment-Ebene'!D206</f>
        <v>15.1</v>
      </c>
      <c r="E206" s="285" t="str">
        <f t="shared" si="9"/>
        <v>kWh/100 km</v>
      </c>
      <c r="F206" s="232" t="str">
        <f>'1a. Defaults Segment-Ebene'!F206</f>
        <v>Valeur par défaut: 15.1 kWh/100 km</v>
      </c>
    </row>
    <row r="207" spans="2:6" ht="32.15" x14ac:dyDescent="0.35">
      <c r="B207" s="285"/>
      <c r="C207" s="286" t="str">
        <f t="shared" si="8"/>
        <v>Capacité de la batterie (nette)</v>
      </c>
      <c r="D207" s="295">
        <f>'1a. Defaults Segment-Ebene'!D207</f>
        <v>58.625</v>
      </c>
      <c r="E207" s="285" t="str">
        <f t="shared" si="9"/>
        <v>kWh</v>
      </c>
      <c r="F207" s="232" t="str">
        <f>"Capacité de stockage effectivement utilisable, calculée à partir de la capacité brute moins la marge de sécurité et de santé du fabricant. En règle générale, env. 90-95% de la capacité brute. "&amp;'1a. Defaults Segment-Ebene'!F207</f>
        <v>Capacité de stockage effectivement utilisable, calculée à partir de la capacité brute moins la marge de sécurité et de santé du fabricant. En règle générale, env. 90-95% de la capacité brute. Valeur par défaut: 58.6 kWh</v>
      </c>
    </row>
    <row r="208" spans="2:6" x14ac:dyDescent="0.35">
      <c r="B208" s="285"/>
      <c r="C208" s="286" t="str">
        <f t="shared" si="8"/>
        <v/>
      </c>
      <c r="D208" s="285"/>
      <c r="E208" s="285" t="str">
        <f t="shared" si="9"/>
        <v/>
      </c>
      <c r="F208" s="287"/>
    </row>
    <row r="209" spans="2:6" x14ac:dyDescent="0.35">
      <c r="B209" s="223"/>
      <c r="C209" s="224" t="str">
        <f t="shared" si="8"/>
        <v>Profil de conduite et d’utilisation (indication par véhicule)</v>
      </c>
      <c r="D209" s="285"/>
      <c r="E209" s="285" t="str">
        <f t="shared" si="9"/>
        <v/>
      </c>
      <c r="F209" s="287"/>
    </row>
    <row r="210" spans="2:6" ht="32.15" x14ac:dyDescent="0.35">
      <c r="B210" s="285"/>
      <c r="C210" s="286" t="str">
        <f t="shared" si="8"/>
        <v>Modèle d’utilisation</v>
      </c>
      <c r="D210" s="468" t="s">
        <v>511</v>
      </c>
      <c r="E210" s="285" t="str">
        <f t="shared" si="9"/>
        <v/>
      </c>
      <c r="F210" s="232" t="s">
        <v>499</v>
      </c>
    </row>
    <row r="211" spans="2:6" x14ac:dyDescent="0.35">
      <c r="B211" s="285"/>
      <c r="C211" s="286" t="str">
        <f t="shared" si="8"/>
        <v>Nombre de jours de travail par an</v>
      </c>
      <c r="D211" s="295">
        <f>'1a. Defaults Segment-Ebene'!D211</f>
        <v>260</v>
      </c>
      <c r="E211" s="285" t="str">
        <f t="shared" si="9"/>
        <v/>
      </c>
      <c r="F211" s="232" t="str">
        <f>'1a. Defaults Segment-Ebene'!F211</f>
        <v>Valeur par défaut: 260</v>
      </c>
    </row>
    <row r="212" spans="2:6" ht="21.45" x14ac:dyDescent="0.35">
      <c r="B212" s="285"/>
      <c r="C212" s="286" t="str">
        <f t="shared" si="8"/>
        <v>Distance parcourue pendant le temps de travail</v>
      </c>
      <c r="D212" s="295">
        <f>'1a. Defaults Segment-Ebene'!D212</f>
        <v>100</v>
      </c>
      <c r="E212" s="285" t="str">
        <f t="shared" si="9"/>
        <v>km/jour</v>
      </c>
      <c r="F212" s="232" t="str">
        <f>"Distance moyenne parcourue par véhicule lors d’une journée de travail type, hors distance domicile-travail. "&amp;'1a. Defaults Segment-Ebene'!F212</f>
        <v>Distance moyenne parcourue par véhicule lors d’une journée de travail type, hors distance domicile-travail. Valeur par défaut: 100 km/jour</v>
      </c>
    </row>
    <row r="213" spans="2:6" x14ac:dyDescent="0.35">
      <c r="B213" s="285"/>
      <c r="C213" s="286" t="str">
        <f t="shared" si="8"/>
        <v>Distance domicile-travail (aller-retour)</v>
      </c>
      <c r="D213" s="295">
        <f>'1a. Defaults Segment-Ebene'!D213</f>
        <v>0</v>
      </c>
      <c r="E213" s="285" t="str">
        <f t="shared" si="9"/>
        <v>km/jour</v>
      </c>
      <c r="F213" s="232" t="str">
        <f>"Distance domicile-travail par véhicule lors d’une journée de travail type. "&amp;'1a. Defaults Segment-Ebene'!F213</f>
        <v>Distance domicile-travail par véhicule lors d’une journée de travail type. Valeur par défaut: 0 km/jour</v>
      </c>
    </row>
    <row r="214" spans="2:6" ht="21.45" x14ac:dyDescent="0.35">
      <c r="B214" s="285"/>
      <c r="C214" s="286" t="str">
        <f t="shared" si="8"/>
        <v>Nombre d’utilisations par jour</v>
      </c>
      <c r="D214" s="295">
        <f>'1a. Defaults Segment-Ebene'!D214</f>
        <v>1</v>
      </c>
      <c r="E214" s="285" t="str">
        <f t="shared" si="9"/>
        <v/>
      </c>
      <c r="F214" s="232" t="str">
        <f>"Toutes les utilisations au cours d’une journée de travail type. Une utilisation est définie comme un trajet à partir du site de l’entreprise jusqu’au retour au site de l’entreprise. "&amp;'1a. Defaults Segment-Ebene'!F214</f>
        <v>Toutes les utilisations au cours d’une journée de travail type. Une utilisation est définie comme un trajet à partir du site de l’entreprise jusqu’au retour au site de l’entreprise. Valeur par défaut: 1</v>
      </c>
    </row>
    <row r="215" spans="2:6" x14ac:dyDescent="0.35">
      <c r="B215" s="285"/>
      <c r="C215" s="286" t="str">
        <f t="shared" si="8"/>
        <v>Nombre de pauses par jour</v>
      </c>
      <c r="D215" s="299">
        <f>D214</f>
        <v>1</v>
      </c>
      <c r="E215" s="285" t="str">
        <f t="shared" si="9"/>
        <v/>
      </c>
      <c r="F215" s="232"/>
    </row>
    <row r="216" spans="2:6" x14ac:dyDescent="0.35">
      <c r="B216" s="285"/>
      <c r="C216" s="286" t="str">
        <f t="shared" si="8"/>
        <v>Durée d’immobilisation par pause sur le site de l’entreprise</v>
      </c>
      <c r="D216" s="295">
        <f>'1a. Defaults Segment-Ebene'!D216</f>
        <v>1</v>
      </c>
      <c r="E216" s="285" t="str">
        <f t="shared" si="9"/>
        <v>Heures</v>
      </c>
      <c r="F216" s="232" t="str">
        <f>'1a. Defaults Segment-Ebene'!F216</f>
        <v>Valeur par défaut: 1 Heure</v>
      </c>
    </row>
    <row r="217" spans="2:6" ht="21.45" x14ac:dyDescent="0.35">
      <c r="B217" s="285"/>
      <c r="C217" s="286" t="str">
        <f t="shared" si="8"/>
        <v>Durée d’immobilisation pendant la nuit</v>
      </c>
      <c r="D217" s="295">
        <f>'1a. Defaults Segment-Ebene'!D217</f>
        <v>8</v>
      </c>
      <c r="E217" s="285" t="str">
        <f t="shared" si="9"/>
        <v>Heures</v>
      </c>
      <c r="F217" s="232" t="str">
        <f>"Temps de recharge disponible au domicile ou sur le site de l’entreprise pendant la nuit. "&amp;'1a. Defaults Segment-Ebene'!F217</f>
        <v>Temps de recharge disponible au domicile ou sur le site de l’entreprise pendant la nuit. Valeur par défaut: 8 Heures</v>
      </c>
    </row>
    <row r="218" spans="2:6" ht="21.45" x14ac:dyDescent="0.35">
      <c r="B218" s="285"/>
      <c r="C218" s="286" t="str">
        <f t="shared" si="8"/>
        <v>Véhicules par point de recharge, site de l’entreprise (pendant la journée)</v>
      </c>
      <c r="D218" s="295">
        <f>'1a. Defaults Segment-Ebene'!D218</f>
        <v>1</v>
      </c>
      <c r="E218" s="285" t="str">
        <f t="shared" si="9"/>
        <v/>
      </c>
      <c r="F218" s="232" t="str">
        <f>"En cas de travail en équipe, il est généralement possible d’utiliser un point de recharge sur le site de l’entreprise pour plusieurs véhicules. "&amp;'1a. Defaults Segment-Ebene'!F218</f>
        <v>En cas de travail en équipe, il est généralement possible d’utiliser un point de recharge sur le site de l’entreprise pour plusieurs véhicules. Valeur par défaut: 1</v>
      </c>
    </row>
    <row r="219" spans="2:6" x14ac:dyDescent="0.35">
      <c r="B219" s="285"/>
      <c r="C219" s="286" t="str">
        <f t="shared" si="8"/>
        <v/>
      </c>
      <c r="D219" s="285"/>
      <c r="E219" s="285" t="str">
        <f t="shared" si="9"/>
        <v/>
      </c>
      <c r="F219" s="287"/>
    </row>
    <row r="220" spans="2:6" x14ac:dyDescent="0.35">
      <c r="B220" s="223"/>
      <c r="C220" s="224" t="str">
        <f t="shared" si="8"/>
        <v>Coûts (indication par véhicule)</v>
      </c>
      <c r="D220" s="285"/>
      <c r="E220" s="285" t="str">
        <f t="shared" si="9"/>
        <v/>
      </c>
      <c r="F220" s="287"/>
    </row>
    <row r="221" spans="2:6" x14ac:dyDescent="0.35">
      <c r="B221" s="285"/>
      <c r="C221" s="286" t="str">
        <f t="shared" si="8"/>
        <v>Durée</v>
      </c>
      <c r="D221" s="295">
        <v>48</v>
      </c>
      <c r="E221" s="285" t="str">
        <f t="shared" si="9"/>
        <v>Mois</v>
      </c>
      <c r="F221" s="232"/>
    </row>
    <row r="222" spans="2:6" x14ac:dyDescent="0.35">
      <c r="B222" s="285"/>
      <c r="C222" s="286" t="str">
        <f t="shared" si="8"/>
        <v>Taux d’intérêt du leasing</v>
      </c>
      <c r="D222" s="300">
        <f>'1a. Defaults Segment-Ebene'!D222</f>
        <v>0.03</v>
      </c>
      <c r="E222" s="301" t="str">
        <f t="shared" si="9"/>
        <v/>
      </c>
      <c r="F222" s="232" t="str">
        <f>'1a. Defaults Segment-Ebene'!F222</f>
        <v>Valeur par défaut: 3.0%</v>
      </c>
    </row>
    <row r="223" spans="2:6" x14ac:dyDescent="0.35">
      <c r="B223" s="285"/>
      <c r="C223" s="286" t="str">
        <f t="shared" si="8"/>
        <v>Prix d’acquisition, rabais de flotte du véhicule thermique inclus</v>
      </c>
      <c r="D223" s="302">
        <f>'1a. Defaults Segment-Ebene'!D223</f>
        <v>27219.464999999997</v>
      </c>
      <c r="E223" s="303" t="str">
        <f t="shared" si="9"/>
        <v>CHF</v>
      </c>
      <c r="F223" s="232" t="str">
        <f>'1a. Defaults Segment-Ebene'!F223</f>
        <v>Valeur par défaut: 27’219 CHF</v>
      </c>
    </row>
    <row r="224" spans="2:6" x14ac:dyDescent="0.35">
      <c r="B224" s="285"/>
      <c r="C224" s="286" t="str">
        <f t="shared" si="8"/>
        <v>Frais d’entretien et de réparation du véhicule thermique</v>
      </c>
      <c r="D224" s="304">
        <f>'1a. Defaults Segment-Ebene'!D224</f>
        <v>0.05</v>
      </c>
      <c r="E224" s="285" t="str">
        <f t="shared" si="9"/>
        <v>CHF/km</v>
      </c>
      <c r="F224" s="232" t="str">
        <f>'1a. Defaults Segment-Ebene'!F224</f>
        <v>Valeur par défaut: 0.050 CHF/km</v>
      </c>
    </row>
    <row r="225" spans="2:6" ht="21.45" x14ac:dyDescent="0.35">
      <c r="B225" s="285"/>
      <c r="C225" s="286" t="str">
        <f t="shared" si="8"/>
        <v>Valeur résiduelle du véhicule thermique</v>
      </c>
      <c r="D225" s="300">
        <f>'1a. Defaults Segment-Ebene'!D225</f>
        <v>0.31606388888888887</v>
      </c>
      <c r="E225" s="305" t="str">
        <f t="shared" si="9"/>
        <v/>
      </c>
      <c r="F225" s="232" t="str">
        <f>"Valeur résiduelle visée lors de la vente/restitution du véhicule en % des coûts d’acquisition. "&amp;'1a. Defaults Segment-Ebene'!F225</f>
        <v>Valeur résiduelle visée lors de la vente/restitution du véhicule en % des coûts d’acquisition. Valeur par défaut: 31.6%</v>
      </c>
    </row>
    <row r="226" spans="2:6" x14ac:dyDescent="0.35">
      <c r="B226" s="285"/>
      <c r="C226" s="286" t="str">
        <f t="shared" si="8"/>
        <v>Prix d’acquisition, rabais de flotte du véhicule électrique inclus</v>
      </c>
      <c r="D226" s="302">
        <f>'1a. Defaults Segment-Ebene'!D226</f>
        <v>28810.890000000003</v>
      </c>
      <c r="E226" s="303" t="str">
        <f t="shared" si="9"/>
        <v>CHF</v>
      </c>
      <c r="F226" s="232" t="str">
        <f>'1a. Defaults Segment-Ebene'!F226</f>
        <v>Valeur par défaut: 28’811 CHF</v>
      </c>
    </row>
    <row r="227" spans="2:6" x14ac:dyDescent="0.35">
      <c r="B227" s="285"/>
      <c r="C227" s="306" t="str">
        <f t="shared" si="8"/>
        <v>Frais d’entretien et de réparation du véhicule électrique</v>
      </c>
      <c r="D227" s="311">
        <f>'1a. Defaults Segment-Ebene'!D227</f>
        <v>2.5000000000000001E-2</v>
      </c>
      <c r="E227" s="308" t="str">
        <f t="shared" si="9"/>
        <v>CHF/km</v>
      </c>
      <c r="F227" s="232" t="str">
        <f>'1a. Defaults Segment-Ebene'!F227</f>
        <v>Valeur par défaut: 0.025 CHF/km</v>
      </c>
    </row>
    <row r="228" spans="2:6" ht="21.45" x14ac:dyDescent="0.35">
      <c r="B228" s="285"/>
      <c r="C228" s="306" t="str">
        <f t="shared" si="8"/>
        <v>Valeur résiduelle du véhicule électrique</v>
      </c>
      <c r="D228" s="300">
        <f>'1a. Defaults Segment-Ebene'!D228</f>
        <v>0.30658197222222217</v>
      </c>
      <c r="E228" s="308" t="str">
        <f t="shared" si="9"/>
        <v/>
      </c>
      <c r="F228" s="232" t="str">
        <f>"Valeur résiduelle visée lors de la vente/restitution du véhicule en % des coûts d’acquisition. "&amp;'1a. Defaults Segment-Ebene'!F228</f>
        <v>Valeur résiduelle visée lors de la vente/restitution du véhicule en % des coûts d’acquisition. Valeur par défaut: 30.7%</v>
      </c>
    </row>
    <row r="229" spans="2:6" x14ac:dyDescent="0.35">
      <c r="B229" s="285"/>
      <c r="C229" s="286"/>
      <c r="D229" s="308"/>
      <c r="E229" s="308"/>
      <c r="F229" s="287"/>
    </row>
    <row r="230" spans="2:6" x14ac:dyDescent="0.35">
      <c r="B230" s="289"/>
      <c r="C230" s="284"/>
      <c r="D230" s="309"/>
      <c r="E230" s="309"/>
      <c r="F230" s="290"/>
    </row>
    <row r="231" spans="2:6" ht="17.600000000000001" x14ac:dyDescent="0.35">
      <c r="B231" s="218"/>
      <c r="C231" s="219" t="s">
        <v>31</v>
      </c>
      <c r="D231" s="218"/>
      <c r="E231" s="218"/>
      <c r="F231" s="220"/>
    </row>
    <row r="232" spans="2:6" x14ac:dyDescent="0.35">
      <c r="B232" s="230"/>
      <c r="C232" s="231"/>
      <c r="D232" s="285"/>
      <c r="E232" s="285"/>
      <c r="F232" s="287"/>
    </row>
    <row r="233" spans="2:6" x14ac:dyDescent="0.35">
      <c r="B233" s="223"/>
      <c r="C233" s="224" t="str">
        <f t="shared" ref="C233:C264" si="10">IF(C197&lt;&gt;"",C197,"")</f>
        <v>Structure des segments</v>
      </c>
      <c r="D233" s="285"/>
      <c r="E233" s="285" t="str">
        <f t="shared" ref="E233:E264" si="11">IF(E197&lt;&gt;"",E197,"")</f>
        <v/>
      </c>
      <c r="F233" s="287"/>
    </row>
    <row r="234" spans="2:6" x14ac:dyDescent="0.35">
      <c r="B234" s="285"/>
      <c r="C234" s="286" t="str">
        <f t="shared" si="10"/>
        <v>Nombre de véhicules</v>
      </c>
      <c r="D234" s="291">
        <v>1</v>
      </c>
      <c r="E234" s="292" t="str">
        <f t="shared" si="11"/>
        <v/>
      </c>
      <c r="F234" s="232"/>
    </row>
    <row r="235" spans="2:6" ht="42.9" x14ac:dyDescent="0.35">
      <c r="B235" s="285"/>
      <c r="C235" s="286" t="str">
        <f t="shared" si="10"/>
        <v>Type d’utilisation</v>
      </c>
      <c r="D235" s="294" t="s">
        <v>509</v>
      </c>
      <c r="E235" s="285" t="str">
        <f t="shared" si="11"/>
        <v/>
      </c>
      <c r="F235" s="232" t="s">
        <v>600</v>
      </c>
    </row>
    <row r="236" spans="2:6" x14ac:dyDescent="0.35">
      <c r="B236" s="285"/>
      <c r="C236" s="286" t="str">
        <f t="shared" si="10"/>
        <v>Domaine d’utilisation</v>
      </c>
      <c r="D236" s="294" t="s">
        <v>510</v>
      </c>
      <c r="E236" s="285" t="str">
        <f t="shared" si="11"/>
        <v/>
      </c>
      <c r="F236" s="232"/>
    </row>
    <row r="237" spans="2:6" ht="21.45" x14ac:dyDescent="0.35">
      <c r="B237" s="285"/>
      <c r="C237" s="286" t="str">
        <f t="shared" si="10"/>
        <v>Possibilité de recharge à domicile</v>
      </c>
      <c r="D237" s="294" t="str">
        <f>'1a. Defaults Segment-Ebene'!D237</f>
        <v>Non</v>
      </c>
      <c r="E237" s="285" t="str">
        <f t="shared" si="11"/>
        <v/>
      </c>
      <c r="F237" s="232" t="s">
        <v>484</v>
      </c>
    </row>
    <row r="238" spans="2:6" x14ac:dyDescent="0.35">
      <c r="B238" s="285"/>
      <c r="C238" s="286" t="str">
        <f t="shared" si="10"/>
        <v/>
      </c>
      <c r="D238" s="285"/>
      <c r="E238" s="285" t="str">
        <f t="shared" si="11"/>
        <v/>
      </c>
      <c r="F238" s="232"/>
    </row>
    <row r="239" spans="2:6" x14ac:dyDescent="0.35">
      <c r="B239" s="285"/>
      <c r="C239" s="224" t="str">
        <f t="shared" si="10"/>
        <v>Données du véhicule</v>
      </c>
      <c r="D239" s="285"/>
      <c r="E239" s="285" t="str">
        <f t="shared" si="11"/>
        <v/>
      </c>
      <c r="F239" s="232"/>
    </row>
    <row r="240" spans="2:6" x14ac:dyDescent="0.35">
      <c r="B240" s="285"/>
      <c r="C240" s="286" t="str">
        <f t="shared" si="10"/>
        <v>Taille du véhicule</v>
      </c>
      <c r="D240" s="294" t="s">
        <v>512</v>
      </c>
      <c r="E240" s="285" t="str">
        <f t="shared" si="11"/>
        <v/>
      </c>
      <c r="F240" s="232"/>
    </row>
    <row r="241" spans="2:6" x14ac:dyDescent="0.35">
      <c r="B241" s="285"/>
      <c r="C241" s="286" t="str">
        <f t="shared" si="10"/>
        <v>Consommation de carburant du véhicule thermique</v>
      </c>
      <c r="D241" s="295">
        <f>'1a. Defaults Segment-Ebene'!D241</f>
        <v>5.8</v>
      </c>
      <c r="E241" s="285" t="str">
        <f t="shared" si="11"/>
        <v>l/100 km</v>
      </c>
      <c r="F241" s="232" t="str">
        <f>'1a. Defaults Segment-Ebene'!F241</f>
        <v>Valeur par défaut: 5.8 l/100 km</v>
      </c>
    </row>
    <row r="242" spans="2:6" x14ac:dyDescent="0.35">
      <c r="B242" s="285"/>
      <c r="C242" s="286" t="str">
        <f t="shared" si="10"/>
        <v>Consommation énergétique du véhicule électrique</v>
      </c>
      <c r="D242" s="295">
        <f>'1a. Defaults Segment-Ebene'!D242</f>
        <v>15.1</v>
      </c>
      <c r="E242" s="285" t="str">
        <f t="shared" si="11"/>
        <v>kWh/100 km</v>
      </c>
      <c r="F242" s="232" t="str">
        <f>'1a. Defaults Segment-Ebene'!F242</f>
        <v>Valeur par défaut: 15.1 kWh/100 km</v>
      </c>
    </row>
    <row r="243" spans="2:6" ht="32.15" x14ac:dyDescent="0.35">
      <c r="B243" s="285"/>
      <c r="C243" s="286" t="str">
        <f t="shared" si="10"/>
        <v>Capacité de la batterie (nette)</v>
      </c>
      <c r="D243" s="295">
        <f>'1a. Defaults Segment-Ebene'!D243</f>
        <v>58.625</v>
      </c>
      <c r="E243" s="285" t="str">
        <f t="shared" si="11"/>
        <v>kWh</v>
      </c>
      <c r="F243" s="232" t="str">
        <f>"Capacité de stockage effectivement utilisable, calculée à partir de la capacité brute moins la marge de sécurité et de santé du fabricant. En règle générale, env. 90-95% de la capacité brute. "&amp;'1a. Defaults Segment-Ebene'!F243</f>
        <v>Capacité de stockage effectivement utilisable, calculée à partir de la capacité brute moins la marge de sécurité et de santé du fabricant. En règle générale, env. 90-95% de la capacité brute. Valeur par défaut: 58.6 kWh</v>
      </c>
    </row>
    <row r="244" spans="2:6" x14ac:dyDescent="0.35">
      <c r="B244" s="285"/>
      <c r="C244" s="286" t="str">
        <f t="shared" si="10"/>
        <v/>
      </c>
      <c r="D244" s="285"/>
      <c r="E244" s="285" t="str">
        <f t="shared" si="11"/>
        <v/>
      </c>
      <c r="F244" s="287"/>
    </row>
    <row r="245" spans="2:6" x14ac:dyDescent="0.35">
      <c r="B245" s="223"/>
      <c r="C245" s="224" t="str">
        <f t="shared" si="10"/>
        <v>Profil de conduite et d’utilisation (indication par véhicule)</v>
      </c>
      <c r="D245" s="285"/>
      <c r="E245" s="285" t="str">
        <f t="shared" si="11"/>
        <v/>
      </c>
      <c r="F245" s="287"/>
    </row>
    <row r="246" spans="2:6" ht="32.15" x14ac:dyDescent="0.35">
      <c r="B246" s="285"/>
      <c r="C246" s="286" t="str">
        <f t="shared" si="10"/>
        <v>Modèle d’utilisation</v>
      </c>
      <c r="D246" s="468" t="s">
        <v>511</v>
      </c>
      <c r="E246" s="285" t="str">
        <f t="shared" si="11"/>
        <v/>
      </c>
      <c r="F246" s="232" t="s">
        <v>499</v>
      </c>
    </row>
    <row r="247" spans="2:6" x14ac:dyDescent="0.35">
      <c r="B247" s="285"/>
      <c r="C247" s="286" t="str">
        <f t="shared" si="10"/>
        <v>Nombre de jours de travail par an</v>
      </c>
      <c r="D247" s="295">
        <f>'1a. Defaults Segment-Ebene'!D247</f>
        <v>260</v>
      </c>
      <c r="E247" s="285" t="str">
        <f t="shared" si="11"/>
        <v/>
      </c>
      <c r="F247" s="232" t="str">
        <f>'1a. Defaults Segment-Ebene'!F247</f>
        <v>Valeur par défaut: 260</v>
      </c>
    </row>
    <row r="248" spans="2:6" ht="21.45" x14ac:dyDescent="0.35">
      <c r="B248" s="285"/>
      <c r="C248" s="286" t="str">
        <f t="shared" si="10"/>
        <v>Distance parcourue pendant le temps de travail</v>
      </c>
      <c r="D248" s="295">
        <f>'1a. Defaults Segment-Ebene'!D248</f>
        <v>100</v>
      </c>
      <c r="E248" s="285" t="str">
        <f t="shared" si="11"/>
        <v>km/jour</v>
      </c>
      <c r="F248" s="232" t="str">
        <f>"Distance moyenne parcourue par véhicule lors d’une journée de travail type, hors distance domicile-travail. "&amp;'1a. Defaults Segment-Ebene'!F248</f>
        <v>Distance moyenne parcourue par véhicule lors d’une journée de travail type, hors distance domicile-travail. Valeur par défaut: 100 km/jour</v>
      </c>
    </row>
    <row r="249" spans="2:6" x14ac:dyDescent="0.35">
      <c r="B249" s="285"/>
      <c r="C249" s="286" t="str">
        <f t="shared" si="10"/>
        <v>Distance domicile-travail (aller-retour)</v>
      </c>
      <c r="D249" s="295">
        <f>'1a. Defaults Segment-Ebene'!D249</f>
        <v>0</v>
      </c>
      <c r="E249" s="285" t="str">
        <f t="shared" si="11"/>
        <v>km/jour</v>
      </c>
      <c r="F249" s="232" t="str">
        <f>"Distance domicile-travail par véhicule lors d’une journée de travail type. "&amp;'1a. Defaults Segment-Ebene'!F249</f>
        <v>Distance domicile-travail par véhicule lors d’une journée de travail type. Valeur par défaut: 0 km/jour</v>
      </c>
    </row>
    <row r="250" spans="2:6" ht="21.45" x14ac:dyDescent="0.35">
      <c r="B250" s="285"/>
      <c r="C250" s="286" t="str">
        <f t="shared" si="10"/>
        <v>Nombre d’utilisations par jour</v>
      </c>
      <c r="D250" s="295">
        <f>'1a. Defaults Segment-Ebene'!D250</f>
        <v>1</v>
      </c>
      <c r="E250" s="285" t="str">
        <f t="shared" si="11"/>
        <v/>
      </c>
      <c r="F250" s="232" t="str">
        <f>"Toutes les utilisations au cours d’une journée de travail type. Une utilisation est définie comme un trajet à partir du site de l’entreprise jusqu’au retour au site de l’entreprise. "&amp;'1a. Defaults Segment-Ebene'!F250</f>
        <v>Toutes les utilisations au cours d’une journée de travail type. Une utilisation est définie comme un trajet à partir du site de l’entreprise jusqu’au retour au site de l’entreprise. Valeur par défaut: 1</v>
      </c>
    </row>
    <row r="251" spans="2:6" x14ac:dyDescent="0.35">
      <c r="B251" s="285"/>
      <c r="C251" s="286" t="str">
        <f t="shared" si="10"/>
        <v>Nombre de pauses par jour</v>
      </c>
      <c r="D251" s="299">
        <f>D250</f>
        <v>1</v>
      </c>
      <c r="E251" s="285" t="str">
        <f t="shared" si="11"/>
        <v/>
      </c>
      <c r="F251" s="232"/>
    </row>
    <row r="252" spans="2:6" x14ac:dyDescent="0.35">
      <c r="B252" s="285"/>
      <c r="C252" s="286" t="str">
        <f t="shared" si="10"/>
        <v>Durée d’immobilisation par pause sur le site de l’entreprise</v>
      </c>
      <c r="D252" s="295">
        <f>'1a. Defaults Segment-Ebene'!D252</f>
        <v>1</v>
      </c>
      <c r="E252" s="285" t="str">
        <f t="shared" si="11"/>
        <v>Heures</v>
      </c>
      <c r="F252" s="232" t="str">
        <f>'1a. Defaults Segment-Ebene'!F252</f>
        <v>Valeur par défaut: 1 Heure</v>
      </c>
    </row>
    <row r="253" spans="2:6" ht="21.45" x14ac:dyDescent="0.35">
      <c r="B253" s="285"/>
      <c r="C253" s="286" t="str">
        <f t="shared" si="10"/>
        <v>Durée d’immobilisation pendant la nuit</v>
      </c>
      <c r="D253" s="295">
        <f>'1a. Defaults Segment-Ebene'!D253</f>
        <v>8</v>
      </c>
      <c r="E253" s="285" t="str">
        <f t="shared" si="11"/>
        <v>Heures</v>
      </c>
      <c r="F253" s="232" t="str">
        <f>"Temps de recharge disponible au domicile ou sur le site de l’entreprise pendant la nuit. "&amp;'1a. Defaults Segment-Ebene'!F253</f>
        <v>Temps de recharge disponible au domicile ou sur le site de l’entreprise pendant la nuit. Valeur par défaut: 8 Heures</v>
      </c>
    </row>
    <row r="254" spans="2:6" ht="21.45" x14ac:dyDescent="0.35">
      <c r="B254" s="285"/>
      <c r="C254" s="286" t="str">
        <f t="shared" si="10"/>
        <v>Véhicules par point de recharge, site de l’entreprise (pendant la journée)</v>
      </c>
      <c r="D254" s="295">
        <f>'1a. Defaults Segment-Ebene'!D254</f>
        <v>1</v>
      </c>
      <c r="E254" s="285" t="str">
        <f t="shared" si="11"/>
        <v/>
      </c>
      <c r="F254" s="232" t="str">
        <f>"En cas de travail en équipe, il est généralement possible d’utiliser un point de recharge sur le site de l’entreprise pour plusieurs véhicules. "&amp;'1a. Defaults Segment-Ebene'!F254</f>
        <v>En cas de travail en équipe, il est généralement possible d’utiliser un point de recharge sur le site de l’entreprise pour plusieurs véhicules. Valeur par défaut: 1</v>
      </c>
    </row>
    <row r="255" spans="2:6" x14ac:dyDescent="0.35">
      <c r="B255" s="285"/>
      <c r="C255" s="286" t="str">
        <f t="shared" si="10"/>
        <v/>
      </c>
      <c r="D255" s="285"/>
      <c r="E255" s="285" t="str">
        <f t="shared" si="11"/>
        <v/>
      </c>
      <c r="F255" s="287"/>
    </row>
    <row r="256" spans="2:6" x14ac:dyDescent="0.35">
      <c r="B256" s="223"/>
      <c r="C256" s="224" t="str">
        <f t="shared" si="10"/>
        <v>Coûts (indication par véhicule)</v>
      </c>
      <c r="D256" s="285"/>
      <c r="E256" s="285" t="str">
        <f t="shared" si="11"/>
        <v/>
      </c>
      <c r="F256" s="287"/>
    </row>
    <row r="257" spans="2:6" x14ac:dyDescent="0.35">
      <c r="B257" s="285"/>
      <c r="C257" s="286" t="str">
        <f t="shared" si="10"/>
        <v>Durée</v>
      </c>
      <c r="D257" s="295">
        <v>48</v>
      </c>
      <c r="E257" s="285" t="str">
        <f t="shared" si="11"/>
        <v>Mois</v>
      </c>
      <c r="F257" s="232"/>
    </row>
    <row r="258" spans="2:6" x14ac:dyDescent="0.35">
      <c r="B258" s="285"/>
      <c r="C258" s="286" t="str">
        <f t="shared" si="10"/>
        <v>Taux d’intérêt du leasing</v>
      </c>
      <c r="D258" s="300">
        <f>'1a. Defaults Segment-Ebene'!D258</f>
        <v>0.03</v>
      </c>
      <c r="E258" s="301" t="str">
        <f t="shared" si="11"/>
        <v/>
      </c>
      <c r="F258" s="232" t="str">
        <f>'1a. Defaults Segment-Ebene'!F258</f>
        <v>Valeur par défaut: 3.0%</v>
      </c>
    </row>
    <row r="259" spans="2:6" x14ac:dyDescent="0.35">
      <c r="B259" s="285"/>
      <c r="C259" s="286" t="str">
        <f t="shared" si="10"/>
        <v>Prix d’acquisition, rabais de flotte du véhicule thermique inclus</v>
      </c>
      <c r="D259" s="302">
        <f>'1a. Defaults Segment-Ebene'!D259</f>
        <v>27219.464999999997</v>
      </c>
      <c r="E259" s="303" t="str">
        <f t="shared" si="11"/>
        <v>CHF</v>
      </c>
      <c r="F259" s="232" t="str">
        <f>'1a. Defaults Segment-Ebene'!F259</f>
        <v>Valeur par défaut: 27’219 CHF</v>
      </c>
    </row>
    <row r="260" spans="2:6" x14ac:dyDescent="0.35">
      <c r="B260" s="285"/>
      <c r="C260" s="286" t="str">
        <f t="shared" si="10"/>
        <v>Frais d’entretien et de réparation du véhicule thermique</v>
      </c>
      <c r="D260" s="304">
        <f>'1a. Defaults Segment-Ebene'!D260</f>
        <v>0.05</v>
      </c>
      <c r="E260" s="285" t="str">
        <f t="shared" si="11"/>
        <v>CHF/km</v>
      </c>
      <c r="F260" s="232" t="str">
        <f>'1a. Defaults Segment-Ebene'!F260</f>
        <v>Valeur par défaut: 0.050 CHF/km</v>
      </c>
    </row>
    <row r="261" spans="2:6" ht="21.45" x14ac:dyDescent="0.35">
      <c r="B261" s="285"/>
      <c r="C261" s="286" t="str">
        <f t="shared" si="10"/>
        <v>Valeur résiduelle du véhicule thermique</v>
      </c>
      <c r="D261" s="300">
        <f>'1a. Defaults Segment-Ebene'!D261</f>
        <v>0.31606388888888887</v>
      </c>
      <c r="E261" s="305" t="str">
        <f t="shared" si="11"/>
        <v/>
      </c>
      <c r="F261" s="232" t="str">
        <f>"Valeur résiduelle visée lors de la vente/restitution du véhicule en % des coûts d’acquisition. "&amp;'1a. Defaults Segment-Ebene'!F261</f>
        <v>Valeur résiduelle visée lors de la vente/restitution du véhicule en % des coûts d’acquisition. Valeur par défaut: 31.6%</v>
      </c>
    </row>
    <row r="262" spans="2:6" x14ac:dyDescent="0.35">
      <c r="B262" s="285"/>
      <c r="C262" s="286" t="str">
        <f t="shared" si="10"/>
        <v>Prix d’acquisition, rabais de flotte du véhicule électrique inclus</v>
      </c>
      <c r="D262" s="302">
        <f>'1a. Defaults Segment-Ebene'!D262</f>
        <v>28810.890000000003</v>
      </c>
      <c r="E262" s="303" t="str">
        <f t="shared" si="11"/>
        <v>CHF</v>
      </c>
      <c r="F262" s="232" t="str">
        <f>'1a. Defaults Segment-Ebene'!F262</f>
        <v>Valeur par défaut: 28’811 CHF</v>
      </c>
    </row>
    <row r="263" spans="2:6" x14ac:dyDescent="0.35">
      <c r="B263" s="285"/>
      <c r="C263" s="306" t="str">
        <f t="shared" si="10"/>
        <v>Frais d’entretien et de réparation du véhicule électrique</v>
      </c>
      <c r="D263" s="311">
        <f>'1a. Defaults Segment-Ebene'!D263</f>
        <v>2.5000000000000001E-2</v>
      </c>
      <c r="E263" s="308" t="str">
        <f t="shared" si="11"/>
        <v>CHF/km</v>
      </c>
      <c r="F263" s="232" t="str">
        <f>'1a. Defaults Segment-Ebene'!F263</f>
        <v>Valeur par défaut: 0.025 CHF/km</v>
      </c>
    </row>
    <row r="264" spans="2:6" ht="21.45" x14ac:dyDescent="0.35">
      <c r="B264" s="285"/>
      <c r="C264" s="306" t="str">
        <f t="shared" si="10"/>
        <v>Valeur résiduelle du véhicule électrique</v>
      </c>
      <c r="D264" s="300">
        <f>'1a. Defaults Segment-Ebene'!D264</f>
        <v>0.30658197222222217</v>
      </c>
      <c r="E264" s="308" t="str">
        <f t="shared" si="11"/>
        <v/>
      </c>
      <c r="F264" s="232" t="str">
        <f>"Valeur résiduelle visée lors de la vente/restitution du véhicule en % des coûts d’acquisition. "&amp;'1a. Defaults Segment-Ebene'!F264</f>
        <v>Valeur résiduelle visée lors de la vente/restitution du véhicule en % des coûts d’acquisition. Valeur par défaut: 30.7%</v>
      </c>
    </row>
    <row r="265" spans="2:6" x14ac:dyDescent="0.35">
      <c r="B265" s="285"/>
      <c r="C265" s="286"/>
      <c r="D265" s="308"/>
      <c r="E265" s="308"/>
      <c r="F265" s="287"/>
    </row>
    <row r="266" spans="2:6" x14ac:dyDescent="0.35">
      <c r="B266" s="289"/>
      <c r="C266" s="284"/>
      <c r="D266" s="309"/>
      <c r="E266" s="309"/>
      <c r="F266" s="290"/>
    </row>
    <row r="267" spans="2:6" ht="17.600000000000001" x14ac:dyDescent="0.35">
      <c r="B267" s="218"/>
      <c r="C267" s="219" t="s">
        <v>32</v>
      </c>
      <c r="D267" s="218"/>
      <c r="E267" s="218"/>
      <c r="F267" s="220"/>
    </row>
    <row r="268" spans="2:6" x14ac:dyDescent="0.35">
      <c r="B268" s="230"/>
      <c r="C268" s="231"/>
      <c r="D268" s="285"/>
      <c r="E268" s="285"/>
      <c r="F268" s="287"/>
    </row>
    <row r="269" spans="2:6" x14ac:dyDescent="0.35">
      <c r="B269" s="223"/>
      <c r="C269" s="224" t="str">
        <f t="shared" ref="C269:C300" si="12">IF(C233&lt;&gt;"",C233,"")</f>
        <v>Structure des segments</v>
      </c>
      <c r="D269" s="285"/>
      <c r="E269" s="285" t="str">
        <f t="shared" ref="E269:E300" si="13">IF(E233&lt;&gt;"",E233,"")</f>
        <v/>
      </c>
      <c r="F269" s="287"/>
    </row>
    <row r="270" spans="2:6" x14ac:dyDescent="0.35">
      <c r="B270" s="285"/>
      <c r="C270" s="286" t="str">
        <f t="shared" si="12"/>
        <v>Nombre de véhicules</v>
      </c>
      <c r="D270" s="291">
        <v>1</v>
      </c>
      <c r="E270" s="292" t="str">
        <f t="shared" si="13"/>
        <v/>
      </c>
      <c r="F270" s="232"/>
    </row>
    <row r="271" spans="2:6" ht="42.9" x14ac:dyDescent="0.35">
      <c r="B271" s="285"/>
      <c r="C271" s="286" t="str">
        <f t="shared" si="12"/>
        <v>Type d’utilisation</v>
      </c>
      <c r="D271" s="294" t="s">
        <v>509</v>
      </c>
      <c r="E271" s="285" t="str">
        <f t="shared" si="13"/>
        <v/>
      </c>
      <c r="F271" s="232" t="s">
        <v>600</v>
      </c>
    </row>
    <row r="272" spans="2:6" x14ac:dyDescent="0.35">
      <c r="B272" s="285"/>
      <c r="C272" s="286" t="str">
        <f t="shared" si="12"/>
        <v>Domaine d’utilisation</v>
      </c>
      <c r="D272" s="294" t="s">
        <v>510</v>
      </c>
      <c r="E272" s="285" t="str">
        <f t="shared" si="13"/>
        <v/>
      </c>
      <c r="F272" s="232"/>
    </row>
    <row r="273" spans="2:6" ht="21.45" x14ac:dyDescent="0.35">
      <c r="B273" s="285"/>
      <c r="C273" s="286" t="str">
        <f t="shared" si="12"/>
        <v>Possibilité de recharge à domicile</v>
      </c>
      <c r="D273" s="294" t="str">
        <f>'1a. Defaults Segment-Ebene'!D273</f>
        <v>Non</v>
      </c>
      <c r="E273" s="285" t="str">
        <f t="shared" si="13"/>
        <v/>
      </c>
      <c r="F273" s="232" t="s">
        <v>484</v>
      </c>
    </row>
    <row r="274" spans="2:6" x14ac:dyDescent="0.35">
      <c r="B274" s="285"/>
      <c r="C274" s="286" t="str">
        <f t="shared" si="12"/>
        <v/>
      </c>
      <c r="D274" s="285"/>
      <c r="E274" s="285" t="str">
        <f t="shared" si="13"/>
        <v/>
      </c>
      <c r="F274" s="232"/>
    </row>
    <row r="275" spans="2:6" x14ac:dyDescent="0.35">
      <c r="B275" s="285"/>
      <c r="C275" s="224" t="str">
        <f t="shared" si="12"/>
        <v>Données du véhicule</v>
      </c>
      <c r="D275" s="285"/>
      <c r="E275" s="285" t="str">
        <f t="shared" si="13"/>
        <v/>
      </c>
      <c r="F275" s="232"/>
    </row>
    <row r="276" spans="2:6" x14ac:dyDescent="0.35">
      <c r="B276" s="285"/>
      <c r="C276" s="286" t="str">
        <f t="shared" si="12"/>
        <v>Taille du véhicule</v>
      </c>
      <c r="D276" s="294" t="s">
        <v>512</v>
      </c>
      <c r="E276" s="285" t="str">
        <f t="shared" si="13"/>
        <v/>
      </c>
      <c r="F276" s="232"/>
    </row>
    <row r="277" spans="2:6" x14ac:dyDescent="0.35">
      <c r="B277" s="285"/>
      <c r="C277" s="286" t="str">
        <f t="shared" si="12"/>
        <v>Consommation de carburant du véhicule thermique</v>
      </c>
      <c r="D277" s="295">
        <f>'1a. Defaults Segment-Ebene'!D277</f>
        <v>5.8</v>
      </c>
      <c r="E277" s="285" t="str">
        <f t="shared" si="13"/>
        <v>l/100 km</v>
      </c>
      <c r="F277" s="232" t="str">
        <f>'1a. Defaults Segment-Ebene'!F277</f>
        <v>Valeur par défaut: 5.8 l/100 km</v>
      </c>
    </row>
    <row r="278" spans="2:6" x14ac:dyDescent="0.35">
      <c r="B278" s="285"/>
      <c r="C278" s="286" t="str">
        <f t="shared" si="12"/>
        <v>Consommation énergétique du véhicule électrique</v>
      </c>
      <c r="D278" s="295">
        <f>'1a. Defaults Segment-Ebene'!D278</f>
        <v>15.1</v>
      </c>
      <c r="E278" s="285" t="str">
        <f t="shared" si="13"/>
        <v>kWh/100 km</v>
      </c>
      <c r="F278" s="232" t="str">
        <f>'1a. Defaults Segment-Ebene'!F278</f>
        <v>Valeur par défaut: 15.1 kWh/100 km</v>
      </c>
    </row>
    <row r="279" spans="2:6" ht="32.15" x14ac:dyDescent="0.35">
      <c r="B279" s="285"/>
      <c r="C279" s="286" t="str">
        <f t="shared" si="12"/>
        <v>Capacité de la batterie (nette)</v>
      </c>
      <c r="D279" s="295">
        <f>'1a. Defaults Segment-Ebene'!D279</f>
        <v>58.625</v>
      </c>
      <c r="E279" s="285" t="str">
        <f t="shared" si="13"/>
        <v>kWh</v>
      </c>
      <c r="F279" s="232" t="str">
        <f>"Capacité de stockage effectivement utilisable, calculée à partir de la capacité brute moins la marge de sécurité et de santé du fabricant. En règle générale, env. 90-95% de la capacité brute. "&amp;'1a. Defaults Segment-Ebene'!F279</f>
        <v>Capacité de stockage effectivement utilisable, calculée à partir de la capacité brute moins la marge de sécurité et de santé du fabricant. En règle générale, env. 90-95% de la capacité brute. Valeur par défaut: 58.6 kWh</v>
      </c>
    </row>
    <row r="280" spans="2:6" x14ac:dyDescent="0.35">
      <c r="B280" s="285"/>
      <c r="C280" s="286" t="str">
        <f t="shared" si="12"/>
        <v/>
      </c>
      <c r="D280" s="285"/>
      <c r="E280" s="285" t="str">
        <f t="shared" si="13"/>
        <v/>
      </c>
      <c r="F280" s="287"/>
    </row>
    <row r="281" spans="2:6" x14ac:dyDescent="0.35">
      <c r="B281" s="223"/>
      <c r="C281" s="224" t="str">
        <f t="shared" si="12"/>
        <v>Profil de conduite et d’utilisation (indication par véhicule)</v>
      </c>
      <c r="D281" s="285"/>
      <c r="E281" s="285" t="str">
        <f t="shared" si="13"/>
        <v/>
      </c>
      <c r="F281" s="287"/>
    </row>
    <row r="282" spans="2:6" ht="32.15" x14ac:dyDescent="0.35">
      <c r="B282" s="285"/>
      <c r="C282" s="286" t="str">
        <f t="shared" si="12"/>
        <v>Modèle d’utilisation</v>
      </c>
      <c r="D282" s="468" t="s">
        <v>511</v>
      </c>
      <c r="E282" s="285" t="str">
        <f t="shared" si="13"/>
        <v/>
      </c>
      <c r="F282" s="232" t="s">
        <v>499</v>
      </c>
    </row>
    <row r="283" spans="2:6" x14ac:dyDescent="0.35">
      <c r="B283" s="285"/>
      <c r="C283" s="286" t="str">
        <f t="shared" si="12"/>
        <v>Nombre de jours de travail par an</v>
      </c>
      <c r="D283" s="295">
        <f>'1a. Defaults Segment-Ebene'!D283</f>
        <v>260</v>
      </c>
      <c r="E283" s="285" t="str">
        <f t="shared" si="13"/>
        <v/>
      </c>
      <c r="F283" s="232" t="str">
        <f>'1a. Defaults Segment-Ebene'!F283</f>
        <v>Valeur par défaut: 260</v>
      </c>
    </row>
    <row r="284" spans="2:6" ht="21.45" x14ac:dyDescent="0.35">
      <c r="B284" s="285"/>
      <c r="C284" s="286" t="str">
        <f t="shared" si="12"/>
        <v>Distance parcourue pendant le temps de travail</v>
      </c>
      <c r="D284" s="295">
        <f>'1a. Defaults Segment-Ebene'!D284</f>
        <v>100</v>
      </c>
      <c r="E284" s="285" t="str">
        <f t="shared" si="13"/>
        <v>km/jour</v>
      </c>
      <c r="F284" s="232" t="str">
        <f>"Distance moyenne parcourue par véhicule lors d’une journée de travail type, hors distance domicile-travail. "&amp;'1a. Defaults Segment-Ebene'!F284</f>
        <v>Distance moyenne parcourue par véhicule lors d’une journée de travail type, hors distance domicile-travail. Valeur par défaut: 100 km/jour</v>
      </c>
    </row>
    <row r="285" spans="2:6" x14ac:dyDescent="0.35">
      <c r="B285" s="285"/>
      <c r="C285" s="286" t="str">
        <f t="shared" si="12"/>
        <v>Distance domicile-travail (aller-retour)</v>
      </c>
      <c r="D285" s="295">
        <f>'1a. Defaults Segment-Ebene'!D285</f>
        <v>0</v>
      </c>
      <c r="E285" s="285" t="str">
        <f t="shared" si="13"/>
        <v>km/jour</v>
      </c>
      <c r="F285" s="232" t="str">
        <f>"Distance domicile-travail par véhicule lors d’une journée de travail type. "&amp;'1a. Defaults Segment-Ebene'!F285</f>
        <v>Distance domicile-travail par véhicule lors d’une journée de travail type. Valeur par défaut: 0 km/jour</v>
      </c>
    </row>
    <row r="286" spans="2:6" ht="21.45" x14ac:dyDescent="0.35">
      <c r="B286" s="285"/>
      <c r="C286" s="286" t="str">
        <f t="shared" si="12"/>
        <v>Nombre d’utilisations par jour</v>
      </c>
      <c r="D286" s="295">
        <f>'1a. Defaults Segment-Ebene'!D286</f>
        <v>1</v>
      </c>
      <c r="E286" s="285" t="str">
        <f t="shared" si="13"/>
        <v/>
      </c>
      <c r="F286" s="232" t="str">
        <f>"Toutes les utilisations au cours d’une journée de travail type. Une utilisation est définie comme un trajet à partir du site de l’entreprise jusqu’au retour au site de l’entreprise. "&amp;'1a. Defaults Segment-Ebene'!F286</f>
        <v>Toutes les utilisations au cours d’une journée de travail type. Une utilisation est définie comme un trajet à partir du site de l’entreprise jusqu’au retour au site de l’entreprise. Valeur par défaut: 1</v>
      </c>
    </row>
    <row r="287" spans="2:6" x14ac:dyDescent="0.35">
      <c r="B287" s="285"/>
      <c r="C287" s="286" t="str">
        <f t="shared" si="12"/>
        <v>Nombre de pauses par jour</v>
      </c>
      <c r="D287" s="299">
        <f>D286</f>
        <v>1</v>
      </c>
      <c r="E287" s="285" t="str">
        <f t="shared" si="13"/>
        <v/>
      </c>
      <c r="F287" s="232"/>
    </row>
    <row r="288" spans="2:6" x14ac:dyDescent="0.35">
      <c r="B288" s="285"/>
      <c r="C288" s="286" t="str">
        <f t="shared" si="12"/>
        <v>Durée d’immobilisation par pause sur le site de l’entreprise</v>
      </c>
      <c r="D288" s="295">
        <f>'1a. Defaults Segment-Ebene'!D288</f>
        <v>1</v>
      </c>
      <c r="E288" s="285" t="str">
        <f t="shared" si="13"/>
        <v>Heures</v>
      </c>
      <c r="F288" s="232" t="str">
        <f>'1a. Defaults Segment-Ebene'!F288</f>
        <v>Valeur par défaut: 1 Heure</v>
      </c>
    </row>
    <row r="289" spans="2:6" ht="21.45" x14ac:dyDescent="0.35">
      <c r="B289" s="285"/>
      <c r="C289" s="286" t="str">
        <f t="shared" si="12"/>
        <v>Durée d’immobilisation pendant la nuit</v>
      </c>
      <c r="D289" s="295">
        <f>'1a. Defaults Segment-Ebene'!D289</f>
        <v>8</v>
      </c>
      <c r="E289" s="285" t="str">
        <f t="shared" si="13"/>
        <v>Heures</v>
      </c>
      <c r="F289" s="232" t="str">
        <f>"Temps de recharge disponible au domicile ou sur le site de l’entreprise pendant la nuit. "&amp;'1a. Defaults Segment-Ebene'!F289</f>
        <v>Temps de recharge disponible au domicile ou sur le site de l’entreprise pendant la nuit. Valeur par défaut: 8 Heures</v>
      </c>
    </row>
    <row r="290" spans="2:6" ht="21.45" x14ac:dyDescent="0.35">
      <c r="B290" s="285"/>
      <c r="C290" s="286" t="str">
        <f t="shared" si="12"/>
        <v>Véhicules par point de recharge, site de l’entreprise (pendant la journée)</v>
      </c>
      <c r="D290" s="295">
        <f>'1a. Defaults Segment-Ebene'!D290</f>
        <v>1</v>
      </c>
      <c r="E290" s="285" t="str">
        <f t="shared" si="13"/>
        <v/>
      </c>
      <c r="F290" s="232" t="str">
        <f>"En cas de travail en équipe, il est généralement possible d’utiliser un point de recharge sur le site de l’entreprise pour plusieurs véhicules. "&amp;'1a. Defaults Segment-Ebene'!F290</f>
        <v>En cas de travail en équipe, il est généralement possible d’utiliser un point de recharge sur le site de l’entreprise pour plusieurs véhicules. Valeur par défaut: 1</v>
      </c>
    </row>
    <row r="291" spans="2:6" x14ac:dyDescent="0.35">
      <c r="B291" s="285"/>
      <c r="C291" s="286" t="str">
        <f t="shared" si="12"/>
        <v/>
      </c>
      <c r="D291" s="285"/>
      <c r="E291" s="285" t="str">
        <f t="shared" si="13"/>
        <v/>
      </c>
      <c r="F291" s="287"/>
    </row>
    <row r="292" spans="2:6" x14ac:dyDescent="0.35">
      <c r="B292" s="223"/>
      <c r="C292" s="224" t="str">
        <f t="shared" si="12"/>
        <v>Coûts (indication par véhicule)</v>
      </c>
      <c r="D292" s="285"/>
      <c r="E292" s="285" t="str">
        <f t="shared" si="13"/>
        <v/>
      </c>
      <c r="F292" s="287"/>
    </row>
    <row r="293" spans="2:6" x14ac:dyDescent="0.35">
      <c r="B293" s="285"/>
      <c r="C293" s="286" t="str">
        <f t="shared" si="12"/>
        <v>Durée</v>
      </c>
      <c r="D293" s="295">
        <v>48</v>
      </c>
      <c r="E293" s="285" t="str">
        <f t="shared" si="13"/>
        <v>Mois</v>
      </c>
      <c r="F293" s="232"/>
    </row>
    <row r="294" spans="2:6" x14ac:dyDescent="0.35">
      <c r="B294" s="285"/>
      <c r="C294" s="286" t="str">
        <f t="shared" si="12"/>
        <v>Taux d’intérêt du leasing</v>
      </c>
      <c r="D294" s="300">
        <f>'1a. Defaults Segment-Ebene'!D294</f>
        <v>0.03</v>
      </c>
      <c r="E294" s="301" t="str">
        <f t="shared" si="13"/>
        <v/>
      </c>
      <c r="F294" s="232" t="str">
        <f>'1a. Defaults Segment-Ebene'!F294</f>
        <v>Valeur par défaut: 3.0%</v>
      </c>
    </row>
    <row r="295" spans="2:6" x14ac:dyDescent="0.35">
      <c r="B295" s="285"/>
      <c r="C295" s="286" t="str">
        <f t="shared" si="12"/>
        <v>Prix d’acquisition, rabais de flotte du véhicule thermique inclus</v>
      </c>
      <c r="D295" s="302">
        <f>'1a. Defaults Segment-Ebene'!D295</f>
        <v>27219.464999999997</v>
      </c>
      <c r="E295" s="303" t="str">
        <f t="shared" si="13"/>
        <v>CHF</v>
      </c>
      <c r="F295" s="232" t="str">
        <f>'1a. Defaults Segment-Ebene'!F295</f>
        <v>Valeur par défaut: 27’219 CHF</v>
      </c>
    </row>
    <row r="296" spans="2:6" x14ac:dyDescent="0.35">
      <c r="B296" s="285"/>
      <c r="C296" s="286" t="str">
        <f t="shared" si="12"/>
        <v>Frais d’entretien et de réparation du véhicule thermique</v>
      </c>
      <c r="D296" s="304">
        <f>'1a. Defaults Segment-Ebene'!D296</f>
        <v>0.05</v>
      </c>
      <c r="E296" s="285" t="str">
        <f t="shared" si="13"/>
        <v>CHF/km</v>
      </c>
      <c r="F296" s="232" t="str">
        <f>'1a. Defaults Segment-Ebene'!F296</f>
        <v>Valeur par défaut: 0.050 CHF/km</v>
      </c>
    </row>
    <row r="297" spans="2:6" ht="21.45" x14ac:dyDescent="0.35">
      <c r="B297" s="285"/>
      <c r="C297" s="286" t="str">
        <f t="shared" si="12"/>
        <v>Valeur résiduelle du véhicule thermique</v>
      </c>
      <c r="D297" s="300">
        <f>'1a. Defaults Segment-Ebene'!D297</f>
        <v>0.31606388888888887</v>
      </c>
      <c r="E297" s="305" t="str">
        <f t="shared" si="13"/>
        <v/>
      </c>
      <c r="F297" s="232" t="str">
        <f>"Valeur résiduelle visée lors de la vente/restitution du véhicule en % des coûts d’acquisition. "&amp;'1a. Defaults Segment-Ebene'!F297</f>
        <v>Valeur résiduelle visée lors de la vente/restitution du véhicule en % des coûts d’acquisition. Valeur par défaut: 31.6%</v>
      </c>
    </row>
    <row r="298" spans="2:6" x14ac:dyDescent="0.35">
      <c r="B298" s="285"/>
      <c r="C298" s="286" t="str">
        <f t="shared" si="12"/>
        <v>Prix d’acquisition, rabais de flotte du véhicule électrique inclus</v>
      </c>
      <c r="D298" s="302">
        <f>'1a. Defaults Segment-Ebene'!D298</f>
        <v>28810.890000000003</v>
      </c>
      <c r="E298" s="303" t="str">
        <f t="shared" si="13"/>
        <v>CHF</v>
      </c>
      <c r="F298" s="232" t="str">
        <f>'1a. Defaults Segment-Ebene'!F298</f>
        <v>Valeur par défaut: 28’811 CHF</v>
      </c>
    </row>
    <row r="299" spans="2:6" x14ac:dyDescent="0.35">
      <c r="B299" s="285"/>
      <c r="C299" s="306" t="str">
        <f t="shared" si="12"/>
        <v>Frais d’entretien et de réparation du véhicule électrique</v>
      </c>
      <c r="D299" s="311">
        <f>'1a. Defaults Segment-Ebene'!D299</f>
        <v>2.5000000000000001E-2</v>
      </c>
      <c r="E299" s="308" t="str">
        <f t="shared" si="13"/>
        <v>CHF/km</v>
      </c>
      <c r="F299" s="232" t="str">
        <f>'1a. Defaults Segment-Ebene'!F299</f>
        <v>Valeur par défaut: 0.025 CHF/km</v>
      </c>
    </row>
    <row r="300" spans="2:6" ht="21.45" x14ac:dyDescent="0.35">
      <c r="B300" s="285"/>
      <c r="C300" s="306" t="str">
        <f t="shared" si="12"/>
        <v>Valeur résiduelle du véhicule électrique</v>
      </c>
      <c r="D300" s="300">
        <f>'1a. Defaults Segment-Ebene'!D300</f>
        <v>0.30658197222222217</v>
      </c>
      <c r="E300" s="308" t="str">
        <f t="shared" si="13"/>
        <v/>
      </c>
      <c r="F300" s="232" t="str">
        <f>"Valeur résiduelle visée lors de la vente/restitution du véhicule en % des coûts d’acquisition. "&amp;'1a. Defaults Segment-Ebene'!F300</f>
        <v>Valeur résiduelle visée lors de la vente/restitution du véhicule en % des coûts d’acquisition. Valeur par défaut: 30.7%</v>
      </c>
    </row>
    <row r="301" spans="2:6" x14ac:dyDescent="0.35">
      <c r="B301" s="285"/>
      <c r="C301" s="286"/>
      <c r="D301" s="308"/>
      <c r="E301" s="308"/>
      <c r="F301" s="287"/>
    </row>
    <row r="302" spans="2:6" x14ac:dyDescent="0.35">
      <c r="B302" s="289"/>
      <c r="C302" s="284"/>
      <c r="D302" s="309"/>
      <c r="E302" s="309"/>
      <c r="F302" s="290"/>
    </row>
    <row r="303" spans="2:6" ht="17.600000000000001" x14ac:dyDescent="0.35">
      <c r="B303" s="218"/>
      <c r="C303" s="219" t="s">
        <v>33</v>
      </c>
      <c r="D303" s="218"/>
      <c r="E303" s="218"/>
      <c r="F303" s="220"/>
    </row>
    <row r="304" spans="2:6" x14ac:dyDescent="0.35">
      <c r="B304" s="230"/>
      <c r="C304" s="231"/>
      <c r="D304" s="285"/>
      <c r="E304" s="285"/>
      <c r="F304" s="287"/>
    </row>
    <row r="305" spans="2:6" x14ac:dyDescent="0.35">
      <c r="B305" s="223"/>
      <c r="C305" s="224" t="str">
        <f t="shared" ref="C305:C336" si="14">IF(C269&lt;&gt;"",C269,"")</f>
        <v>Structure des segments</v>
      </c>
      <c r="D305" s="285"/>
      <c r="E305" s="285" t="str">
        <f t="shared" ref="E305:E336" si="15">IF(E269&lt;&gt;"",E269,"")</f>
        <v/>
      </c>
      <c r="F305" s="287"/>
    </row>
    <row r="306" spans="2:6" x14ac:dyDescent="0.35">
      <c r="B306" s="285"/>
      <c r="C306" s="286" t="str">
        <f t="shared" si="14"/>
        <v>Nombre de véhicules</v>
      </c>
      <c r="D306" s="291">
        <v>1</v>
      </c>
      <c r="E306" s="292" t="str">
        <f t="shared" si="15"/>
        <v/>
      </c>
      <c r="F306" s="232"/>
    </row>
    <row r="307" spans="2:6" ht="42.9" x14ac:dyDescent="0.35">
      <c r="B307" s="285"/>
      <c r="C307" s="286" t="str">
        <f t="shared" si="14"/>
        <v>Type d’utilisation</v>
      </c>
      <c r="D307" s="294" t="s">
        <v>509</v>
      </c>
      <c r="E307" s="285" t="str">
        <f t="shared" si="15"/>
        <v/>
      </c>
      <c r="F307" s="232" t="s">
        <v>600</v>
      </c>
    </row>
    <row r="308" spans="2:6" x14ac:dyDescent="0.35">
      <c r="B308" s="285"/>
      <c r="C308" s="286" t="str">
        <f t="shared" si="14"/>
        <v>Domaine d’utilisation</v>
      </c>
      <c r="D308" s="294" t="s">
        <v>510</v>
      </c>
      <c r="E308" s="285" t="str">
        <f t="shared" si="15"/>
        <v/>
      </c>
      <c r="F308" s="232"/>
    </row>
    <row r="309" spans="2:6" ht="21.45" x14ac:dyDescent="0.35">
      <c r="B309" s="285"/>
      <c r="C309" s="286" t="str">
        <f t="shared" si="14"/>
        <v>Possibilité de recharge à domicile</v>
      </c>
      <c r="D309" s="294" t="str">
        <f>'1a. Defaults Segment-Ebene'!D309</f>
        <v>Non</v>
      </c>
      <c r="E309" s="285" t="str">
        <f t="shared" si="15"/>
        <v/>
      </c>
      <c r="F309" s="232" t="s">
        <v>484</v>
      </c>
    </row>
    <row r="310" spans="2:6" x14ac:dyDescent="0.35">
      <c r="B310" s="285"/>
      <c r="C310" s="286" t="str">
        <f t="shared" si="14"/>
        <v/>
      </c>
      <c r="D310" s="285"/>
      <c r="E310" s="285" t="str">
        <f t="shared" si="15"/>
        <v/>
      </c>
      <c r="F310" s="232"/>
    </row>
    <row r="311" spans="2:6" x14ac:dyDescent="0.35">
      <c r="B311" s="285"/>
      <c r="C311" s="224" t="str">
        <f t="shared" si="14"/>
        <v>Données du véhicule</v>
      </c>
      <c r="D311" s="285"/>
      <c r="E311" s="285" t="str">
        <f t="shared" si="15"/>
        <v/>
      </c>
      <c r="F311" s="232"/>
    </row>
    <row r="312" spans="2:6" x14ac:dyDescent="0.35">
      <c r="B312" s="285"/>
      <c r="C312" s="286" t="str">
        <f t="shared" si="14"/>
        <v>Taille du véhicule</v>
      </c>
      <c r="D312" s="294" t="s">
        <v>512</v>
      </c>
      <c r="E312" s="285" t="str">
        <f t="shared" si="15"/>
        <v/>
      </c>
      <c r="F312" s="232"/>
    </row>
    <row r="313" spans="2:6" x14ac:dyDescent="0.35">
      <c r="B313" s="285"/>
      <c r="C313" s="286" t="str">
        <f t="shared" si="14"/>
        <v>Consommation de carburant du véhicule thermique</v>
      </c>
      <c r="D313" s="295">
        <f>'1a. Defaults Segment-Ebene'!D313</f>
        <v>5.8</v>
      </c>
      <c r="E313" s="285" t="str">
        <f t="shared" si="15"/>
        <v>l/100 km</v>
      </c>
      <c r="F313" s="232" t="str">
        <f>'1a. Defaults Segment-Ebene'!F313</f>
        <v>Valeur par défaut: 5.8 l/100 km</v>
      </c>
    </row>
    <row r="314" spans="2:6" x14ac:dyDescent="0.35">
      <c r="B314" s="285"/>
      <c r="C314" s="286" t="str">
        <f t="shared" si="14"/>
        <v>Consommation énergétique du véhicule électrique</v>
      </c>
      <c r="D314" s="295">
        <f>'1a. Defaults Segment-Ebene'!D314</f>
        <v>15.1</v>
      </c>
      <c r="E314" s="285" t="str">
        <f t="shared" si="15"/>
        <v>kWh/100 km</v>
      </c>
      <c r="F314" s="232" t="str">
        <f>'1a. Defaults Segment-Ebene'!F314</f>
        <v>Valeur par défaut: 15.1 kWh/100 km</v>
      </c>
    </row>
    <row r="315" spans="2:6" ht="32.15" x14ac:dyDescent="0.35">
      <c r="B315" s="285"/>
      <c r="C315" s="286" t="str">
        <f t="shared" si="14"/>
        <v>Capacité de la batterie (nette)</v>
      </c>
      <c r="D315" s="295">
        <f>'1a. Defaults Segment-Ebene'!D315</f>
        <v>58.625</v>
      </c>
      <c r="E315" s="285" t="str">
        <f t="shared" si="15"/>
        <v>kWh</v>
      </c>
      <c r="F315" s="232" t="str">
        <f>"Capacité de stockage effectivement utilisable, calculée à partir de la capacité brute moins la marge de sécurité et de santé du fabricant. En règle générale, env. 90-95% de la capacité brute. "&amp;'1a. Defaults Segment-Ebene'!F315</f>
        <v>Capacité de stockage effectivement utilisable, calculée à partir de la capacité brute moins la marge de sécurité et de santé du fabricant. En règle générale, env. 90-95% de la capacité brute. Valeur par défaut: 58.6 kWh</v>
      </c>
    </row>
    <row r="316" spans="2:6" x14ac:dyDescent="0.35">
      <c r="B316" s="285"/>
      <c r="C316" s="286" t="str">
        <f t="shared" si="14"/>
        <v/>
      </c>
      <c r="D316" s="285"/>
      <c r="E316" s="285" t="str">
        <f t="shared" si="15"/>
        <v/>
      </c>
      <c r="F316" s="287"/>
    </row>
    <row r="317" spans="2:6" x14ac:dyDescent="0.35">
      <c r="B317" s="223"/>
      <c r="C317" s="224" t="str">
        <f t="shared" si="14"/>
        <v>Profil de conduite et d’utilisation (indication par véhicule)</v>
      </c>
      <c r="D317" s="285"/>
      <c r="E317" s="285" t="str">
        <f t="shared" si="15"/>
        <v/>
      </c>
      <c r="F317" s="287"/>
    </row>
    <row r="318" spans="2:6" ht="32.15" x14ac:dyDescent="0.35">
      <c r="B318" s="285"/>
      <c r="C318" s="286" t="str">
        <f t="shared" si="14"/>
        <v>Modèle d’utilisation</v>
      </c>
      <c r="D318" s="468" t="s">
        <v>511</v>
      </c>
      <c r="E318" s="285" t="str">
        <f t="shared" si="15"/>
        <v/>
      </c>
      <c r="F318" s="232" t="s">
        <v>499</v>
      </c>
    </row>
    <row r="319" spans="2:6" x14ac:dyDescent="0.35">
      <c r="B319" s="285"/>
      <c r="C319" s="286" t="str">
        <f t="shared" si="14"/>
        <v>Nombre de jours de travail par an</v>
      </c>
      <c r="D319" s="295">
        <f>'1a. Defaults Segment-Ebene'!D319</f>
        <v>260</v>
      </c>
      <c r="E319" s="285" t="str">
        <f t="shared" si="15"/>
        <v/>
      </c>
      <c r="F319" s="232" t="str">
        <f>'1a. Defaults Segment-Ebene'!F319</f>
        <v>Valeur par défaut: 260</v>
      </c>
    </row>
    <row r="320" spans="2:6" ht="21.45" x14ac:dyDescent="0.35">
      <c r="B320" s="285"/>
      <c r="C320" s="286" t="str">
        <f t="shared" si="14"/>
        <v>Distance parcourue pendant le temps de travail</v>
      </c>
      <c r="D320" s="295">
        <f>'1a. Defaults Segment-Ebene'!D320</f>
        <v>100</v>
      </c>
      <c r="E320" s="285" t="str">
        <f t="shared" si="15"/>
        <v>km/jour</v>
      </c>
      <c r="F320" s="232" t="str">
        <f>"Distance moyenne parcourue par véhicule lors d’une journée de travail type, hors distance domicile-travail. "&amp;'1a. Defaults Segment-Ebene'!F320</f>
        <v>Distance moyenne parcourue par véhicule lors d’une journée de travail type, hors distance domicile-travail. Valeur par défaut: 100 km/jour</v>
      </c>
    </row>
    <row r="321" spans="2:6" x14ac:dyDescent="0.35">
      <c r="B321" s="285"/>
      <c r="C321" s="286" t="str">
        <f t="shared" si="14"/>
        <v>Distance domicile-travail (aller-retour)</v>
      </c>
      <c r="D321" s="295">
        <f>'1a. Defaults Segment-Ebene'!D321</f>
        <v>0</v>
      </c>
      <c r="E321" s="285" t="str">
        <f t="shared" si="15"/>
        <v>km/jour</v>
      </c>
      <c r="F321" s="232" t="str">
        <f>"Distance domicile-travail par véhicule lors d’une journée de travail type. "&amp;'1a. Defaults Segment-Ebene'!F321</f>
        <v>Distance domicile-travail par véhicule lors d’une journée de travail type. Valeur par défaut: 0 km/jour</v>
      </c>
    </row>
    <row r="322" spans="2:6" ht="21.45" x14ac:dyDescent="0.35">
      <c r="B322" s="285"/>
      <c r="C322" s="286" t="str">
        <f t="shared" si="14"/>
        <v>Nombre d’utilisations par jour</v>
      </c>
      <c r="D322" s="295">
        <f>'1a. Defaults Segment-Ebene'!D322</f>
        <v>1</v>
      </c>
      <c r="E322" s="285" t="str">
        <f t="shared" si="15"/>
        <v/>
      </c>
      <c r="F322" s="232" t="str">
        <f>"Toutes les utilisations au cours d’une journée de travail type. Une utilisation est définie comme un trajet à partir du site de l’entreprise jusqu’au retour au site de l’entreprise. "&amp;'1a. Defaults Segment-Ebene'!F322</f>
        <v>Toutes les utilisations au cours d’une journée de travail type. Une utilisation est définie comme un trajet à partir du site de l’entreprise jusqu’au retour au site de l’entreprise. Valeur par défaut: 1</v>
      </c>
    </row>
    <row r="323" spans="2:6" x14ac:dyDescent="0.35">
      <c r="B323" s="285"/>
      <c r="C323" s="286" t="str">
        <f t="shared" si="14"/>
        <v>Nombre de pauses par jour</v>
      </c>
      <c r="D323" s="299">
        <f>D322</f>
        <v>1</v>
      </c>
      <c r="E323" s="285" t="str">
        <f t="shared" si="15"/>
        <v/>
      </c>
      <c r="F323" s="232"/>
    </row>
    <row r="324" spans="2:6" x14ac:dyDescent="0.35">
      <c r="B324" s="285"/>
      <c r="C324" s="286" t="str">
        <f t="shared" si="14"/>
        <v>Durée d’immobilisation par pause sur le site de l’entreprise</v>
      </c>
      <c r="D324" s="295">
        <f>'1a. Defaults Segment-Ebene'!D324</f>
        <v>1</v>
      </c>
      <c r="E324" s="285" t="str">
        <f t="shared" si="15"/>
        <v>Heures</v>
      </c>
      <c r="F324" s="232" t="str">
        <f>'1a. Defaults Segment-Ebene'!F324</f>
        <v>Valeur par défaut: 1 Heure</v>
      </c>
    </row>
    <row r="325" spans="2:6" ht="21.45" x14ac:dyDescent="0.35">
      <c r="B325" s="285"/>
      <c r="C325" s="286" t="str">
        <f t="shared" si="14"/>
        <v>Durée d’immobilisation pendant la nuit</v>
      </c>
      <c r="D325" s="295">
        <f>'1a. Defaults Segment-Ebene'!D325</f>
        <v>8</v>
      </c>
      <c r="E325" s="285" t="str">
        <f t="shared" si="15"/>
        <v>Heures</v>
      </c>
      <c r="F325" s="232" t="str">
        <f>"Temps de recharge disponible au domicile ou sur le site de l’entreprise pendant la nuit. "&amp;'1a. Defaults Segment-Ebene'!F325</f>
        <v>Temps de recharge disponible au domicile ou sur le site de l’entreprise pendant la nuit. Valeur par défaut: 8 Heures</v>
      </c>
    </row>
    <row r="326" spans="2:6" ht="21.45" x14ac:dyDescent="0.35">
      <c r="B326" s="285"/>
      <c r="C326" s="286" t="str">
        <f t="shared" si="14"/>
        <v>Véhicules par point de recharge, site de l’entreprise (pendant la journée)</v>
      </c>
      <c r="D326" s="295">
        <f>'1a. Defaults Segment-Ebene'!D326</f>
        <v>1</v>
      </c>
      <c r="E326" s="285" t="str">
        <f t="shared" si="15"/>
        <v/>
      </c>
      <c r="F326" s="232" t="str">
        <f>"En cas de travail en équipe, il est généralement possible d’utiliser un point de recharge sur le site de l’entreprise pour plusieurs véhicules. "&amp;'1a. Defaults Segment-Ebene'!F326</f>
        <v>En cas de travail en équipe, il est généralement possible d’utiliser un point de recharge sur le site de l’entreprise pour plusieurs véhicules. Valeur par défaut: 1</v>
      </c>
    </row>
    <row r="327" spans="2:6" x14ac:dyDescent="0.35">
      <c r="B327" s="285"/>
      <c r="C327" s="286" t="str">
        <f t="shared" si="14"/>
        <v/>
      </c>
      <c r="D327" s="285"/>
      <c r="E327" s="285" t="str">
        <f t="shared" si="15"/>
        <v/>
      </c>
      <c r="F327" s="287"/>
    </row>
    <row r="328" spans="2:6" x14ac:dyDescent="0.35">
      <c r="B328" s="223"/>
      <c r="C328" s="224" t="str">
        <f t="shared" si="14"/>
        <v>Coûts (indication par véhicule)</v>
      </c>
      <c r="D328" s="285"/>
      <c r="E328" s="285" t="str">
        <f t="shared" si="15"/>
        <v/>
      </c>
      <c r="F328" s="287"/>
    </row>
    <row r="329" spans="2:6" x14ac:dyDescent="0.35">
      <c r="B329" s="285"/>
      <c r="C329" s="286" t="str">
        <f t="shared" si="14"/>
        <v>Durée</v>
      </c>
      <c r="D329" s="295">
        <v>48</v>
      </c>
      <c r="E329" s="285" t="str">
        <f t="shared" si="15"/>
        <v>Mois</v>
      </c>
      <c r="F329" s="232"/>
    </row>
    <row r="330" spans="2:6" x14ac:dyDescent="0.35">
      <c r="B330" s="285"/>
      <c r="C330" s="286" t="str">
        <f t="shared" si="14"/>
        <v>Taux d’intérêt du leasing</v>
      </c>
      <c r="D330" s="300">
        <f>'1a. Defaults Segment-Ebene'!D330</f>
        <v>0.03</v>
      </c>
      <c r="E330" s="301" t="str">
        <f t="shared" si="15"/>
        <v/>
      </c>
      <c r="F330" s="232" t="str">
        <f>'1a. Defaults Segment-Ebene'!F330</f>
        <v>Valeur par défaut: 3.0%</v>
      </c>
    </row>
    <row r="331" spans="2:6" x14ac:dyDescent="0.35">
      <c r="B331" s="285"/>
      <c r="C331" s="286" t="str">
        <f t="shared" si="14"/>
        <v>Prix d’acquisition, rabais de flotte du véhicule thermique inclus</v>
      </c>
      <c r="D331" s="302">
        <f>'1a. Defaults Segment-Ebene'!D331</f>
        <v>27219.464999999997</v>
      </c>
      <c r="E331" s="303" t="str">
        <f t="shared" si="15"/>
        <v>CHF</v>
      </c>
      <c r="F331" s="232" t="str">
        <f>'1a. Defaults Segment-Ebene'!F331</f>
        <v>Valeur par défaut: 27’219 CHF</v>
      </c>
    </row>
    <row r="332" spans="2:6" x14ac:dyDescent="0.35">
      <c r="B332" s="285"/>
      <c r="C332" s="286" t="str">
        <f t="shared" si="14"/>
        <v>Frais d’entretien et de réparation du véhicule thermique</v>
      </c>
      <c r="D332" s="304">
        <f>'1a. Defaults Segment-Ebene'!D332</f>
        <v>0.05</v>
      </c>
      <c r="E332" s="285" t="str">
        <f t="shared" si="15"/>
        <v>CHF/km</v>
      </c>
      <c r="F332" s="232" t="str">
        <f>'1a. Defaults Segment-Ebene'!F332</f>
        <v>Valeur par défaut: 0.050 CHF/km</v>
      </c>
    </row>
    <row r="333" spans="2:6" ht="21.45" x14ac:dyDescent="0.35">
      <c r="B333" s="285"/>
      <c r="C333" s="286" t="str">
        <f t="shared" si="14"/>
        <v>Valeur résiduelle du véhicule thermique</v>
      </c>
      <c r="D333" s="300">
        <f>'1a. Defaults Segment-Ebene'!D333</f>
        <v>0.31606388888888887</v>
      </c>
      <c r="E333" s="305" t="str">
        <f t="shared" si="15"/>
        <v/>
      </c>
      <c r="F333" s="232" t="str">
        <f>"Valeur résiduelle visée lors de la vente/restitution du véhicule en % des coûts d’acquisition. "&amp;'1a. Defaults Segment-Ebene'!F333</f>
        <v>Valeur résiduelle visée lors de la vente/restitution du véhicule en % des coûts d’acquisition. Valeur par défaut: 31.6%</v>
      </c>
    </row>
    <row r="334" spans="2:6" x14ac:dyDescent="0.35">
      <c r="B334" s="285"/>
      <c r="C334" s="286" t="str">
        <f t="shared" si="14"/>
        <v>Prix d’acquisition, rabais de flotte du véhicule électrique inclus</v>
      </c>
      <c r="D334" s="302">
        <f>'1a. Defaults Segment-Ebene'!D334</f>
        <v>28810.890000000003</v>
      </c>
      <c r="E334" s="303" t="str">
        <f t="shared" si="15"/>
        <v>CHF</v>
      </c>
      <c r="F334" s="232" t="str">
        <f>'1a. Defaults Segment-Ebene'!F334</f>
        <v>Valeur par défaut: 28’811 CHF</v>
      </c>
    </row>
    <row r="335" spans="2:6" x14ac:dyDescent="0.35">
      <c r="B335" s="285"/>
      <c r="C335" s="306" t="str">
        <f t="shared" si="14"/>
        <v>Frais d’entretien et de réparation du véhicule électrique</v>
      </c>
      <c r="D335" s="311">
        <f>'1a. Defaults Segment-Ebene'!D335</f>
        <v>2.5000000000000001E-2</v>
      </c>
      <c r="E335" s="308" t="str">
        <f t="shared" si="15"/>
        <v>CHF/km</v>
      </c>
      <c r="F335" s="232" t="str">
        <f>'1a. Defaults Segment-Ebene'!F335</f>
        <v>Valeur par défaut: 0.025 CHF/km</v>
      </c>
    </row>
    <row r="336" spans="2:6" ht="21.45" x14ac:dyDescent="0.35">
      <c r="B336" s="285"/>
      <c r="C336" s="306" t="str">
        <f t="shared" si="14"/>
        <v>Valeur résiduelle du véhicule électrique</v>
      </c>
      <c r="D336" s="300">
        <f>'1a. Defaults Segment-Ebene'!D336</f>
        <v>0.30658197222222217</v>
      </c>
      <c r="E336" s="308" t="str">
        <f t="shared" si="15"/>
        <v/>
      </c>
      <c r="F336" s="232" t="str">
        <f>"Valeur résiduelle visée lors de la vente/restitution du véhicule en % des coûts d’acquisition. "&amp;'1a. Defaults Segment-Ebene'!F336</f>
        <v>Valeur résiduelle visée lors de la vente/restitution du véhicule en % des coûts d’acquisition. Valeur par défaut: 30.7%</v>
      </c>
    </row>
    <row r="337" spans="2:6" x14ac:dyDescent="0.35">
      <c r="B337" s="285"/>
      <c r="C337" s="286"/>
      <c r="D337" s="308"/>
      <c r="E337" s="308"/>
      <c r="F337" s="287"/>
    </row>
    <row r="338" spans="2:6" x14ac:dyDescent="0.35">
      <c r="B338" s="289"/>
      <c r="C338" s="284"/>
      <c r="D338" s="309"/>
      <c r="E338" s="309"/>
      <c r="F338" s="290"/>
    </row>
    <row r="339" spans="2:6" ht="17.600000000000001" x14ac:dyDescent="0.35">
      <c r="B339" s="218"/>
      <c r="C339" s="219" t="s">
        <v>34</v>
      </c>
      <c r="D339" s="218"/>
      <c r="E339" s="218"/>
      <c r="F339" s="220"/>
    </row>
    <row r="340" spans="2:6" x14ac:dyDescent="0.35">
      <c r="B340" s="230"/>
      <c r="C340" s="231"/>
      <c r="D340" s="285"/>
      <c r="E340" s="285"/>
      <c r="F340" s="287"/>
    </row>
    <row r="341" spans="2:6" x14ac:dyDescent="0.35">
      <c r="B341" s="223"/>
      <c r="C341" s="224" t="str">
        <f>IF(C305&lt;&gt;"",C305,"")</f>
        <v>Structure des segments</v>
      </c>
      <c r="D341" s="285"/>
      <c r="E341" s="285" t="str">
        <f>IF(E305&lt;&gt;"",E305,"")</f>
        <v/>
      </c>
      <c r="F341" s="287"/>
    </row>
    <row r="342" spans="2:6" x14ac:dyDescent="0.35">
      <c r="B342" s="285"/>
      <c r="C342" s="286" t="str">
        <f>IF(C306&lt;&gt;"",C306,"")</f>
        <v>Nombre de véhicules</v>
      </c>
      <c r="D342" s="291">
        <v>1</v>
      </c>
      <c r="E342" s="292" t="str">
        <f>IF(E306&lt;&gt;"",E306,"")</f>
        <v/>
      </c>
      <c r="F342" s="232"/>
    </row>
    <row r="343" spans="2:6" ht="42.9" x14ac:dyDescent="0.35">
      <c r="B343" s="285"/>
      <c r="C343" s="286" t="str">
        <f>IF(C307&lt;&gt;"",C307,"")</f>
        <v>Type d’utilisation</v>
      </c>
      <c r="D343" s="294" t="s">
        <v>509</v>
      </c>
      <c r="E343" s="285" t="str">
        <f>IF(E307&lt;&gt;"",E307,"")</f>
        <v/>
      </c>
      <c r="F343" s="232" t="s">
        <v>600</v>
      </c>
    </row>
    <row r="344" spans="2:6" x14ac:dyDescent="0.35">
      <c r="B344" s="285"/>
      <c r="C344" s="286" t="str">
        <f t="shared" ref="C344" si="16">IF(C308&lt;&gt;"",C308,"")</f>
        <v>Domaine d’utilisation</v>
      </c>
      <c r="D344" s="294" t="s">
        <v>510</v>
      </c>
      <c r="E344" s="285" t="str">
        <f t="shared" ref="E344" si="17">IF(E308&lt;&gt;"",E308,"")</f>
        <v/>
      </c>
      <c r="F344" s="232"/>
    </row>
    <row r="345" spans="2:6" ht="21.45" x14ac:dyDescent="0.35">
      <c r="B345" s="285"/>
      <c r="C345" s="286" t="str">
        <f t="shared" ref="C345" si="18">IF(C309&lt;&gt;"",C309,"")</f>
        <v>Possibilité de recharge à domicile</v>
      </c>
      <c r="D345" s="294" t="str">
        <f>'1a. Defaults Segment-Ebene'!D345</f>
        <v>Non</v>
      </c>
      <c r="E345" s="285" t="str">
        <f t="shared" ref="E345" si="19">IF(E309&lt;&gt;"",E309,"")</f>
        <v/>
      </c>
      <c r="F345" s="232" t="s">
        <v>484</v>
      </c>
    </row>
    <row r="346" spans="2:6" x14ac:dyDescent="0.35">
      <c r="B346" s="285"/>
      <c r="C346" s="286" t="str">
        <f t="shared" ref="C346" si="20">IF(C310&lt;&gt;"",C310,"")</f>
        <v/>
      </c>
      <c r="D346" s="285"/>
      <c r="E346" s="285" t="str">
        <f t="shared" ref="E346" si="21">IF(E310&lt;&gt;"",E310,"")</f>
        <v/>
      </c>
      <c r="F346" s="232"/>
    </row>
    <row r="347" spans="2:6" x14ac:dyDescent="0.35">
      <c r="B347" s="285"/>
      <c r="C347" s="224" t="str">
        <f t="shared" ref="C347" si="22">IF(C311&lt;&gt;"",C311,"")</f>
        <v>Données du véhicule</v>
      </c>
      <c r="D347" s="285"/>
      <c r="E347" s="285" t="str">
        <f t="shared" ref="E347" si="23">IF(E311&lt;&gt;"",E311,"")</f>
        <v/>
      </c>
      <c r="F347" s="232"/>
    </row>
    <row r="348" spans="2:6" x14ac:dyDescent="0.35">
      <c r="B348" s="285"/>
      <c r="C348" s="286" t="str">
        <f t="shared" ref="C348" si="24">IF(C312&lt;&gt;"",C312,"")</f>
        <v>Taille du véhicule</v>
      </c>
      <c r="D348" s="294" t="s">
        <v>512</v>
      </c>
      <c r="E348" s="285" t="str">
        <f t="shared" ref="E348" si="25">IF(E312&lt;&gt;"",E312,"")</f>
        <v/>
      </c>
      <c r="F348" s="232"/>
    </row>
    <row r="349" spans="2:6" x14ac:dyDescent="0.35">
      <c r="B349" s="285"/>
      <c r="C349" s="286" t="str">
        <f t="shared" ref="C349" si="26">IF(C313&lt;&gt;"",C313,"")</f>
        <v>Consommation de carburant du véhicule thermique</v>
      </c>
      <c r="D349" s="295">
        <f>'1a. Defaults Segment-Ebene'!D349</f>
        <v>5.8</v>
      </c>
      <c r="E349" s="285" t="str">
        <f t="shared" ref="E349" si="27">IF(E313&lt;&gt;"",E313,"")</f>
        <v>l/100 km</v>
      </c>
      <c r="F349" s="232" t="str">
        <f>'1a. Defaults Segment-Ebene'!F349</f>
        <v>Valeur par défaut: 5.8 l/100 km</v>
      </c>
    </row>
    <row r="350" spans="2:6" x14ac:dyDescent="0.35">
      <c r="B350" s="285"/>
      <c r="C350" s="286" t="str">
        <f t="shared" ref="C350" si="28">IF(C314&lt;&gt;"",C314,"")</f>
        <v>Consommation énergétique du véhicule électrique</v>
      </c>
      <c r="D350" s="295">
        <f>'1a. Defaults Segment-Ebene'!D350</f>
        <v>15.1</v>
      </c>
      <c r="E350" s="285" t="str">
        <f t="shared" ref="E350" si="29">IF(E314&lt;&gt;"",E314,"")</f>
        <v>kWh/100 km</v>
      </c>
      <c r="F350" s="232" t="str">
        <f>'1a. Defaults Segment-Ebene'!F350</f>
        <v>Valeur par défaut: 15.1 kWh/100 km</v>
      </c>
    </row>
    <row r="351" spans="2:6" ht="32.15" x14ac:dyDescent="0.35">
      <c r="B351" s="285"/>
      <c r="C351" s="286" t="str">
        <f t="shared" ref="C351" si="30">IF(C315&lt;&gt;"",C315,"")</f>
        <v>Capacité de la batterie (nette)</v>
      </c>
      <c r="D351" s="295">
        <f>'1a. Defaults Segment-Ebene'!D351</f>
        <v>58.625</v>
      </c>
      <c r="E351" s="285" t="str">
        <f t="shared" ref="E351" si="31">IF(E315&lt;&gt;"",E315,"")</f>
        <v>kWh</v>
      </c>
      <c r="F351" s="232" t="str">
        <f>"Capacité de stockage effectivement utilisable, calculée à partir de la capacité brute moins la marge de sécurité et de santé du fabricant. En règle générale, env. 90-95% de la capacité brute. "&amp;'1a. Defaults Segment-Ebene'!F351</f>
        <v>Capacité de stockage effectivement utilisable, calculée à partir de la capacité brute moins la marge de sécurité et de santé du fabricant. En règle générale, env. 90-95% de la capacité brute. Valeur par défaut: 58.6 kWh</v>
      </c>
    </row>
    <row r="352" spans="2:6" x14ac:dyDescent="0.35">
      <c r="B352" s="285"/>
      <c r="C352" s="286" t="str">
        <f t="shared" ref="C352" si="32">IF(C316&lt;&gt;"",C316,"")</f>
        <v/>
      </c>
      <c r="D352" s="285"/>
      <c r="E352" s="285" t="str">
        <f t="shared" ref="E352" si="33">IF(E316&lt;&gt;"",E316,"")</f>
        <v/>
      </c>
      <c r="F352" s="287"/>
    </row>
    <row r="353" spans="2:6" x14ac:dyDescent="0.35">
      <c r="B353" s="223"/>
      <c r="C353" s="224" t="str">
        <f t="shared" ref="C353" si="34">IF(C317&lt;&gt;"",C317,"")</f>
        <v>Profil de conduite et d’utilisation (indication par véhicule)</v>
      </c>
      <c r="D353" s="285"/>
      <c r="E353" s="285" t="str">
        <f t="shared" ref="E353" si="35">IF(E317&lt;&gt;"",E317,"")</f>
        <v/>
      </c>
      <c r="F353" s="287"/>
    </row>
    <row r="354" spans="2:6" ht="32.15" x14ac:dyDescent="0.35">
      <c r="B354" s="285"/>
      <c r="C354" s="286" t="str">
        <f t="shared" ref="C354" si="36">IF(C318&lt;&gt;"",C318,"")</f>
        <v>Modèle d’utilisation</v>
      </c>
      <c r="D354" s="468" t="s">
        <v>511</v>
      </c>
      <c r="E354" s="285" t="str">
        <f t="shared" ref="E354" si="37">IF(E318&lt;&gt;"",E318,"")</f>
        <v/>
      </c>
      <c r="F354" s="232" t="s">
        <v>499</v>
      </c>
    </row>
    <row r="355" spans="2:6" x14ac:dyDescent="0.35">
      <c r="B355" s="285"/>
      <c r="C355" s="286" t="str">
        <f t="shared" ref="C355" si="38">IF(C319&lt;&gt;"",C319,"")</f>
        <v>Nombre de jours de travail par an</v>
      </c>
      <c r="D355" s="295">
        <f>'1a. Defaults Segment-Ebene'!D355</f>
        <v>260</v>
      </c>
      <c r="E355" s="285" t="str">
        <f t="shared" ref="E355" si="39">IF(E319&lt;&gt;"",E319,"")</f>
        <v/>
      </c>
      <c r="F355" s="232" t="str">
        <f>'1a. Defaults Segment-Ebene'!F355</f>
        <v>Valeur par défaut: 260</v>
      </c>
    </row>
    <row r="356" spans="2:6" ht="21.45" x14ac:dyDescent="0.35">
      <c r="B356" s="285"/>
      <c r="C356" s="286" t="str">
        <f t="shared" ref="C356" si="40">IF(C320&lt;&gt;"",C320,"")</f>
        <v>Distance parcourue pendant le temps de travail</v>
      </c>
      <c r="D356" s="295">
        <f>'1a. Defaults Segment-Ebene'!D356</f>
        <v>100</v>
      </c>
      <c r="E356" s="285" t="str">
        <f t="shared" ref="E356" si="41">IF(E320&lt;&gt;"",E320,"")</f>
        <v>km/jour</v>
      </c>
      <c r="F356" s="232" t="str">
        <f>"Distance moyenne parcourue par véhicule lors d’une journée de travail type, hors distance domicile-travail. "&amp;'1a. Defaults Segment-Ebene'!F356</f>
        <v>Distance moyenne parcourue par véhicule lors d’une journée de travail type, hors distance domicile-travail. Valeur par défaut: 100 km/jour</v>
      </c>
    </row>
    <row r="357" spans="2:6" x14ac:dyDescent="0.35">
      <c r="B357" s="285"/>
      <c r="C357" s="286" t="str">
        <f t="shared" ref="C357" si="42">IF(C321&lt;&gt;"",C321,"")</f>
        <v>Distance domicile-travail (aller-retour)</v>
      </c>
      <c r="D357" s="295">
        <f>'1a. Defaults Segment-Ebene'!D357</f>
        <v>0</v>
      </c>
      <c r="E357" s="285" t="str">
        <f t="shared" ref="E357" si="43">IF(E321&lt;&gt;"",E321,"")</f>
        <v>km/jour</v>
      </c>
      <c r="F357" s="232" t="str">
        <f>"Distance domicile-travail par véhicule lors d’une journée de travail type. "&amp;'1a. Defaults Segment-Ebene'!F357</f>
        <v>Distance domicile-travail par véhicule lors d’une journée de travail type. Valeur par défaut: 0 km/jour</v>
      </c>
    </row>
    <row r="358" spans="2:6" ht="21.45" x14ac:dyDescent="0.35">
      <c r="B358" s="285"/>
      <c r="C358" s="286" t="str">
        <f t="shared" ref="C358" si="44">IF(C322&lt;&gt;"",C322,"")</f>
        <v>Nombre d’utilisations par jour</v>
      </c>
      <c r="D358" s="295">
        <f>'1a. Defaults Segment-Ebene'!D358</f>
        <v>1</v>
      </c>
      <c r="E358" s="285" t="str">
        <f t="shared" ref="E358" si="45">IF(E322&lt;&gt;"",E322,"")</f>
        <v/>
      </c>
      <c r="F358" s="232" t="str">
        <f>"Toutes les utilisations au cours d’une journée de travail type. Une utilisation est définie comme un trajet à partir du site de l’entreprise jusqu’au retour au site de l’entreprise. "&amp;'1a. Defaults Segment-Ebene'!F358</f>
        <v>Toutes les utilisations au cours d’une journée de travail type. Une utilisation est définie comme un trajet à partir du site de l’entreprise jusqu’au retour au site de l’entreprise. Valeur par défaut: 1</v>
      </c>
    </row>
    <row r="359" spans="2:6" x14ac:dyDescent="0.35">
      <c r="B359" s="285"/>
      <c r="C359" s="286" t="str">
        <f t="shared" ref="C359" si="46">IF(C323&lt;&gt;"",C323,"")</f>
        <v>Nombre de pauses par jour</v>
      </c>
      <c r="D359" s="299">
        <f>D358</f>
        <v>1</v>
      </c>
      <c r="E359" s="285" t="str">
        <f t="shared" ref="E359" si="47">IF(E323&lt;&gt;"",E323,"")</f>
        <v/>
      </c>
      <c r="F359" s="232"/>
    </row>
    <row r="360" spans="2:6" x14ac:dyDescent="0.35">
      <c r="B360" s="285"/>
      <c r="C360" s="286" t="str">
        <f t="shared" ref="C360" si="48">IF(C324&lt;&gt;"",C324,"")</f>
        <v>Durée d’immobilisation par pause sur le site de l’entreprise</v>
      </c>
      <c r="D360" s="295">
        <f>'1a. Defaults Segment-Ebene'!D360</f>
        <v>1</v>
      </c>
      <c r="E360" s="285" t="str">
        <f t="shared" ref="E360" si="49">IF(E324&lt;&gt;"",E324,"")</f>
        <v>Heures</v>
      </c>
      <c r="F360" s="232" t="str">
        <f>'1a. Defaults Segment-Ebene'!F360</f>
        <v>Valeur par défaut: 1 Heure</v>
      </c>
    </row>
    <row r="361" spans="2:6" ht="21.45" x14ac:dyDescent="0.35">
      <c r="B361" s="285"/>
      <c r="C361" s="286" t="str">
        <f t="shared" ref="C361" si="50">IF(C325&lt;&gt;"",C325,"")</f>
        <v>Durée d’immobilisation pendant la nuit</v>
      </c>
      <c r="D361" s="295">
        <f>'1a. Defaults Segment-Ebene'!D361</f>
        <v>8</v>
      </c>
      <c r="E361" s="285" t="str">
        <f t="shared" ref="E361" si="51">IF(E325&lt;&gt;"",E325,"")</f>
        <v>Heures</v>
      </c>
      <c r="F361" s="232" t="str">
        <f>"Temps de recharge disponible au domicile ou sur le site de l’entreprise pendant la nuit. "&amp;'1a. Defaults Segment-Ebene'!F361</f>
        <v>Temps de recharge disponible au domicile ou sur le site de l’entreprise pendant la nuit. Valeur par défaut: 8 Heures</v>
      </c>
    </row>
    <row r="362" spans="2:6" ht="21.45" x14ac:dyDescent="0.35">
      <c r="B362" s="285"/>
      <c r="C362" s="286" t="str">
        <f t="shared" ref="C362" si="52">IF(C326&lt;&gt;"",C326,"")</f>
        <v>Véhicules par point de recharge, site de l’entreprise (pendant la journée)</v>
      </c>
      <c r="D362" s="295">
        <f>'1a. Defaults Segment-Ebene'!D362</f>
        <v>1</v>
      </c>
      <c r="E362" s="285" t="str">
        <f t="shared" ref="E362" si="53">IF(E326&lt;&gt;"",E326,"")</f>
        <v/>
      </c>
      <c r="F362" s="232" t="str">
        <f>"En cas de travail en équipe, il est généralement possible d’utiliser un point de recharge sur le site de l’entreprise pour plusieurs véhicules. "&amp;'1a. Defaults Segment-Ebene'!F362</f>
        <v>En cas de travail en équipe, il est généralement possible d’utiliser un point de recharge sur le site de l’entreprise pour plusieurs véhicules. Valeur par défaut: 1</v>
      </c>
    </row>
    <row r="363" spans="2:6" x14ac:dyDescent="0.35">
      <c r="B363" s="285"/>
      <c r="C363" s="286" t="str">
        <f t="shared" ref="C363" si="54">IF(C327&lt;&gt;"",C327,"")</f>
        <v/>
      </c>
      <c r="D363" s="285"/>
      <c r="E363" s="285" t="str">
        <f t="shared" ref="E363" si="55">IF(E327&lt;&gt;"",E327,"")</f>
        <v/>
      </c>
      <c r="F363" s="287"/>
    </row>
    <row r="364" spans="2:6" x14ac:dyDescent="0.35">
      <c r="B364" s="223"/>
      <c r="C364" s="224" t="str">
        <f t="shared" ref="C364" si="56">IF(C328&lt;&gt;"",C328,"")</f>
        <v>Coûts (indication par véhicule)</v>
      </c>
      <c r="D364" s="285"/>
      <c r="E364" s="285" t="str">
        <f t="shared" ref="E364" si="57">IF(E328&lt;&gt;"",E328,"")</f>
        <v/>
      </c>
      <c r="F364" s="287"/>
    </row>
    <row r="365" spans="2:6" x14ac:dyDescent="0.35">
      <c r="B365" s="285"/>
      <c r="C365" s="286" t="str">
        <f t="shared" ref="C365" si="58">IF(C329&lt;&gt;"",C329,"")</f>
        <v>Durée</v>
      </c>
      <c r="D365" s="295">
        <v>48</v>
      </c>
      <c r="E365" s="285" t="str">
        <f t="shared" ref="E365" si="59">IF(E329&lt;&gt;"",E329,"")</f>
        <v>Mois</v>
      </c>
      <c r="F365" s="232"/>
    </row>
    <row r="366" spans="2:6" x14ac:dyDescent="0.35">
      <c r="B366" s="285"/>
      <c r="C366" s="286" t="str">
        <f t="shared" ref="C366" si="60">IF(C330&lt;&gt;"",C330,"")</f>
        <v>Taux d’intérêt du leasing</v>
      </c>
      <c r="D366" s="300">
        <f>'1a. Defaults Segment-Ebene'!D366</f>
        <v>0.03</v>
      </c>
      <c r="E366" s="301" t="str">
        <f t="shared" ref="E366" si="61">IF(E330&lt;&gt;"",E330,"")</f>
        <v/>
      </c>
      <c r="F366" s="232" t="str">
        <f>'1a. Defaults Segment-Ebene'!F366</f>
        <v>Valeur par défaut: 3.0%</v>
      </c>
    </row>
    <row r="367" spans="2:6" x14ac:dyDescent="0.35">
      <c r="B367" s="285"/>
      <c r="C367" s="286" t="str">
        <f t="shared" ref="C367" si="62">IF(C331&lt;&gt;"",C331,"")</f>
        <v>Prix d’acquisition, rabais de flotte du véhicule thermique inclus</v>
      </c>
      <c r="D367" s="302">
        <f>'1a. Defaults Segment-Ebene'!D367</f>
        <v>27219.464999999997</v>
      </c>
      <c r="E367" s="303" t="str">
        <f t="shared" ref="E367" si="63">IF(E331&lt;&gt;"",E331,"")</f>
        <v>CHF</v>
      </c>
      <c r="F367" s="232" t="str">
        <f>'1a. Defaults Segment-Ebene'!F367</f>
        <v>Valeur par défaut: 27’219 CHF</v>
      </c>
    </row>
    <row r="368" spans="2:6" x14ac:dyDescent="0.35">
      <c r="B368" s="285"/>
      <c r="C368" s="286" t="str">
        <f t="shared" ref="C368" si="64">IF(C332&lt;&gt;"",C332,"")</f>
        <v>Frais d’entretien et de réparation du véhicule thermique</v>
      </c>
      <c r="D368" s="304">
        <f>'1a. Defaults Segment-Ebene'!D368</f>
        <v>0.05</v>
      </c>
      <c r="E368" s="285" t="str">
        <f t="shared" ref="E368" si="65">IF(E332&lt;&gt;"",E332,"")</f>
        <v>CHF/km</v>
      </c>
      <c r="F368" s="232" t="str">
        <f>'1a. Defaults Segment-Ebene'!F368</f>
        <v>Valeur par défaut: 0.050 CHF/km</v>
      </c>
    </row>
    <row r="369" spans="2:6" ht="21.45" x14ac:dyDescent="0.35">
      <c r="B369" s="285"/>
      <c r="C369" s="286" t="str">
        <f t="shared" ref="C369" si="66">IF(C333&lt;&gt;"",C333,"")</f>
        <v>Valeur résiduelle du véhicule thermique</v>
      </c>
      <c r="D369" s="300">
        <f>'1a. Defaults Segment-Ebene'!D369</f>
        <v>0.31606388888888887</v>
      </c>
      <c r="E369" s="305" t="str">
        <f t="shared" ref="E369" si="67">IF(E333&lt;&gt;"",E333,"")</f>
        <v/>
      </c>
      <c r="F369" s="232" t="str">
        <f>"Valeur résiduelle visée lors de la vente/restitution du véhicule en % des coûts d’acquisition. "&amp;'1a. Defaults Segment-Ebene'!F369</f>
        <v>Valeur résiduelle visée lors de la vente/restitution du véhicule en % des coûts d’acquisition. Valeur par défaut: 31.6%</v>
      </c>
    </row>
    <row r="370" spans="2:6" x14ac:dyDescent="0.35">
      <c r="B370" s="285"/>
      <c r="C370" s="286" t="str">
        <f t="shared" ref="C370" si="68">IF(C334&lt;&gt;"",C334,"")</f>
        <v>Prix d’acquisition, rabais de flotte du véhicule électrique inclus</v>
      </c>
      <c r="D370" s="302">
        <f>'1a. Defaults Segment-Ebene'!D370</f>
        <v>28810.890000000003</v>
      </c>
      <c r="E370" s="303" t="str">
        <f t="shared" ref="E370" si="69">IF(E334&lt;&gt;"",E334,"")</f>
        <v>CHF</v>
      </c>
      <c r="F370" s="232" t="str">
        <f>'1a. Defaults Segment-Ebene'!F370</f>
        <v>Valeur par défaut: 28’811 CHF</v>
      </c>
    </row>
    <row r="371" spans="2:6" x14ac:dyDescent="0.35">
      <c r="B371" s="285"/>
      <c r="C371" s="306" t="str">
        <f t="shared" ref="C371" si="70">IF(C335&lt;&gt;"",C335,"")</f>
        <v>Frais d’entretien et de réparation du véhicule électrique</v>
      </c>
      <c r="D371" s="311">
        <f>'1a. Defaults Segment-Ebene'!D371</f>
        <v>2.5000000000000001E-2</v>
      </c>
      <c r="E371" s="308" t="str">
        <f t="shared" ref="E371" si="71">IF(E335&lt;&gt;"",E335,"")</f>
        <v>CHF/km</v>
      </c>
      <c r="F371" s="232" t="str">
        <f>'1a. Defaults Segment-Ebene'!F371</f>
        <v>Valeur par défaut: 0.025 CHF/km</v>
      </c>
    </row>
    <row r="372" spans="2:6" ht="21.45" x14ac:dyDescent="0.35">
      <c r="B372" s="285"/>
      <c r="C372" s="306" t="str">
        <f t="shared" ref="C372" si="72">IF(C336&lt;&gt;"",C336,"")</f>
        <v>Valeur résiduelle du véhicule électrique</v>
      </c>
      <c r="D372" s="300">
        <f>'1a. Defaults Segment-Ebene'!D372</f>
        <v>0.30658197222222217</v>
      </c>
      <c r="E372" s="308" t="str">
        <f t="shared" ref="E372" si="73">IF(E336&lt;&gt;"",E336,"")</f>
        <v/>
      </c>
      <c r="F372" s="232" t="str">
        <f>"Valeur résiduelle visée lors de la vente/restitution du véhicule en % des coûts d’acquisition. "&amp;'1a. Defaults Segment-Ebene'!F372</f>
        <v>Valeur résiduelle visée lors de la vente/restitution du véhicule en % des coûts d’acquisition. Valeur par défaut: 30.7%</v>
      </c>
    </row>
    <row r="373" spans="2:6" x14ac:dyDescent="0.35">
      <c r="B373" s="285"/>
      <c r="C373" s="286"/>
      <c r="D373" s="308"/>
      <c r="E373" s="308"/>
      <c r="F373" s="287"/>
    </row>
  </sheetData>
  <sheetProtection algorithmName="SHA-512" hashValue="MML7OeWt7wTs2f/8obDBxSwxvRElC21438L74E4CiPhnbOuXgNnOnKN1hGJ6dqgW+CtI+U5CJXtc+BL7mVNCvw==" saltValue="Gv81cNl51eoNz65h4nGoDw==" spinCount="100000" sheet="1" objects="1" scenarios="1" formatColumns="0" formatRows="0"/>
  <mergeCells count="3">
    <mergeCell ref="D4:E4"/>
    <mergeCell ref="D5:E5"/>
    <mergeCell ref="D6:E6"/>
  </mergeCells>
  <phoneticPr fontId="6" type="noConversion"/>
  <conditionalFormatting sqref="B51:F85">
    <cfRule type="expression" dxfId="14" priority="7">
      <formula>$D$12&lt;2</formula>
    </cfRule>
  </conditionalFormatting>
  <conditionalFormatting sqref="B87:F121">
    <cfRule type="expression" dxfId="13" priority="8">
      <formula>$D$12&lt;3</formula>
    </cfRule>
  </conditionalFormatting>
  <conditionalFormatting sqref="B123:F157">
    <cfRule type="expression" dxfId="12" priority="9">
      <formula>$D$12&lt;4</formula>
    </cfRule>
  </conditionalFormatting>
  <conditionalFormatting sqref="B159:F193">
    <cfRule type="expression" dxfId="11" priority="10">
      <formula>$D$12&lt;5</formula>
    </cfRule>
  </conditionalFormatting>
  <conditionalFormatting sqref="B195:F229">
    <cfRule type="expression" dxfId="10" priority="11">
      <formula>$D$12&lt;6</formula>
    </cfRule>
  </conditionalFormatting>
  <conditionalFormatting sqref="B231:F265">
    <cfRule type="expression" dxfId="9" priority="12">
      <formula>$D$12&lt;7</formula>
    </cfRule>
  </conditionalFormatting>
  <conditionalFormatting sqref="B267:F301">
    <cfRule type="expression" dxfId="8" priority="13">
      <formula>$D$12&lt;8</formula>
    </cfRule>
  </conditionalFormatting>
  <conditionalFormatting sqref="B303:F337">
    <cfRule type="expression" dxfId="7" priority="14">
      <formula>$D$12&lt;9</formula>
    </cfRule>
  </conditionalFormatting>
  <conditionalFormatting sqref="B339:F373">
    <cfRule type="expression" dxfId="6" priority="15">
      <formula>$D$12&lt;10</formula>
    </cfRule>
  </conditionalFormatting>
  <dataValidations count="14">
    <dataValidation type="list" allowBlank="1" showInputMessage="1" showErrorMessage="1" sqref="D56 D92 D128 D164 D200 D236 D272 D308 D344 D20" xr:uid="{61B85241-1C06-40D5-A067-E36A81841A8C}">
      <formula1>Einsatzgebiet</formula1>
    </dataValidation>
    <dataValidation type="whole" operator="greaterThan" allowBlank="1" showInputMessage="1" showErrorMessage="1" sqref="D18 D54 D90 D126 D162 D198 D234 D270 D306 D342" xr:uid="{57894E0D-4AF3-4329-A271-45CB442BD301}">
      <formula1>0</formula1>
    </dataValidation>
    <dataValidation type="list" allowBlank="1" showInputMessage="1" showErrorMessage="1" sqref="D102 D138 D174 D30 D210 D246 D282 D318 D354 D66" xr:uid="{A02A9272-CF3C-4B23-BDDA-51EF5BA6CF74}">
      <formula1>Nutzungsmuster</formula1>
    </dataValidation>
    <dataValidation type="list" allowBlank="1" showInputMessage="1" showErrorMessage="1" sqref="J26" xr:uid="{3C0F443D-FE0A-4722-9F6D-9F9437D00145}">
      <formula1>DC</formula1>
    </dataValidation>
    <dataValidation type="list" allowBlank="1" showInputMessage="1" showErrorMessage="1" sqref="D185 D113 D149 D221 D257 D293 D329 D365 D77 D41" xr:uid="{51B92507-4193-45D9-86F3-13C0411D84A8}">
      <formula1>Laufzeit</formula1>
    </dataValidation>
    <dataValidation type="list" allowBlank="1" showInputMessage="1" showErrorMessage="1" sqref="D24 D60 D96 D168 D132 D240 D276 D312 D204 D348" xr:uid="{3E785779-580F-4623-BC0E-45690ADB01BB}">
      <formula1>Grösse</formula1>
    </dataValidation>
    <dataValidation type="whole" operator="greaterThanOrEqual" allowBlank="1" showInputMessage="1" showErrorMessage="1" sqref="D179 D107 D143 D215 D251 D287 D323 D359 D71 D35 D34 D70 D106 D142 D178 D214 D250 D286 D322 D358" xr:uid="{0827B6B0-1C32-4D40-A78F-BA482B5D5986}">
      <formula1>1</formula1>
    </dataValidation>
    <dataValidation type="list" allowBlank="1" showInputMessage="1" showErrorMessage="1" sqref="D12" xr:uid="{F2484765-D470-49F8-B364-2B09E1AAD904}">
      <formula1>Segmente</formula1>
    </dataValidation>
    <dataValidation type="list" allowBlank="1" showInputMessage="1" showErrorMessage="1" sqref="D93 D129 D165 D201 D237 D273 D309 D345 D21 D57 D24" xr:uid="{37287E9A-00F3-4F3F-BB95-8357B36D90E4}">
      <formula1>Heimladen</formula1>
    </dataValidation>
    <dataValidation type="decimal" operator="greaterThan" allowBlank="1" showInputMessage="1" showErrorMessage="1" sqref="D38 D25:D27 D61:D63 D97:D99 D133:D135 D169:D171 D205:D207 D241:D243 D277:D279 D313:D315 D349:D351 D355:D356 D367 D370 D319:D320 D331 D334 D298 D295 D283:D284 D259 D262 D247:D248 D211:D212 D223 D226 D175:D176 D187 D190 D139:D140 D151 D154 D103:D104 D115 D118 D79 D82 D67:D68 D43 D46 D31:D32 D362 D326 D290 D254 D218 D182 D146 D110 D74 J28:J29" xr:uid="{AC761746-E558-4C47-9CA0-4ECDFF083E19}">
      <formula1>0</formula1>
    </dataValidation>
    <dataValidation type="list" allowBlank="1" showInputMessage="1" showErrorMessage="1" sqref="D19 D55 D91 D127 D163 D199 D235 D271 D307 D343" xr:uid="{F05B868F-B168-4677-B287-E07E53FBB39E}">
      <formula1>Einsatzart</formula1>
    </dataValidation>
    <dataValidation type="custom" allowBlank="1" showInputMessage="1" showErrorMessage="1" sqref="D307 D199 D235 D271 D343" xr:uid="{12D846F3-D1F5-4CFD-A67D-7581A50E9F4F}">
      <formula1>AND(D199&gt;=0,D199&lt;=D$163,D199=INT(D199))</formula1>
    </dataValidation>
    <dataValidation type="decimal" operator="greaterThanOrEqual" allowBlank="1" showInputMessage="1" showErrorMessage="1" sqref="D33 D42 D44 D47 D45 D48 D69 D78 D80:D81 D83:D84 D105 D114 D116:D117 D119:D120 D141 D150 D152:D153 D155:D156 D177 D186 D188:D189 D191:D192 D213 D222 D224:D225 D227:D228 D249 D258 D260:D261 D263:D264 D285 D294 D296:D297 D299:D300 D321 D330 D332:D333 D335:D336 D357 D366 D368:D369 D371:D372 D360:D361 D324:D325 D288:D289 D252:D253 D216:D217 D180:D181 D144:D145 D108:D109 D72:D73 D36:D37 J18:J21 J27" xr:uid="{B23419B3-1C5F-4572-A374-9A31FAB08563}">
      <formula1>0</formula1>
    </dataValidation>
    <dataValidation type="list" allowBlank="1" showInputMessage="1" showErrorMessage="1" sqref="J24:J25" xr:uid="{4E1904F5-8554-4B97-AEB4-D095D6105535}">
      <formula1>AC</formula1>
    </dataValidation>
  </dataValidations>
  <pageMargins left="0.7" right="0.7" top="0.75" bottom="0.75" header="0.3" footer="0.3"/>
  <pageSetup paperSize="9" orientation="portrait" verticalDpi="0" r:id="rId1"/>
  <ignoredErrors>
    <ignoredError sqref="J18:J29 D35 D21:D23 D36:D40 D301:D305 D25:D29 D31:D34 D42:D46 D85:D89 D121:D125 D157:D161 D193:D197 D229:D233 D265:D269 D337:D341 D49:D5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A6CE-75C0-43C5-8E37-0C5BFF9B92D5}">
  <sheetPr codeName="Sheet13">
    <tabColor theme="3"/>
  </sheetPr>
  <dimension ref="A2:X93"/>
  <sheetViews>
    <sheetView zoomScaleNormal="100" workbookViewId="0"/>
  </sheetViews>
  <sheetFormatPr defaultColWidth="9.2109375" defaultRowHeight="14.15" x14ac:dyDescent="0.35"/>
  <cols>
    <col min="1" max="2" width="2.35546875" style="236" customWidth="1"/>
    <col min="3" max="3" width="17.140625" style="236" customWidth="1"/>
    <col min="4" max="4" width="18.640625" style="236" customWidth="1"/>
    <col min="5" max="5" width="11.640625" style="236" customWidth="1"/>
    <col min="6" max="6" width="19.35546875" style="236" customWidth="1"/>
    <col min="7" max="7" width="14.640625" style="236" customWidth="1"/>
    <col min="8" max="8" width="12.640625" style="236" customWidth="1"/>
    <col min="9" max="9" width="12.85546875" style="236" customWidth="1"/>
    <col min="10" max="10" width="17.5" style="236" customWidth="1"/>
    <col min="11" max="11" width="5.640625" style="236" customWidth="1"/>
    <col min="12" max="12" width="2.640625" style="236" customWidth="1"/>
    <col min="13" max="13" width="17" style="236" customWidth="1"/>
    <col min="14" max="14" width="10.85546875" style="236" customWidth="1"/>
    <col min="15" max="15" width="9.35546875" style="236" customWidth="1"/>
    <col min="16" max="16" width="10.640625" style="236" customWidth="1"/>
    <col min="17" max="17" width="7.640625" style="236" customWidth="1"/>
    <col min="18" max="18" width="16.140625" style="236" customWidth="1"/>
    <col min="19" max="19" width="10.7109375" style="236" customWidth="1"/>
    <col min="20" max="20" width="16.140625" style="236" customWidth="1"/>
    <col min="21" max="21" width="9.7109375" style="236" customWidth="1"/>
    <col min="22" max="22" width="17.5" style="236" customWidth="1"/>
    <col min="23" max="24" width="3.7109375" style="236" customWidth="1"/>
    <col min="25" max="25" width="10.2109375" style="236" customWidth="1"/>
    <col min="26" max="26" width="3.7109375" style="236" customWidth="1"/>
    <col min="27" max="27" width="4.35546875" style="236" customWidth="1"/>
    <col min="28" max="28" width="9.2109375" style="236"/>
    <col min="29" max="29" width="4.140625" style="236" customWidth="1"/>
    <col min="30" max="30" width="14.7109375" style="236" customWidth="1"/>
    <col min="31" max="31" width="9.7109375" style="236" customWidth="1"/>
    <col min="32" max="32" width="10" style="236" customWidth="1"/>
    <col min="33" max="33" width="7.640625" style="236" customWidth="1"/>
    <col min="34" max="34" width="11.35546875" style="236" customWidth="1"/>
    <col min="35" max="35" width="17.7109375" style="236" customWidth="1"/>
    <col min="36" max="36" width="19.35546875" style="236" customWidth="1"/>
    <col min="37" max="37" width="25.35546875" style="236" customWidth="1"/>
    <col min="38" max="38" width="23.7109375" style="236" customWidth="1"/>
    <col min="39" max="39" width="9.2109375" style="236"/>
    <col min="40" max="40" width="14.7109375" style="236" customWidth="1"/>
    <col min="41" max="42" width="9.640625" style="236" customWidth="1"/>
    <col min="43" max="43" width="5.2109375" style="236" customWidth="1"/>
    <col min="44" max="44" width="11.35546875" style="236" customWidth="1"/>
    <col min="45" max="45" width="16.35546875" style="236" customWidth="1"/>
    <col min="46" max="46" width="19.7109375" style="236" customWidth="1"/>
    <col min="47" max="48" width="23.7109375" style="236" customWidth="1"/>
    <col min="49" max="16384" width="9.2109375" style="236"/>
  </cols>
  <sheetData>
    <row r="2" spans="2:23" ht="20.149999999999999" x14ac:dyDescent="0.5">
      <c r="B2" s="233"/>
      <c r="C2" s="234" t="s">
        <v>527</v>
      </c>
      <c r="D2" s="235"/>
      <c r="E2" s="235"/>
      <c r="F2" s="235"/>
      <c r="G2" s="235"/>
      <c r="H2" s="235"/>
      <c r="I2" s="235"/>
      <c r="J2" s="235"/>
      <c r="K2" s="235"/>
      <c r="L2" s="235"/>
      <c r="M2" s="235"/>
      <c r="N2" s="235"/>
      <c r="O2" s="235"/>
      <c r="P2" s="235"/>
      <c r="Q2" s="235"/>
      <c r="R2" s="235"/>
      <c r="S2" s="235"/>
      <c r="T2" s="235"/>
      <c r="U2" s="235"/>
      <c r="V2" s="235"/>
      <c r="W2" s="235"/>
    </row>
    <row r="3" spans="2:23" x14ac:dyDescent="0.35">
      <c r="B3" s="283"/>
      <c r="C3" s="283"/>
      <c r="D3" s="283"/>
      <c r="E3" s="283"/>
      <c r="F3" s="283"/>
      <c r="G3" s="283"/>
      <c r="H3" s="283"/>
      <c r="I3" s="283"/>
      <c r="J3" s="283"/>
      <c r="K3" s="283"/>
      <c r="L3" s="283"/>
      <c r="M3" s="283"/>
      <c r="N3" s="283"/>
      <c r="O3" s="283"/>
      <c r="P3" s="283"/>
      <c r="Q3" s="283"/>
      <c r="R3" s="283"/>
      <c r="S3" s="283"/>
      <c r="T3" s="283"/>
      <c r="U3" s="283"/>
      <c r="V3" s="283"/>
      <c r="W3" s="283"/>
    </row>
    <row r="4" spans="2:23" x14ac:dyDescent="0.35">
      <c r="B4" s="283"/>
      <c r="C4" s="237" t="s">
        <v>528</v>
      </c>
      <c r="D4" s="312"/>
      <c r="E4" s="312"/>
      <c r="F4" s="312"/>
      <c r="G4" s="312"/>
      <c r="H4" s="312"/>
      <c r="I4" s="312"/>
      <c r="J4" s="312"/>
      <c r="K4" s="283"/>
      <c r="L4" s="237" t="s">
        <v>0</v>
      </c>
      <c r="M4" s="237"/>
      <c r="N4" s="312"/>
      <c r="O4" s="312"/>
      <c r="P4" s="312"/>
      <c r="Q4" s="283"/>
      <c r="R4" s="237" t="s">
        <v>517</v>
      </c>
      <c r="S4" s="312"/>
      <c r="T4" s="312"/>
      <c r="U4" s="312"/>
      <c r="V4" s="312"/>
      <c r="W4" s="283"/>
    </row>
    <row r="5" spans="2:23" ht="28.5" customHeight="1" x14ac:dyDescent="0.35">
      <c r="B5" s="283"/>
      <c r="C5" s="516"/>
      <c r="D5" s="518" t="s">
        <v>481</v>
      </c>
      <c r="E5" s="513" t="s">
        <v>480</v>
      </c>
      <c r="F5" s="513" t="s">
        <v>486</v>
      </c>
      <c r="G5" s="512" t="s">
        <v>529</v>
      </c>
      <c r="H5" s="512" t="s">
        <v>483</v>
      </c>
      <c r="I5" s="512" t="s">
        <v>530</v>
      </c>
      <c r="J5" s="512" t="s">
        <v>531</v>
      </c>
      <c r="K5" s="283"/>
      <c r="L5" s="464"/>
      <c r="M5" s="238"/>
      <c r="N5" s="481" t="s">
        <v>587</v>
      </c>
      <c r="O5" s="480" t="s">
        <v>509</v>
      </c>
      <c r="P5" s="239" t="s">
        <v>36</v>
      </c>
      <c r="Q5" s="479"/>
      <c r="R5" s="238"/>
      <c r="S5" s="480" t="s">
        <v>539</v>
      </c>
      <c r="T5" s="480" t="s">
        <v>540</v>
      </c>
      <c r="U5" s="480" t="s">
        <v>538</v>
      </c>
      <c r="V5" s="481" t="s">
        <v>586</v>
      </c>
      <c r="W5" s="283"/>
    </row>
    <row r="6" spans="2:23" x14ac:dyDescent="0.35">
      <c r="B6" s="283"/>
      <c r="C6" s="516"/>
      <c r="D6" s="518"/>
      <c r="E6" s="513"/>
      <c r="F6" s="513"/>
      <c r="G6" s="512"/>
      <c r="H6" s="512"/>
      <c r="I6" s="512"/>
      <c r="J6" s="512"/>
      <c r="K6" s="283"/>
      <c r="L6" s="465" t="s">
        <v>547</v>
      </c>
      <c r="M6" s="240"/>
      <c r="N6" s="241">
        <f>SUMIF('1c. Inputs Segment Summary'!$K$2:$K$11,$L6,'1c. Inputs Segment Summary'!$H$2:$H$11)</f>
        <v>0</v>
      </c>
      <c r="O6" s="313">
        <f>SUMIF('1c. Inputs Segment Summary'!$K$2:$K$11,$L6,'1c. Inputs Segment Summary'!$G$2:$G$11)</f>
        <v>0</v>
      </c>
      <c r="P6" s="314">
        <f>SUMIF('1c. Inputs Segment Summary'!$K$2:$K$11,$L6,'1c. Inputs Segment Summary'!$F$2:$F$11)</f>
        <v>0</v>
      </c>
      <c r="Q6" s="313"/>
      <c r="R6" s="315" t="s">
        <v>584</v>
      </c>
      <c r="S6" s="316">
        <f>'Éléments saisis (inputs)'!J19</f>
        <v>0.24</v>
      </c>
      <c r="T6" s="316">
        <f>'Éléments saisis (inputs)'!J20</f>
        <v>0.24</v>
      </c>
      <c r="U6" s="316">
        <f>'Éléments saisis (inputs)'!J21</f>
        <v>0.55000000000000004</v>
      </c>
      <c r="V6" s="317" t="str">
        <f>'Éléments saisis (inputs)'!K19</f>
        <v>CHF/kWh</v>
      </c>
      <c r="W6" s="283"/>
    </row>
    <row r="7" spans="2:23" x14ac:dyDescent="0.35">
      <c r="B7" s="283"/>
      <c r="C7" s="517"/>
      <c r="D7" s="519"/>
      <c r="E7" s="514"/>
      <c r="F7" s="514"/>
      <c r="G7" s="500"/>
      <c r="H7" s="500"/>
      <c r="I7" s="500"/>
      <c r="J7" s="500"/>
      <c r="K7" s="283"/>
      <c r="L7" s="465" t="s">
        <v>512</v>
      </c>
      <c r="M7" s="240"/>
      <c r="N7" s="242">
        <f>SUMIF('1c. Inputs Segment Summary'!$K$2:$K$11,$L7,'1c. Inputs Segment Summary'!$H$2:$H$11)</f>
        <v>0</v>
      </c>
      <c r="O7" s="313">
        <f>SUMIF('1c. Inputs Segment Summary'!$K$2:$K$11,$L7,'1c. Inputs Segment Summary'!$G$2:$G$11)</f>
        <v>1</v>
      </c>
      <c r="P7" s="314">
        <f>SUMIF('1c. Inputs Segment Summary'!$K$2:$K$11,$L7,'1c. Inputs Segment Summary'!$F$2:$F$11)</f>
        <v>1</v>
      </c>
      <c r="Q7" s="313"/>
      <c r="R7" s="283"/>
      <c r="S7" s="283"/>
      <c r="T7" s="283"/>
      <c r="U7" s="283"/>
      <c r="V7" s="283"/>
      <c r="W7" s="283"/>
    </row>
    <row r="8" spans="2:23" x14ac:dyDescent="0.35">
      <c r="B8" s="283"/>
      <c r="C8" s="240" t="str">
        <f>'1c. Inputs Segment Summary'!A2</f>
        <v>Segment A</v>
      </c>
      <c r="D8" s="243" t="str">
        <f>'1c. Inputs Segment Summary'!E2</f>
        <v>Véhicules de pool</v>
      </c>
      <c r="E8" s="318">
        <f>'1c. Inputs Segment Summary'!F2</f>
        <v>1</v>
      </c>
      <c r="F8" s="318" t="str">
        <f>'1c. Inputs Segment Summary'!K2</f>
        <v>Catégorie moyenne</v>
      </c>
      <c r="G8" s="319">
        <f>SUM('1c. Inputs Segment Summary'!Q2:R2)*'1c. Inputs Segment Summary'!P2</f>
        <v>26000</v>
      </c>
      <c r="H8" s="320" t="str" cm="1">
        <f t="array" aca="1" ref="H8" ca="1">INDEX(Heimladen,NOT('1c. Inputs Segment Summary'!J2)+1)</f>
        <v>Non</v>
      </c>
      <c r="I8" s="320">
        <f ca="1">'1c. Inputs Segment Summary'!V2</f>
        <v>8</v>
      </c>
      <c r="J8" s="320">
        <f>MAX('1c. Inputs Segment Summary'!U2*'1c. Inputs Segment Summary'!T2,0)</f>
        <v>1</v>
      </c>
      <c r="K8" s="283"/>
      <c r="L8" s="465" t="s">
        <v>548</v>
      </c>
      <c r="M8" s="240"/>
      <c r="N8" s="242">
        <f>SUMIF('1c. Inputs Segment Summary'!$K$2:$K$11,$L8,'1c. Inputs Segment Summary'!$H$2:$H$11)</f>
        <v>0</v>
      </c>
      <c r="O8" s="313">
        <f>SUMIF('1c. Inputs Segment Summary'!$K$2:$K$11,$L8,'1c. Inputs Segment Summary'!$G$2:$G$11)</f>
        <v>0</v>
      </c>
      <c r="P8" s="314">
        <f>SUMIF('1c. Inputs Segment Summary'!$K$2:$K$11,$L8,'1c. Inputs Segment Summary'!$F$2:$F$11)</f>
        <v>0</v>
      </c>
      <c r="Q8" s="313"/>
      <c r="R8" s="283"/>
      <c r="S8" s="283"/>
      <c r="T8" s="283"/>
      <c r="U8" s="283"/>
      <c r="V8" s="283"/>
      <c r="W8" s="283"/>
    </row>
    <row r="9" spans="2:23" x14ac:dyDescent="0.35">
      <c r="B9" s="283"/>
      <c r="C9" s="240" t="str">
        <f>'1c. Inputs Segment Summary'!A3</f>
        <v>Segment B</v>
      </c>
      <c r="D9" s="244" t="str">
        <f>'1c. Inputs Segment Summary'!E3</f>
        <v>Véhicules de pool</v>
      </c>
      <c r="E9" s="318">
        <f>'1c. Inputs Segment Summary'!F3</f>
        <v>0</v>
      </c>
      <c r="F9" s="318" t="str">
        <f>'1c. Inputs Segment Summary'!K3</f>
        <v>Catégorie moyenne</v>
      </c>
      <c r="G9" s="319">
        <f>SUM('1c. Inputs Segment Summary'!Q3:R3)*'1c. Inputs Segment Summary'!P3</f>
        <v>26000</v>
      </c>
      <c r="H9" s="320" t="str" cm="1">
        <f t="array" aca="1" ref="H9" ca="1">INDEX(Heimladen,NOT('1c. Inputs Segment Summary'!J3)+1)</f>
        <v>Non</v>
      </c>
      <c r="I9" s="320">
        <f ca="1">'1c. Inputs Segment Summary'!V3</f>
        <v>8</v>
      </c>
      <c r="J9" s="320">
        <f>MAX('1c. Inputs Segment Summary'!U3*'1c. Inputs Segment Summary'!T3,0)</f>
        <v>1</v>
      </c>
      <c r="K9" s="283"/>
      <c r="L9" s="465" t="s">
        <v>97</v>
      </c>
      <c r="M9" s="240"/>
      <c r="N9" s="245">
        <f>SUMIF('1c. Inputs Segment Summary'!$K$2:$K$11,$L9,'1c. Inputs Segment Summary'!$H$2:$H$11)</f>
        <v>0</v>
      </c>
      <c r="O9" s="313">
        <f>SUMIF('1c. Inputs Segment Summary'!$K$2:$K$11,$L9,'1c. Inputs Segment Summary'!$G$2:$G$11)</f>
        <v>0</v>
      </c>
      <c r="P9" s="314">
        <f>SUMIF('1c. Inputs Segment Summary'!$K$2:$K$11,$L9,'1c. Inputs Segment Summary'!$F$2:$F$11)</f>
        <v>0</v>
      </c>
      <c r="Q9" s="313"/>
      <c r="R9" s="283"/>
      <c r="S9" s="283"/>
      <c r="T9" s="283"/>
      <c r="U9" s="283"/>
      <c r="V9" s="283"/>
      <c r="W9" s="283"/>
    </row>
    <row r="10" spans="2:23" x14ac:dyDescent="0.35">
      <c r="B10" s="283"/>
      <c r="C10" s="240" t="str">
        <f>'1c. Inputs Segment Summary'!A4</f>
        <v>Segment C</v>
      </c>
      <c r="D10" s="244" t="str">
        <f>'1c. Inputs Segment Summary'!E4</f>
        <v>Véhicules de pool</v>
      </c>
      <c r="E10" s="318">
        <f>'1c. Inputs Segment Summary'!F4</f>
        <v>0</v>
      </c>
      <c r="F10" s="318" t="str">
        <f>'1c. Inputs Segment Summary'!K4</f>
        <v>Catégorie moyenne</v>
      </c>
      <c r="G10" s="319">
        <f>SUM('1c. Inputs Segment Summary'!Q4:R4)*'1c. Inputs Segment Summary'!P4</f>
        <v>26000</v>
      </c>
      <c r="H10" s="320" t="str" cm="1">
        <f t="array" aca="1" ref="H10" ca="1">INDEX(Heimladen,NOT('1c. Inputs Segment Summary'!J4)+1)</f>
        <v>Non</v>
      </c>
      <c r="I10" s="320">
        <f ca="1">'1c. Inputs Segment Summary'!V4</f>
        <v>8</v>
      </c>
      <c r="J10" s="320">
        <f>MAX('1c. Inputs Segment Summary'!U4*'1c. Inputs Segment Summary'!T4,0)</f>
        <v>1</v>
      </c>
      <c r="K10" s="283"/>
      <c r="L10" s="466" t="s">
        <v>36</v>
      </c>
      <c r="M10" s="246"/>
      <c r="N10" s="247">
        <f>SUM(N6:N9)</f>
        <v>0</v>
      </c>
      <c r="O10" s="321">
        <f>SUM(O6:O9)</f>
        <v>1</v>
      </c>
      <c r="P10" s="322">
        <f>SUM(P6:P9)</f>
        <v>1</v>
      </c>
      <c r="Q10" s="313"/>
      <c r="R10" s="315"/>
      <c r="S10" s="513" t="s">
        <v>593</v>
      </c>
      <c r="T10" s="317"/>
      <c r="U10" s="283"/>
      <c r="V10" s="283"/>
      <c r="W10" s="283"/>
    </row>
    <row r="11" spans="2:23" x14ac:dyDescent="0.35">
      <c r="B11" s="283"/>
      <c r="C11" s="240" t="str">
        <f>'1c. Inputs Segment Summary'!A5</f>
        <v>Segment D</v>
      </c>
      <c r="D11" s="244" t="str">
        <f>'1c. Inputs Segment Summary'!E5</f>
        <v>Véhicules de pool</v>
      </c>
      <c r="E11" s="318">
        <f>'1c. Inputs Segment Summary'!F5</f>
        <v>0</v>
      </c>
      <c r="F11" s="318" t="str">
        <f>'1c. Inputs Segment Summary'!K5</f>
        <v>Catégorie moyenne</v>
      </c>
      <c r="G11" s="319">
        <f>SUM('1c. Inputs Segment Summary'!Q5:R5)*'1c. Inputs Segment Summary'!P5</f>
        <v>26000</v>
      </c>
      <c r="H11" s="320" t="str" cm="1">
        <f t="array" aca="1" ref="H11" ca="1">INDEX(Heimladen,NOT('1c. Inputs Segment Summary'!J5)+1)</f>
        <v>Non</v>
      </c>
      <c r="I11" s="320">
        <f ca="1">'1c. Inputs Segment Summary'!V5</f>
        <v>8</v>
      </c>
      <c r="J11" s="320">
        <f>MAX('1c. Inputs Segment Summary'!U5*'1c. Inputs Segment Summary'!T5,0)</f>
        <v>1</v>
      </c>
      <c r="K11" s="283"/>
      <c r="L11" s="283"/>
      <c r="M11" s="283"/>
      <c r="N11" s="283"/>
      <c r="O11" s="283"/>
      <c r="P11" s="283"/>
      <c r="Q11" s="283"/>
      <c r="R11" s="323"/>
      <c r="S11" s="514"/>
      <c r="T11" s="467" t="s">
        <v>586</v>
      </c>
      <c r="U11" s="283"/>
      <c r="V11" s="283"/>
      <c r="W11" s="283"/>
    </row>
    <row r="12" spans="2:23" x14ac:dyDescent="0.35">
      <c r="B12" s="283"/>
      <c r="C12" s="240" t="str">
        <f>'1c. Inputs Segment Summary'!A6</f>
        <v>Segment E</v>
      </c>
      <c r="D12" s="244" t="str">
        <f>'1c. Inputs Segment Summary'!E6</f>
        <v>Véhicules de pool</v>
      </c>
      <c r="E12" s="318">
        <f>'1c. Inputs Segment Summary'!F6</f>
        <v>0</v>
      </c>
      <c r="F12" s="318" t="str">
        <f>'1c. Inputs Segment Summary'!K6</f>
        <v>Catégorie moyenne</v>
      </c>
      <c r="G12" s="319">
        <f>SUM('1c. Inputs Segment Summary'!Q6:R6)*'1c. Inputs Segment Summary'!P6</f>
        <v>26000</v>
      </c>
      <c r="H12" s="320" t="str" cm="1">
        <f t="array" aca="1" ref="H12" ca="1">INDEX(Heimladen,NOT('1c. Inputs Segment Summary'!J6)+1)</f>
        <v>Non</v>
      </c>
      <c r="I12" s="320">
        <f ca="1">'1c. Inputs Segment Summary'!V6</f>
        <v>8</v>
      </c>
      <c r="J12" s="320">
        <f>MAX('1c. Inputs Segment Summary'!U6*'1c. Inputs Segment Summary'!T6,0)</f>
        <v>1</v>
      </c>
      <c r="K12" s="283"/>
      <c r="L12" s="283"/>
      <c r="M12" s="283"/>
      <c r="N12" s="283"/>
      <c r="O12" s="283"/>
      <c r="P12" s="283"/>
      <c r="Q12" s="283"/>
      <c r="R12" s="315" t="s">
        <v>585</v>
      </c>
      <c r="S12" s="316">
        <f>'Éléments saisis (inputs)'!J18</f>
        <v>1.8</v>
      </c>
      <c r="T12" s="317" t="str">
        <f>'Éléments saisis (inputs)'!K18</f>
        <v>CHF/l</v>
      </c>
      <c r="U12" s="283"/>
      <c r="V12" s="283"/>
      <c r="W12" s="283"/>
    </row>
    <row r="13" spans="2:23" x14ac:dyDescent="0.35">
      <c r="B13" s="283"/>
      <c r="C13" s="240" t="str">
        <f>'1c. Inputs Segment Summary'!A7</f>
        <v>Segment F</v>
      </c>
      <c r="D13" s="318" t="str">
        <f>'1c. Inputs Segment Summary'!E7</f>
        <v>Véhicules de pool</v>
      </c>
      <c r="E13" s="318">
        <f>'1c. Inputs Segment Summary'!F7</f>
        <v>0</v>
      </c>
      <c r="F13" s="318" t="str">
        <f>'1c. Inputs Segment Summary'!K7</f>
        <v>Catégorie moyenne</v>
      </c>
      <c r="G13" s="319">
        <f>SUM('1c. Inputs Segment Summary'!Q7:R7)*'1c. Inputs Segment Summary'!P7</f>
        <v>26000</v>
      </c>
      <c r="H13" s="320" t="str" cm="1">
        <f t="array" aca="1" ref="H13" ca="1">INDEX(Heimladen,NOT('1c. Inputs Segment Summary'!J7)+1)</f>
        <v>Non</v>
      </c>
      <c r="I13" s="320">
        <f ca="1">'1c. Inputs Segment Summary'!V7</f>
        <v>8</v>
      </c>
      <c r="J13" s="320">
        <f>MAX('1c. Inputs Segment Summary'!U7*'1c. Inputs Segment Summary'!T7,0)</f>
        <v>1</v>
      </c>
      <c r="K13" s="283"/>
      <c r="L13" s="283"/>
      <c r="M13" s="283"/>
      <c r="N13" s="283"/>
      <c r="O13" s="283"/>
      <c r="P13" s="283"/>
      <c r="Q13" s="283"/>
      <c r="R13" s="283"/>
      <c r="S13" s="283"/>
      <c r="T13" s="283"/>
      <c r="U13" s="283"/>
      <c r="V13" s="283"/>
      <c r="W13" s="283"/>
    </row>
    <row r="14" spans="2:23" x14ac:dyDescent="0.35">
      <c r="B14" s="283"/>
      <c r="C14" s="240" t="str">
        <f>'1c. Inputs Segment Summary'!A8</f>
        <v>Segment G</v>
      </c>
      <c r="D14" s="318" t="str">
        <f>'1c. Inputs Segment Summary'!E8</f>
        <v>Véhicules de pool</v>
      </c>
      <c r="E14" s="318">
        <f>'1c. Inputs Segment Summary'!F8</f>
        <v>0</v>
      </c>
      <c r="F14" s="318" t="str">
        <f>'1c. Inputs Segment Summary'!K8</f>
        <v>Catégorie moyenne</v>
      </c>
      <c r="G14" s="319">
        <f>SUM('1c. Inputs Segment Summary'!Q8:R8)*'1c. Inputs Segment Summary'!P8</f>
        <v>26000</v>
      </c>
      <c r="H14" s="320" t="str" cm="1">
        <f t="array" aca="1" ref="H14" ca="1">INDEX(Heimladen,NOT('1c. Inputs Segment Summary'!J8)+1)</f>
        <v>Non</v>
      </c>
      <c r="I14" s="320">
        <f ca="1">'1c. Inputs Segment Summary'!V8</f>
        <v>8</v>
      </c>
      <c r="J14" s="320">
        <f>MAX('1c. Inputs Segment Summary'!U8*'1c. Inputs Segment Summary'!T8,0)</f>
        <v>1</v>
      </c>
      <c r="K14" s="283"/>
      <c r="L14" s="283"/>
      <c r="M14" s="283"/>
      <c r="N14" s="283"/>
      <c r="O14" s="283"/>
      <c r="P14" s="283"/>
      <c r="Q14" s="283"/>
      <c r="R14" s="283"/>
      <c r="S14" s="283"/>
      <c r="T14" s="283"/>
      <c r="U14" s="283"/>
      <c r="V14" s="283"/>
      <c r="W14" s="283"/>
    </row>
    <row r="15" spans="2:23" x14ac:dyDescent="0.35">
      <c r="B15" s="283"/>
      <c r="C15" s="240" t="str">
        <f>'1c. Inputs Segment Summary'!A9</f>
        <v>Segment H</v>
      </c>
      <c r="D15" s="318" t="str">
        <f>'1c. Inputs Segment Summary'!E9</f>
        <v>Véhicules de pool</v>
      </c>
      <c r="E15" s="318">
        <f>'1c. Inputs Segment Summary'!F9</f>
        <v>0</v>
      </c>
      <c r="F15" s="318" t="str">
        <f>'1c. Inputs Segment Summary'!K9</f>
        <v>Catégorie moyenne</v>
      </c>
      <c r="G15" s="319">
        <f>SUM('1c. Inputs Segment Summary'!Q9:R9)*'1c. Inputs Segment Summary'!P9</f>
        <v>26000</v>
      </c>
      <c r="H15" s="320" t="str" cm="1">
        <f t="array" aca="1" ref="H15" ca="1">INDEX(Heimladen,NOT('1c. Inputs Segment Summary'!J9)+1)</f>
        <v>Non</v>
      </c>
      <c r="I15" s="320">
        <f ca="1">'1c. Inputs Segment Summary'!V9</f>
        <v>8</v>
      </c>
      <c r="J15" s="320">
        <f>MAX('1c. Inputs Segment Summary'!U9*'1c. Inputs Segment Summary'!T9,0)</f>
        <v>1</v>
      </c>
      <c r="K15" s="283"/>
      <c r="L15" s="283"/>
      <c r="M15" s="283"/>
      <c r="N15" s="283"/>
      <c r="O15" s="283"/>
      <c r="P15" s="283"/>
      <c r="Q15" s="283"/>
      <c r="R15" s="283"/>
      <c r="S15" s="283"/>
      <c r="T15" s="283"/>
      <c r="U15" s="283"/>
      <c r="V15" s="283"/>
      <c r="W15" s="283"/>
    </row>
    <row r="16" spans="2:23" x14ac:dyDescent="0.35">
      <c r="B16" s="283"/>
      <c r="C16" s="240" t="str">
        <f>'1c. Inputs Segment Summary'!A10</f>
        <v>Segment I</v>
      </c>
      <c r="D16" s="318" t="str">
        <f>'1c. Inputs Segment Summary'!E10</f>
        <v>Véhicules de pool</v>
      </c>
      <c r="E16" s="318">
        <f>'1c. Inputs Segment Summary'!F10</f>
        <v>0</v>
      </c>
      <c r="F16" s="318" t="str">
        <f>'1c. Inputs Segment Summary'!K10</f>
        <v>Catégorie moyenne</v>
      </c>
      <c r="G16" s="319">
        <f>SUM('1c. Inputs Segment Summary'!Q10:R10)*'1c. Inputs Segment Summary'!P10</f>
        <v>26000</v>
      </c>
      <c r="H16" s="320" t="str" cm="1">
        <f t="array" aca="1" ref="H16" ca="1">INDEX(Heimladen,NOT('1c. Inputs Segment Summary'!J10)+1)</f>
        <v>Non</v>
      </c>
      <c r="I16" s="320">
        <f ca="1">'1c. Inputs Segment Summary'!V10</f>
        <v>8</v>
      </c>
      <c r="J16" s="320">
        <f>MAX('1c. Inputs Segment Summary'!U10*'1c. Inputs Segment Summary'!T10,0)</f>
        <v>1</v>
      </c>
      <c r="K16" s="283"/>
      <c r="L16" s="283"/>
      <c r="M16" s="283"/>
      <c r="N16" s="283"/>
      <c r="O16" s="283"/>
      <c r="P16" s="283"/>
      <c r="Q16" s="283"/>
      <c r="R16" s="283"/>
      <c r="S16" s="283"/>
      <c r="T16" s="283"/>
      <c r="U16" s="283"/>
      <c r="V16" s="283"/>
      <c r="W16" s="283"/>
    </row>
    <row r="17" spans="2:23" x14ac:dyDescent="0.35">
      <c r="B17" s="283"/>
      <c r="C17" s="240" t="str">
        <f>'1c. Inputs Segment Summary'!A11</f>
        <v>Segment J</v>
      </c>
      <c r="D17" s="318" t="str">
        <f>'1c. Inputs Segment Summary'!E11</f>
        <v>Véhicules de pool</v>
      </c>
      <c r="E17" s="318">
        <f>'1c. Inputs Segment Summary'!F11</f>
        <v>0</v>
      </c>
      <c r="F17" s="318" t="str">
        <f>'1c. Inputs Segment Summary'!K11</f>
        <v>Catégorie moyenne</v>
      </c>
      <c r="G17" s="319">
        <f>SUM('1c. Inputs Segment Summary'!Q11:R11)*'1c. Inputs Segment Summary'!P11</f>
        <v>26000</v>
      </c>
      <c r="H17" s="320" t="str" cm="1">
        <f t="array" aca="1" ref="H17" ca="1">INDEX(Heimladen,NOT('1c. Inputs Segment Summary'!J11)+1)</f>
        <v>Non</v>
      </c>
      <c r="I17" s="320">
        <f ca="1">'1c. Inputs Segment Summary'!V11</f>
        <v>8</v>
      </c>
      <c r="J17" s="320">
        <f>MAX('1c. Inputs Segment Summary'!U11*'1c. Inputs Segment Summary'!T11,0)</f>
        <v>1</v>
      </c>
      <c r="K17" s="283"/>
      <c r="L17" s="283"/>
      <c r="M17" s="283"/>
      <c r="N17" s="283"/>
      <c r="O17" s="283"/>
      <c r="P17" s="283"/>
      <c r="Q17" s="283"/>
      <c r="R17" s="283"/>
      <c r="S17" s="283"/>
      <c r="T17" s="283"/>
      <c r="U17" s="283"/>
      <c r="V17" s="283"/>
      <c r="W17" s="283"/>
    </row>
    <row r="18" spans="2:23" x14ac:dyDescent="0.35">
      <c r="B18" s="283"/>
      <c r="C18" s="283"/>
      <c r="D18" s="283"/>
      <c r="E18" s="283"/>
      <c r="F18" s="283"/>
      <c r="G18" s="283"/>
      <c r="H18" s="283"/>
      <c r="I18" s="283"/>
      <c r="J18" s="283"/>
      <c r="K18" s="283"/>
      <c r="L18" s="283"/>
      <c r="M18" s="283"/>
      <c r="N18" s="283"/>
      <c r="O18" s="283"/>
      <c r="P18" s="283"/>
      <c r="Q18" s="283"/>
      <c r="R18" s="283"/>
      <c r="S18" s="283"/>
      <c r="T18" s="283"/>
      <c r="U18" s="283"/>
      <c r="V18" s="283"/>
      <c r="W18" s="283"/>
    </row>
    <row r="21" spans="2:23" ht="20.149999999999999" x14ac:dyDescent="0.5">
      <c r="B21" s="233"/>
      <c r="C21" s="234" t="s">
        <v>532</v>
      </c>
      <c r="D21" s="235"/>
      <c r="E21" s="235"/>
      <c r="F21" s="235"/>
      <c r="G21" s="235"/>
      <c r="H21" s="235"/>
      <c r="I21" s="235"/>
      <c r="J21" s="235"/>
      <c r="K21" s="235"/>
      <c r="L21" s="235"/>
      <c r="M21" s="235"/>
      <c r="N21" s="235"/>
      <c r="O21" s="235"/>
      <c r="P21" s="235"/>
      <c r="Q21" s="235"/>
      <c r="R21" s="235"/>
      <c r="S21" s="235"/>
      <c r="T21" s="235"/>
      <c r="U21" s="235"/>
      <c r="V21" s="235"/>
      <c r="W21" s="235"/>
    </row>
    <row r="22" spans="2:23" x14ac:dyDescent="0.35">
      <c r="B22" s="248"/>
      <c r="C22" s="248"/>
      <c r="D22" s="248"/>
      <c r="E22" s="249"/>
      <c r="F22" s="248"/>
      <c r="G22" s="248"/>
      <c r="H22" s="248"/>
      <c r="I22" s="248"/>
      <c r="J22" s="248"/>
      <c r="K22" s="248"/>
      <c r="L22" s="248"/>
      <c r="M22" s="248"/>
      <c r="N22" s="283"/>
      <c r="O22" s="283"/>
      <c r="P22" s="283"/>
      <c r="Q22" s="283"/>
      <c r="R22" s="283"/>
      <c r="S22" s="283"/>
      <c r="T22" s="283"/>
      <c r="U22" s="283"/>
      <c r="V22" s="283"/>
      <c r="W22" s="283"/>
    </row>
    <row r="23" spans="2:23" ht="14.15" customHeight="1" x14ac:dyDescent="0.35">
      <c r="B23" s="248"/>
      <c r="C23" s="250" t="s">
        <v>533</v>
      </c>
      <c r="D23" s="312"/>
      <c r="E23" s="312"/>
      <c r="F23" s="251"/>
      <c r="G23" s="251"/>
      <c r="H23" s="248"/>
      <c r="I23" s="248"/>
      <c r="J23" s="248"/>
      <c r="K23" s="248"/>
      <c r="L23" s="248"/>
      <c r="M23" s="248"/>
      <c r="N23" s="283"/>
      <c r="O23" s="283"/>
      <c r="P23" s="250" t="s">
        <v>633</v>
      </c>
      <c r="Q23" s="250"/>
      <c r="R23" s="312"/>
      <c r="S23" s="312"/>
      <c r="T23" s="312"/>
      <c r="U23" s="312"/>
      <c r="V23" s="312"/>
      <c r="W23" s="283"/>
    </row>
    <row r="24" spans="2:23" ht="29.25" customHeight="1" x14ac:dyDescent="0.35">
      <c r="B24" s="248"/>
      <c r="C24" s="469"/>
      <c r="D24" s="501" t="s">
        <v>534</v>
      </c>
      <c r="E24" s="499" t="s">
        <v>535</v>
      </c>
      <c r="F24" s="499" t="s">
        <v>536</v>
      </c>
      <c r="G24" s="499" t="s">
        <v>537</v>
      </c>
      <c r="H24" s="248"/>
      <c r="I24" s="248"/>
      <c r="J24" s="248"/>
      <c r="K24" s="248"/>
      <c r="L24" s="248"/>
      <c r="M24" s="248"/>
      <c r="N24" s="283"/>
      <c r="O24" s="283"/>
      <c r="P24" s="254"/>
      <c r="Q24" s="497" t="s">
        <v>539</v>
      </c>
      <c r="R24" s="498"/>
      <c r="S24" s="498" t="s">
        <v>604</v>
      </c>
      <c r="T24" s="498"/>
      <c r="U24" s="498" t="s">
        <v>624</v>
      </c>
      <c r="V24" s="498"/>
      <c r="W24" s="283"/>
    </row>
    <row r="25" spans="2:23" x14ac:dyDescent="0.35">
      <c r="B25" s="248"/>
      <c r="C25" s="252"/>
      <c r="D25" s="502"/>
      <c r="E25" s="500"/>
      <c r="F25" s="500"/>
      <c r="G25" s="500"/>
      <c r="H25" s="248"/>
      <c r="I25" s="248"/>
      <c r="J25" s="248"/>
      <c r="K25" s="248"/>
      <c r="L25" s="248"/>
      <c r="M25" s="248"/>
      <c r="N25" s="283"/>
      <c r="O25" s="283"/>
      <c r="P25" s="254"/>
      <c r="Q25" s="497" t="s">
        <v>534</v>
      </c>
      <c r="R25" s="498" t="s">
        <v>535</v>
      </c>
      <c r="S25" s="498" t="s">
        <v>534</v>
      </c>
      <c r="T25" s="498" t="s">
        <v>535</v>
      </c>
      <c r="U25" s="498" t="s">
        <v>534</v>
      </c>
      <c r="V25" s="498" t="s">
        <v>635</v>
      </c>
      <c r="W25" s="283"/>
    </row>
    <row r="26" spans="2:23" x14ac:dyDescent="0.35">
      <c r="B26" s="248"/>
      <c r="C26" s="483" t="s">
        <v>538</v>
      </c>
      <c r="D26" s="325" t="s">
        <v>39</v>
      </c>
      <c r="E26" s="326" t="s">
        <v>39</v>
      </c>
      <c r="F26" s="327" t="s">
        <v>39</v>
      </c>
      <c r="G26" s="319" t="str">
        <f ca="1">IF('3a. Detailierte Ergebnisse'!J31&gt;0,'3a. Detailierte Ergebnisse'!J31,"-")</f>
        <v>-</v>
      </c>
      <c r="H26" s="248"/>
      <c r="I26" s="248"/>
      <c r="J26" s="248" t="s">
        <v>541</v>
      </c>
      <c r="K26" s="248"/>
      <c r="L26" s="248"/>
      <c r="M26" s="248"/>
      <c r="N26" s="283"/>
      <c r="O26" s="283"/>
      <c r="P26" s="337"/>
      <c r="Q26" s="503"/>
      <c r="R26" s="504"/>
      <c r="S26" s="504"/>
      <c r="T26" s="504"/>
      <c r="U26" s="504"/>
      <c r="V26" s="504"/>
      <c r="W26" s="283"/>
    </row>
    <row r="27" spans="2:23" ht="14.25" customHeight="1" x14ac:dyDescent="0.35">
      <c r="B27" s="248"/>
      <c r="C27" s="328" t="s">
        <v>539</v>
      </c>
      <c r="D27" s="329" t="str">
        <f ca="1">IF('3a. Detailierte Ergebnisse'!B24=0,"-",'3a. Detailierte Ergebnisse'!B24)</f>
        <v>-</v>
      </c>
      <c r="E27" s="330" t="str">
        <f ca="1">IF(D27="-",D27,'3a. Detailierte Ergebnisse'!B22)</f>
        <v>-</v>
      </c>
      <c r="F27" s="331" t="str">
        <f ca="1">IF(D27="-",D27,INDEX(OFFSET(Ladeleistung,0,1),MATCH(E27,Ladeleistung,0)))</f>
        <v>-</v>
      </c>
      <c r="G27" s="330" t="str">
        <f ca="1">IF(D27="-",D27,'3a. Detailierte Ergebnisse'!B25)</f>
        <v>-</v>
      </c>
      <c r="H27" s="248"/>
      <c r="I27" s="248"/>
      <c r="J27" s="248"/>
      <c r="K27" s="248"/>
      <c r="L27" s="248"/>
      <c r="M27" s="248"/>
      <c r="N27" s="283"/>
      <c r="O27" s="283"/>
      <c r="P27" s="457" t="str">
        <f>'1c. Inputs Segment Summary'!A2</f>
        <v>Segment A</v>
      </c>
      <c r="Q27" s="458">
        <f ca="1">'2a. Ladekonzept'!V5*'2a. Ladekonzept'!C5</f>
        <v>0</v>
      </c>
      <c r="R27" s="460">
        <f ca="1">IF(Q27&gt;0,'Éléments saisis (inputs)'!$J$24,0)</f>
        <v>0</v>
      </c>
      <c r="S27" s="461">
        <f ca="1">'2a. Ladekonzept'!X5*'2a. Ladekonzept'!C5</f>
        <v>1</v>
      </c>
      <c r="T27" s="460">
        <f ca="1">'2a. Ladekonzept'!Z5</f>
        <v>11</v>
      </c>
      <c r="U27" s="461">
        <f ca="1">'2a. Ladekonzept'!AD5*'2a. Ladekonzept'!C5</f>
        <v>0</v>
      </c>
      <c r="V27" s="460">
        <f ca="1">'2a. Ladekonzept'!AF5</f>
        <v>0</v>
      </c>
      <c r="W27" s="283"/>
    </row>
    <row r="28" spans="2:23" ht="14.25" customHeight="1" x14ac:dyDescent="0.35">
      <c r="B28" s="248"/>
      <c r="C28" s="332" t="s">
        <v>540</v>
      </c>
      <c r="D28" s="333" cm="1">
        <f t="array" aca="1" ref="D28" ca="1">TRANSPOSE(_xlfn.LET(_xlpm.arrkW,'3a. Detailierte Ergebnisse'!T22:AE22,_xlpm.arrN,'3a. Detailierte Ergebnisse'!T24:AE24,IF(E28="-",E28,_xlfn._xlws.FILTER(_xlpm.arrN,_xlpm.arrN&gt;0))))</f>
        <v>1</v>
      </c>
      <c r="E28" s="334" cm="1">
        <f t="array" aca="1" ref="E28" ca="1">TRANSPOSE(_xlfn.LET(_xlpm.arrkW,'3a. Detailierte Ergebnisse'!T22:AE22,_xlpm.arrN,'3a. Detailierte Ergebnisse'!T24:AE24,_xlfn._xlws.FILTER(_xlpm.arrkW,_xlpm.arrN&gt;0,"-")))</f>
        <v>11</v>
      </c>
      <c r="F28" s="335" t="str" cm="1">
        <f t="array" aca="1" ref="F28" ca="1">IF(E28="-",E28,INDEX(OFFSET(Ladeleistung,0,1),MATCH(_xlfn.ANCHORARRAY(E28),Ladeleistung,0)))</f>
        <v>CA</v>
      </c>
      <c r="G28" s="334" cm="1">
        <f t="array" aca="1" ref="G28" ca="1">TRANSPOSE(_xlfn.LET(_xlpm.arrkW,'3a. Detailierte Ergebnisse'!T22:AE22,_xlpm.arrN,'3a. Detailierte Ergebnisse'!T24:AE24,_xlpm.arrkWh,'3a. Detailierte Ergebnisse'!T25:AE25,IF(E28="-",E28,_xlfn._xlws.FILTER(_xlpm.arrkWh,_xlpm.arrN&gt;0))))</f>
        <v>16.777777777777779</v>
      </c>
      <c r="H28" s="248"/>
      <c r="I28" s="248"/>
      <c r="J28" s="248"/>
      <c r="K28" s="248"/>
      <c r="L28" s="248"/>
      <c r="M28" s="248"/>
      <c r="N28" s="283"/>
      <c r="O28" s="283"/>
      <c r="P28" s="456" t="str">
        <f>'1c. Inputs Segment Summary'!A3</f>
        <v>Segment B</v>
      </c>
      <c r="Q28" s="459">
        <f>'2a. Ladekonzept'!V6*'2a. Ladekonzept'!C6</f>
        <v>0</v>
      </c>
      <c r="R28" s="462">
        <f>IF(Q28&gt;0,'Éléments saisis (inputs)'!$J$24,0)</f>
        <v>0</v>
      </c>
      <c r="S28" s="463">
        <f>'2a. Ladekonzept'!X6*'2a. Ladekonzept'!C6</f>
        <v>0</v>
      </c>
      <c r="T28" s="462">
        <f>'2a. Ladekonzept'!Z6</f>
        <v>0</v>
      </c>
      <c r="U28" s="463">
        <f>'2a. Ladekonzept'!AD6*'2a. Ladekonzept'!C6</f>
        <v>0</v>
      </c>
      <c r="V28" s="462">
        <f>'2a. Ladekonzept'!AF6</f>
        <v>0</v>
      </c>
      <c r="W28" s="283"/>
    </row>
    <row r="29" spans="2:23" x14ac:dyDescent="0.35">
      <c r="B29" s="248"/>
      <c r="C29" s="283"/>
      <c r="D29" s="336"/>
      <c r="E29" s="319"/>
      <c r="F29" s="318"/>
      <c r="G29" s="319"/>
      <c r="H29" s="248"/>
      <c r="I29" s="248"/>
      <c r="J29" s="248"/>
      <c r="K29" s="248"/>
      <c r="L29" s="248"/>
      <c r="M29" s="248"/>
      <c r="N29" s="283"/>
      <c r="O29" s="283"/>
      <c r="P29" s="456" t="str">
        <f>'1c. Inputs Segment Summary'!A4</f>
        <v>Segment C</v>
      </c>
      <c r="Q29" s="459">
        <f>'2a. Ladekonzept'!V7*'2a. Ladekonzept'!C7</f>
        <v>0</v>
      </c>
      <c r="R29" s="462">
        <f>IF(Q29&gt;0,'Éléments saisis (inputs)'!$J$24,0)</f>
        <v>0</v>
      </c>
      <c r="S29" s="463">
        <f>'2a. Ladekonzept'!X7*'2a. Ladekonzept'!C7</f>
        <v>0</v>
      </c>
      <c r="T29" s="462">
        <f>'2a. Ladekonzept'!Z7</f>
        <v>0</v>
      </c>
      <c r="U29" s="463">
        <f>'2a. Ladekonzept'!AD7*'2a. Ladekonzept'!C7</f>
        <v>0</v>
      </c>
      <c r="V29" s="462">
        <f>'2a. Ladekonzept'!AF7</f>
        <v>0</v>
      </c>
      <c r="W29" s="283"/>
    </row>
    <row r="30" spans="2:23" x14ac:dyDescent="0.35">
      <c r="B30" s="248"/>
      <c r="C30" s="283"/>
      <c r="D30" s="336"/>
      <c r="E30" s="319"/>
      <c r="F30" s="318"/>
      <c r="G30" s="319"/>
      <c r="H30" s="248"/>
      <c r="I30" s="248"/>
      <c r="J30" s="248"/>
      <c r="K30" s="248"/>
      <c r="L30" s="248"/>
      <c r="M30" s="248"/>
      <c r="N30" s="283"/>
      <c r="O30" s="283"/>
      <c r="P30" s="451" t="str">
        <f>'1c. Inputs Segment Summary'!A5</f>
        <v>Segment D</v>
      </c>
      <c r="Q30" s="459">
        <f>'2a. Ladekonzept'!V8*'2a. Ladekonzept'!C8</f>
        <v>0</v>
      </c>
      <c r="R30" s="462">
        <f>IF(Q30&gt;0,'Éléments saisis (inputs)'!$J$24,0)</f>
        <v>0</v>
      </c>
      <c r="S30" s="463">
        <f>'2a. Ladekonzept'!X8*'2a. Ladekonzept'!C8</f>
        <v>0</v>
      </c>
      <c r="T30" s="462">
        <f>'2a. Ladekonzept'!Z8</f>
        <v>0</v>
      </c>
      <c r="U30" s="463">
        <f>'2a. Ladekonzept'!AD8*'2a. Ladekonzept'!C8</f>
        <v>0</v>
      </c>
      <c r="V30" s="462">
        <f>'2a. Ladekonzept'!AF8</f>
        <v>0</v>
      </c>
      <c r="W30" s="283"/>
    </row>
    <row r="31" spans="2:23" x14ac:dyDescent="0.35">
      <c r="B31" s="248"/>
      <c r="C31" s="483"/>
      <c r="D31" s="336"/>
      <c r="E31" s="319"/>
      <c r="F31" s="318"/>
      <c r="G31" s="319"/>
      <c r="H31" s="248"/>
      <c r="I31" s="248"/>
      <c r="J31" s="248"/>
      <c r="K31" s="248"/>
      <c r="L31" s="248"/>
      <c r="M31" s="248"/>
      <c r="N31" s="283"/>
      <c r="O31" s="283"/>
      <c r="P31" s="451" t="str">
        <f>'1c. Inputs Segment Summary'!A6</f>
        <v>Segment E</v>
      </c>
      <c r="Q31" s="459">
        <f>'2a. Ladekonzept'!V9*'2a. Ladekonzept'!C9</f>
        <v>0</v>
      </c>
      <c r="R31" s="462">
        <f>IF(Q31&gt;0,'Éléments saisis (inputs)'!$J$24,0)</f>
        <v>0</v>
      </c>
      <c r="S31" s="463">
        <f>'2a. Ladekonzept'!X9*'2a. Ladekonzept'!C9</f>
        <v>0</v>
      </c>
      <c r="T31" s="462">
        <f>'2a. Ladekonzept'!Z9</f>
        <v>0</v>
      </c>
      <c r="U31" s="463">
        <f>'2a. Ladekonzept'!AD9*'2a. Ladekonzept'!C9</f>
        <v>0</v>
      </c>
      <c r="V31" s="462">
        <f>'2a. Ladekonzept'!AF9</f>
        <v>0</v>
      </c>
      <c r="W31" s="283"/>
    </row>
    <row r="32" spans="2:23" ht="14.15" customHeight="1" x14ac:dyDescent="0.35">
      <c r="B32" s="248"/>
      <c r="C32" s="483"/>
      <c r="D32" s="336"/>
      <c r="E32" s="319"/>
      <c r="F32" s="318"/>
      <c r="G32" s="319"/>
      <c r="H32" s="253"/>
      <c r="I32" s="248"/>
      <c r="J32" s="248"/>
      <c r="K32" s="248"/>
      <c r="L32" s="248"/>
      <c r="M32" s="248"/>
      <c r="N32" s="283"/>
      <c r="O32" s="283"/>
      <c r="P32" s="451" t="str">
        <f>'1c. Inputs Segment Summary'!A7</f>
        <v>Segment F</v>
      </c>
      <c r="Q32" s="459">
        <f>'2a. Ladekonzept'!V10*'2a. Ladekonzept'!C10</f>
        <v>0</v>
      </c>
      <c r="R32" s="462">
        <f>IF(Q32&gt;0,'Éléments saisis (inputs)'!$J$24,0)</f>
        <v>0</v>
      </c>
      <c r="S32" s="463">
        <f>'2a. Ladekonzept'!X10*'2a. Ladekonzept'!C10</f>
        <v>0</v>
      </c>
      <c r="T32" s="462">
        <f>'2a. Ladekonzept'!Z10</f>
        <v>0</v>
      </c>
      <c r="U32" s="463">
        <f>'2a. Ladekonzept'!AD10*'2a. Ladekonzept'!C10</f>
        <v>0</v>
      </c>
      <c r="V32" s="462">
        <f>'2a. Ladekonzept'!AF10</f>
        <v>0</v>
      </c>
      <c r="W32" s="283"/>
    </row>
    <row r="33" spans="1:24" ht="14.5" customHeight="1" x14ac:dyDescent="0.35">
      <c r="B33" s="248"/>
      <c r="C33" s="483"/>
      <c r="D33" s="336"/>
      <c r="E33" s="319"/>
      <c r="F33" s="318"/>
      <c r="G33" s="319"/>
      <c r="H33" s="253"/>
      <c r="I33" s="248"/>
      <c r="J33" s="248"/>
      <c r="K33" s="248"/>
      <c r="L33" s="248"/>
      <c r="M33" s="248"/>
      <c r="N33" s="283"/>
      <c r="O33" s="283"/>
      <c r="P33" s="451" t="str">
        <f>'1c. Inputs Segment Summary'!A8</f>
        <v>Segment G</v>
      </c>
      <c r="Q33" s="459">
        <f>'2a. Ladekonzept'!V11*'2a. Ladekonzept'!C11</f>
        <v>0</v>
      </c>
      <c r="R33" s="462">
        <f>IF(Q33&gt;0,'Éléments saisis (inputs)'!$J$24,0)</f>
        <v>0</v>
      </c>
      <c r="S33" s="463">
        <f>'2a. Ladekonzept'!X11*'2a. Ladekonzept'!C11</f>
        <v>0</v>
      </c>
      <c r="T33" s="462">
        <f>'2a. Ladekonzept'!Z11</f>
        <v>0</v>
      </c>
      <c r="U33" s="463">
        <f>'2a. Ladekonzept'!AD11*'2a. Ladekonzept'!C11</f>
        <v>0</v>
      </c>
      <c r="V33" s="462">
        <f>'2a. Ladekonzept'!AF11</f>
        <v>0</v>
      </c>
      <c r="W33" s="283"/>
    </row>
    <row r="34" spans="1:24" ht="14.15" customHeight="1" x14ac:dyDescent="0.35">
      <c r="A34" s="338"/>
      <c r="B34" s="248"/>
      <c r="C34" s="483"/>
      <c r="D34" s="336"/>
      <c r="E34" s="319"/>
      <c r="F34" s="318"/>
      <c r="G34" s="319"/>
      <c r="H34" s="253"/>
      <c r="I34" s="248"/>
      <c r="J34" s="248"/>
      <c r="K34" s="248"/>
      <c r="L34" s="248"/>
      <c r="M34" s="248"/>
      <c r="N34" s="283"/>
      <c r="O34" s="283"/>
      <c r="P34" s="451" t="str">
        <f>'1c. Inputs Segment Summary'!A9</f>
        <v>Segment H</v>
      </c>
      <c r="Q34" s="459">
        <f>'2a. Ladekonzept'!V12*'2a. Ladekonzept'!C12</f>
        <v>0</v>
      </c>
      <c r="R34" s="462">
        <f>IF(Q34&gt;0,'Éléments saisis (inputs)'!$J$24,0)</f>
        <v>0</v>
      </c>
      <c r="S34" s="463">
        <f>'2a. Ladekonzept'!X12*'2a. Ladekonzept'!C12</f>
        <v>0</v>
      </c>
      <c r="T34" s="462">
        <f>'2a. Ladekonzept'!Z12</f>
        <v>0</v>
      </c>
      <c r="U34" s="463">
        <f>'2a. Ladekonzept'!AD12*'2a. Ladekonzept'!C12</f>
        <v>0</v>
      </c>
      <c r="V34" s="462">
        <f>'2a. Ladekonzept'!AF12</f>
        <v>0</v>
      </c>
      <c r="W34" s="283"/>
      <c r="X34" s="338"/>
    </row>
    <row r="35" spans="1:24" ht="14.15" customHeight="1" x14ac:dyDescent="0.35">
      <c r="A35" s="338"/>
      <c r="B35" s="248"/>
      <c r="C35" s="483"/>
      <c r="D35" s="336"/>
      <c r="E35" s="319"/>
      <c r="F35" s="318"/>
      <c r="G35" s="319"/>
      <c r="H35" s="253"/>
      <c r="I35" s="248"/>
      <c r="J35" s="248"/>
      <c r="K35" s="248"/>
      <c r="L35" s="248"/>
      <c r="M35" s="248"/>
      <c r="N35" s="283"/>
      <c r="O35" s="283"/>
      <c r="P35" s="451" t="str">
        <f>'1c. Inputs Segment Summary'!A10</f>
        <v>Segment I</v>
      </c>
      <c r="Q35" s="459">
        <f>'2a. Ladekonzept'!V13*'2a. Ladekonzept'!C13</f>
        <v>0</v>
      </c>
      <c r="R35" s="462">
        <f>IF(Q35&gt;0,'Éléments saisis (inputs)'!$J$24,0)</f>
        <v>0</v>
      </c>
      <c r="S35" s="463">
        <f>'2a. Ladekonzept'!X13*'2a. Ladekonzept'!C13</f>
        <v>0</v>
      </c>
      <c r="T35" s="462">
        <f>'2a. Ladekonzept'!Z13</f>
        <v>0</v>
      </c>
      <c r="U35" s="463">
        <f>'2a. Ladekonzept'!AD13*'2a. Ladekonzept'!C13</f>
        <v>0</v>
      </c>
      <c r="V35" s="462">
        <f>'2a. Ladekonzept'!AF13</f>
        <v>0</v>
      </c>
      <c r="W35" s="283"/>
      <c r="X35" s="338"/>
    </row>
    <row r="36" spans="1:24" ht="14.25" customHeight="1" x14ac:dyDescent="0.35">
      <c r="A36" s="338"/>
      <c r="B36" s="248"/>
      <c r="C36" s="483"/>
      <c r="D36" s="336"/>
      <c r="E36" s="319"/>
      <c r="F36" s="318"/>
      <c r="G36" s="319"/>
      <c r="H36" s="253"/>
      <c r="I36" s="248"/>
      <c r="J36" s="248"/>
      <c r="K36" s="248"/>
      <c r="L36" s="248"/>
      <c r="M36" s="248"/>
      <c r="N36" s="283"/>
      <c r="O36" s="283"/>
      <c r="P36" s="451" t="str">
        <f>'1c. Inputs Segment Summary'!A11</f>
        <v>Segment J</v>
      </c>
      <c r="Q36" s="459">
        <f>'2a. Ladekonzept'!V14*'2a. Ladekonzept'!C14</f>
        <v>0</v>
      </c>
      <c r="R36" s="462">
        <f>IF(Q36&gt;0,'Éléments saisis (inputs)'!$J$24,0)</f>
        <v>0</v>
      </c>
      <c r="S36" s="463">
        <f>'2a. Ladekonzept'!X14*'2a. Ladekonzept'!C14</f>
        <v>0</v>
      </c>
      <c r="T36" s="462">
        <f>'2a. Ladekonzept'!Z14</f>
        <v>0</v>
      </c>
      <c r="U36" s="463">
        <f>'2a. Ladekonzept'!AD14*'2a. Ladekonzept'!C14</f>
        <v>0</v>
      </c>
      <c r="V36" s="462">
        <f>'2a. Ladekonzept'!AF14</f>
        <v>0</v>
      </c>
      <c r="W36" s="283"/>
      <c r="X36" s="338"/>
    </row>
    <row r="37" spans="1:24" x14ac:dyDescent="0.35">
      <c r="A37" s="338"/>
      <c r="B37" s="248"/>
      <c r="C37" s="483"/>
      <c r="D37" s="336"/>
      <c r="E37" s="319"/>
      <c r="F37" s="318"/>
      <c r="G37" s="319"/>
      <c r="H37" s="253"/>
      <c r="I37" s="248"/>
      <c r="J37" s="248"/>
      <c r="K37" s="248"/>
      <c r="L37" s="248"/>
      <c r="M37" s="248"/>
      <c r="N37" s="283"/>
      <c r="O37" s="283"/>
      <c r="P37" s="283"/>
      <c r="Q37" s="283"/>
      <c r="R37" s="283"/>
      <c r="S37" s="283"/>
      <c r="T37" s="283"/>
      <c r="U37" s="283"/>
      <c r="V37" s="283"/>
      <c r="W37" s="283"/>
      <c r="X37" s="338"/>
    </row>
    <row r="38" spans="1:24" ht="14.25" customHeight="1" x14ac:dyDescent="0.35">
      <c r="A38" s="338"/>
      <c r="B38" s="248"/>
      <c r="C38" s="483"/>
      <c r="D38" s="336"/>
      <c r="E38" s="319"/>
      <c r="F38" s="318"/>
      <c r="G38" s="319"/>
      <c r="H38" s="253"/>
      <c r="I38" s="248"/>
      <c r="J38" s="248"/>
      <c r="K38" s="248"/>
      <c r="L38" s="248"/>
      <c r="M38" s="248"/>
      <c r="N38" s="283"/>
      <c r="O38" s="283"/>
      <c r="P38" s="283"/>
      <c r="Q38" s="283"/>
      <c r="R38" s="283"/>
      <c r="S38" s="283"/>
      <c r="T38" s="283"/>
      <c r="U38" s="283"/>
      <c r="V38" s="283"/>
      <c r="W38" s="283"/>
      <c r="X38" s="338"/>
    </row>
    <row r="39" spans="1:24" ht="14.15" customHeight="1" x14ac:dyDescent="0.35">
      <c r="A39" s="338"/>
      <c r="B39" s="248"/>
      <c r="C39" s="283"/>
      <c r="D39" s="336"/>
      <c r="E39" s="319"/>
      <c r="F39" s="318"/>
      <c r="G39" s="319"/>
      <c r="H39" s="255"/>
      <c r="I39" s="248"/>
      <c r="J39" s="248"/>
      <c r="K39" s="248"/>
      <c r="L39" s="248"/>
      <c r="M39" s="248"/>
      <c r="N39" s="283"/>
      <c r="O39" s="283"/>
      <c r="P39" s="515" t="s">
        <v>580</v>
      </c>
      <c r="Q39" s="515"/>
      <c r="R39" s="515"/>
      <c r="S39" s="515"/>
      <c r="T39" s="515"/>
      <c r="U39" s="515"/>
      <c r="V39" s="515"/>
      <c r="W39" s="283"/>
      <c r="X39" s="338"/>
    </row>
    <row r="40" spans="1:24" x14ac:dyDescent="0.35">
      <c r="A40" s="338"/>
      <c r="B40" s="248"/>
      <c r="C40" s="283"/>
      <c r="D40" s="455"/>
      <c r="E40" s="319"/>
      <c r="F40" s="318"/>
      <c r="G40" s="319"/>
      <c r="H40" s="255"/>
      <c r="I40" s="248"/>
      <c r="J40" s="248"/>
      <c r="K40" s="248"/>
      <c r="L40" s="248"/>
      <c r="M40" s="248"/>
      <c r="N40" s="283"/>
      <c r="O40" s="283"/>
      <c r="P40" s="515"/>
      <c r="Q40" s="515"/>
      <c r="R40" s="515"/>
      <c r="S40" s="515"/>
      <c r="T40" s="515"/>
      <c r="U40" s="515"/>
      <c r="V40" s="515"/>
      <c r="W40" s="283"/>
      <c r="X40" s="338"/>
    </row>
    <row r="41" spans="1:24" x14ac:dyDescent="0.35">
      <c r="A41" s="338"/>
      <c r="B41" s="248"/>
      <c r="C41" s="250" t="s">
        <v>542</v>
      </c>
      <c r="D41" s="250"/>
      <c r="E41" s="312"/>
      <c r="F41" s="312"/>
      <c r="G41" s="248"/>
      <c r="H41" s="248"/>
      <c r="I41" s="248"/>
      <c r="J41" s="248"/>
      <c r="K41" s="248"/>
      <c r="L41" s="248"/>
      <c r="M41" s="248"/>
      <c r="N41" s="283"/>
      <c r="O41" s="283"/>
      <c r="P41" s="250" t="s">
        <v>634</v>
      </c>
      <c r="Q41" s="250"/>
      <c r="R41" s="312"/>
      <c r="S41" s="312"/>
      <c r="T41" s="312"/>
      <c r="U41" s="312"/>
      <c r="V41" s="312"/>
      <c r="W41" s="283"/>
      <c r="X41" s="338"/>
    </row>
    <row r="42" spans="1:24" ht="14.15" customHeight="1" x14ac:dyDescent="0.35">
      <c r="A42" s="338"/>
      <c r="B42" s="248"/>
      <c r="C42" s="494" t="s">
        <v>543</v>
      </c>
      <c r="D42" s="494"/>
      <c r="E42" s="495"/>
      <c r="F42" s="496">
        <f ca="1">'3a. Detailierte Ergebnisse'!C38</f>
        <v>0</v>
      </c>
      <c r="G42" s="248"/>
      <c r="H42" s="248"/>
      <c r="I42" s="248"/>
      <c r="J42" s="248"/>
      <c r="K42" s="248"/>
      <c r="L42" s="248"/>
      <c r="M42" s="248"/>
      <c r="N42" s="283"/>
      <c r="O42" s="283"/>
      <c r="P42" s="254"/>
      <c r="Q42" s="254"/>
      <c r="R42" s="315"/>
      <c r="S42" s="522" t="s">
        <v>620</v>
      </c>
      <c r="T42" s="522" t="s">
        <v>621</v>
      </c>
      <c r="U42" s="522" t="s">
        <v>622</v>
      </c>
      <c r="V42" s="522" t="s">
        <v>623</v>
      </c>
      <c r="W42" s="283"/>
      <c r="X42" s="338"/>
    </row>
    <row r="43" spans="1:24" x14ac:dyDescent="0.35">
      <c r="A43" s="338"/>
      <c r="B43" s="248"/>
      <c r="C43" s="494"/>
      <c r="D43" s="494"/>
      <c r="E43" s="495"/>
      <c r="F43" s="496"/>
      <c r="G43" s="248"/>
      <c r="H43" s="248"/>
      <c r="I43" s="248"/>
      <c r="J43" s="248"/>
      <c r="K43" s="248"/>
      <c r="L43" s="248"/>
      <c r="M43" s="248"/>
      <c r="N43" s="283"/>
      <c r="O43" s="283"/>
      <c r="P43" s="337"/>
      <c r="Q43" s="337"/>
      <c r="R43" s="323"/>
      <c r="S43" s="500"/>
      <c r="T43" s="500"/>
      <c r="U43" s="500"/>
      <c r="V43" s="500"/>
      <c r="W43" s="283"/>
      <c r="X43" s="338"/>
    </row>
    <row r="44" spans="1:24" x14ac:dyDescent="0.35">
      <c r="A44" s="338"/>
      <c r="B44" s="248"/>
      <c r="C44" s="248"/>
      <c r="D44" s="248"/>
      <c r="E44" s="248"/>
      <c r="F44" s="248"/>
      <c r="G44" s="248"/>
      <c r="H44" s="248"/>
      <c r="I44" s="248"/>
      <c r="J44" s="248"/>
      <c r="K44" s="248"/>
      <c r="L44" s="248"/>
      <c r="M44" s="248"/>
      <c r="N44" s="283"/>
      <c r="O44" s="283"/>
      <c r="P44" s="520" t="s">
        <v>581</v>
      </c>
      <c r="Q44" s="520"/>
      <c r="R44" s="521"/>
      <c r="S44" s="339">
        <f ca="1">'3a. Detailierte Ergebnisse'!AF24</f>
        <v>1</v>
      </c>
      <c r="T44" s="339">
        <f ca="1">'3a. Detailierte Ergebnisse'!AG24</f>
        <v>0</v>
      </c>
      <c r="U44" s="339">
        <f ca="1">'3a. Detailierte Ergebnisse'!AH24</f>
        <v>0</v>
      </c>
      <c r="V44" s="339">
        <f ca="1">'3a. Detailierte Ergebnisse'!AI24</f>
        <v>0</v>
      </c>
      <c r="W44" s="283"/>
      <c r="X44" s="338"/>
    </row>
    <row r="45" spans="1:24" ht="14.15" customHeight="1" x14ac:dyDescent="0.35">
      <c r="A45" s="338"/>
      <c r="B45" s="248"/>
      <c r="C45" s="248"/>
      <c r="D45" s="248"/>
      <c r="E45" s="248"/>
      <c r="F45" s="248"/>
      <c r="G45" s="248"/>
      <c r="H45" s="248"/>
      <c r="I45" s="248"/>
      <c r="J45" s="248"/>
      <c r="K45" s="248"/>
      <c r="L45" s="248"/>
      <c r="M45" s="248"/>
      <c r="N45" s="283"/>
      <c r="O45" s="283"/>
      <c r="P45" s="505" t="s">
        <v>582</v>
      </c>
      <c r="Q45" s="505"/>
      <c r="R45" s="505"/>
      <c r="S45" s="507">
        <f ca="1">IF(S44&gt;0,'3a. Detailierte Ergebnisse'!AF26/S44,0)</f>
        <v>4362.2222222222217</v>
      </c>
      <c r="T45" s="509">
        <f ca="1">IF(T44&gt;0,'3a. Detailierte Ergebnisse'!AG26/T44,0)</f>
        <v>0</v>
      </c>
      <c r="U45" s="509">
        <f ca="1">IF(U44&gt;0,'3a. Detailierte Ergebnisse'!AH26/U44,0)</f>
        <v>0</v>
      </c>
      <c r="V45" s="509">
        <f ca="1">IF(V44&gt;0,'3a. Detailierte Ergebnisse'!AI26/V44,0)</f>
        <v>0</v>
      </c>
      <c r="W45" s="283"/>
      <c r="X45" s="338"/>
    </row>
    <row r="46" spans="1:24" x14ac:dyDescent="0.35">
      <c r="A46" s="338"/>
      <c r="B46" s="248"/>
      <c r="C46" s="248"/>
      <c r="D46" s="248"/>
      <c r="E46" s="248"/>
      <c r="F46" s="248"/>
      <c r="G46" s="248"/>
      <c r="H46" s="248"/>
      <c r="I46" s="248"/>
      <c r="J46" s="248"/>
      <c r="K46" s="248"/>
      <c r="L46" s="248"/>
      <c r="M46" s="248"/>
      <c r="N46" s="283"/>
      <c r="O46" s="248"/>
      <c r="P46" s="506"/>
      <c r="Q46" s="506"/>
      <c r="R46" s="506"/>
      <c r="S46" s="508"/>
      <c r="T46" s="510"/>
      <c r="U46" s="510"/>
      <c r="V46" s="510"/>
      <c r="W46" s="283"/>
      <c r="X46" s="338"/>
    </row>
    <row r="47" spans="1:24" x14ac:dyDescent="0.35">
      <c r="A47" s="338"/>
      <c r="B47" s="248"/>
      <c r="C47" s="283"/>
      <c r="D47" s="319"/>
      <c r="E47" s="319"/>
      <c r="F47" s="318"/>
      <c r="G47" s="319"/>
      <c r="H47" s="255"/>
      <c r="I47" s="248"/>
      <c r="J47" s="248"/>
      <c r="K47" s="248"/>
      <c r="L47" s="248"/>
      <c r="M47" s="248"/>
      <c r="N47" s="283"/>
      <c r="O47" s="283"/>
      <c r="P47" s="283"/>
      <c r="Q47" s="283"/>
      <c r="R47" s="283"/>
      <c r="S47" s="283"/>
      <c r="T47" s="283"/>
      <c r="U47" s="283"/>
      <c r="V47" s="283"/>
      <c r="W47" s="283"/>
      <c r="X47" s="338"/>
    </row>
    <row r="49" spans="1:24" ht="15.45" x14ac:dyDescent="0.4">
      <c r="A49" s="256"/>
      <c r="B49" s="256"/>
      <c r="C49" s="257"/>
      <c r="D49" s="256"/>
      <c r="E49" s="256"/>
      <c r="F49" s="256"/>
      <c r="G49" s="256"/>
      <c r="H49" s="256"/>
      <c r="I49" s="256"/>
      <c r="J49" s="256"/>
      <c r="K49" s="256"/>
      <c r="L49" s="257"/>
      <c r="M49" s="257"/>
      <c r="N49" s="256"/>
      <c r="O49" s="256"/>
      <c r="P49" s="256"/>
      <c r="Q49" s="256"/>
      <c r="R49" s="256"/>
      <c r="S49" s="256"/>
      <c r="T49" s="256"/>
      <c r="U49" s="256"/>
      <c r="V49" s="256"/>
      <c r="W49" s="256"/>
      <c r="X49" s="256"/>
    </row>
    <row r="50" spans="1:24" ht="20.149999999999999" x14ac:dyDescent="0.5">
      <c r="A50" s="256"/>
      <c r="B50" s="258"/>
      <c r="C50" s="234" t="s">
        <v>544</v>
      </c>
      <c r="D50" s="258"/>
      <c r="E50" s="258"/>
      <c r="F50" s="258"/>
      <c r="G50" s="258"/>
      <c r="H50" s="258"/>
      <c r="I50" s="258"/>
      <c r="J50" s="258"/>
      <c r="K50" s="256"/>
      <c r="L50" s="234"/>
      <c r="M50" s="234" t="s">
        <v>546</v>
      </c>
      <c r="N50" s="234"/>
      <c r="O50" s="258"/>
      <c r="P50" s="258"/>
      <c r="Q50" s="258"/>
      <c r="R50" s="258"/>
      <c r="S50" s="258"/>
      <c r="T50" s="258"/>
      <c r="U50" s="258"/>
      <c r="V50" s="258"/>
      <c r="W50" s="258"/>
      <c r="X50" s="338"/>
    </row>
    <row r="51" spans="1:24" x14ac:dyDescent="0.35">
      <c r="A51" s="338"/>
      <c r="B51" s="283"/>
      <c r="C51" s="283"/>
      <c r="D51" s="283"/>
      <c r="E51" s="283"/>
      <c r="F51" s="283"/>
      <c r="G51" s="283"/>
      <c r="H51" s="283"/>
      <c r="I51" s="283"/>
      <c r="J51" s="283"/>
      <c r="K51" s="338"/>
      <c r="L51" s="283"/>
      <c r="M51" s="283"/>
      <c r="N51" s="283"/>
      <c r="O51" s="283"/>
      <c r="P51" s="283"/>
      <c r="Q51" s="283"/>
      <c r="R51" s="283"/>
      <c r="S51" s="283"/>
      <c r="T51" s="283"/>
      <c r="U51" s="283"/>
      <c r="V51" s="283"/>
      <c r="W51" s="283"/>
      <c r="X51" s="338"/>
    </row>
    <row r="52" spans="1:24" x14ac:dyDescent="0.35">
      <c r="A52" s="338"/>
      <c r="B52" s="283"/>
      <c r="C52" s="283" t="s">
        <v>40</v>
      </c>
      <c r="D52" s="283"/>
      <c r="E52" s="283"/>
      <c r="F52" s="283"/>
      <c r="G52" s="283"/>
      <c r="H52" s="283" t="s">
        <v>545</v>
      </c>
      <c r="I52" s="283"/>
      <c r="J52" s="283"/>
      <c r="K52" s="338"/>
      <c r="L52" s="283"/>
      <c r="M52" s="283"/>
      <c r="N52" s="473" t="s">
        <v>631</v>
      </c>
      <c r="O52" s="283"/>
      <c r="P52" s="283"/>
      <c r="Q52" s="283"/>
      <c r="R52" s="283"/>
      <c r="S52" s="283"/>
      <c r="T52" s="283" t="s">
        <v>583</v>
      </c>
      <c r="U52" s="283"/>
      <c r="V52" s="283"/>
      <c r="W52" s="283"/>
      <c r="X52" s="338"/>
    </row>
    <row r="53" spans="1:24" x14ac:dyDescent="0.35">
      <c r="A53" s="338"/>
      <c r="B53" s="283"/>
      <c r="C53" s="283"/>
      <c r="D53" s="283"/>
      <c r="E53" s="283"/>
      <c r="F53" s="283"/>
      <c r="G53" s="283"/>
      <c r="H53" s="283"/>
      <c r="I53" s="283"/>
      <c r="J53" s="283"/>
      <c r="K53" s="338"/>
      <c r="L53" s="283"/>
      <c r="M53" s="283"/>
      <c r="N53" s="283"/>
      <c r="O53" s="283"/>
      <c r="P53" s="283"/>
      <c r="Q53" s="283"/>
      <c r="R53" s="283"/>
      <c r="S53" s="283"/>
      <c r="T53" s="283"/>
      <c r="U53" s="283"/>
      <c r="V53" s="283"/>
      <c r="W53" s="283"/>
      <c r="X53" s="338"/>
    </row>
    <row r="54" spans="1:24" x14ac:dyDescent="0.35">
      <c r="A54" s="338"/>
      <c r="B54" s="283"/>
      <c r="C54" s="283"/>
      <c r="D54" s="283"/>
      <c r="E54" s="283"/>
      <c r="F54" s="283"/>
      <c r="G54" s="283"/>
      <c r="H54" s="283"/>
      <c r="I54" s="283"/>
      <c r="J54" s="283"/>
      <c r="K54" s="338"/>
      <c r="L54" s="283"/>
      <c r="M54" s="283"/>
      <c r="N54" s="283"/>
      <c r="O54" s="283"/>
      <c r="P54" s="283"/>
      <c r="Q54" s="283"/>
      <c r="R54" s="283"/>
      <c r="S54" s="283"/>
      <c r="T54" s="283"/>
      <c r="U54" s="283"/>
      <c r="V54" s="283"/>
      <c r="W54" s="283"/>
      <c r="X54" s="338"/>
    </row>
    <row r="55" spans="1:24" x14ac:dyDescent="0.35">
      <c r="A55" s="338"/>
      <c r="B55" s="283"/>
      <c r="C55" s="283"/>
      <c r="D55" s="283"/>
      <c r="E55" s="283"/>
      <c r="F55" s="283"/>
      <c r="G55" s="283"/>
      <c r="H55" s="283"/>
      <c r="I55" s="283"/>
      <c r="J55" s="283"/>
      <c r="K55" s="338"/>
      <c r="L55" s="283"/>
      <c r="M55" s="283"/>
      <c r="N55" s="283"/>
      <c r="O55" s="283"/>
      <c r="P55" s="283"/>
      <c r="Q55" s="283"/>
      <c r="R55" s="283"/>
      <c r="S55" s="283"/>
      <c r="T55" s="283"/>
      <c r="U55" s="283"/>
      <c r="V55" s="283"/>
      <c r="W55" s="283"/>
      <c r="X55" s="338"/>
    </row>
    <row r="56" spans="1:24" x14ac:dyDescent="0.35">
      <c r="A56" s="338"/>
      <c r="B56" s="283"/>
      <c r="C56" s="283"/>
      <c r="D56" s="283"/>
      <c r="E56" s="283"/>
      <c r="F56" s="283"/>
      <c r="G56" s="283"/>
      <c r="H56" s="283"/>
      <c r="I56" s="283"/>
      <c r="J56" s="283"/>
      <c r="K56" s="338"/>
      <c r="L56" s="283"/>
      <c r="M56" s="283"/>
      <c r="N56" s="283"/>
      <c r="O56" s="283"/>
      <c r="P56" s="283"/>
      <c r="Q56" s="283"/>
      <c r="R56" s="283"/>
      <c r="S56" s="283"/>
      <c r="T56" s="283"/>
      <c r="U56" s="283"/>
      <c r="V56" s="283"/>
      <c r="W56" s="283"/>
      <c r="X56" s="338"/>
    </row>
    <row r="57" spans="1:24" x14ac:dyDescent="0.35">
      <c r="B57" s="283"/>
      <c r="C57" s="283"/>
      <c r="D57" s="283"/>
      <c r="E57" s="283"/>
      <c r="F57" s="283"/>
      <c r="G57" s="283"/>
      <c r="H57" s="283"/>
      <c r="I57" s="283"/>
      <c r="J57" s="283"/>
      <c r="K57" s="338"/>
      <c r="L57" s="283"/>
      <c r="M57" s="283"/>
      <c r="N57" s="283"/>
      <c r="O57" s="283"/>
      <c r="P57" s="283"/>
      <c r="Q57" s="283"/>
      <c r="R57" s="283"/>
      <c r="S57" s="283"/>
      <c r="T57" s="283"/>
      <c r="U57" s="283"/>
      <c r="V57" s="283"/>
      <c r="W57" s="283"/>
    </row>
    <row r="58" spans="1:24" x14ac:dyDescent="0.35">
      <c r="B58" s="283"/>
      <c r="C58" s="283"/>
      <c r="D58" s="283"/>
      <c r="E58" s="283"/>
      <c r="F58" s="283"/>
      <c r="G58" s="283"/>
      <c r="H58" s="283"/>
      <c r="I58" s="283"/>
      <c r="J58" s="283"/>
      <c r="K58" s="338"/>
      <c r="L58" s="283"/>
      <c r="M58" s="283"/>
      <c r="N58" s="283"/>
      <c r="O58" s="283"/>
      <c r="P58" s="283"/>
      <c r="Q58" s="283"/>
      <c r="R58" s="283"/>
      <c r="S58" s="283"/>
      <c r="T58" s="283"/>
      <c r="U58" s="283"/>
      <c r="V58" s="283"/>
      <c r="W58" s="283"/>
    </row>
    <row r="59" spans="1:24" x14ac:dyDescent="0.35">
      <c r="B59" s="283"/>
      <c r="C59" s="283"/>
      <c r="D59" s="283"/>
      <c r="E59" s="283"/>
      <c r="F59" s="283"/>
      <c r="G59" s="283"/>
      <c r="H59" s="283"/>
      <c r="I59" s="283"/>
      <c r="J59" s="283"/>
      <c r="K59" s="338"/>
      <c r="L59" s="283"/>
      <c r="M59" s="283"/>
      <c r="N59" s="283"/>
      <c r="O59" s="283"/>
      <c r="P59" s="283"/>
      <c r="Q59" s="283"/>
      <c r="R59" s="283"/>
      <c r="S59" s="283"/>
      <c r="T59" s="283"/>
      <c r="U59" s="283"/>
      <c r="V59" s="283"/>
      <c r="W59" s="283"/>
    </row>
    <row r="60" spans="1:24" x14ac:dyDescent="0.35">
      <c r="B60" s="283"/>
      <c r="C60" s="283"/>
      <c r="D60" s="283"/>
      <c r="E60" s="283"/>
      <c r="F60" s="283"/>
      <c r="G60" s="283"/>
      <c r="H60" s="283"/>
      <c r="I60" s="283"/>
      <c r="J60" s="283"/>
      <c r="K60" s="338"/>
      <c r="L60" s="283"/>
      <c r="M60" s="283"/>
      <c r="N60" s="283"/>
      <c r="O60" s="283"/>
      <c r="P60" s="283"/>
      <c r="Q60" s="283"/>
      <c r="R60" s="283"/>
      <c r="S60" s="283"/>
      <c r="T60" s="283"/>
      <c r="U60" s="283"/>
      <c r="V60" s="283"/>
      <c r="W60" s="283"/>
    </row>
    <row r="61" spans="1:24" x14ac:dyDescent="0.35">
      <c r="B61" s="283"/>
      <c r="C61" s="283"/>
      <c r="D61" s="283"/>
      <c r="E61" s="283"/>
      <c r="F61" s="283"/>
      <c r="G61" s="283"/>
      <c r="H61" s="283"/>
      <c r="I61" s="283"/>
      <c r="J61" s="283"/>
      <c r="K61" s="338"/>
      <c r="L61" s="283"/>
      <c r="M61" s="283"/>
      <c r="N61" s="283"/>
      <c r="O61" s="283"/>
      <c r="P61" s="283"/>
      <c r="Q61" s="283"/>
      <c r="R61" s="283"/>
      <c r="S61" s="283"/>
      <c r="T61" s="283"/>
      <c r="U61" s="283"/>
      <c r="V61" s="283"/>
      <c r="W61" s="283"/>
    </row>
    <row r="62" spans="1:24" x14ac:dyDescent="0.35">
      <c r="B62" s="283"/>
      <c r="C62" s="283"/>
      <c r="D62" s="283"/>
      <c r="E62" s="283"/>
      <c r="F62" s="283"/>
      <c r="G62" s="283"/>
      <c r="H62" s="283"/>
      <c r="I62" s="283"/>
      <c r="J62" s="283"/>
      <c r="K62" s="338"/>
      <c r="L62" s="283"/>
      <c r="M62" s="283"/>
      <c r="N62" s="283"/>
      <c r="O62" s="283"/>
      <c r="P62" s="283"/>
      <c r="Q62" s="283"/>
      <c r="R62" s="283"/>
      <c r="S62" s="283"/>
      <c r="T62" s="283"/>
      <c r="U62" s="283"/>
      <c r="V62" s="283"/>
      <c r="W62" s="283"/>
    </row>
    <row r="63" spans="1:24" x14ac:dyDescent="0.35">
      <c r="B63" s="283"/>
      <c r="C63" s="283"/>
      <c r="D63" s="283"/>
      <c r="E63" s="283"/>
      <c r="F63" s="283"/>
      <c r="G63" s="283"/>
      <c r="H63" s="283"/>
      <c r="I63" s="283"/>
      <c r="J63" s="283"/>
      <c r="K63" s="338"/>
      <c r="L63" s="283"/>
      <c r="M63" s="283"/>
      <c r="N63" s="283"/>
      <c r="O63" s="283"/>
      <c r="P63" s="283"/>
      <c r="Q63" s="283"/>
      <c r="R63" s="283"/>
      <c r="S63" s="283"/>
      <c r="T63" s="283"/>
      <c r="U63" s="283"/>
      <c r="V63" s="283"/>
      <c r="W63" s="283"/>
    </row>
    <row r="64" spans="1:24" x14ac:dyDescent="0.35">
      <c r="B64" s="283"/>
      <c r="C64" s="283"/>
      <c r="D64" s="283"/>
      <c r="E64" s="283"/>
      <c r="F64" s="283"/>
      <c r="G64" s="283"/>
      <c r="H64" s="283"/>
      <c r="I64" s="283"/>
      <c r="J64" s="283"/>
      <c r="K64" s="338"/>
      <c r="L64" s="283"/>
      <c r="M64" s="283"/>
      <c r="N64" s="283"/>
      <c r="O64" s="283"/>
      <c r="P64" s="283"/>
      <c r="Q64" s="283"/>
      <c r="R64" s="283"/>
      <c r="S64" s="283"/>
      <c r="T64" s="283"/>
      <c r="U64" s="283"/>
      <c r="V64" s="283"/>
      <c r="W64" s="283"/>
    </row>
    <row r="65" spans="2:23" x14ac:dyDescent="0.35">
      <c r="B65" s="283"/>
      <c r="C65" s="283"/>
      <c r="D65" s="283"/>
      <c r="E65" s="283"/>
      <c r="F65" s="283"/>
      <c r="G65" s="283"/>
      <c r="H65" s="283"/>
      <c r="I65" s="283"/>
      <c r="J65" s="283"/>
      <c r="K65" s="338"/>
      <c r="L65" s="283"/>
      <c r="M65" s="283"/>
      <c r="N65" s="283"/>
      <c r="O65" s="283"/>
      <c r="P65" s="283"/>
      <c r="Q65" s="283"/>
      <c r="R65" s="283"/>
      <c r="S65" s="283"/>
      <c r="T65" s="283"/>
      <c r="U65" s="283"/>
      <c r="V65" s="283"/>
      <c r="W65" s="283"/>
    </row>
    <row r="66" spans="2:23" x14ac:dyDescent="0.35">
      <c r="B66" s="283"/>
      <c r="C66" s="283"/>
      <c r="D66" s="283"/>
      <c r="E66" s="283"/>
      <c r="F66" s="283"/>
      <c r="G66" s="283"/>
      <c r="H66" s="283"/>
      <c r="I66" s="283"/>
      <c r="J66" s="283"/>
      <c r="K66" s="338"/>
      <c r="L66" s="283"/>
      <c r="M66" s="283"/>
      <c r="N66" s="283"/>
      <c r="O66" s="283"/>
      <c r="P66" s="283"/>
      <c r="Q66" s="283"/>
      <c r="R66" s="283"/>
      <c r="S66" s="283"/>
      <c r="T66" s="283"/>
      <c r="U66" s="283"/>
      <c r="V66" s="283"/>
      <c r="W66" s="283"/>
    </row>
    <row r="67" spans="2:23" x14ac:dyDescent="0.35">
      <c r="B67" s="283"/>
      <c r="C67" s="283"/>
      <c r="D67" s="283"/>
      <c r="E67" s="283"/>
      <c r="F67" s="283"/>
      <c r="G67" s="283"/>
      <c r="H67" s="283"/>
      <c r="I67" s="283"/>
      <c r="J67" s="283"/>
      <c r="K67" s="338"/>
      <c r="L67" s="283"/>
      <c r="M67" s="283"/>
      <c r="N67" s="283"/>
      <c r="O67" s="283"/>
      <c r="P67" s="283"/>
      <c r="Q67" s="283"/>
      <c r="R67" s="283"/>
      <c r="S67" s="283"/>
      <c r="T67" s="283"/>
      <c r="U67" s="283"/>
      <c r="V67" s="283"/>
      <c r="W67" s="283"/>
    </row>
    <row r="68" spans="2:23" x14ac:dyDescent="0.35">
      <c r="B68" s="283"/>
      <c r="C68" s="283" t="s">
        <v>24</v>
      </c>
      <c r="D68" s="283"/>
      <c r="E68" s="283"/>
      <c r="F68" s="283"/>
      <c r="G68" s="283"/>
      <c r="H68" s="283"/>
      <c r="I68" s="283"/>
      <c r="J68" s="283"/>
      <c r="K68" s="338"/>
      <c r="L68" s="283"/>
      <c r="M68" s="283"/>
      <c r="N68" s="473" t="s">
        <v>632</v>
      </c>
      <c r="O68" s="283"/>
      <c r="P68" s="283"/>
      <c r="Q68" s="283"/>
      <c r="R68" s="283"/>
      <c r="S68" s="283"/>
      <c r="T68" s="283"/>
      <c r="U68" s="283"/>
      <c r="V68" s="283"/>
      <c r="W68" s="283"/>
    </row>
    <row r="69" spans="2:23" x14ac:dyDescent="0.35">
      <c r="B69" s="283"/>
      <c r="C69" s="283"/>
      <c r="D69" s="283"/>
      <c r="E69" s="283"/>
      <c r="F69" s="283"/>
      <c r="G69" s="283"/>
      <c r="H69" s="283"/>
      <c r="I69" s="283"/>
      <c r="J69" s="283"/>
      <c r="K69" s="338"/>
      <c r="L69" s="283"/>
      <c r="M69" s="283"/>
      <c r="N69" s="283"/>
      <c r="O69" s="283"/>
      <c r="P69" s="283"/>
      <c r="Q69" s="283"/>
      <c r="R69" s="283"/>
      <c r="S69" s="283"/>
      <c r="T69" s="283"/>
      <c r="U69" s="283"/>
      <c r="V69" s="283"/>
      <c r="W69" s="283"/>
    </row>
    <row r="70" spans="2:23" x14ac:dyDescent="0.35">
      <c r="B70" s="283"/>
      <c r="C70" s="283"/>
      <c r="D70" s="283"/>
      <c r="E70" s="283"/>
      <c r="F70" s="283"/>
      <c r="G70" s="283"/>
      <c r="H70" s="283"/>
      <c r="I70" s="283"/>
      <c r="J70" s="283"/>
      <c r="K70" s="338"/>
      <c r="L70" s="283"/>
      <c r="M70" s="283"/>
      <c r="N70" s="283"/>
      <c r="O70" s="283"/>
      <c r="P70" s="283"/>
      <c r="Q70" s="283"/>
      <c r="R70" s="283"/>
      <c r="S70" s="283"/>
      <c r="T70" s="283"/>
      <c r="U70" s="283"/>
      <c r="V70" s="283"/>
      <c r="W70" s="283"/>
    </row>
    <row r="71" spans="2:23" x14ac:dyDescent="0.35">
      <c r="B71" s="283"/>
      <c r="C71" s="283"/>
      <c r="D71" s="283"/>
      <c r="E71" s="283"/>
      <c r="F71" s="283"/>
      <c r="G71" s="283"/>
      <c r="H71" s="283"/>
      <c r="I71" s="283"/>
      <c r="J71" s="283"/>
      <c r="K71" s="338"/>
      <c r="L71" s="283"/>
      <c r="M71" s="283"/>
      <c r="N71" s="283"/>
      <c r="O71" s="283"/>
      <c r="P71" s="283"/>
      <c r="Q71" s="283"/>
      <c r="R71" s="283"/>
      <c r="S71" s="283"/>
      <c r="T71" s="283"/>
      <c r="U71" s="283"/>
      <c r="V71" s="283"/>
      <c r="W71" s="283"/>
    </row>
    <row r="72" spans="2:23" x14ac:dyDescent="0.35">
      <c r="B72" s="283"/>
      <c r="C72" s="283"/>
      <c r="D72" s="283"/>
      <c r="E72" s="283"/>
      <c r="F72" s="283"/>
      <c r="G72" s="283"/>
      <c r="H72" s="283"/>
      <c r="I72" s="283"/>
      <c r="J72" s="283"/>
      <c r="K72" s="338"/>
      <c r="L72" s="283"/>
      <c r="M72" s="283"/>
      <c r="N72" s="283"/>
      <c r="O72" s="283"/>
      <c r="P72" s="283"/>
      <c r="Q72" s="283"/>
      <c r="R72" s="283"/>
      <c r="S72" s="283"/>
      <c r="T72" s="283"/>
      <c r="U72" s="283"/>
      <c r="V72" s="283"/>
      <c r="W72" s="283"/>
    </row>
    <row r="73" spans="2:23" x14ac:dyDescent="0.35">
      <c r="B73" s="283"/>
      <c r="C73" s="283"/>
      <c r="D73" s="283"/>
      <c r="E73" s="283"/>
      <c r="F73" s="283"/>
      <c r="G73" s="283"/>
      <c r="H73" s="283"/>
      <c r="I73" s="283"/>
      <c r="J73" s="283"/>
      <c r="K73" s="338"/>
      <c r="L73" s="283"/>
      <c r="M73" s="283"/>
      <c r="N73" s="283"/>
      <c r="O73" s="283"/>
      <c r="P73" s="283"/>
      <c r="Q73" s="283"/>
      <c r="R73" s="283"/>
      <c r="S73" s="283"/>
      <c r="T73" s="283"/>
      <c r="U73" s="283"/>
      <c r="V73" s="283"/>
      <c r="W73" s="283"/>
    </row>
    <row r="74" spans="2:23" x14ac:dyDescent="0.35">
      <c r="B74" s="283"/>
      <c r="C74" s="283"/>
      <c r="D74" s="283"/>
      <c r="E74" s="283"/>
      <c r="F74" s="283"/>
      <c r="G74" s="283"/>
      <c r="H74" s="283"/>
      <c r="I74" s="283"/>
      <c r="J74" s="283"/>
      <c r="K74" s="338"/>
      <c r="L74" s="283"/>
      <c r="M74" s="283"/>
      <c r="N74" s="283"/>
      <c r="O74" s="283"/>
      <c r="P74" s="283"/>
      <c r="Q74" s="283"/>
      <c r="R74" s="283"/>
      <c r="S74" s="283"/>
      <c r="T74" s="283"/>
      <c r="U74" s="283"/>
      <c r="V74" s="283"/>
      <c r="W74" s="283"/>
    </row>
    <row r="75" spans="2:23" x14ac:dyDescent="0.35">
      <c r="B75" s="283"/>
      <c r="C75" s="283"/>
      <c r="D75" s="283"/>
      <c r="E75" s="283"/>
      <c r="F75" s="283"/>
      <c r="G75" s="283"/>
      <c r="H75" s="283"/>
      <c r="I75" s="283"/>
      <c r="J75" s="283"/>
      <c r="K75" s="338"/>
      <c r="L75" s="283"/>
      <c r="M75" s="283"/>
      <c r="N75" s="283"/>
      <c r="O75" s="283"/>
      <c r="P75" s="283"/>
      <c r="Q75" s="283"/>
      <c r="R75" s="283"/>
      <c r="S75" s="283"/>
      <c r="T75" s="283"/>
      <c r="U75" s="283"/>
      <c r="V75" s="283"/>
      <c r="W75" s="283"/>
    </row>
    <row r="76" spans="2:23" x14ac:dyDescent="0.35">
      <c r="B76" s="283"/>
      <c r="C76" s="283"/>
      <c r="D76" s="283"/>
      <c r="E76" s="283"/>
      <c r="F76" s="283"/>
      <c r="G76" s="283"/>
      <c r="H76" s="283"/>
      <c r="I76" s="283"/>
      <c r="J76" s="283"/>
      <c r="K76" s="338"/>
      <c r="L76" s="283"/>
      <c r="M76" s="283"/>
      <c r="N76" s="283"/>
      <c r="O76" s="283"/>
      <c r="P76" s="283"/>
      <c r="Q76" s="283"/>
      <c r="R76" s="283"/>
      <c r="S76" s="283"/>
      <c r="T76" s="283"/>
      <c r="U76" s="283"/>
      <c r="V76" s="283"/>
      <c r="W76" s="283"/>
    </row>
    <row r="77" spans="2:23" x14ac:dyDescent="0.35">
      <c r="B77" s="283"/>
      <c r="C77" s="283"/>
      <c r="D77" s="283"/>
      <c r="E77" s="283"/>
      <c r="F77" s="283"/>
      <c r="G77" s="283"/>
      <c r="H77" s="283"/>
      <c r="I77" s="283"/>
      <c r="J77" s="283"/>
      <c r="K77" s="338"/>
      <c r="L77" s="283"/>
      <c r="M77" s="283"/>
      <c r="N77" s="283"/>
      <c r="O77" s="283"/>
      <c r="P77" s="283"/>
      <c r="Q77" s="283"/>
      <c r="R77" s="283"/>
      <c r="S77" s="283"/>
      <c r="T77" s="283"/>
      <c r="U77" s="283"/>
      <c r="V77" s="283"/>
      <c r="W77" s="283"/>
    </row>
    <row r="78" spans="2:23" x14ac:dyDescent="0.35">
      <c r="B78" s="283"/>
      <c r="C78" s="283"/>
      <c r="D78" s="283"/>
      <c r="E78" s="283"/>
      <c r="F78" s="283"/>
      <c r="G78" s="283"/>
      <c r="H78" s="283"/>
      <c r="I78" s="283"/>
      <c r="J78" s="283"/>
      <c r="K78" s="338"/>
      <c r="L78" s="283"/>
      <c r="M78" s="283"/>
      <c r="N78" s="283"/>
      <c r="O78" s="283"/>
      <c r="P78" s="283"/>
      <c r="Q78" s="283"/>
      <c r="R78" s="283"/>
      <c r="S78" s="283"/>
      <c r="T78" s="283"/>
      <c r="U78" s="283"/>
      <c r="V78" s="283"/>
      <c r="W78" s="283"/>
    </row>
    <row r="79" spans="2:23" x14ac:dyDescent="0.35">
      <c r="B79" s="283"/>
      <c r="C79" s="283"/>
      <c r="D79" s="283"/>
      <c r="E79" s="283"/>
      <c r="F79" s="283"/>
      <c r="G79" s="283"/>
      <c r="H79" s="283"/>
      <c r="I79" s="283"/>
      <c r="J79" s="283"/>
      <c r="K79" s="338"/>
      <c r="L79" s="283"/>
      <c r="M79" s="283"/>
      <c r="N79" s="283"/>
      <c r="O79" s="283"/>
      <c r="P79" s="283"/>
      <c r="Q79" s="283"/>
      <c r="R79" s="283"/>
      <c r="S79" s="283"/>
      <c r="T79" s="283"/>
      <c r="U79" s="283"/>
      <c r="V79" s="283"/>
      <c r="W79" s="283"/>
    </row>
    <row r="80" spans="2:23" x14ac:dyDescent="0.35">
      <c r="B80" s="283"/>
      <c r="C80" s="283"/>
      <c r="D80" s="283"/>
      <c r="E80" s="283"/>
      <c r="F80" s="283"/>
      <c r="G80" s="283"/>
      <c r="H80" s="283"/>
      <c r="I80" s="283"/>
      <c r="J80" s="283"/>
      <c r="K80" s="338"/>
      <c r="L80" s="283"/>
      <c r="M80" s="283"/>
      <c r="N80" s="283"/>
      <c r="O80" s="283"/>
      <c r="P80" s="283"/>
      <c r="Q80" s="283"/>
      <c r="R80" s="283"/>
      <c r="S80" s="283"/>
      <c r="T80" s="283"/>
      <c r="U80" s="283"/>
      <c r="V80" s="283"/>
      <c r="W80" s="283"/>
    </row>
    <row r="81" spans="2:23" x14ac:dyDescent="0.35">
      <c r="B81" s="283"/>
      <c r="C81" s="283"/>
      <c r="D81" s="283"/>
      <c r="E81" s="283"/>
      <c r="F81" s="283"/>
      <c r="G81" s="283"/>
      <c r="H81" s="283"/>
      <c r="I81" s="283"/>
      <c r="J81" s="283"/>
      <c r="K81" s="338"/>
      <c r="L81" s="283"/>
      <c r="M81" s="283"/>
      <c r="N81" s="283"/>
      <c r="O81" s="283"/>
      <c r="P81" s="283"/>
      <c r="Q81" s="283"/>
      <c r="R81" s="283"/>
      <c r="S81" s="283"/>
      <c r="T81" s="283"/>
      <c r="U81" s="283"/>
      <c r="V81" s="283"/>
      <c r="W81" s="283"/>
    </row>
    <row r="82" spans="2:23" x14ac:dyDescent="0.35">
      <c r="B82" s="283"/>
      <c r="C82" s="283"/>
      <c r="D82" s="283"/>
      <c r="E82" s="283"/>
      <c r="F82" s="283"/>
      <c r="G82" s="283"/>
      <c r="H82" s="283"/>
      <c r="I82" s="283"/>
      <c r="J82" s="283"/>
      <c r="K82" s="338"/>
      <c r="L82" s="283"/>
      <c r="M82" s="283"/>
      <c r="N82" s="283"/>
      <c r="O82" s="283"/>
      <c r="P82" s="283"/>
      <c r="Q82" s="283"/>
      <c r="R82" s="283"/>
      <c r="S82" s="283"/>
      <c r="T82" s="283"/>
      <c r="U82" s="283"/>
      <c r="V82" s="283"/>
      <c r="W82" s="283"/>
    </row>
    <row r="83" spans="2:23" x14ac:dyDescent="0.35">
      <c r="B83" s="283"/>
      <c r="C83" s="283"/>
      <c r="D83" s="283"/>
      <c r="E83" s="283"/>
      <c r="F83" s="283"/>
      <c r="G83" s="283"/>
      <c r="H83" s="283"/>
      <c r="I83" s="283"/>
      <c r="J83" s="283"/>
      <c r="K83" s="338"/>
      <c r="L83" s="283"/>
      <c r="M83" s="283"/>
      <c r="N83" s="283"/>
      <c r="O83" s="283"/>
      <c r="P83" s="283"/>
      <c r="Q83" s="283"/>
      <c r="R83" s="283"/>
      <c r="S83" s="283"/>
      <c r="T83" s="283"/>
      <c r="U83" s="283"/>
      <c r="V83" s="283"/>
      <c r="W83" s="283"/>
    </row>
    <row r="84" spans="2:23" ht="14.25" customHeight="1" x14ac:dyDescent="0.35">
      <c r="B84" s="283"/>
      <c r="C84" s="493" t="s">
        <v>627</v>
      </c>
      <c r="D84" s="511"/>
      <c r="E84" s="511"/>
      <c r="F84" s="511"/>
      <c r="G84" s="511"/>
      <c r="H84" s="511"/>
      <c r="I84" s="511"/>
      <c r="J84" s="511"/>
      <c r="K84" s="338"/>
      <c r="L84" s="283"/>
      <c r="M84" s="493" t="s">
        <v>630</v>
      </c>
      <c r="N84" s="493"/>
      <c r="O84" s="493"/>
      <c r="P84" s="493"/>
      <c r="Q84" s="493"/>
      <c r="R84" s="493"/>
      <c r="S84" s="493"/>
      <c r="T84" s="493"/>
      <c r="U84" s="493"/>
      <c r="V84" s="493"/>
      <c r="W84" s="259"/>
    </row>
    <row r="85" spans="2:23" ht="14.25" customHeight="1" x14ac:dyDescent="0.35">
      <c r="B85" s="283"/>
      <c r="C85" s="493"/>
      <c r="D85" s="511"/>
      <c r="E85" s="511"/>
      <c r="F85" s="511"/>
      <c r="G85" s="511"/>
      <c r="H85" s="511"/>
      <c r="I85" s="511"/>
      <c r="J85" s="511"/>
      <c r="K85" s="338"/>
      <c r="L85" s="259"/>
      <c r="M85" s="493"/>
      <c r="N85" s="493"/>
      <c r="O85" s="493"/>
      <c r="P85" s="493"/>
      <c r="Q85" s="493"/>
      <c r="R85" s="493"/>
      <c r="S85" s="493"/>
      <c r="T85" s="493"/>
      <c r="U85" s="493"/>
      <c r="V85" s="493"/>
      <c r="W85" s="259"/>
    </row>
    <row r="86" spans="2:23" ht="14.25" customHeight="1" x14ac:dyDescent="0.35">
      <c r="B86" s="283"/>
      <c r="C86" s="493"/>
      <c r="D86" s="511"/>
      <c r="E86" s="511"/>
      <c r="F86" s="511"/>
      <c r="G86" s="511"/>
      <c r="H86" s="511"/>
      <c r="I86" s="511"/>
      <c r="J86" s="511"/>
      <c r="K86" s="338"/>
      <c r="L86" s="259"/>
      <c r="M86" s="493"/>
      <c r="N86" s="493"/>
      <c r="O86" s="493"/>
      <c r="P86" s="493"/>
      <c r="Q86" s="493"/>
      <c r="R86" s="493"/>
      <c r="S86" s="493"/>
      <c r="T86" s="493"/>
      <c r="U86" s="493"/>
      <c r="V86" s="493"/>
      <c r="W86" s="259"/>
    </row>
    <row r="87" spans="2:23" ht="14.25" customHeight="1" x14ac:dyDescent="0.35">
      <c r="B87" s="283"/>
      <c r="C87" s="493"/>
      <c r="D87" s="511"/>
      <c r="E87" s="511"/>
      <c r="F87" s="511"/>
      <c r="G87" s="511"/>
      <c r="H87" s="511"/>
      <c r="I87" s="511"/>
      <c r="J87" s="511"/>
      <c r="K87" s="338"/>
      <c r="L87" s="259"/>
      <c r="M87" s="493"/>
      <c r="N87" s="493"/>
      <c r="O87" s="493"/>
      <c r="P87" s="493"/>
      <c r="Q87" s="493"/>
      <c r="R87" s="493"/>
      <c r="S87" s="493"/>
      <c r="T87" s="493"/>
      <c r="U87" s="493"/>
      <c r="V87" s="493"/>
      <c r="W87" s="259"/>
    </row>
    <row r="88" spans="2:23" ht="14.25" customHeight="1" x14ac:dyDescent="0.35">
      <c r="B88" s="283"/>
      <c r="C88" s="493"/>
      <c r="D88" s="511"/>
      <c r="E88" s="511"/>
      <c r="F88" s="511"/>
      <c r="G88" s="511"/>
      <c r="H88" s="511"/>
      <c r="I88" s="511"/>
      <c r="J88" s="511"/>
      <c r="K88" s="338"/>
      <c r="L88" s="259"/>
      <c r="M88" s="493"/>
      <c r="N88" s="493"/>
      <c r="O88" s="493"/>
      <c r="P88" s="493"/>
      <c r="Q88" s="493"/>
      <c r="R88" s="493"/>
      <c r="S88" s="493"/>
      <c r="T88" s="493"/>
      <c r="U88" s="493"/>
      <c r="V88" s="493"/>
      <c r="W88" s="259"/>
    </row>
    <row r="89" spans="2:23" x14ac:dyDescent="0.35">
      <c r="B89" s="283"/>
      <c r="C89" s="511"/>
      <c r="D89" s="511"/>
      <c r="E89" s="511"/>
      <c r="F89" s="511"/>
      <c r="G89" s="511"/>
      <c r="H89" s="511"/>
      <c r="I89" s="511"/>
      <c r="J89" s="511"/>
      <c r="K89" s="338"/>
      <c r="L89" s="259"/>
      <c r="M89" s="493"/>
      <c r="N89" s="493"/>
      <c r="O89" s="493"/>
      <c r="P89" s="493"/>
      <c r="Q89" s="493"/>
      <c r="R89" s="493"/>
      <c r="S89" s="493"/>
      <c r="T89" s="493"/>
      <c r="U89" s="493"/>
      <c r="V89" s="493"/>
      <c r="W89" s="259"/>
    </row>
    <row r="90" spans="2:23" x14ac:dyDescent="0.35">
      <c r="B90" s="283"/>
      <c r="C90" s="283"/>
      <c r="D90" s="283"/>
      <c r="E90" s="283"/>
      <c r="F90" s="283"/>
      <c r="G90" s="283"/>
      <c r="H90" s="283"/>
      <c r="I90" s="283"/>
      <c r="J90" s="283"/>
      <c r="K90" s="338"/>
      <c r="L90" s="283"/>
      <c r="M90" s="283"/>
      <c r="N90" s="283"/>
      <c r="O90" s="283"/>
      <c r="P90" s="283"/>
      <c r="Q90" s="283"/>
      <c r="R90" s="283"/>
      <c r="S90" s="283"/>
      <c r="T90" s="283"/>
      <c r="U90" s="283"/>
      <c r="V90" s="283"/>
      <c r="W90" s="283"/>
    </row>
    <row r="93" spans="2:23" x14ac:dyDescent="0.35">
      <c r="B93" s="338"/>
      <c r="C93" s="338"/>
      <c r="D93" s="338"/>
      <c r="E93" s="338"/>
      <c r="F93" s="338"/>
      <c r="G93" s="338"/>
      <c r="H93" s="338"/>
      <c r="I93" s="338"/>
      <c r="J93" s="338"/>
      <c r="K93" s="338"/>
      <c r="L93" s="338"/>
      <c r="M93" s="338"/>
      <c r="N93" s="338"/>
      <c r="O93" s="338"/>
      <c r="P93" s="338"/>
      <c r="Q93" s="338"/>
      <c r="R93" s="338"/>
      <c r="S93" s="338"/>
      <c r="T93" s="338"/>
      <c r="U93" s="338"/>
      <c r="V93" s="338"/>
      <c r="W93" s="338"/>
    </row>
  </sheetData>
  <sheetProtection algorithmName="SHA-512" hashValue="Q464lg0/9aIdvDCgUShWg4at+s6Bg7zXt9JclEyvLKFMH8spKX6U8eb/PiDs4dpAQWopC2uQx7mg3DzG5Id9gg==" saltValue="8qbfm3BvPEb8mw5Ck2iGLA==" spinCount="100000" sheet="1" objects="1" scenarios="1" formatColumns="0" formatRows="0"/>
  <mergeCells count="37">
    <mergeCell ref="C84:J89"/>
    <mergeCell ref="H5:H7"/>
    <mergeCell ref="I5:I7"/>
    <mergeCell ref="J5:J7"/>
    <mergeCell ref="S10:S11"/>
    <mergeCell ref="P39:V40"/>
    <mergeCell ref="C5:C7"/>
    <mergeCell ref="D5:D7"/>
    <mergeCell ref="E5:E7"/>
    <mergeCell ref="F5:F7"/>
    <mergeCell ref="G5:G7"/>
    <mergeCell ref="P44:R44"/>
    <mergeCell ref="S42:S43"/>
    <mergeCell ref="T42:T43"/>
    <mergeCell ref="U42:U43"/>
    <mergeCell ref="V42:V43"/>
    <mergeCell ref="P45:R46"/>
    <mergeCell ref="S45:S46"/>
    <mergeCell ref="T45:T46"/>
    <mergeCell ref="U45:U46"/>
    <mergeCell ref="V45:V46"/>
    <mergeCell ref="M84:V89"/>
    <mergeCell ref="C42:E43"/>
    <mergeCell ref="F42:F43"/>
    <mergeCell ref="Q24:R24"/>
    <mergeCell ref="S24:T24"/>
    <mergeCell ref="U24:V24"/>
    <mergeCell ref="G24:G25"/>
    <mergeCell ref="D24:D25"/>
    <mergeCell ref="E24:E25"/>
    <mergeCell ref="F24:F25"/>
    <mergeCell ref="Q25:Q26"/>
    <mergeCell ref="R25:R26"/>
    <mergeCell ref="S25:S26"/>
    <mergeCell ref="T25:T26"/>
    <mergeCell ref="U25:U26"/>
    <mergeCell ref="V25:V26"/>
  </mergeCells>
  <conditionalFormatting sqref="C28:G31 C32:H40">
    <cfRule type="expression" dxfId="5" priority="6">
      <formula>ISBLANK($D28)</formula>
    </cfRule>
  </conditionalFormatting>
  <conditionalFormatting sqref="C8:J17">
    <cfRule type="expression" dxfId="4" priority="32">
      <formula>$E8=0</formula>
    </cfRule>
  </conditionalFormatting>
  <conditionalFormatting sqref="P27:V36">
    <cfRule type="expression" dxfId="3" priority="2">
      <formula>$E8=0</formula>
    </cfRule>
  </conditionalFormatting>
  <conditionalFormatting sqref="Q27:Q36 S27:S36 U27:U36">
    <cfRule type="expression" dxfId="2" priority="1">
      <formula>TRUNC(Q27)=Q27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743B-32DE-43F1-BC71-3D7D533AEA35}">
  <sheetPr codeName="Sheet7">
    <tabColor theme="0" tint="-0.499984740745262"/>
  </sheetPr>
  <dimension ref="B9:R378"/>
  <sheetViews>
    <sheetView zoomScaleNormal="100" workbookViewId="0">
      <selection activeCell="F41" sqref="F41"/>
    </sheetView>
  </sheetViews>
  <sheetFormatPr defaultColWidth="9.2109375" defaultRowHeight="14.15" x14ac:dyDescent="0.35"/>
  <cols>
    <col min="1" max="1" width="3.35546875" style="3" customWidth="1"/>
    <col min="2" max="2" width="6.7109375" style="8" customWidth="1"/>
    <col min="3" max="3" width="60.7109375" style="3" customWidth="1"/>
    <col min="4" max="4" width="16.7109375" style="9" customWidth="1"/>
    <col min="5" max="5" width="15.2109375" style="3" customWidth="1"/>
    <col min="6" max="6" width="33.2109375" style="3" customWidth="1"/>
    <col min="7" max="8" width="7.2109375" style="3" customWidth="1"/>
    <col min="9" max="9" width="53.140625" style="3" customWidth="1"/>
    <col min="10" max="10" width="14.35546875" style="3" customWidth="1"/>
    <col min="11" max="11" width="15.2109375" style="3" customWidth="1"/>
    <col min="12" max="12" width="9.2109375" style="3"/>
    <col min="13" max="13" width="53.140625" style="3" customWidth="1"/>
    <col min="14" max="14" width="14.35546875" style="3" customWidth="1"/>
    <col min="15" max="15" width="15.2109375" style="3" customWidth="1"/>
    <col min="16" max="16" width="9.2109375" style="3"/>
    <col min="17" max="17" width="53.140625" style="3" customWidth="1"/>
    <col min="18" max="18" width="14.35546875" style="3" customWidth="1"/>
    <col min="19" max="19" width="15.2109375" style="3" customWidth="1"/>
    <col min="20" max="20" width="9.2109375" style="3"/>
    <col min="21" max="21" width="49.35546875" style="3" customWidth="1"/>
    <col min="22" max="22" width="13.35546875" style="3" customWidth="1"/>
    <col min="23" max="23" width="14.2109375" style="3" customWidth="1"/>
    <col min="24" max="16384" width="9.2109375" style="3"/>
  </cols>
  <sheetData>
    <row r="9" spans="2:18" ht="15" x14ac:dyDescent="0.35">
      <c r="B9" s="1" t="s">
        <v>41</v>
      </c>
      <c r="C9" s="2" t="str">
        <f>IF('Éléments saisis (inputs)'!C9&lt;&gt;"",'Éléments saisis (inputs)'!C9,"")</f>
        <v>Structure de la flotte</v>
      </c>
      <c r="D9" s="340"/>
      <c r="E9" s="341" t="str">
        <f>IF('Éléments saisis (inputs)'!E9&lt;&gt;"",'Éléments saisis (inputs)'!E9,"")</f>
        <v/>
      </c>
      <c r="F9" s="341"/>
      <c r="G9" s="283"/>
      <c r="H9" s="283"/>
      <c r="I9" s="283"/>
      <c r="J9" s="283"/>
      <c r="K9" s="283"/>
      <c r="L9" s="283"/>
      <c r="M9" s="283"/>
      <c r="N9" s="283"/>
      <c r="O9" s="283"/>
      <c r="P9" s="283"/>
      <c r="Q9" s="283"/>
      <c r="R9" s="283"/>
    </row>
    <row r="10" spans="2:18" ht="15" x14ac:dyDescent="0.35">
      <c r="B10" s="4"/>
      <c r="C10" s="2" t="str">
        <f>IF('Éléments saisis (inputs)'!C10&lt;&gt;"",'Éléments saisis (inputs)'!C10,"")</f>
        <v/>
      </c>
      <c r="D10" s="340"/>
      <c r="E10" s="341" t="str">
        <f>IF('Éléments saisis (inputs)'!E10&lt;&gt;"",'Éléments saisis (inputs)'!E10,"")</f>
        <v/>
      </c>
      <c r="F10" s="341"/>
      <c r="G10" s="283"/>
      <c r="H10" s="283"/>
      <c r="I10" s="283"/>
      <c r="J10" s="283"/>
      <c r="K10" s="283"/>
      <c r="L10" s="283"/>
      <c r="M10" s="283"/>
      <c r="N10" s="283"/>
      <c r="O10" s="283"/>
      <c r="P10" s="283"/>
      <c r="Q10" s="283"/>
      <c r="R10" s="283"/>
    </row>
    <row r="11" spans="2:18" x14ac:dyDescent="0.35">
      <c r="B11" s="5"/>
      <c r="C11" s="6" t="str">
        <f>IF('Éléments saisis (inputs)'!C11&lt;&gt;"",'Éléments saisis (inputs)'!C11,"")</f>
        <v>Flotte</v>
      </c>
      <c r="D11" s="340"/>
      <c r="E11" s="341" t="str">
        <f>IF('Éléments saisis (inputs)'!E11&lt;&gt;"",'Éléments saisis (inputs)'!E11,"")</f>
        <v/>
      </c>
      <c r="F11" s="341"/>
      <c r="G11" s="283"/>
      <c r="H11" s="283"/>
      <c r="I11" s="283"/>
      <c r="J11" s="283"/>
      <c r="K11" s="283"/>
      <c r="L11" s="283"/>
      <c r="M11" s="283"/>
      <c r="N11" s="283"/>
      <c r="O11" s="283"/>
      <c r="P11" s="283"/>
      <c r="Q11" s="283"/>
      <c r="R11" s="283"/>
    </row>
    <row r="12" spans="2:18" x14ac:dyDescent="0.35">
      <c r="B12" s="7"/>
      <c r="C12" s="341" t="str">
        <f>IF('Éléments saisis (inputs)'!C12&lt;&gt;"",'Éléments saisis (inputs)'!C12,"")</f>
        <v>Nombre de segments</v>
      </c>
      <c r="D12" s="342"/>
      <c r="E12" s="341" t="str">
        <f>IF('Éléments saisis (inputs)'!E12&lt;&gt;"",'Éléments saisis (inputs)'!E12,"")</f>
        <v/>
      </c>
      <c r="F12" s="341"/>
      <c r="G12" s="283"/>
      <c r="H12" s="283"/>
      <c r="I12" s="283"/>
      <c r="J12" s="283"/>
      <c r="K12" s="283"/>
      <c r="L12" s="283"/>
      <c r="M12" s="283"/>
      <c r="N12" s="283"/>
      <c r="O12" s="283"/>
      <c r="P12" s="283"/>
      <c r="Q12" s="283"/>
      <c r="R12" s="283"/>
    </row>
    <row r="13" spans="2:18" x14ac:dyDescent="0.35">
      <c r="C13" s="283" t="str">
        <f>IF('Éléments saisis (inputs)'!C13&lt;&gt;"",'Éléments saisis (inputs)'!C13,"")</f>
        <v/>
      </c>
      <c r="D13" s="478"/>
      <c r="E13" s="283" t="str">
        <f>IF('Éléments saisis (inputs)'!E13&lt;&gt;"",'Éléments saisis (inputs)'!E13,"")</f>
        <v/>
      </c>
      <c r="F13" s="283"/>
      <c r="G13" s="283"/>
      <c r="H13" s="283"/>
      <c r="I13" s="283"/>
      <c r="J13" s="283"/>
      <c r="K13" s="283"/>
      <c r="L13" s="283"/>
      <c r="M13" s="283"/>
      <c r="N13" s="283"/>
      <c r="O13" s="283"/>
      <c r="P13" s="283"/>
      <c r="Q13" s="283"/>
      <c r="R13" s="283"/>
    </row>
    <row r="14" spans="2:18" x14ac:dyDescent="0.35">
      <c r="C14" s="283" t="str">
        <f>IF('Éléments saisis (inputs)'!C14&lt;&gt;"",'Éléments saisis (inputs)'!C14,"")</f>
        <v/>
      </c>
      <c r="D14" s="283"/>
      <c r="E14" s="283" t="str">
        <f>IF('Éléments saisis (inputs)'!E14&lt;&gt;"",'Éléments saisis (inputs)'!E14,"")</f>
        <v/>
      </c>
      <c r="F14" s="283"/>
      <c r="G14" s="283"/>
      <c r="H14" s="283"/>
      <c r="I14" s="283"/>
      <c r="J14" s="283"/>
      <c r="K14" s="283"/>
      <c r="L14" s="283"/>
      <c r="M14" s="283"/>
      <c r="N14" s="283"/>
      <c r="O14" s="283"/>
      <c r="P14" s="283"/>
      <c r="Q14" s="283"/>
      <c r="R14" s="10"/>
    </row>
    <row r="15" spans="2:18" s="14" customFormat="1" ht="15" x14ac:dyDescent="0.35">
      <c r="B15" s="11" t="s">
        <v>42</v>
      </c>
      <c r="C15" s="11" t="str">
        <f>IF('Éléments saisis (inputs)'!C15&lt;&gt;"",'Éléments saisis (inputs)'!C15,"")</f>
        <v>Segment A</v>
      </c>
      <c r="D15" s="12"/>
      <c r="E15" s="13" t="str">
        <f>IF('Éléments saisis (inputs)'!E15&lt;&gt;"",'Éléments saisis (inputs)'!E15,"")</f>
        <v/>
      </c>
      <c r="F15" s="13"/>
      <c r="H15" s="15" t="s">
        <v>43</v>
      </c>
      <c r="I15" s="15" t="s">
        <v>44</v>
      </c>
      <c r="J15" s="16"/>
      <c r="K15" s="17"/>
    </row>
    <row r="16" spans="2:18" x14ac:dyDescent="0.35">
      <c r="B16" s="18"/>
      <c r="C16" s="18" t="str">
        <f>IF('Éléments saisis (inputs)'!C16&lt;&gt;"",'Éléments saisis (inputs)'!C16,"")</f>
        <v/>
      </c>
      <c r="D16" s="343"/>
      <c r="E16" s="344" t="str">
        <f>IF('Éléments saisis (inputs)'!E16&lt;&gt;"",'Éléments saisis (inputs)'!E16,"")</f>
        <v/>
      </c>
      <c r="F16" s="344"/>
      <c r="G16" s="283"/>
      <c r="H16" s="345"/>
      <c r="I16" s="19"/>
      <c r="J16" s="346"/>
      <c r="K16" s="345"/>
      <c r="L16" s="283"/>
      <c r="M16" s="283"/>
      <c r="N16" s="283"/>
      <c r="O16" s="283"/>
      <c r="P16" s="283"/>
      <c r="Q16" s="283"/>
      <c r="R16" s="283"/>
    </row>
    <row r="17" spans="2:11" x14ac:dyDescent="0.35">
      <c r="B17" s="18"/>
      <c r="C17" s="20" t="str">
        <f>IF('Éléments saisis (inputs)'!C17&lt;&gt;"",'Éléments saisis (inputs)'!C17,"")</f>
        <v>Structure des segments</v>
      </c>
      <c r="D17" s="343"/>
      <c r="E17" s="344" t="str">
        <f>IF('Éléments saisis (inputs)'!E17&lt;&gt;"",'Éléments saisis (inputs)'!E17,"")</f>
        <v/>
      </c>
      <c r="F17" s="344"/>
      <c r="G17" s="283"/>
      <c r="H17" s="345"/>
      <c r="I17" s="21" t="s">
        <v>2</v>
      </c>
      <c r="J17" s="346"/>
      <c r="K17" s="345"/>
    </row>
    <row r="18" spans="2:11" x14ac:dyDescent="0.35">
      <c r="B18" s="18"/>
      <c r="C18" s="344" t="str">
        <f>IF('Éléments saisis (inputs)'!C18&lt;&gt;"",'Éléments saisis (inputs)'!C18,"")</f>
        <v>Nombre de véhicules</v>
      </c>
      <c r="D18" s="347">
        <f>'Éléments saisis (inputs)'!D18</f>
        <v>1</v>
      </c>
      <c r="E18" s="344" t="str">
        <f>IF('Éléments saisis (inputs)'!E18&lt;&gt;"",'Éléments saisis (inputs)'!E18,"")</f>
        <v/>
      </c>
      <c r="F18" s="344"/>
      <c r="G18" s="283"/>
      <c r="H18" s="345"/>
      <c r="I18" s="345" t="s">
        <v>45</v>
      </c>
      <c r="J18" s="348">
        <v>1.8</v>
      </c>
      <c r="K18" s="345" t="s">
        <v>4</v>
      </c>
    </row>
    <row r="19" spans="2:11" x14ac:dyDescent="0.35">
      <c r="B19" s="18"/>
      <c r="C19" s="344" t="str">
        <f>IF('Éléments saisis (inputs)'!C19&lt;&gt;"",'Éléments saisis (inputs)'!C19,"")</f>
        <v>Type d’utilisation</v>
      </c>
      <c r="D19" s="349" t="str">
        <f>'Éléments saisis (inputs)'!D19</f>
        <v>Véhicules de pool</v>
      </c>
      <c r="E19" s="344" t="str">
        <f>IF('Éléments saisis (inputs)'!E19&lt;&gt;"",'Éléments saisis (inputs)'!E19,"")</f>
        <v/>
      </c>
      <c r="F19" s="344"/>
      <c r="G19" s="283"/>
      <c r="H19" s="345"/>
      <c r="I19" s="345" t="s">
        <v>6</v>
      </c>
      <c r="J19" s="348">
        <v>0.24</v>
      </c>
      <c r="K19" s="345" t="s">
        <v>7</v>
      </c>
    </row>
    <row r="20" spans="2:11" x14ac:dyDescent="0.35">
      <c r="B20" s="18"/>
      <c r="C20" s="344" t="str">
        <f>IF('Éléments saisis (inputs)'!C20&lt;&gt;"",'Éléments saisis (inputs)'!C20,"")</f>
        <v>Domaine d’utilisation</v>
      </c>
      <c r="D20" s="349" t="str">
        <f>'Éléments saisis (inputs)'!D20</f>
        <v>Niveau régional</v>
      </c>
      <c r="E20" s="344" t="str">
        <f>IF('Éléments saisis (inputs)'!E20&lt;&gt;"",'Éléments saisis (inputs)'!E20,"")</f>
        <v/>
      </c>
      <c r="F20" s="344"/>
      <c r="G20" s="283"/>
      <c r="H20" s="345"/>
      <c r="I20" s="345" t="s">
        <v>9</v>
      </c>
      <c r="J20" s="348">
        <v>0.24</v>
      </c>
      <c r="K20" s="345" t="s">
        <v>7</v>
      </c>
    </row>
    <row r="21" spans="2:11" x14ac:dyDescent="0.35">
      <c r="B21" s="18"/>
      <c r="C21" s="344" t="str">
        <f>IF('Éléments saisis (inputs)'!C21&lt;&gt;"",'Éléments saisis (inputs)'!C21,"")</f>
        <v>Possibilité de recharge à domicile</v>
      </c>
      <c r="D21" s="350" t="str" cm="1">
        <f t="array" ref="D21">INDEX(Heimladen,NOT(_xlfn.XMATCH(D19,Einsatzart)-1)+1)</f>
        <v>Non</v>
      </c>
      <c r="E21" s="344" t="str">
        <f>IF('Éléments saisis (inputs)'!E21&lt;&gt;"",'Éléments saisis (inputs)'!E21,"")</f>
        <v/>
      </c>
      <c r="F21" s="344" t="str">
        <f>"Valeur par défaut: "&amp;'1a. Defaults Segment-Ebene'!D21</f>
        <v>Valeur par défaut: Non</v>
      </c>
      <c r="G21" s="283"/>
      <c r="H21" s="345"/>
      <c r="I21" s="345" t="s">
        <v>46</v>
      </c>
      <c r="J21" s="348">
        <v>0.55000000000000004</v>
      </c>
      <c r="K21" s="345" t="s">
        <v>7</v>
      </c>
    </row>
    <row r="22" spans="2:11" x14ac:dyDescent="0.35">
      <c r="B22" s="18"/>
      <c r="C22" s="344" t="str">
        <f>IF('Éléments saisis (inputs)'!C22&lt;&gt;"",'Éléments saisis (inputs)'!C22,"")</f>
        <v/>
      </c>
      <c r="D22" s="343"/>
      <c r="E22" s="344" t="str">
        <f>IF('Éléments saisis (inputs)'!E22&lt;&gt;"",'Éléments saisis (inputs)'!E22,"")</f>
        <v/>
      </c>
      <c r="F22" s="344"/>
      <c r="G22" s="283"/>
      <c r="H22" s="345"/>
      <c r="I22" s="345"/>
      <c r="J22" s="346"/>
      <c r="K22" s="345"/>
    </row>
    <row r="23" spans="2:11" x14ac:dyDescent="0.35">
      <c r="B23" s="18"/>
      <c r="C23" s="22" t="str">
        <f>IF('Éléments saisis (inputs)'!C23&lt;&gt;"",'Éléments saisis (inputs)'!C23,"")</f>
        <v>Données du véhicule</v>
      </c>
      <c r="D23" s="343"/>
      <c r="E23" s="344" t="str">
        <f>IF('Éléments saisis (inputs)'!E23&lt;&gt;"",'Éléments saisis (inputs)'!E23,"")</f>
        <v/>
      </c>
      <c r="F23" s="344"/>
      <c r="G23" s="283"/>
      <c r="H23" s="345"/>
      <c r="I23" s="21" t="s">
        <v>47</v>
      </c>
      <c r="J23" s="346"/>
      <c r="K23" s="345"/>
    </row>
    <row r="24" spans="2:11" x14ac:dyDescent="0.35">
      <c r="B24" s="18"/>
      <c r="C24" s="344" t="str">
        <f>IF('Éléments saisis (inputs)'!C24&lt;&gt;"",'Éléments saisis (inputs)'!C24,"")</f>
        <v>Taille du véhicule</v>
      </c>
      <c r="D24" s="349" t="str">
        <f>'Éléments saisis (inputs)'!D24</f>
        <v>Catégorie moyenne</v>
      </c>
      <c r="E24" s="344" t="str">
        <f>IF('Éléments saisis (inputs)'!E24&lt;&gt;"",'Éléments saisis (inputs)'!E24,"")</f>
        <v/>
      </c>
      <c r="F24" s="344"/>
      <c r="G24" s="283"/>
      <c r="H24" s="345"/>
      <c r="I24" s="345" t="s">
        <v>48</v>
      </c>
      <c r="J24" s="351">
        <v>11</v>
      </c>
      <c r="K24" s="345" t="s">
        <v>12</v>
      </c>
    </row>
    <row r="25" spans="2:11" x14ac:dyDescent="0.35">
      <c r="B25" s="18"/>
      <c r="C25" s="344" t="str">
        <f>IF('Éléments saisis (inputs)'!C25&lt;&gt;"",'Éléments saisis (inputs)'!C25,"")</f>
        <v>Consommation de carburant du véhicule thermique</v>
      </c>
      <c r="D25" s="350" cm="1">
        <f t="array" ref="D25">INDEX('2d. Annahmen'!$F$13:$F$16,_xlfn.XMATCH(D24,Grösse))</f>
        <v>5.8</v>
      </c>
      <c r="E25" s="344" t="str">
        <f>IF('Éléments saisis (inputs)'!E25&lt;&gt;"",'Éléments saisis (inputs)'!E25,"")</f>
        <v>l/100 km</v>
      </c>
      <c r="F25" s="344" t="str">
        <f>"Valeur par défaut: "&amp;TEXT('1a. Defaults Segment-Ebene'!D25,"##0.0")&amp;" "&amp;E25</f>
        <v>Valeur par défaut: 5.8 l/100 km</v>
      </c>
      <c r="G25" s="283"/>
      <c r="H25" s="345"/>
      <c r="I25" s="345" t="s">
        <v>49</v>
      </c>
      <c r="J25" s="351">
        <v>11</v>
      </c>
      <c r="K25" s="345" t="s">
        <v>12</v>
      </c>
    </row>
    <row r="26" spans="2:11" x14ac:dyDescent="0.35">
      <c r="B26" s="18"/>
      <c r="C26" s="344" t="str">
        <f>IF('Éléments saisis (inputs)'!C26&lt;&gt;"",'Éléments saisis (inputs)'!C26,"")</f>
        <v>Consommation énergétique du véhicule électrique</v>
      </c>
      <c r="D26" s="350" cm="1">
        <f t="array" ref="D26">INDEX('2d. Annahmen'!$H$4:$H$7,_xlfn.XMATCH(D24,Grösse))</f>
        <v>15.1</v>
      </c>
      <c r="E26" s="344" t="str">
        <f>IF('Éléments saisis (inputs)'!E26&lt;&gt;"",'Éléments saisis (inputs)'!E26,"")</f>
        <v>kWh/100 km</v>
      </c>
      <c r="F26" s="344" t="str">
        <f>"Valeur par défaut: "&amp;TEXT('1a. Defaults Segment-Ebene'!D26,"##0.0")&amp;" "&amp;E26</f>
        <v>Valeur par défaut: 15.1 kWh/100 km</v>
      </c>
      <c r="G26" s="283"/>
      <c r="H26" s="345"/>
      <c r="I26" s="345" t="s">
        <v>50</v>
      </c>
      <c r="J26" s="351">
        <v>250</v>
      </c>
      <c r="K26" s="345" t="s">
        <v>12</v>
      </c>
    </row>
    <row r="27" spans="2:11" x14ac:dyDescent="0.35">
      <c r="B27" s="18"/>
      <c r="C27" s="344" t="str">
        <f>IF('Éléments saisis (inputs)'!C27&lt;&gt;"",'Éléments saisis (inputs)'!C27,"")</f>
        <v>Capacité de la batterie (nette)</v>
      </c>
      <c r="D27" s="350" cm="1">
        <f t="array" ref="D27">INDEX('2d. Annahmen'!$F$4:$F$7,_xlfn.XMATCH(D24,Grösse))</f>
        <v>58.625</v>
      </c>
      <c r="E27" s="344" t="str">
        <f>IF('Éléments saisis (inputs)'!E27&lt;&gt;"",'Éléments saisis (inputs)'!E27,"")</f>
        <v>kWh</v>
      </c>
      <c r="F27" s="344" t="str">
        <f>"Valeur par défaut: "&amp;TEXT('1a. Defaults Segment-Ebene'!D27,"##0.0")&amp;" "&amp;E27</f>
        <v>Valeur par défaut: 58.6 kWh</v>
      </c>
      <c r="G27" s="283"/>
      <c r="H27" s="345"/>
      <c r="I27" s="345" t="s">
        <v>51</v>
      </c>
      <c r="J27" s="352">
        <v>40</v>
      </c>
      <c r="K27" s="345" t="s">
        <v>12</v>
      </c>
    </row>
    <row r="28" spans="2:11" x14ac:dyDescent="0.35">
      <c r="B28" s="18"/>
      <c r="C28" s="344" t="str">
        <f>IF('Éléments saisis (inputs)'!C28&lt;&gt;"",'Éléments saisis (inputs)'!C28,"")</f>
        <v/>
      </c>
      <c r="D28" s="343"/>
      <c r="E28" s="344" t="str">
        <f>IF('Éléments saisis (inputs)'!E28&lt;&gt;"",'Éléments saisis (inputs)'!E28,"")</f>
        <v/>
      </c>
      <c r="F28" s="344"/>
      <c r="G28" s="283"/>
      <c r="H28" s="345"/>
      <c r="I28" s="345" t="s">
        <v>52</v>
      </c>
      <c r="J28" s="352">
        <v>1</v>
      </c>
      <c r="K28" s="345"/>
    </row>
    <row r="29" spans="2:11" x14ac:dyDescent="0.35">
      <c r="B29" s="18"/>
      <c r="C29" s="20" t="str">
        <f>IF('Éléments saisis (inputs)'!C29&lt;&gt;"",'Éléments saisis (inputs)'!C29,"")</f>
        <v>Profil de conduite et d’utilisation (indication par véhicule)</v>
      </c>
      <c r="D29" s="343"/>
      <c r="E29" s="344" t="str">
        <f>IF('Éléments saisis (inputs)'!E29&lt;&gt;"",'Éléments saisis (inputs)'!E29,"")</f>
        <v/>
      </c>
      <c r="F29" s="344"/>
      <c r="G29" s="283"/>
      <c r="H29" s="345"/>
      <c r="I29" s="345" t="s">
        <v>53</v>
      </c>
      <c r="J29" s="352">
        <v>1</v>
      </c>
      <c r="K29" s="345"/>
    </row>
    <row r="30" spans="2:11" x14ac:dyDescent="0.35">
      <c r="B30" s="18"/>
      <c r="C30" s="344" t="str">
        <f>IF('Éléments saisis (inputs)'!C30&lt;&gt;"",'Éléments saisis (inputs)'!C30,"")</f>
        <v>Modèle d’utilisation</v>
      </c>
      <c r="D30" s="349" t="str">
        <f>'Éléments saisis (inputs)'!D30</f>
        <v>Exploitation pendant les jours ouvrables</v>
      </c>
      <c r="E30" s="344" t="str">
        <f>IF('Éléments saisis (inputs)'!E30&lt;&gt;"",'Éléments saisis (inputs)'!E30,"")</f>
        <v/>
      </c>
      <c r="F30" s="344"/>
      <c r="G30" s="283"/>
      <c r="H30" s="283"/>
      <c r="I30" s="283"/>
      <c r="J30" s="283"/>
      <c r="K30" s="283"/>
    </row>
    <row r="31" spans="2:11" x14ac:dyDescent="0.35">
      <c r="B31" s="18"/>
      <c r="C31" s="344" t="str">
        <f>IF('Éléments saisis (inputs)'!C31&lt;&gt;"",'Éléments saisis (inputs)'!C31,"")</f>
        <v>Nombre de jours de travail par an</v>
      </c>
      <c r="D31" s="350" cm="1">
        <f t="array" ref="D31">INDEX('1e. Dropdown Values'!$A$7:$D$7,_xlfn.XMATCH(D30,'1e. Dropdown Values'!$A$6:$D$6))</f>
        <v>260</v>
      </c>
      <c r="E31" s="344" t="str">
        <f>IF('Éléments saisis (inputs)'!E31&lt;&gt;"",'Éléments saisis (inputs)'!E31,"")</f>
        <v/>
      </c>
      <c r="F31" s="344" t="str">
        <f>"Valeur par défaut: "&amp;TEXT('1a. Defaults Segment-Ebene'!D31,"##0")</f>
        <v>Valeur par défaut: 260</v>
      </c>
      <c r="G31" s="283"/>
      <c r="H31" s="283"/>
      <c r="I31" s="283"/>
      <c r="J31" s="283"/>
      <c r="K31" s="283"/>
    </row>
    <row r="32" spans="2:11" x14ac:dyDescent="0.35">
      <c r="B32" s="18"/>
      <c r="C32" s="344" t="str">
        <f>IF('Éléments saisis (inputs)'!C32&lt;&gt;"",'Éléments saisis (inputs)'!C32,"")</f>
        <v>Distance parcourue pendant le temps de travail</v>
      </c>
      <c r="D32" s="350" cm="1">
        <f t="array" ref="D32">INDEX('1e. Dropdown Values'!$A$4:$D$4,_xlfn.XMATCH(D20,'1e. Dropdown Values'!$A$3:$D$3))</f>
        <v>100</v>
      </c>
      <c r="E32" s="344" t="str">
        <f>IF('Éléments saisis (inputs)'!E32&lt;&gt;"",'Éléments saisis (inputs)'!E32,"")</f>
        <v>km/jour</v>
      </c>
      <c r="F32" s="344" t="str">
        <f>"Valeur par défaut: "&amp;TEXT('1a. Defaults Segment-Ebene'!D32,"##0")&amp;" "&amp;E32</f>
        <v>Valeur par défaut: 100 km/jour</v>
      </c>
      <c r="G32" s="283"/>
      <c r="H32" s="283"/>
      <c r="I32" s="283"/>
      <c r="J32" s="283"/>
      <c r="K32" s="283"/>
    </row>
    <row r="33" spans="2:6" x14ac:dyDescent="0.35">
      <c r="B33" s="18"/>
      <c r="C33" s="344" t="str">
        <f>IF('Éléments saisis (inputs)'!C33&lt;&gt;"",'Éléments saisis (inputs)'!C33,"")</f>
        <v>Distance domicile-travail (aller-retour)</v>
      </c>
      <c r="D33" s="350">
        <f>(_xlfn.XMATCH(D19,Einsatzart)-1)*30</f>
        <v>0</v>
      </c>
      <c r="E33" s="344" t="str">
        <f>IF('Éléments saisis (inputs)'!E33&lt;&gt;"",'Éléments saisis (inputs)'!E33,"")</f>
        <v>km/jour</v>
      </c>
      <c r="F33" s="344" t="str">
        <f>"Valeur par défaut: "&amp;TEXT('1a. Defaults Segment-Ebene'!D33,"##0")&amp;" "&amp;E33</f>
        <v>Valeur par défaut: 0 km/jour</v>
      </c>
    </row>
    <row r="34" spans="2:6" x14ac:dyDescent="0.35">
      <c r="B34" s="18"/>
      <c r="C34" s="344" t="str">
        <f>IF('Éléments saisis (inputs)'!C34&lt;&gt;"",'Éléments saisis (inputs)'!C34,"")</f>
        <v>Nombre d’utilisations par jour</v>
      </c>
      <c r="D34" s="350">
        <v>1</v>
      </c>
      <c r="E34" s="344" t="str">
        <f>IF('Éléments saisis (inputs)'!E34&lt;&gt;"",'Éléments saisis (inputs)'!E34,"")</f>
        <v/>
      </c>
      <c r="F34" s="344" t="str">
        <f>"Valeur par défaut: "&amp;TEXT('1a. Defaults Segment-Ebene'!D34,"##0")</f>
        <v>Valeur par défaut: 1</v>
      </c>
    </row>
    <row r="35" spans="2:6" x14ac:dyDescent="0.35">
      <c r="B35" s="18"/>
      <c r="C35" s="344" t="str">
        <f>IF('Éléments saisis (inputs)'!C35&lt;&gt;"",'Éléments saisis (inputs)'!C35,"")</f>
        <v>Nombre de pauses par jour</v>
      </c>
      <c r="D35" s="350"/>
      <c r="E35" s="344" t="str">
        <f>IF('Éléments saisis (inputs)'!E35&lt;&gt;"",'Éléments saisis (inputs)'!E35,"")</f>
        <v/>
      </c>
      <c r="F35" s="344"/>
    </row>
    <row r="36" spans="2:6" x14ac:dyDescent="0.35">
      <c r="B36" s="18"/>
      <c r="C36" s="344" t="str">
        <f>IF('Éléments saisis (inputs)'!C36&lt;&gt;"",'Éléments saisis (inputs)'!C36,"")</f>
        <v>Durée d’immobilisation par pause sur le site de l’entreprise</v>
      </c>
      <c r="D36" s="350" cm="1">
        <f t="array" ref="D36">INDEX('1e. Dropdown Values'!$A$9:$D$9,_xlfn.XMATCH(D30,'1e. Dropdown Values'!$A$6:$D$6))</f>
        <v>1</v>
      </c>
      <c r="E36" s="344" t="str">
        <f>IF('Éléments saisis (inputs)'!E36&lt;&gt;"",'Éléments saisis (inputs)'!E36,"")</f>
        <v>Heures</v>
      </c>
      <c r="F36" s="344" t="str">
        <f>"Valeur par défaut: "&amp;TEXT('1a. Defaults Segment-Ebene'!D36,"##0")&amp;" "&amp;IF(D36=1,"Heure",E36)</f>
        <v>Valeur par défaut: 1 Heure</v>
      </c>
    </row>
    <row r="37" spans="2:6" x14ac:dyDescent="0.35">
      <c r="B37" s="18"/>
      <c r="C37" s="344" t="str">
        <f>IF('Éléments saisis (inputs)'!C37&lt;&gt;"",'Éléments saisis (inputs)'!C37,"")</f>
        <v>Durée d’immobilisation pendant la nuit</v>
      </c>
      <c r="D37" s="350" cm="1">
        <f t="array" ref="D37">INDEX('1e. Dropdown Values'!$A$8:$D$8,_xlfn.XMATCH(D30,'1e. Dropdown Values'!$A$6:$D$6))</f>
        <v>8</v>
      </c>
      <c r="E37" s="344" t="str">
        <f>IF('Éléments saisis (inputs)'!E37&lt;&gt;"",'Éléments saisis (inputs)'!E37,"")</f>
        <v>Heures</v>
      </c>
      <c r="F37" s="344" t="str">
        <f>"Valeur par défaut: "&amp;TEXT('1a. Defaults Segment-Ebene'!D37,"##0")&amp;" "&amp;IF(D37=1,"Heure",E37)</f>
        <v>Valeur par défaut: 8 Heures</v>
      </c>
    </row>
    <row r="38" spans="2:6" x14ac:dyDescent="0.35">
      <c r="B38" s="18"/>
      <c r="C38" s="344" t="str">
        <f>IF('Éléments saisis (inputs)'!C38&lt;&gt;"",'Éléments saisis (inputs)'!C38,"")</f>
        <v>Véhicules par point de recharge, site de l’entreprise (pendant la journée)</v>
      </c>
      <c r="D38" s="350" cm="1">
        <f t="array" ref="D38">INDEX('1e. Dropdown Values'!$B$10:$D$10,_xlfn.XMATCH(D30,Nutzungsmuster))</f>
        <v>1</v>
      </c>
      <c r="E38" s="344" t="str">
        <f>IF('Éléments saisis (inputs)'!E38&lt;&gt;"",'Éléments saisis (inputs)'!E38,"")</f>
        <v/>
      </c>
      <c r="F38" s="344" t="str">
        <f>"Valeur par défaut: "&amp;TEXT('1a. Defaults Segment-Ebene'!D38,"##0")</f>
        <v>Valeur par défaut: 1</v>
      </c>
    </row>
    <row r="39" spans="2:6" x14ac:dyDescent="0.35">
      <c r="B39" s="18"/>
      <c r="C39" s="344" t="str">
        <f>IF('Éléments saisis (inputs)'!C39&lt;&gt;"",'Éléments saisis (inputs)'!C39,"")</f>
        <v/>
      </c>
      <c r="D39" s="343"/>
      <c r="E39" s="344" t="str">
        <f>IF('Éléments saisis (inputs)'!E39&lt;&gt;"",'Éléments saisis (inputs)'!E39,"")</f>
        <v/>
      </c>
      <c r="F39" s="344"/>
    </row>
    <row r="40" spans="2:6" x14ac:dyDescent="0.35">
      <c r="B40" s="18"/>
      <c r="C40" s="20" t="str">
        <f>IF('Éléments saisis (inputs)'!C40&lt;&gt;"",'Éléments saisis (inputs)'!C40,"")</f>
        <v>Coûts (indication par véhicule)</v>
      </c>
      <c r="D40" s="343"/>
      <c r="E40" s="344" t="str">
        <f>IF('Éléments saisis (inputs)'!E40&lt;&gt;"",'Éléments saisis (inputs)'!E40,"")</f>
        <v/>
      </c>
      <c r="F40" s="344"/>
    </row>
    <row r="41" spans="2:6" x14ac:dyDescent="0.35">
      <c r="B41" s="18"/>
      <c r="C41" s="344" t="str">
        <f>IF('Éléments saisis (inputs)'!C41&lt;&gt;"",'Éléments saisis (inputs)'!C41,"")</f>
        <v>Durée</v>
      </c>
      <c r="D41" s="353">
        <f>'Éléments saisis (inputs)'!D41</f>
        <v>48</v>
      </c>
      <c r="E41" s="344" t="str">
        <f>IF('Éléments saisis (inputs)'!E41&lt;&gt;"",'Éléments saisis (inputs)'!E41,"")</f>
        <v>Mois</v>
      </c>
      <c r="F41" s="344"/>
    </row>
    <row r="42" spans="2:6" x14ac:dyDescent="0.35">
      <c r="B42" s="18"/>
      <c r="C42" s="344" t="str">
        <f>IF('Éléments saisis (inputs)'!C42&lt;&gt;"",'Éléments saisis (inputs)'!C42,"")</f>
        <v>Taux d’intérêt du leasing</v>
      </c>
      <c r="D42" s="354">
        <v>0.03</v>
      </c>
      <c r="E42" s="344" t="str">
        <f>IF('Éléments saisis (inputs)'!E42&lt;&gt;"",'Éléments saisis (inputs)'!E42,"")</f>
        <v/>
      </c>
      <c r="F42" s="344" t="str">
        <f>"Valeur par défaut: "&amp;TEXT('1a. Defaults Segment-Ebene'!D42,"##0.0%")</f>
        <v>Valeur par défaut: 3.0%</v>
      </c>
    </row>
    <row r="43" spans="2:6" x14ac:dyDescent="0.35">
      <c r="B43" s="18"/>
      <c r="C43" s="344" t="str">
        <f>IF('Éléments saisis (inputs)'!C43&lt;&gt;"",'Éléments saisis (inputs)'!C43,"")</f>
        <v>Prix d’acquisition, rabais de flotte du véhicule thermique inclus</v>
      </c>
      <c r="D43" s="355" cm="1">
        <f t="array" ref="D43">INDEX('2d. Annahmen'!$H$13:$H$16,_xlfn.XMATCH(D24,'2d. Annahmen'!$B$4:$B$7))*(1-'2d. Annahmen'!$B$30)</f>
        <v>27219.464999999997</v>
      </c>
      <c r="E43" s="344" t="str">
        <f>IF('Éléments saisis (inputs)'!E43&lt;&gt;"",'Éléments saisis (inputs)'!E43,"")</f>
        <v>CHF</v>
      </c>
      <c r="F43" s="344" t="str">
        <f>"Valeur par défaut: "&amp;TEXT('1a. Defaults Segment-Ebene'!D43,"#’##0")&amp;" "&amp;E43</f>
        <v>Valeur par défaut: 27’219 CHF</v>
      </c>
    </row>
    <row r="44" spans="2:6" x14ac:dyDescent="0.35">
      <c r="B44" s="18"/>
      <c r="C44" s="344" t="str">
        <f>IF('Éléments saisis (inputs)'!C44&lt;&gt;"",'Éléments saisis (inputs)'!C44,"")</f>
        <v>Frais d’entretien et de réparation du véhicule thermique</v>
      </c>
      <c r="D44" s="350" cm="1">
        <f t="array" ref="D44">INDEX('2d. Annahmen'!$J$13:$J$16,_xlfn.XMATCH(D24,Grösse))/20000</f>
        <v>0.05</v>
      </c>
      <c r="E44" s="344" t="str">
        <f>IF('Éléments saisis (inputs)'!E44&lt;&gt;"",'Éléments saisis (inputs)'!E44,"")</f>
        <v>CHF/km</v>
      </c>
      <c r="F44" s="344" t="str">
        <f>"Valeur par défaut: "&amp;TEXT('1a. Defaults Segment-Ebene'!D44,"##0.000")&amp;" "&amp;E44</f>
        <v>Valeur par défaut: 0.050 CHF/km</v>
      </c>
    </row>
    <row r="45" spans="2:6" x14ac:dyDescent="0.35">
      <c r="B45" s="18"/>
      <c r="C45" s="344" t="str">
        <f>IF('Éléments saisis (inputs)'!C45&lt;&gt;"",'Éléments saisis (inputs)'!C45,"")</f>
        <v>Valeur résiduelle du véhicule thermique</v>
      </c>
      <c r="D45" s="356" cm="1">
        <f t="array" ref="D45">_xlfn.LET(_xlpm.class,D24,_xlpm.km,ROUNDUP(D31*IF(D18=INDEX(Einsatzart,1),D32,D32+D33)*D41/12/5000,0)*5000,_xlpm.lz,D41,_xlpm.totkm,'2d.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45" s="344" t="str">
        <f>IF('Éléments saisis (inputs)'!E45&lt;&gt;"",'Éléments saisis (inputs)'!E45,"")</f>
        <v/>
      </c>
      <c r="F45" s="344" t="str">
        <f>"Valeur par défaut: "&amp;TEXT('1a. Defaults Segment-Ebene'!D45,"##0.0%")</f>
        <v>Valeur par défaut: 31.6%</v>
      </c>
    </row>
    <row r="46" spans="2:6" x14ac:dyDescent="0.35">
      <c r="B46" s="18"/>
      <c r="C46" s="344" t="str">
        <f>IF('Éléments saisis (inputs)'!C46&lt;&gt;"",'Éléments saisis (inputs)'!C46,"")</f>
        <v>Prix d’acquisition, rabais de flotte du véhicule électrique inclus</v>
      </c>
      <c r="D46" s="355" cm="1">
        <f t="array" ref="D46">INDEX('2d. Annahmen'!$K$4:$K$7,_xlfn.XMATCH(D24,'2d. Annahmen'!$B$4:$B$7))*(1-'2d. Annahmen'!$B$29)</f>
        <v>28810.890000000003</v>
      </c>
      <c r="E46" s="344" t="str">
        <f>IF('Éléments saisis (inputs)'!E46&lt;&gt;"",'Éléments saisis (inputs)'!E46,"")</f>
        <v>CHF</v>
      </c>
      <c r="F46" s="344" t="str">
        <f>"Valeur par défaut: "&amp;TEXT('1a. Defaults Segment-Ebene'!D46,"#’##0")&amp;" "&amp;E46</f>
        <v>Valeur par défaut: 28’811 CHF</v>
      </c>
    </row>
    <row r="47" spans="2:6" x14ac:dyDescent="0.35">
      <c r="B47" s="18"/>
      <c r="C47" s="344" t="str">
        <f>IF('Éléments saisis (inputs)'!C47&lt;&gt;"",'Éléments saisis (inputs)'!C47,"")</f>
        <v>Frais d’entretien et de réparation du véhicule électrique</v>
      </c>
      <c r="D47" s="350">
        <f>D44*0.5</f>
        <v>2.5000000000000001E-2</v>
      </c>
      <c r="E47" s="344" t="str">
        <f>IF('Éléments saisis (inputs)'!E47&lt;&gt;"",'Éléments saisis (inputs)'!E47,"")</f>
        <v>CHF/km</v>
      </c>
      <c r="F47" s="344" t="str">
        <f>"Valeur par défaut: "&amp;TEXT('1a. Defaults Segment-Ebene'!D47,"0.000")&amp;" "&amp;E47</f>
        <v>Valeur par défaut: 0.025 CHF/km</v>
      </c>
    </row>
    <row r="48" spans="2:6" x14ac:dyDescent="0.35">
      <c r="B48" s="18"/>
      <c r="C48" s="344" t="str">
        <f>IF('Éléments saisis (inputs)'!C48&lt;&gt;"",'Éléments saisis (inputs)'!C48,"")</f>
        <v>Valeur résiduelle du véhicule électrique</v>
      </c>
      <c r="D48" s="356" cm="1">
        <f t="array" ref="D48">_xlfn.LET(_xlpm.class,D24,_xlpm.km,ROUNDUP(D31*IF(D18=INDEX(Einsatzart,1),D32,D32+D33)*D41/12/5000,0)*5000,_xlpm.lz,D41,_xlpm.totkm,'2d.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48" s="344" t="str">
        <f>IF('Éléments saisis (inputs)'!E48&lt;&gt;"",'Éléments saisis (inputs)'!E48,"")</f>
        <v/>
      </c>
      <c r="F48" s="344" t="str">
        <f>"Valeur par défaut: "&amp;TEXT('1a. Defaults Segment-Ebene'!D48,"##0.0%")</f>
        <v>Valeur par défaut: 30.7%</v>
      </c>
    </row>
    <row r="49" spans="2:10" x14ac:dyDescent="0.35">
      <c r="C49" s="283" t="str">
        <f>IF('Éléments saisis (inputs)'!C49&lt;&gt;"",'Éléments saisis (inputs)'!C49,"")</f>
        <v/>
      </c>
      <c r="D49" s="357"/>
      <c r="E49" s="283" t="str">
        <f>IF('Éléments saisis (inputs)'!E49&lt;&gt;"",'Éléments saisis (inputs)'!E49,"")</f>
        <v/>
      </c>
      <c r="F49" s="283"/>
      <c r="G49" s="283"/>
      <c r="H49" s="283"/>
      <c r="I49" s="283"/>
      <c r="J49" s="283"/>
    </row>
    <row r="50" spans="2:10" x14ac:dyDescent="0.35">
      <c r="C50" s="283" t="str">
        <f>IF('Éléments saisis (inputs)'!C50&lt;&gt;"",'Éléments saisis (inputs)'!C50,"")</f>
        <v/>
      </c>
      <c r="D50" s="358"/>
      <c r="E50" s="283" t="str">
        <f>IF('Éléments saisis (inputs)'!E50&lt;&gt;"",'Éléments saisis (inputs)'!E50,"")</f>
        <v/>
      </c>
      <c r="F50" s="283"/>
      <c r="G50" s="283"/>
      <c r="H50" s="283"/>
      <c r="I50" s="283"/>
      <c r="J50" s="283"/>
    </row>
    <row r="51" spans="2:10" ht="15" x14ac:dyDescent="0.35">
      <c r="B51" s="11" t="s">
        <v>54</v>
      </c>
      <c r="C51" s="11" t="str">
        <f>IF('Éléments saisis (inputs)'!C51&lt;&gt;"",'Éléments saisis (inputs)'!C51,"")</f>
        <v>Segment B</v>
      </c>
      <c r="D51" s="12"/>
      <c r="E51" s="13" t="str">
        <f>IF('Éléments saisis (inputs)'!E51&lt;&gt;"",'Éléments saisis (inputs)'!E51,"")</f>
        <v/>
      </c>
      <c r="F51" s="13"/>
      <c r="G51" s="283"/>
      <c r="H51" s="283"/>
      <c r="I51" s="283"/>
      <c r="J51" s="357"/>
    </row>
    <row r="52" spans="2:10" ht="18.899999999999999" x14ac:dyDescent="0.45">
      <c r="B52" s="18"/>
      <c r="C52" s="23" t="str">
        <f>IF('Éléments saisis (inputs)'!C52&lt;&gt;"",'Éléments saisis (inputs)'!C52,"")</f>
        <v/>
      </c>
      <c r="D52" s="24"/>
      <c r="E52" s="25" t="str">
        <f>IF('Éléments saisis (inputs)'!E52&lt;&gt;"",'Éléments saisis (inputs)'!E52,"")</f>
        <v/>
      </c>
      <c r="F52" s="25"/>
      <c r="G52" s="283"/>
      <c r="H52" s="283"/>
      <c r="I52" s="283"/>
      <c r="J52" s="283"/>
    </row>
    <row r="53" spans="2:10" x14ac:dyDescent="0.35">
      <c r="B53" s="18"/>
      <c r="C53" s="20" t="str">
        <f>IF('Éléments saisis (inputs)'!C53&lt;&gt;"",'Éléments saisis (inputs)'!C53,"")</f>
        <v>Structure des segments</v>
      </c>
      <c r="D53" s="343"/>
      <c r="E53" s="344" t="str">
        <f>IF('Éléments saisis (inputs)'!E53&lt;&gt;"",'Éléments saisis (inputs)'!E53,"")</f>
        <v/>
      </c>
      <c r="F53" s="344"/>
      <c r="G53" s="283"/>
      <c r="H53" s="283"/>
      <c r="I53" s="283"/>
      <c r="J53" s="283"/>
    </row>
    <row r="54" spans="2:10" x14ac:dyDescent="0.35">
      <c r="B54" s="18"/>
      <c r="C54" s="344" t="str">
        <f>IF('Éléments saisis (inputs)'!C54&lt;&gt;"",'Éléments saisis (inputs)'!C54,"")</f>
        <v>Nombre de véhicules</v>
      </c>
      <c r="D54" s="349">
        <f>'Éléments saisis (inputs)'!D54</f>
        <v>1</v>
      </c>
      <c r="E54" s="344" t="str">
        <f>IF('Éléments saisis (inputs)'!E54&lt;&gt;"",'Éléments saisis (inputs)'!E54,"")</f>
        <v/>
      </c>
      <c r="F54" s="344"/>
      <c r="G54" s="283"/>
      <c r="H54" s="283"/>
      <c r="I54" s="283"/>
      <c r="J54" s="283"/>
    </row>
    <row r="55" spans="2:10" x14ac:dyDescent="0.35">
      <c r="B55" s="18"/>
      <c r="C55" s="344" t="str">
        <f>IF('Éléments saisis (inputs)'!C55&lt;&gt;"",'Éléments saisis (inputs)'!C55,"")</f>
        <v>Type d’utilisation</v>
      </c>
      <c r="D55" s="349" t="str">
        <f>'Éléments saisis (inputs)'!D55</f>
        <v>Véhicules de pool</v>
      </c>
      <c r="E55" s="344" t="str">
        <f>IF('Éléments saisis (inputs)'!E55&lt;&gt;"",'Éléments saisis (inputs)'!E55,"")</f>
        <v/>
      </c>
      <c r="F55" s="344"/>
      <c r="G55" s="283"/>
      <c r="H55" s="283"/>
      <c r="I55" s="283"/>
      <c r="J55" s="283"/>
    </row>
    <row r="56" spans="2:10" x14ac:dyDescent="0.35">
      <c r="B56" s="18"/>
      <c r="C56" s="344" t="str">
        <f>IF('Éléments saisis (inputs)'!C56&lt;&gt;"",'Éléments saisis (inputs)'!C56,"")</f>
        <v>Domaine d’utilisation</v>
      </c>
      <c r="D56" s="349" t="str">
        <f>'Éléments saisis (inputs)'!D56</f>
        <v>Niveau régional</v>
      </c>
      <c r="E56" s="344" t="str">
        <f>IF('Éléments saisis (inputs)'!E56&lt;&gt;"",'Éléments saisis (inputs)'!E56,"")</f>
        <v/>
      </c>
      <c r="F56" s="344"/>
      <c r="G56" s="283"/>
      <c r="H56" s="283"/>
      <c r="I56" s="283"/>
      <c r="J56" s="283"/>
    </row>
    <row r="57" spans="2:10" x14ac:dyDescent="0.35">
      <c r="B57" s="18"/>
      <c r="C57" s="344" t="str">
        <f>IF('Éléments saisis (inputs)'!C57&lt;&gt;"",'Éléments saisis (inputs)'!C57,"")</f>
        <v>Possibilité de recharge à domicile</v>
      </c>
      <c r="D57" s="350" t="str" cm="1">
        <f t="array" ref="D57">INDEX(Heimladen,NOT(_xlfn.XMATCH(D55,Einsatzart)-1)+1)</f>
        <v>Non</v>
      </c>
      <c r="E57" s="344" t="str">
        <f>IF('Éléments saisis (inputs)'!E57&lt;&gt;"",'Éléments saisis (inputs)'!E57,"")</f>
        <v/>
      </c>
      <c r="F57" s="344" t="str">
        <f>"Valeur par défaut: "&amp;'1a. Defaults Segment-Ebene'!D57</f>
        <v>Valeur par défaut: Non</v>
      </c>
      <c r="G57" s="283"/>
      <c r="H57" s="283"/>
      <c r="I57" s="283"/>
      <c r="J57" s="283"/>
    </row>
    <row r="58" spans="2:10" x14ac:dyDescent="0.35">
      <c r="B58" s="18"/>
      <c r="C58" s="344" t="str">
        <f>IF('Éléments saisis (inputs)'!C58&lt;&gt;"",'Éléments saisis (inputs)'!C58,"")</f>
        <v/>
      </c>
      <c r="D58" s="343"/>
      <c r="E58" s="344" t="str">
        <f>IF('Éléments saisis (inputs)'!E58&lt;&gt;"",'Éléments saisis (inputs)'!E58,"")</f>
        <v/>
      </c>
      <c r="F58" s="344"/>
      <c r="G58" s="283"/>
      <c r="H58" s="283"/>
      <c r="I58" s="283"/>
      <c r="J58" s="283"/>
    </row>
    <row r="59" spans="2:10" x14ac:dyDescent="0.35">
      <c r="B59" s="18"/>
      <c r="C59" s="22" t="str">
        <f>IF('Éléments saisis (inputs)'!C59&lt;&gt;"",'Éléments saisis (inputs)'!C59,"")</f>
        <v>Données du véhicule</v>
      </c>
      <c r="D59" s="343"/>
      <c r="E59" s="344" t="str">
        <f>IF('Éléments saisis (inputs)'!E59&lt;&gt;"",'Éléments saisis (inputs)'!E59,"")</f>
        <v/>
      </c>
      <c r="F59" s="344"/>
      <c r="G59" s="283"/>
      <c r="H59" s="283"/>
      <c r="I59" s="283"/>
      <c r="J59" s="283"/>
    </row>
    <row r="60" spans="2:10" x14ac:dyDescent="0.35">
      <c r="B60" s="18"/>
      <c r="C60" s="344" t="str">
        <f>IF('Éléments saisis (inputs)'!C60&lt;&gt;"",'Éléments saisis (inputs)'!C60,"")</f>
        <v>Taille du véhicule</v>
      </c>
      <c r="D60" s="349" t="str">
        <f>'Éléments saisis (inputs)'!D60</f>
        <v>Catégorie moyenne</v>
      </c>
      <c r="E60" s="344" t="str">
        <f>IF('Éléments saisis (inputs)'!E60&lt;&gt;"",'Éléments saisis (inputs)'!E60,"")</f>
        <v/>
      </c>
      <c r="F60" s="344"/>
      <c r="G60" s="283"/>
      <c r="H60" s="283"/>
      <c r="I60" s="283"/>
      <c r="J60" s="283"/>
    </row>
    <row r="61" spans="2:10" x14ac:dyDescent="0.35">
      <c r="B61" s="18"/>
      <c r="C61" s="344" t="str">
        <f>IF('Éléments saisis (inputs)'!C61&lt;&gt;"",'Éléments saisis (inputs)'!C61,"")</f>
        <v>Consommation de carburant du véhicule thermique</v>
      </c>
      <c r="D61" s="350" cm="1">
        <f t="array" ref="D61">INDEX('2d. Annahmen'!$F$13:$F$16,_xlfn.XMATCH(D60,Grösse))</f>
        <v>5.8</v>
      </c>
      <c r="E61" s="344" t="str">
        <f>IF('Éléments saisis (inputs)'!E61&lt;&gt;"",'Éléments saisis (inputs)'!E61,"")</f>
        <v>l/100 km</v>
      </c>
      <c r="F61" s="344" t="str">
        <f>"Valeur par défaut: "&amp;TEXT('1a. Defaults Segment-Ebene'!D61,"##0.0")&amp;" "&amp;E61</f>
        <v>Valeur par défaut: 5.8 l/100 km</v>
      </c>
      <c r="G61" s="283"/>
      <c r="H61" s="283"/>
      <c r="I61" s="283"/>
      <c r="J61" s="283"/>
    </row>
    <row r="62" spans="2:10" x14ac:dyDescent="0.35">
      <c r="B62" s="18"/>
      <c r="C62" s="344" t="str">
        <f>IF('Éléments saisis (inputs)'!C62&lt;&gt;"",'Éléments saisis (inputs)'!C62,"")</f>
        <v>Consommation énergétique du véhicule électrique</v>
      </c>
      <c r="D62" s="350" cm="1">
        <f t="array" ref="D62">INDEX('2d. Annahmen'!$H$4:$H$7,_xlfn.XMATCH(D60,Grösse))</f>
        <v>15.1</v>
      </c>
      <c r="E62" s="344" t="str">
        <f>IF('Éléments saisis (inputs)'!E62&lt;&gt;"",'Éléments saisis (inputs)'!E62,"")</f>
        <v>kWh/100 km</v>
      </c>
      <c r="F62" s="344" t="str">
        <f>"Valeur par défaut: "&amp;TEXT('1a. Defaults Segment-Ebene'!D62,"##0.0")&amp;" "&amp;E62</f>
        <v>Valeur par défaut: 15.1 kWh/100 km</v>
      </c>
      <c r="G62" s="283"/>
      <c r="H62" s="283"/>
      <c r="I62" s="283"/>
      <c r="J62" s="283"/>
    </row>
    <row r="63" spans="2:10" x14ac:dyDescent="0.35">
      <c r="B63" s="18"/>
      <c r="C63" s="344" t="str">
        <f>IF('Éléments saisis (inputs)'!C63&lt;&gt;"",'Éléments saisis (inputs)'!C63,"")</f>
        <v>Capacité de la batterie (nette)</v>
      </c>
      <c r="D63" s="350" cm="1">
        <f t="array" ref="D63">INDEX('2d. Annahmen'!$F$4:$F$7,_xlfn.XMATCH(D60,Grösse))</f>
        <v>58.625</v>
      </c>
      <c r="E63" s="344" t="str">
        <f>IF('Éléments saisis (inputs)'!E63&lt;&gt;"",'Éléments saisis (inputs)'!E63,"")</f>
        <v>kWh</v>
      </c>
      <c r="F63" s="344" t="str">
        <f>"Valeur par défaut: "&amp;TEXT('1a. Defaults Segment-Ebene'!D63,"##0.0")&amp;" "&amp;E63</f>
        <v>Valeur par défaut: 58.6 kWh</v>
      </c>
      <c r="G63" s="283"/>
      <c r="H63" s="283"/>
      <c r="I63" s="283"/>
      <c r="J63" s="283"/>
    </row>
    <row r="64" spans="2:10" x14ac:dyDescent="0.35">
      <c r="B64" s="18"/>
      <c r="C64" s="344" t="str">
        <f>IF('Éléments saisis (inputs)'!C64&lt;&gt;"",'Éléments saisis (inputs)'!C64,"")</f>
        <v/>
      </c>
      <c r="D64" s="343"/>
      <c r="E64" s="344" t="str">
        <f>IF('Éléments saisis (inputs)'!E64&lt;&gt;"",'Éléments saisis (inputs)'!E64,"")</f>
        <v/>
      </c>
      <c r="F64" s="344"/>
      <c r="G64" s="283"/>
      <c r="H64" s="283"/>
      <c r="I64" s="283"/>
      <c r="J64" s="283"/>
    </row>
    <row r="65" spans="2:6" x14ac:dyDescent="0.35">
      <c r="B65" s="18"/>
      <c r="C65" s="20" t="str">
        <f>IF('Éléments saisis (inputs)'!C65&lt;&gt;"",'Éléments saisis (inputs)'!C65,"")</f>
        <v>Profil de conduite et d’utilisation (indication par véhicule)</v>
      </c>
      <c r="D65" s="343"/>
      <c r="E65" s="344" t="str">
        <f>IF('Éléments saisis (inputs)'!E65&lt;&gt;"",'Éléments saisis (inputs)'!E65,"")</f>
        <v/>
      </c>
      <c r="F65" s="344"/>
    </row>
    <row r="66" spans="2:6" x14ac:dyDescent="0.35">
      <c r="B66" s="18"/>
      <c r="C66" s="344" t="str">
        <f>IF('Éléments saisis (inputs)'!C66&lt;&gt;"",'Éléments saisis (inputs)'!C66,"")</f>
        <v>Modèle d’utilisation</v>
      </c>
      <c r="D66" s="349" t="str">
        <f>'Éléments saisis (inputs)'!D66</f>
        <v>Exploitation pendant les jours ouvrables</v>
      </c>
      <c r="E66" s="344" t="str">
        <f>IF('Éléments saisis (inputs)'!E66&lt;&gt;"",'Éléments saisis (inputs)'!E66,"")</f>
        <v/>
      </c>
      <c r="F66" s="344"/>
    </row>
    <row r="67" spans="2:6" x14ac:dyDescent="0.35">
      <c r="B67" s="18"/>
      <c r="C67" s="344" t="str">
        <f>IF('Éléments saisis (inputs)'!C67&lt;&gt;"",'Éléments saisis (inputs)'!C67,"")</f>
        <v>Nombre de jours de travail par an</v>
      </c>
      <c r="D67" s="350" cm="1">
        <f t="array" ref="D67">INDEX('1e. Dropdown Values'!$A$7:$D$7,_xlfn.XMATCH(D66,'1e. Dropdown Values'!$A$6:$D$6))</f>
        <v>260</v>
      </c>
      <c r="E67" s="344" t="str">
        <f>IF('Éléments saisis (inputs)'!E67&lt;&gt;"",'Éléments saisis (inputs)'!E67,"")</f>
        <v/>
      </c>
      <c r="F67" s="344" t="str">
        <f>"Valeur par défaut: "&amp;TEXT('1a. Defaults Segment-Ebene'!D67,"##0")</f>
        <v>Valeur par défaut: 260</v>
      </c>
    </row>
    <row r="68" spans="2:6" x14ac:dyDescent="0.35">
      <c r="B68" s="18"/>
      <c r="C68" s="344" t="str">
        <f>IF('Éléments saisis (inputs)'!C68&lt;&gt;"",'Éléments saisis (inputs)'!C68,"")</f>
        <v>Distance parcourue pendant le temps de travail</v>
      </c>
      <c r="D68" s="350" cm="1">
        <f t="array" ref="D68">INDEX('1e. Dropdown Values'!$A$4:$D$4,_xlfn.XMATCH(D56,'1e. Dropdown Values'!$A$3:$D$3))</f>
        <v>100</v>
      </c>
      <c r="E68" s="344" t="str">
        <f>IF('Éléments saisis (inputs)'!E68&lt;&gt;"",'Éléments saisis (inputs)'!E68,"")</f>
        <v>km/jour</v>
      </c>
      <c r="F68" s="344" t="str">
        <f>"Valeur par défaut: "&amp;TEXT('1a. Defaults Segment-Ebene'!D68,"##0")&amp;" "&amp;E68</f>
        <v>Valeur par défaut: 100 km/jour</v>
      </c>
    </row>
    <row r="69" spans="2:6" x14ac:dyDescent="0.35">
      <c r="B69" s="18"/>
      <c r="C69" s="344" t="str">
        <f>IF('Éléments saisis (inputs)'!C69&lt;&gt;"",'Éléments saisis (inputs)'!C69,"")</f>
        <v>Distance domicile-travail (aller-retour)</v>
      </c>
      <c r="D69" s="350">
        <f>(_xlfn.XMATCH(D55,Einsatzart)-1)*30</f>
        <v>0</v>
      </c>
      <c r="E69" s="344" t="str">
        <f>IF('Éléments saisis (inputs)'!E69&lt;&gt;"",'Éléments saisis (inputs)'!E69,"")</f>
        <v>km/jour</v>
      </c>
      <c r="F69" s="344" t="str">
        <f>"Valeur par défaut: "&amp;TEXT('1a. Defaults Segment-Ebene'!D69,"##0")&amp;" "&amp;E69</f>
        <v>Valeur par défaut: 0 km/jour</v>
      </c>
    </row>
    <row r="70" spans="2:6" x14ac:dyDescent="0.35">
      <c r="B70" s="18"/>
      <c r="C70" s="344" t="str">
        <f>IF('Éléments saisis (inputs)'!C70&lt;&gt;"",'Éléments saisis (inputs)'!C70,"")</f>
        <v>Nombre d’utilisations par jour</v>
      </c>
      <c r="D70" s="350">
        <v>1</v>
      </c>
      <c r="E70" s="344" t="str">
        <f>IF('Éléments saisis (inputs)'!E70&lt;&gt;"",'Éléments saisis (inputs)'!E70,"")</f>
        <v/>
      </c>
      <c r="F70" s="344" t="str">
        <f>"Valeur par défaut: "&amp;TEXT('1a. Defaults Segment-Ebene'!D70,"##0")</f>
        <v>Valeur par défaut: 1</v>
      </c>
    </row>
    <row r="71" spans="2:6" x14ac:dyDescent="0.35">
      <c r="B71" s="18"/>
      <c r="C71" s="344" t="str">
        <f>IF('Éléments saisis (inputs)'!C71&lt;&gt;"",'Éléments saisis (inputs)'!C71,"")</f>
        <v>Nombre de pauses par jour</v>
      </c>
      <c r="D71" s="350"/>
      <c r="E71" s="344" t="str">
        <f>IF('Éléments saisis (inputs)'!E71&lt;&gt;"",'Éléments saisis (inputs)'!E71,"")</f>
        <v/>
      </c>
      <c r="F71" s="344"/>
    </row>
    <row r="72" spans="2:6" x14ac:dyDescent="0.35">
      <c r="B72" s="18"/>
      <c r="C72" s="344" t="str">
        <f>IF('Éléments saisis (inputs)'!C72&lt;&gt;"",'Éléments saisis (inputs)'!C72,"")</f>
        <v>Durée d’immobilisation par pause sur le site de l’entreprise</v>
      </c>
      <c r="D72" s="350" cm="1">
        <f t="array" ref="D72">INDEX('1e. Dropdown Values'!$A$9:$D$9,_xlfn.XMATCH(D66,'1e. Dropdown Values'!$A$6:$D$6))</f>
        <v>1</v>
      </c>
      <c r="E72" s="344" t="str">
        <f>IF('Éléments saisis (inputs)'!E72&lt;&gt;"",'Éléments saisis (inputs)'!E72,"")</f>
        <v>Heures</v>
      </c>
      <c r="F72" s="344" t="str">
        <f>"Valeur par défaut: "&amp;TEXT('1a. Defaults Segment-Ebene'!D72,"##0")&amp;" "&amp;IF(D72=1,"Heure",E72)</f>
        <v>Valeur par défaut: 1 Heure</v>
      </c>
    </row>
    <row r="73" spans="2:6" x14ac:dyDescent="0.35">
      <c r="B73" s="18"/>
      <c r="C73" s="344" t="str">
        <f>IF('Éléments saisis (inputs)'!C73&lt;&gt;"",'Éléments saisis (inputs)'!C73,"")</f>
        <v>Durée d’immobilisation pendant la nuit</v>
      </c>
      <c r="D73" s="350" cm="1">
        <f t="array" ref="D73">INDEX('1e. Dropdown Values'!$A$8:$D$8,_xlfn.XMATCH(D66,'1e. Dropdown Values'!$A$6:$D$6))</f>
        <v>8</v>
      </c>
      <c r="E73" s="344" t="str">
        <f>IF('Éléments saisis (inputs)'!E73&lt;&gt;"",'Éléments saisis (inputs)'!E73,"")</f>
        <v>Heures</v>
      </c>
      <c r="F73" s="344" t="str">
        <f>"Valeur par défaut: "&amp;TEXT('1a. Defaults Segment-Ebene'!D73,"##0")&amp;" "&amp;IF(D73=1,"Heure",E73)</f>
        <v>Valeur par défaut: 8 Heures</v>
      </c>
    </row>
    <row r="74" spans="2:6" x14ac:dyDescent="0.35">
      <c r="B74" s="18"/>
      <c r="C74" s="344" t="str">
        <f>IF('Éléments saisis (inputs)'!C74&lt;&gt;"",'Éléments saisis (inputs)'!C74,"")</f>
        <v>Véhicules par point de recharge, site de l’entreprise (pendant la journée)</v>
      </c>
      <c r="D74" s="350" cm="1">
        <f t="array" ref="D74">INDEX('1e. Dropdown Values'!$B$10:$D$10,_xlfn.XMATCH(D66,Nutzungsmuster))</f>
        <v>1</v>
      </c>
      <c r="E74" s="344" t="str">
        <f>IF('Éléments saisis (inputs)'!E74&lt;&gt;"",'Éléments saisis (inputs)'!E74,"")</f>
        <v/>
      </c>
      <c r="F74" s="344" t="str">
        <f>"Valeur par défaut: "&amp;TEXT('1a. Defaults Segment-Ebene'!D74,"##0")</f>
        <v>Valeur par défaut: 1</v>
      </c>
    </row>
    <row r="75" spans="2:6" x14ac:dyDescent="0.35">
      <c r="B75" s="18"/>
      <c r="C75" s="344" t="str">
        <f>IF('Éléments saisis (inputs)'!C75&lt;&gt;"",'Éléments saisis (inputs)'!C75,"")</f>
        <v/>
      </c>
      <c r="D75" s="343"/>
      <c r="E75" s="344" t="str">
        <f>IF('Éléments saisis (inputs)'!E75&lt;&gt;"",'Éléments saisis (inputs)'!E75,"")</f>
        <v/>
      </c>
      <c r="F75" s="344"/>
    </row>
    <row r="76" spans="2:6" x14ac:dyDescent="0.35">
      <c r="B76" s="18"/>
      <c r="C76" s="20" t="str">
        <f>IF('Éléments saisis (inputs)'!C76&lt;&gt;"",'Éléments saisis (inputs)'!C76,"")</f>
        <v>Coûts (indication par véhicule)</v>
      </c>
      <c r="D76" s="343"/>
      <c r="E76" s="344" t="str">
        <f>IF('Éléments saisis (inputs)'!E76&lt;&gt;"",'Éléments saisis (inputs)'!E76,"")</f>
        <v/>
      </c>
      <c r="F76" s="344"/>
    </row>
    <row r="77" spans="2:6" x14ac:dyDescent="0.35">
      <c r="B77" s="18"/>
      <c r="C77" s="344" t="str">
        <f>IF('Éléments saisis (inputs)'!C77&lt;&gt;"",'Éléments saisis (inputs)'!C77,"")</f>
        <v>Durée</v>
      </c>
      <c r="D77" s="353">
        <f>'Éléments saisis (inputs)'!D77</f>
        <v>48</v>
      </c>
      <c r="E77" s="344" t="str">
        <f>IF('Éléments saisis (inputs)'!E77&lt;&gt;"",'Éléments saisis (inputs)'!E77,"")</f>
        <v>Mois</v>
      </c>
      <c r="F77" s="344"/>
    </row>
    <row r="78" spans="2:6" x14ac:dyDescent="0.35">
      <c r="B78" s="18"/>
      <c r="C78" s="344" t="str">
        <f>IF('Éléments saisis (inputs)'!C78&lt;&gt;"",'Éléments saisis (inputs)'!C78,"")</f>
        <v>Taux d’intérêt du leasing</v>
      </c>
      <c r="D78" s="354">
        <v>0.03</v>
      </c>
      <c r="E78" s="344" t="str">
        <f>IF('Éléments saisis (inputs)'!E78&lt;&gt;"",'Éléments saisis (inputs)'!E78,"")</f>
        <v/>
      </c>
      <c r="F78" s="344" t="str">
        <f>"Valeur par défaut: "&amp;TEXT('1a. Defaults Segment-Ebene'!D78,"##0.0%")</f>
        <v>Valeur par défaut: 3.0%</v>
      </c>
    </row>
    <row r="79" spans="2:6" x14ac:dyDescent="0.35">
      <c r="B79" s="18"/>
      <c r="C79" s="344" t="str">
        <f>IF('Éléments saisis (inputs)'!C79&lt;&gt;"",'Éléments saisis (inputs)'!C79,"")</f>
        <v>Prix d’acquisition, rabais de flotte du véhicule thermique inclus</v>
      </c>
      <c r="D79" s="355" cm="1">
        <f t="array" ref="D79">INDEX('2d. Annahmen'!$H$13:$H$16,_xlfn.XMATCH(D60,'2d. Annahmen'!$B$4:$B$7))*(1-'2d. Annahmen'!$B$30)</f>
        <v>27219.464999999997</v>
      </c>
      <c r="E79" s="344" t="str">
        <f>IF('Éléments saisis (inputs)'!E79&lt;&gt;"",'Éléments saisis (inputs)'!E79,"")</f>
        <v>CHF</v>
      </c>
      <c r="F79" s="344" t="str">
        <f>"Valeur par défaut: "&amp;TEXT('1a. Defaults Segment-Ebene'!D79,"#’##0")&amp;" "&amp;E79</f>
        <v>Valeur par défaut: 27’219 CHF</v>
      </c>
    </row>
    <row r="80" spans="2:6" x14ac:dyDescent="0.35">
      <c r="B80" s="18"/>
      <c r="C80" s="344" t="str">
        <f>IF('Éléments saisis (inputs)'!C80&lt;&gt;"",'Éléments saisis (inputs)'!C80,"")</f>
        <v>Frais d’entretien et de réparation du véhicule thermique</v>
      </c>
      <c r="D80" s="350" cm="1">
        <f t="array" ref="D80">INDEX('2d. Annahmen'!$J$13:$J$16,_xlfn.XMATCH(D60,Grösse))/20000</f>
        <v>0.05</v>
      </c>
      <c r="E80" s="344" t="str">
        <f>IF('Éléments saisis (inputs)'!E80&lt;&gt;"",'Éléments saisis (inputs)'!E80,"")</f>
        <v>CHF/km</v>
      </c>
      <c r="F80" s="344" t="str">
        <f>"Valeur par défaut: "&amp;TEXT('1a. Defaults Segment-Ebene'!D80,"##0.000")&amp;" "&amp;E80</f>
        <v>Valeur par défaut: 0.050 CHF/km</v>
      </c>
    </row>
    <row r="81" spans="2:6" x14ac:dyDescent="0.35">
      <c r="B81" s="18"/>
      <c r="C81" s="344" t="str">
        <f>IF('Éléments saisis (inputs)'!C81&lt;&gt;"",'Éléments saisis (inputs)'!C81,"")</f>
        <v>Valeur résiduelle du véhicule thermique</v>
      </c>
      <c r="D81" s="356" cm="1">
        <f t="array" ref="D81">_xlfn.LET(_xlpm.class,D60,_xlpm.km,ROUNDUP(D67*IF(D54=INDEX(Einsatzart,1),D68,D68+D69)*D77/12/5000,0)*5000,_xlpm.lz,D77,_xlpm.totkm,'2d.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81" s="344" t="str">
        <f>IF('Éléments saisis (inputs)'!E81&lt;&gt;"",'Éléments saisis (inputs)'!E81,"")</f>
        <v/>
      </c>
      <c r="F81" s="344" t="str">
        <f>"Valeur par défaut: "&amp;TEXT('1a. Defaults Segment-Ebene'!D81,"##0.0%")</f>
        <v>Valeur par défaut: 31.6%</v>
      </c>
    </row>
    <row r="82" spans="2:6" x14ac:dyDescent="0.35">
      <c r="B82" s="18"/>
      <c r="C82" s="344" t="str">
        <f>IF('Éléments saisis (inputs)'!C82&lt;&gt;"",'Éléments saisis (inputs)'!C82,"")</f>
        <v>Prix d’acquisition, rabais de flotte du véhicule électrique inclus</v>
      </c>
      <c r="D82" s="355" cm="1">
        <f t="array" ref="D82">INDEX('2d. Annahmen'!$K$4:$K$7,_xlfn.XMATCH(D60,'2d. Annahmen'!$B$4:$B$7))*(1-'2d. Annahmen'!$B$29)</f>
        <v>28810.890000000003</v>
      </c>
      <c r="E82" s="344" t="str">
        <f>IF('Éléments saisis (inputs)'!E82&lt;&gt;"",'Éléments saisis (inputs)'!E82,"")</f>
        <v>CHF</v>
      </c>
      <c r="F82" s="344" t="str">
        <f>"Valeur par défaut: "&amp;TEXT('1a. Defaults Segment-Ebene'!D82,"#’##0")&amp;" "&amp;E82</f>
        <v>Valeur par défaut: 28’811 CHF</v>
      </c>
    </row>
    <row r="83" spans="2:6" x14ac:dyDescent="0.35">
      <c r="B83" s="18"/>
      <c r="C83" s="344" t="str">
        <f>IF('Éléments saisis (inputs)'!C83&lt;&gt;"",'Éléments saisis (inputs)'!C83,"")</f>
        <v>Frais d’entretien et de réparation du véhicule électrique</v>
      </c>
      <c r="D83" s="350">
        <f>D80*0.5</f>
        <v>2.5000000000000001E-2</v>
      </c>
      <c r="E83" s="344" t="str">
        <f>IF('Éléments saisis (inputs)'!E83&lt;&gt;"",'Éléments saisis (inputs)'!E83,"")</f>
        <v>CHF/km</v>
      </c>
      <c r="F83" s="344" t="str">
        <f>"Valeur par défaut: "&amp;TEXT('1a. Defaults Segment-Ebene'!D83,"0.000")&amp;" "&amp;E83</f>
        <v>Valeur par défaut: 0.025 CHF/km</v>
      </c>
    </row>
    <row r="84" spans="2:6" x14ac:dyDescent="0.35">
      <c r="B84" s="18"/>
      <c r="C84" s="344" t="str">
        <f>IF('Éléments saisis (inputs)'!C84&lt;&gt;"",'Éléments saisis (inputs)'!C84,"")</f>
        <v>Valeur résiduelle du véhicule électrique</v>
      </c>
      <c r="D84" s="356" cm="1">
        <f t="array" ref="D84">_xlfn.LET(_xlpm.class,D60,_xlpm.km,ROUNDUP(D67*IF(D54=INDEX(Einsatzart,1),D68,D68+D69)*D77/12/5000,0)*5000,_xlpm.lz,D77,_xlpm.totkm,'2d.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84" s="344" t="str">
        <f>IF('Éléments saisis (inputs)'!E84&lt;&gt;"",'Éléments saisis (inputs)'!E84,"")</f>
        <v/>
      </c>
      <c r="F84" s="344" t="str">
        <f>"Valeur par défaut: "&amp;TEXT('1a. Defaults Segment-Ebene'!D84,"##0.0%")</f>
        <v>Valeur par défaut: 30.7%</v>
      </c>
    </row>
    <row r="85" spans="2:6" x14ac:dyDescent="0.35">
      <c r="C85" s="283" t="str">
        <f>IF('Éléments saisis (inputs)'!C85&lt;&gt;"",'Éléments saisis (inputs)'!C85,"")</f>
        <v/>
      </c>
      <c r="D85" s="283"/>
      <c r="E85" s="283" t="str">
        <f>IF('Éléments saisis (inputs)'!E85&lt;&gt;"",'Éléments saisis (inputs)'!E85,"")</f>
        <v/>
      </c>
      <c r="F85" s="283"/>
    </row>
    <row r="86" spans="2:6" x14ac:dyDescent="0.35">
      <c r="C86" s="283" t="str">
        <f>IF('Éléments saisis (inputs)'!C86&lt;&gt;"",'Éléments saisis (inputs)'!C86,"")</f>
        <v/>
      </c>
      <c r="D86" s="283"/>
      <c r="E86" s="283" t="str">
        <f>IF('Éléments saisis (inputs)'!E86&lt;&gt;"",'Éléments saisis (inputs)'!E86,"")</f>
        <v/>
      </c>
      <c r="F86" s="283"/>
    </row>
    <row r="87" spans="2:6" ht="15" x14ac:dyDescent="0.35">
      <c r="B87" s="11" t="s">
        <v>55</v>
      </c>
      <c r="C87" s="11" t="str">
        <f>IF('Éléments saisis (inputs)'!C87&lt;&gt;"",'Éléments saisis (inputs)'!C87,"")</f>
        <v>Segment C</v>
      </c>
      <c r="D87" s="12"/>
      <c r="E87" s="13" t="str">
        <f>IF('Éléments saisis (inputs)'!E87&lt;&gt;"",'Éléments saisis (inputs)'!E87,"")</f>
        <v/>
      </c>
      <c r="F87" s="13"/>
    </row>
    <row r="88" spans="2:6" ht="18.899999999999999" x14ac:dyDescent="0.45">
      <c r="B88" s="18"/>
      <c r="C88" s="23" t="str">
        <f>IF('Éléments saisis (inputs)'!C88&lt;&gt;"",'Éléments saisis (inputs)'!C88,"")</f>
        <v/>
      </c>
      <c r="D88" s="24"/>
      <c r="E88" s="25" t="str">
        <f>IF('Éléments saisis (inputs)'!E88&lt;&gt;"",'Éléments saisis (inputs)'!E88,"")</f>
        <v/>
      </c>
      <c r="F88" s="25"/>
    </row>
    <row r="89" spans="2:6" x14ac:dyDescent="0.35">
      <c r="B89" s="18"/>
      <c r="C89" s="20" t="str">
        <f>IF('Éléments saisis (inputs)'!C89&lt;&gt;"",'Éléments saisis (inputs)'!C89,"")</f>
        <v>Structure des segments</v>
      </c>
      <c r="D89" s="343"/>
      <c r="E89" s="344" t="str">
        <f>IF('Éléments saisis (inputs)'!E89&lt;&gt;"",'Éléments saisis (inputs)'!E89,"")</f>
        <v/>
      </c>
      <c r="F89" s="344"/>
    </row>
    <row r="90" spans="2:6" x14ac:dyDescent="0.35">
      <c r="B90" s="18"/>
      <c r="C90" s="344" t="str">
        <f>IF('Éléments saisis (inputs)'!C90&lt;&gt;"",'Éléments saisis (inputs)'!C90,"")</f>
        <v>Nombre de véhicules</v>
      </c>
      <c r="D90" s="349">
        <f>'Éléments saisis (inputs)'!D90</f>
        <v>1</v>
      </c>
      <c r="E90" s="344" t="str">
        <f>IF('Éléments saisis (inputs)'!E90&lt;&gt;"",'Éléments saisis (inputs)'!E90,"")</f>
        <v/>
      </c>
      <c r="F90" s="344"/>
    </row>
    <row r="91" spans="2:6" x14ac:dyDescent="0.35">
      <c r="B91" s="18"/>
      <c r="C91" s="344" t="str">
        <f>IF('Éléments saisis (inputs)'!C91&lt;&gt;"",'Éléments saisis (inputs)'!C91,"")</f>
        <v>Type d’utilisation</v>
      </c>
      <c r="D91" s="349" t="str">
        <f>'Éléments saisis (inputs)'!D91</f>
        <v>Véhicules de pool</v>
      </c>
      <c r="E91" s="344" t="str">
        <f>IF('Éléments saisis (inputs)'!E91&lt;&gt;"",'Éléments saisis (inputs)'!E91,"")</f>
        <v/>
      </c>
      <c r="F91" s="344"/>
    </row>
    <row r="92" spans="2:6" x14ac:dyDescent="0.35">
      <c r="B92" s="18"/>
      <c r="C92" s="344" t="str">
        <f>IF('Éléments saisis (inputs)'!C92&lt;&gt;"",'Éléments saisis (inputs)'!C92,"")</f>
        <v>Domaine d’utilisation</v>
      </c>
      <c r="D92" s="349" t="str">
        <f>'Éléments saisis (inputs)'!D92</f>
        <v>Niveau régional</v>
      </c>
      <c r="E92" s="344" t="str">
        <f>IF('Éléments saisis (inputs)'!E92&lt;&gt;"",'Éléments saisis (inputs)'!E92,"")</f>
        <v/>
      </c>
      <c r="F92" s="344"/>
    </row>
    <row r="93" spans="2:6" x14ac:dyDescent="0.35">
      <c r="B93" s="18"/>
      <c r="C93" s="344" t="str">
        <f>IF('Éléments saisis (inputs)'!C93&lt;&gt;"",'Éléments saisis (inputs)'!C93,"")</f>
        <v>Possibilité de recharge à domicile</v>
      </c>
      <c r="D93" s="350" t="str" cm="1">
        <f t="array" ref="D93">INDEX(Heimladen,NOT(_xlfn.XMATCH(D91,Einsatzart)-1)+1)</f>
        <v>Non</v>
      </c>
      <c r="E93" s="344" t="str">
        <f>IF('Éléments saisis (inputs)'!E93&lt;&gt;"",'Éléments saisis (inputs)'!E93,"")</f>
        <v/>
      </c>
      <c r="F93" s="344" t="str">
        <f>"Valeur par défaut: "&amp;'1a. Defaults Segment-Ebene'!D93</f>
        <v>Valeur par défaut: Non</v>
      </c>
    </row>
    <row r="94" spans="2:6" x14ac:dyDescent="0.35">
      <c r="B94" s="18"/>
      <c r="C94" s="344" t="str">
        <f>IF('Éléments saisis (inputs)'!C94&lt;&gt;"",'Éléments saisis (inputs)'!C94,"")</f>
        <v/>
      </c>
      <c r="D94" s="343"/>
      <c r="E94" s="344" t="str">
        <f>IF('Éléments saisis (inputs)'!E94&lt;&gt;"",'Éléments saisis (inputs)'!E94,"")</f>
        <v/>
      </c>
      <c r="F94" s="344"/>
    </row>
    <row r="95" spans="2:6" x14ac:dyDescent="0.35">
      <c r="B95" s="18"/>
      <c r="C95" s="22" t="str">
        <f>IF('Éléments saisis (inputs)'!C95&lt;&gt;"",'Éléments saisis (inputs)'!C95,"")</f>
        <v>Données du véhicule</v>
      </c>
      <c r="D95" s="343"/>
      <c r="E95" s="344" t="str">
        <f>IF('Éléments saisis (inputs)'!E95&lt;&gt;"",'Éléments saisis (inputs)'!E95,"")</f>
        <v/>
      </c>
      <c r="F95" s="344"/>
    </row>
    <row r="96" spans="2:6" x14ac:dyDescent="0.35">
      <c r="B96" s="18"/>
      <c r="C96" s="344" t="str">
        <f>IF('Éléments saisis (inputs)'!C96&lt;&gt;"",'Éléments saisis (inputs)'!C96,"")</f>
        <v>Taille du véhicule</v>
      </c>
      <c r="D96" s="349" t="str">
        <f>'Éléments saisis (inputs)'!D96</f>
        <v>Catégorie moyenne</v>
      </c>
      <c r="E96" s="344" t="str">
        <f>IF('Éléments saisis (inputs)'!E96&lt;&gt;"",'Éléments saisis (inputs)'!E96,"")</f>
        <v/>
      </c>
      <c r="F96" s="344"/>
    </row>
    <row r="97" spans="2:6" x14ac:dyDescent="0.35">
      <c r="B97" s="18"/>
      <c r="C97" s="344" t="str">
        <f>IF('Éléments saisis (inputs)'!C97&lt;&gt;"",'Éléments saisis (inputs)'!C97,"")</f>
        <v>Consommation de carburant du véhicule thermique</v>
      </c>
      <c r="D97" s="350" cm="1">
        <f t="array" ref="D97">INDEX('2d. Annahmen'!$F$13:$F$16,_xlfn.XMATCH(D96,Grösse))</f>
        <v>5.8</v>
      </c>
      <c r="E97" s="344" t="str">
        <f>IF('Éléments saisis (inputs)'!E97&lt;&gt;"",'Éléments saisis (inputs)'!E97,"")</f>
        <v>l/100 km</v>
      </c>
      <c r="F97" s="344" t="str">
        <f>"Valeur par défaut: "&amp;TEXT('1a. Defaults Segment-Ebene'!D97,"##0.0")&amp;" "&amp;E97</f>
        <v>Valeur par défaut: 5.8 l/100 km</v>
      </c>
    </row>
    <row r="98" spans="2:6" x14ac:dyDescent="0.35">
      <c r="B98" s="18"/>
      <c r="C98" s="344" t="str">
        <f>IF('Éléments saisis (inputs)'!C98&lt;&gt;"",'Éléments saisis (inputs)'!C98,"")</f>
        <v>Consommation énergétique du véhicule électrique</v>
      </c>
      <c r="D98" s="350" cm="1">
        <f t="array" ref="D98">INDEX('2d. Annahmen'!$H$4:$H$7,_xlfn.XMATCH(D96,Grösse))</f>
        <v>15.1</v>
      </c>
      <c r="E98" s="344" t="str">
        <f>IF('Éléments saisis (inputs)'!E98&lt;&gt;"",'Éléments saisis (inputs)'!E98,"")</f>
        <v>kWh/100 km</v>
      </c>
      <c r="F98" s="344" t="str">
        <f>"Valeur par défaut: "&amp;TEXT('1a. Defaults Segment-Ebene'!D98,"##0.0")&amp;" "&amp;E98</f>
        <v>Valeur par défaut: 15.1 kWh/100 km</v>
      </c>
    </row>
    <row r="99" spans="2:6" x14ac:dyDescent="0.35">
      <c r="B99" s="18"/>
      <c r="C99" s="344" t="str">
        <f>IF('Éléments saisis (inputs)'!C99&lt;&gt;"",'Éléments saisis (inputs)'!C99,"")</f>
        <v>Capacité de la batterie (nette)</v>
      </c>
      <c r="D99" s="350" cm="1">
        <f t="array" ref="D99">INDEX('2d. Annahmen'!$F$4:$F$7,_xlfn.XMATCH(D96,Grösse))</f>
        <v>58.625</v>
      </c>
      <c r="E99" s="344" t="str">
        <f>IF('Éléments saisis (inputs)'!E99&lt;&gt;"",'Éléments saisis (inputs)'!E99,"")</f>
        <v>kWh</v>
      </c>
      <c r="F99" s="344" t="str">
        <f>"Valeur par défaut: "&amp;TEXT('1a. Defaults Segment-Ebene'!D99,"##0.0")&amp;" "&amp;E99</f>
        <v>Valeur par défaut: 58.6 kWh</v>
      </c>
    </row>
    <row r="100" spans="2:6" x14ac:dyDescent="0.35">
      <c r="B100" s="18"/>
      <c r="C100" s="344" t="str">
        <f>IF('Éléments saisis (inputs)'!C100&lt;&gt;"",'Éléments saisis (inputs)'!C100,"")</f>
        <v/>
      </c>
      <c r="D100" s="343"/>
      <c r="E100" s="344" t="str">
        <f>IF('Éléments saisis (inputs)'!E100&lt;&gt;"",'Éléments saisis (inputs)'!E100,"")</f>
        <v/>
      </c>
      <c r="F100" s="344"/>
    </row>
    <row r="101" spans="2:6" x14ac:dyDescent="0.35">
      <c r="B101" s="18"/>
      <c r="C101" s="20" t="str">
        <f>IF('Éléments saisis (inputs)'!C101&lt;&gt;"",'Éléments saisis (inputs)'!C101,"")</f>
        <v>Profil de conduite et d’utilisation (indication par véhicule)</v>
      </c>
      <c r="D101" s="343"/>
      <c r="E101" s="344" t="str">
        <f>IF('Éléments saisis (inputs)'!E101&lt;&gt;"",'Éléments saisis (inputs)'!E101,"")</f>
        <v/>
      </c>
      <c r="F101" s="344"/>
    </row>
    <row r="102" spans="2:6" x14ac:dyDescent="0.35">
      <c r="B102" s="18"/>
      <c r="C102" s="344" t="str">
        <f>IF('Éléments saisis (inputs)'!C102&lt;&gt;"",'Éléments saisis (inputs)'!C102,"")</f>
        <v>Modèle d’utilisation</v>
      </c>
      <c r="D102" s="349" t="str">
        <f>'Éléments saisis (inputs)'!D102</f>
        <v>Exploitation pendant les jours ouvrables</v>
      </c>
      <c r="E102" s="344" t="str">
        <f>IF('Éléments saisis (inputs)'!E102&lt;&gt;"",'Éléments saisis (inputs)'!E102,"")</f>
        <v/>
      </c>
      <c r="F102" s="344"/>
    </row>
    <row r="103" spans="2:6" x14ac:dyDescent="0.35">
      <c r="B103" s="18"/>
      <c r="C103" s="344" t="str">
        <f>IF('Éléments saisis (inputs)'!C103&lt;&gt;"",'Éléments saisis (inputs)'!C103,"")</f>
        <v>Nombre de jours de travail par an</v>
      </c>
      <c r="D103" s="350" cm="1">
        <f t="array" ref="D103">INDEX('1e. Dropdown Values'!$A$7:$D$7,_xlfn.XMATCH(D102,'1e. Dropdown Values'!$A$6:$D$6))</f>
        <v>260</v>
      </c>
      <c r="E103" s="344" t="str">
        <f>IF('Éléments saisis (inputs)'!E103&lt;&gt;"",'Éléments saisis (inputs)'!E103,"")</f>
        <v/>
      </c>
      <c r="F103" s="344" t="str">
        <f>"Valeur par défaut: "&amp;TEXT('1a. Defaults Segment-Ebene'!D103,"##0")</f>
        <v>Valeur par défaut: 260</v>
      </c>
    </row>
    <row r="104" spans="2:6" x14ac:dyDescent="0.35">
      <c r="B104" s="18"/>
      <c r="C104" s="344" t="str">
        <f>IF('Éléments saisis (inputs)'!C104&lt;&gt;"",'Éléments saisis (inputs)'!C104,"")</f>
        <v>Distance parcourue pendant le temps de travail</v>
      </c>
      <c r="D104" s="350" cm="1">
        <f t="array" ref="D104">INDEX('1e. Dropdown Values'!$A$4:$D$4,_xlfn.XMATCH(D92,'1e. Dropdown Values'!$A$3:$D$3))</f>
        <v>100</v>
      </c>
      <c r="E104" s="344" t="str">
        <f>IF('Éléments saisis (inputs)'!E104&lt;&gt;"",'Éléments saisis (inputs)'!E104,"")</f>
        <v>km/jour</v>
      </c>
      <c r="F104" s="344" t="str">
        <f>"Valeur par défaut: "&amp;TEXT('1a. Defaults Segment-Ebene'!D104,"##0")&amp;" "&amp;E104</f>
        <v>Valeur par défaut: 100 km/jour</v>
      </c>
    </row>
    <row r="105" spans="2:6" x14ac:dyDescent="0.35">
      <c r="B105" s="18"/>
      <c r="C105" s="344" t="str">
        <f>IF('Éléments saisis (inputs)'!C105&lt;&gt;"",'Éléments saisis (inputs)'!C105,"")</f>
        <v>Distance domicile-travail (aller-retour)</v>
      </c>
      <c r="D105" s="350">
        <f>(_xlfn.XMATCH(D91,Einsatzart)-1)*30</f>
        <v>0</v>
      </c>
      <c r="E105" s="344" t="str">
        <f>IF('Éléments saisis (inputs)'!E105&lt;&gt;"",'Éléments saisis (inputs)'!E105,"")</f>
        <v>km/jour</v>
      </c>
      <c r="F105" s="344" t="str">
        <f>"Valeur par défaut: "&amp;TEXT('1a. Defaults Segment-Ebene'!D105,"##0")&amp;" "&amp;E105</f>
        <v>Valeur par défaut: 0 km/jour</v>
      </c>
    </row>
    <row r="106" spans="2:6" x14ac:dyDescent="0.35">
      <c r="B106" s="18"/>
      <c r="C106" s="344" t="str">
        <f>IF('Éléments saisis (inputs)'!C106&lt;&gt;"",'Éléments saisis (inputs)'!C106,"")</f>
        <v>Nombre d’utilisations par jour</v>
      </c>
      <c r="D106" s="350">
        <v>1</v>
      </c>
      <c r="E106" s="344" t="str">
        <f>IF('Éléments saisis (inputs)'!E106&lt;&gt;"",'Éléments saisis (inputs)'!E106,"")</f>
        <v/>
      </c>
      <c r="F106" s="344" t="str">
        <f>"Valeur par défaut: "&amp;TEXT('1a. Defaults Segment-Ebene'!D106,"##0")</f>
        <v>Valeur par défaut: 1</v>
      </c>
    </row>
    <row r="107" spans="2:6" x14ac:dyDescent="0.35">
      <c r="B107" s="18"/>
      <c r="C107" s="344" t="str">
        <f>IF('Éléments saisis (inputs)'!C107&lt;&gt;"",'Éléments saisis (inputs)'!C107,"")</f>
        <v>Nombre de pauses par jour</v>
      </c>
      <c r="D107" s="350"/>
      <c r="E107" s="344" t="str">
        <f>IF('Éléments saisis (inputs)'!E107&lt;&gt;"",'Éléments saisis (inputs)'!E107,"")</f>
        <v/>
      </c>
      <c r="F107" s="344"/>
    </row>
    <row r="108" spans="2:6" x14ac:dyDescent="0.35">
      <c r="B108" s="18"/>
      <c r="C108" s="344" t="str">
        <f>IF('Éléments saisis (inputs)'!C108&lt;&gt;"",'Éléments saisis (inputs)'!C108,"")</f>
        <v>Durée d’immobilisation par pause sur le site de l’entreprise</v>
      </c>
      <c r="D108" s="350" cm="1">
        <f t="array" ref="D108">INDEX('1e. Dropdown Values'!$A$9:$D$9,_xlfn.XMATCH(D102,'1e. Dropdown Values'!$A$6:$D$6))</f>
        <v>1</v>
      </c>
      <c r="E108" s="344" t="str">
        <f>IF('Éléments saisis (inputs)'!E108&lt;&gt;"",'Éléments saisis (inputs)'!E108,"")</f>
        <v>Heures</v>
      </c>
      <c r="F108" s="344" t="str">
        <f>"Valeur par défaut: "&amp;TEXT('1a. Defaults Segment-Ebene'!D108,"##0")&amp;" "&amp;IF(D108=1,"Heure",E108)</f>
        <v>Valeur par défaut: 1 Heure</v>
      </c>
    </row>
    <row r="109" spans="2:6" x14ac:dyDescent="0.35">
      <c r="B109" s="18"/>
      <c r="C109" s="344" t="str">
        <f>IF('Éléments saisis (inputs)'!C109&lt;&gt;"",'Éléments saisis (inputs)'!C109,"")</f>
        <v>Durée d’immobilisation pendant la nuit</v>
      </c>
      <c r="D109" s="350" cm="1">
        <f t="array" ref="D109">INDEX('1e. Dropdown Values'!$A$8:$D$8,_xlfn.XMATCH(D102,'1e. Dropdown Values'!$A$6:$D$6))</f>
        <v>8</v>
      </c>
      <c r="E109" s="344" t="str">
        <f>IF('Éléments saisis (inputs)'!E109&lt;&gt;"",'Éléments saisis (inputs)'!E109,"")</f>
        <v>Heures</v>
      </c>
      <c r="F109" s="344" t="str">
        <f>"Valeur par défaut: "&amp;TEXT('1a. Defaults Segment-Ebene'!D109,"##0")&amp;" "&amp;IF(D109=1,"Heure",E109)</f>
        <v>Valeur par défaut: 8 Heures</v>
      </c>
    </row>
    <row r="110" spans="2:6" x14ac:dyDescent="0.35">
      <c r="B110" s="18"/>
      <c r="C110" s="344" t="str">
        <f>IF('Éléments saisis (inputs)'!C110&lt;&gt;"",'Éléments saisis (inputs)'!C110,"")</f>
        <v>Véhicules par point de recharge, site de l’entreprise (pendant la journée)</v>
      </c>
      <c r="D110" s="350" cm="1">
        <f t="array" ref="D110">INDEX('1e. Dropdown Values'!$B$10:$D$10,_xlfn.XMATCH(D102,Nutzungsmuster))</f>
        <v>1</v>
      </c>
      <c r="E110" s="344" t="str">
        <f>IF('Éléments saisis (inputs)'!E110&lt;&gt;"",'Éléments saisis (inputs)'!E110,"")</f>
        <v/>
      </c>
      <c r="F110" s="344" t="str">
        <f>"Valeur par défaut: "&amp;TEXT('1a. Defaults Segment-Ebene'!D110,"##0")</f>
        <v>Valeur par défaut: 1</v>
      </c>
    </row>
    <row r="111" spans="2:6" x14ac:dyDescent="0.35">
      <c r="B111" s="18"/>
      <c r="C111" s="344" t="str">
        <f>IF('Éléments saisis (inputs)'!C111&lt;&gt;"",'Éléments saisis (inputs)'!C111,"")</f>
        <v/>
      </c>
      <c r="D111" s="343"/>
      <c r="E111" s="344" t="str">
        <f>IF('Éléments saisis (inputs)'!E111&lt;&gt;"",'Éléments saisis (inputs)'!E111,"")</f>
        <v/>
      </c>
      <c r="F111" s="344"/>
    </row>
    <row r="112" spans="2:6" x14ac:dyDescent="0.35">
      <c r="B112" s="18"/>
      <c r="C112" s="20" t="str">
        <f>IF('Éléments saisis (inputs)'!C112&lt;&gt;"",'Éléments saisis (inputs)'!C112,"")</f>
        <v>Coûts (indication par véhicule)</v>
      </c>
      <c r="D112" s="343"/>
      <c r="E112" s="344" t="str">
        <f>IF('Éléments saisis (inputs)'!E112&lt;&gt;"",'Éléments saisis (inputs)'!E112,"")</f>
        <v/>
      </c>
      <c r="F112" s="344"/>
    </row>
    <row r="113" spans="2:6" x14ac:dyDescent="0.35">
      <c r="B113" s="18"/>
      <c r="C113" s="344" t="str">
        <f>IF('Éléments saisis (inputs)'!C113&lt;&gt;"",'Éléments saisis (inputs)'!C113,"")</f>
        <v>Durée</v>
      </c>
      <c r="D113" s="353">
        <f>'Éléments saisis (inputs)'!D113</f>
        <v>48</v>
      </c>
      <c r="E113" s="344" t="str">
        <f>IF('Éléments saisis (inputs)'!E113&lt;&gt;"",'Éléments saisis (inputs)'!E113,"")</f>
        <v>Mois</v>
      </c>
      <c r="F113" s="344"/>
    </row>
    <row r="114" spans="2:6" x14ac:dyDescent="0.35">
      <c r="B114" s="18"/>
      <c r="C114" s="344" t="str">
        <f>IF('Éléments saisis (inputs)'!C114&lt;&gt;"",'Éléments saisis (inputs)'!C114,"")</f>
        <v>Taux d’intérêt du leasing</v>
      </c>
      <c r="D114" s="354">
        <v>0.03</v>
      </c>
      <c r="E114" s="344" t="str">
        <f>IF('Éléments saisis (inputs)'!E114&lt;&gt;"",'Éléments saisis (inputs)'!E114,"")</f>
        <v/>
      </c>
      <c r="F114" s="344" t="str">
        <f>"Valeur par défaut: "&amp;TEXT('1a. Defaults Segment-Ebene'!D114,"##0.0%")</f>
        <v>Valeur par défaut: 3.0%</v>
      </c>
    </row>
    <row r="115" spans="2:6" x14ac:dyDescent="0.35">
      <c r="B115" s="18"/>
      <c r="C115" s="344" t="str">
        <f>IF('Éléments saisis (inputs)'!C115&lt;&gt;"",'Éléments saisis (inputs)'!C115,"")</f>
        <v>Prix d’acquisition, rabais de flotte du véhicule thermique inclus</v>
      </c>
      <c r="D115" s="355" cm="1">
        <f t="array" ref="D115">INDEX('2d. Annahmen'!$H$13:$H$16,_xlfn.XMATCH(D96,'2d. Annahmen'!$B$4:$B$7))*(1-'2d. Annahmen'!$B$30)</f>
        <v>27219.464999999997</v>
      </c>
      <c r="E115" s="344" t="str">
        <f>IF('Éléments saisis (inputs)'!E115&lt;&gt;"",'Éléments saisis (inputs)'!E115,"")</f>
        <v>CHF</v>
      </c>
      <c r="F115" s="344" t="str">
        <f>"Valeur par défaut: "&amp;TEXT('1a. Defaults Segment-Ebene'!D115,"#’##0")&amp;" "&amp;E115</f>
        <v>Valeur par défaut: 27’219 CHF</v>
      </c>
    </row>
    <row r="116" spans="2:6" x14ac:dyDescent="0.35">
      <c r="B116" s="18"/>
      <c r="C116" s="344" t="str">
        <f>IF('Éléments saisis (inputs)'!C116&lt;&gt;"",'Éléments saisis (inputs)'!C116,"")</f>
        <v>Frais d’entretien et de réparation du véhicule thermique</v>
      </c>
      <c r="D116" s="350" cm="1">
        <f t="array" ref="D116">INDEX('2d. Annahmen'!$J$13:$J$16,_xlfn.XMATCH(D96,Grösse))/20000</f>
        <v>0.05</v>
      </c>
      <c r="E116" s="344" t="str">
        <f>IF('Éléments saisis (inputs)'!E116&lt;&gt;"",'Éléments saisis (inputs)'!E116,"")</f>
        <v>CHF/km</v>
      </c>
      <c r="F116" s="344" t="str">
        <f>"Valeur par défaut: "&amp;TEXT('1a. Defaults Segment-Ebene'!D116,"##0.000")&amp;" "&amp;E116</f>
        <v>Valeur par défaut: 0.050 CHF/km</v>
      </c>
    </row>
    <row r="117" spans="2:6" x14ac:dyDescent="0.35">
      <c r="B117" s="18"/>
      <c r="C117" s="344" t="str">
        <f>IF('Éléments saisis (inputs)'!C117&lt;&gt;"",'Éléments saisis (inputs)'!C117,"")</f>
        <v>Valeur résiduelle du véhicule thermique</v>
      </c>
      <c r="D117" s="356" cm="1">
        <f t="array" ref="D117">_xlfn.LET(_xlpm.class,D96,_xlpm.km,ROUNDUP(D103*IF(D90=INDEX(Einsatzart,1),D104,D104+D105)*D113/12/5000,0)*5000,_xlpm.lz,D113,_xlpm.totkm,'2d.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17" s="344" t="str">
        <f>IF('Éléments saisis (inputs)'!E117&lt;&gt;"",'Éléments saisis (inputs)'!E117,"")</f>
        <v/>
      </c>
      <c r="F117" s="344" t="str">
        <f>"Valeur par défaut: "&amp;TEXT('1a. Defaults Segment-Ebene'!D117,"##0.0%")</f>
        <v>Valeur par défaut: 31.6%</v>
      </c>
    </row>
    <row r="118" spans="2:6" x14ac:dyDescent="0.35">
      <c r="B118" s="18"/>
      <c r="C118" s="344" t="str">
        <f>IF('Éléments saisis (inputs)'!C118&lt;&gt;"",'Éléments saisis (inputs)'!C118,"")</f>
        <v>Prix d’acquisition, rabais de flotte du véhicule électrique inclus</v>
      </c>
      <c r="D118" s="355" cm="1">
        <f t="array" ref="D118">INDEX('2d. Annahmen'!$K$4:$K$7,_xlfn.XMATCH(D96,'2d. Annahmen'!$B$4:$B$7))*(1-'2d. Annahmen'!$B$29)</f>
        <v>28810.890000000003</v>
      </c>
      <c r="E118" s="344" t="str">
        <f>IF('Éléments saisis (inputs)'!E118&lt;&gt;"",'Éléments saisis (inputs)'!E118,"")</f>
        <v>CHF</v>
      </c>
      <c r="F118" s="344" t="str">
        <f>"Valeur par défaut: "&amp;TEXT('1a. Defaults Segment-Ebene'!D118,"#’##0")&amp;" "&amp;E118</f>
        <v>Valeur par défaut: 28’811 CHF</v>
      </c>
    </row>
    <row r="119" spans="2:6" x14ac:dyDescent="0.35">
      <c r="B119" s="18"/>
      <c r="C119" s="344" t="str">
        <f>IF('Éléments saisis (inputs)'!C119&lt;&gt;"",'Éléments saisis (inputs)'!C119,"")</f>
        <v>Frais d’entretien et de réparation du véhicule électrique</v>
      </c>
      <c r="D119" s="350">
        <f>D116*0.5</f>
        <v>2.5000000000000001E-2</v>
      </c>
      <c r="E119" s="344" t="str">
        <f>IF('Éléments saisis (inputs)'!E119&lt;&gt;"",'Éléments saisis (inputs)'!E119,"")</f>
        <v>CHF/km</v>
      </c>
      <c r="F119" s="344" t="str">
        <f>"Valeur par défaut: "&amp;TEXT('1a. Defaults Segment-Ebene'!D119,"0.000")&amp;" "&amp;E119</f>
        <v>Valeur par défaut: 0.025 CHF/km</v>
      </c>
    </row>
    <row r="120" spans="2:6" x14ac:dyDescent="0.35">
      <c r="B120" s="18"/>
      <c r="C120" s="344" t="str">
        <f>IF('Éléments saisis (inputs)'!C120&lt;&gt;"",'Éléments saisis (inputs)'!C120,"")</f>
        <v>Valeur résiduelle du véhicule électrique</v>
      </c>
      <c r="D120" s="356" cm="1">
        <f t="array" ref="D120">_xlfn.LET(_xlpm.class,D96,_xlpm.km,ROUNDUP(D103*IF(D90=INDEX(Einsatzart,1),D104,D104+D105)*D113/12/5000,0)*5000,_xlpm.lz,D113,_xlpm.totkm,'2d.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20" s="344" t="str">
        <f>IF('Éléments saisis (inputs)'!E120&lt;&gt;"",'Éléments saisis (inputs)'!E120,"")</f>
        <v/>
      </c>
      <c r="F120" s="344" t="str">
        <f>"Valeur par défaut: "&amp;TEXT('1a. Defaults Segment-Ebene'!D120,"##0.0%")</f>
        <v>Valeur par défaut: 30.7%</v>
      </c>
    </row>
    <row r="121" spans="2:6" x14ac:dyDescent="0.35">
      <c r="C121" s="283" t="str">
        <f>IF('Éléments saisis (inputs)'!C121&lt;&gt;"",'Éléments saisis (inputs)'!C121,"")</f>
        <v/>
      </c>
      <c r="D121" s="478"/>
      <c r="E121" s="283" t="str">
        <f>IF('Éléments saisis (inputs)'!E121&lt;&gt;"",'Éléments saisis (inputs)'!E121,"")</f>
        <v/>
      </c>
      <c r="F121" s="283"/>
    </row>
    <row r="122" spans="2:6" x14ac:dyDescent="0.35">
      <c r="C122" s="283" t="str">
        <f>IF('Éléments saisis (inputs)'!C122&lt;&gt;"",'Éléments saisis (inputs)'!C122,"")</f>
        <v/>
      </c>
      <c r="D122" s="478"/>
      <c r="E122" s="283" t="str">
        <f>IF('Éléments saisis (inputs)'!E122&lt;&gt;"",'Éléments saisis (inputs)'!E122,"")</f>
        <v/>
      </c>
      <c r="F122" s="283"/>
    </row>
    <row r="123" spans="2:6" ht="15" x14ac:dyDescent="0.35">
      <c r="B123" s="11" t="s">
        <v>56</v>
      </c>
      <c r="C123" s="11" t="str">
        <f>IF('Éléments saisis (inputs)'!C123&lt;&gt;"",'Éléments saisis (inputs)'!C123,"")</f>
        <v>Segment D</v>
      </c>
      <c r="D123" s="12"/>
      <c r="E123" s="13" t="str">
        <f>IF('Éléments saisis (inputs)'!E123&lt;&gt;"",'Éléments saisis (inputs)'!E123,"")</f>
        <v/>
      </c>
      <c r="F123" s="13"/>
    </row>
    <row r="124" spans="2:6" ht="18.899999999999999" x14ac:dyDescent="0.45">
      <c r="B124" s="18"/>
      <c r="C124" s="23" t="str">
        <f>IF('Éléments saisis (inputs)'!C124&lt;&gt;"",'Éléments saisis (inputs)'!C124,"")</f>
        <v/>
      </c>
      <c r="D124" s="24"/>
      <c r="E124" s="25" t="str">
        <f>IF('Éléments saisis (inputs)'!E124&lt;&gt;"",'Éléments saisis (inputs)'!E124,"")</f>
        <v/>
      </c>
      <c r="F124" s="25"/>
    </row>
    <row r="125" spans="2:6" x14ac:dyDescent="0.35">
      <c r="B125" s="18"/>
      <c r="C125" s="20" t="str">
        <f>IF('Éléments saisis (inputs)'!C125&lt;&gt;"",'Éléments saisis (inputs)'!C125,"")</f>
        <v>Structure des segments</v>
      </c>
      <c r="D125" s="343"/>
      <c r="E125" s="344" t="str">
        <f>IF('Éléments saisis (inputs)'!E125&lt;&gt;"",'Éléments saisis (inputs)'!E125,"")</f>
        <v/>
      </c>
      <c r="F125" s="344"/>
    </row>
    <row r="126" spans="2:6" x14ac:dyDescent="0.35">
      <c r="B126" s="18"/>
      <c r="C126" s="344" t="str">
        <f>IF('Éléments saisis (inputs)'!C126&lt;&gt;"",'Éléments saisis (inputs)'!C126,"")</f>
        <v>Nombre de véhicules</v>
      </c>
      <c r="D126" s="349">
        <f>'Éléments saisis (inputs)'!D126</f>
        <v>1</v>
      </c>
      <c r="E126" s="344" t="str">
        <f>IF('Éléments saisis (inputs)'!E126&lt;&gt;"",'Éléments saisis (inputs)'!E126,"")</f>
        <v/>
      </c>
      <c r="F126" s="344"/>
    </row>
    <row r="127" spans="2:6" x14ac:dyDescent="0.35">
      <c r="B127" s="18"/>
      <c r="C127" s="344" t="str">
        <f>IF('Éléments saisis (inputs)'!C127&lt;&gt;"",'Éléments saisis (inputs)'!C127,"")</f>
        <v>Type d’utilisation</v>
      </c>
      <c r="D127" s="349" t="str">
        <f>'Éléments saisis (inputs)'!D127</f>
        <v>Véhicules de pool</v>
      </c>
      <c r="E127" s="344" t="str">
        <f>IF('Éléments saisis (inputs)'!E127&lt;&gt;"",'Éléments saisis (inputs)'!E127,"")</f>
        <v/>
      </c>
      <c r="F127" s="344"/>
    </row>
    <row r="128" spans="2:6" x14ac:dyDescent="0.35">
      <c r="B128" s="18"/>
      <c r="C128" s="344" t="str">
        <f>IF('Éléments saisis (inputs)'!C128&lt;&gt;"",'Éléments saisis (inputs)'!C128,"")</f>
        <v>Domaine d’utilisation</v>
      </c>
      <c r="D128" s="349" t="str">
        <f>'Éléments saisis (inputs)'!D128</f>
        <v>Niveau régional</v>
      </c>
      <c r="E128" s="344" t="str">
        <f>IF('Éléments saisis (inputs)'!E128&lt;&gt;"",'Éléments saisis (inputs)'!E128,"")</f>
        <v/>
      </c>
      <c r="F128" s="344"/>
    </row>
    <row r="129" spans="2:6" x14ac:dyDescent="0.35">
      <c r="B129" s="18"/>
      <c r="C129" s="344" t="str">
        <f>IF('Éléments saisis (inputs)'!C129&lt;&gt;"",'Éléments saisis (inputs)'!C129,"")</f>
        <v>Possibilité de recharge à domicile</v>
      </c>
      <c r="D129" s="350" t="str" cm="1">
        <f t="array" ref="D129">INDEX(Heimladen,NOT(_xlfn.XMATCH(D127,Einsatzart)-1)+1)</f>
        <v>Non</v>
      </c>
      <c r="E129" s="344" t="str">
        <f>IF('Éléments saisis (inputs)'!E129&lt;&gt;"",'Éléments saisis (inputs)'!E129,"")</f>
        <v/>
      </c>
      <c r="F129" s="344" t="str">
        <f>"Valeur par défaut: "&amp;'1a. Defaults Segment-Ebene'!D129</f>
        <v>Valeur par défaut: Non</v>
      </c>
    </row>
    <row r="130" spans="2:6" x14ac:dyDescent="0.35">
      <c r="B130" s="18"/>
      <c r="C130" s="344" t="str">
        <f>IF('Éléments saisis (inputs)'!C130&lt;&gt;"",'Éléments saisis (inputs)'!C130,"")</f>
        <v/>
      </c>
      <c r="D130" s="343"/>
      <c r="E130" s="344" t="str">
        <f>IF('Éléments saisis (inputs)'!E130&lt;&gt;"",'Éléments saisis (inputs)'!E130,"")</f>
        <v/>
      </c>
      <c r="F130" s="344"/>
    </row>
    <row r="131" spans="2:6" x14ac:dyDescent="0.35">
      <c r="B131" s="18"/>
      <c r="C131" s="22" t="str">
        <f>IF('Éléments saisis (inputs)'!C131&lt;&gt;"",'Éléments saisis (inputs)'!C131,"")</f>
        <v>Données du véhicule</v>
      </c>
      <c r="D131" s="343"/>
      <c r="E131" s="344" t="str">
        <f>IF('Éléments saisis (inputs)'!E131&lt;&gt;"",'Éléments saisis (inputs)'!E131,"")</f>
        <v/>
      </c>
      <c r="F131" s="344"/>
    </row>
    <row r="132" spans="2:6" x14ac:dyDescent="0.35">
      <c r="B132" s="18"/>
      <c r="C132" s="344" t="str">
        <f>IF('Éléments saisis (inputs)'!C132&lt;&gt;"",'Éléments saisis (inputs)'!C132,"")</f>
        <v>Taille du véhicule</v>
      </c>
      <c r="D132" s="349" t="str">
        <f>'Éléments saisis (inputs)'!D132</f>
        <v>Catégorie moyenne</v>
      </c>
      <c r="E132" s="344" t="str">
        <f>IF('Éléments saisis (inputs)'!E132&lt;&gt;"",'Éléments saisis (inputs)'!E132,"")</f>
        <v/>
      </c>
      <c r="F132" s="344"/>
    </row>
    <row r="133" spans="2:6" x14ac:dyDescent="0.35">
      <c r="B133" s="18"/>
      <c r="C133" s="344" t="str">
        <f>IF('Éléments saisis (inputs)'!C133&lt;&gt;"",'Éléments saisis (inputs)'!C133,"")</f>
        <v>Consommation de carburant du véhicule thermique</v>
      </c>
      <c r="D133" s="350" cm="1">
        <f t="array" ref="D133">INDEX('2d. Annahmen'!$F$13:$F$16,_xlfn.XMATCH(D132,Grösse))</f>
        <v>5.8</v>
      </c>
      <c r="E133" s="344" t="str">
        <f>IF('Éléments saisis (inputs)'!E133&lt;&gt;"",'Éléments saisis (inputs)'!E133,"")</f>
        <v>l/100 km</v>
      </c>
      <c r="F133" s="344" t="str">
        <f>"Valeur par défaut: "&amp;TEXT('1a. Defaults Segment-Ebene'!D133,"##0.0")&amp;" "&amp;E133</f>
        <v>Valeur par défaut: 5.8 l/100 km</v>
      </c>
    </row>
    <row r="134" spans="2:6" x14ac:dyDescent="0.35">
      <c r="B134" s="18"/>
      <c r="C134" s="344" t="str">
        <f>IF('Éléments saisis (inputs)'!C134&lt;&gt;"",'Éléments saisis (inputs)'!C134,"")</f>
        <v>Consommation énergétique du véhicule électrique</v>
      </c>
      <c r="D134" s="350" cm="1">
        <f t="array" ref="D134">INDEX('2d. Annahmen'!$H$4:$H$7,_xlfn.XMATCH(D132,Grösse))</f>
        <v>15.1</v>
      </c>
      <c r="E134" s="344" t="str">
        <f>IF('Éléments saisis (inputs)'!E134&lt;&gt;"",'Éléments saisis (inputs)'!E134,"")</f>
        <v>kWh/100 km</v>
      </c>
      <c r="F134" s="344" t="str">
        <f>"Valeur par défaut: "&amp;TEXT('1a. Defaults Segment-Ebene'!D134,"##0.0")&amp;" "&amp;E134</f>
        <v>Valeur par défaut: 15.1 kWh/100 km</v>
      </c>
    </row>
    <row r="135" spans="2:6" x14ac:dyDescent="0.35">
      <c r="B135" s="18"/>
      <c r="C135" s="344" t="str">
        <f>IF('Éléments saisis (inputs)'!C135&lt;&gt;"",'Éléments saisis (inputs)'!C135,"")</f>
        <v>Capacité de la batterie (nette)</v>
      </c>
      <c r="D135" s="350" cm="1">
        <f t="array" ref="D135">INDEX('2d. Annahmen'!$F$4:$F$7,_xlfn.XMATCH(D132,Grösse))</f>
        <v>58.625</v>
      </c>
      <c r="E135" s="344" t="str">
        <f>IF('Éléments saisis (inputs)'!E135&lt;&gt;"",'Éléments saisis (inputs)'!E135,"")</f>
        <v>kWh</v>
      </c>
      <c r="F135" s="344" t="str">
        <f>"Valeur par défaut: "&amp;TEXT('1a. Defaults Segment-Ebene'!D135,"##0.0")&amp;" "&amp;E135</f>
        <v>Valeur par défaut: 58.6 kWh</v>
      </c>
    </row>
    <row r="136" spans="2:6" x14ac:dyDescent="0.35">
      <c r="B136" s="18"/>
      <c r="C136" s="344" t="str">
        <f>IF('Éléments saisis (inputs)'!C136&lt;&gt;"",'Éléments saisis (inputs)'!C136,"")</f>
        <v/>
      </c>
      <c r="D136" s="343"/>
      <c r="E136" s="344" t="str">
        <f>IF('Éléments saisis (inputs)'!E136&lt;&gt;"",'Éléments saisis (inputs)'!E136,"")</f>
        <v/>
      </c>
      <c r="F136" s="344"/>
    </row>
    <row r="137" spans="2:6" x14ac:dyDescent="0.35">
      <c r="B137" s="18"/>
      <c r="C137" s="20" t="str">
        <f>IF('Éléments saisis (inputs)'!C137&lt;&gt;"",'Éléments saisis (inputs)'!C137,"")</f>
        <v>Profil de conduite et d’utilisation (indication par véhicule)</v>
      </c>
      <c r="D137" s="343"/>
      <c r="E137" s="344" t="str">
        <f>IF('Éléments saisis (inputs)'!E137&lt;&gt;"",'Éléments saisis (inputs)'!E137,"")</f>
        <v/>
      </c>
      <c r="F137" s="344"/>
    </row>
    <row r="138" spans="2:6" x14ac:dyDescent="0.35">
      <c r="B138" s="18"/>
      <c r="C138" s="344" t="str">
        <f>IF('Éléments saisis (inputs)'!C138&lt;&gt;"",'Éléments saisis (inputs)'!C138,"")</f>
        <v>Modèle d’utilisation</v>
      </c>
      <c r="D138" s="349" t="str">
        <f>'Éléments saisis (inputs)'!D138</f>
        <v>Exploitation pendant les jours ouvrables</v>
      </c>
      <c r="E138" s="344" t="str">
        <f>IF('Éléments saisis (inputs)'!E138&lt;&gt;"",'Éléments saisis (inputs)'!E138,"")</f>
        <v/>
      </c>
      <c r="F138" s="344"/>
    </row>
    <row r="139" spans="2:6" x14ac:dyDescent="0.35">
      <c r="B139" s="18"/>
      <c r="C139" s="344" t="str">
        <f>IF('Éléments saisis (inputs)'!C139&lt;&gt;"",'Éléments saisis (inputs)'!C139,"")</f>
        <v>Nombre de jours de travail par an</v>
      </c>
      <c r="D139" s="350" cm="1">
        <f t="array" ref="D139">INDEX('1e. Dropdown Values'!$A$7:$D$7,_xlfn.XMATCH(D138,'1e. Dropdown Values'!$A$6:$D$6))</f>
        <v>260</v>
      </c>
      <c r="E139" s="344" t="str">
        <f>IF('Éléments saisis (inputs)'!E139&lt;&gt;"",'Éléments saisis (inputs)'!E139,"")</f>
        <v/>
      </c>
      <c r="F139" s="344" t="str">
        <f>"Valeur par défaut: "&amp;TEXT('1a. Defaults Segment-Ebene'!D139,"##0")</f>
        <v>Valeur par défaut: 260</v>
      </c>
    </row>
    <row r="140" spans="2:6" x14ac:dyDescent="0.35">
      <c r="B140" s="18"/>
      <c r="C140" s="344" t="str">
        <f>IF('Éléments saisis (inputs)'!C140&lt;&gt;"",'Éléments saisis (inputs)'!C140,"")</f>
        <v>Distance parcourue pendant le temps de travail</v>
      </c>
      <c r="D140" s="350" cm="1">
        <f t="array" ref="D140">INDEX('1e. Dropdown Values'!$A$4:$D$4,_xlfn.XMATCH(D128,'1e. Dropdown Values'!$A$3:$D$3))</f>
        <v>100</v>
      </c>
      <c r="E140" s="344" t="str">
        <f>IF('Éléments saisis (inputs)'!E140&lt;&gt;"",'Éléments saisis (inputs)'!E140,"")</f>
        <v>km/jour</v>
      </c>
      <c r="F140" s="344" t="str">
        <f>"Valeur par défaut: "&amp;TEXT('1a. Defaults Segment-Ebene'!D140,"##0")&amp;" "&amp;E140</f>
        <v>Valeur par défaut: 100 km/jour</v>
      </c>
    </row>
    <row r="141" spans="2:6" x14ac:dyDescent="0.35">
      <c r="B141" s="18"/>
      <c r="C141" s="344" t="str">
        <f>IF('Éléments saisis (inputs)'!C141&lt;&gt;"",'Éléments saisis (inputs)'!C141,"")</f>
        <v>Distance domicile-travail (aller-retour)</v>
      </c>
      <c r="D141" s="350">
        <f>(_xlfn.XMATCH(D127,Einsatzart)-1)*30</f>
        <v>0</v>
      </c>
      <c r="E141" s="344" t="str">
        <f>IF('Éléments saisis (inputs)'!E141&lt;&gt;"",'Éléments saisis (inputs)'!E141,"")</f>
        <v>km/jour</v>
      </c>
      <c r="F141" s="344" t="str">
        <f>"Valeur par défaut: "&amp;TEXT('1a. Defaults Segment-Ebene'!D141,"##0")&amp;" "&amp;E141</f>
        <v>Valeur par défaut: 0 km/jour</v>
      </c>
    </row>
    <row r="142" spans="2:6" x14ac:dyDescent="0.35">
      <c r="B142" s="18"/>
      <c r="C142" s="344" t="str">
        <f>IF('Éléments saisis (inputs)'!C142&lt;&gt;"",'Éléments saisis (inputs)'!C142,"")</f>
        <v>Nombre d’utilisations par jour</v>
      </c>
      <c r="D142" s="350">
        <v>1</v>
      </c>
      <c r="E142" s="344" t="str">
        <f>IF('Éléments saisis (inputs)'!E142&lt;&gt;"",'Éléments saisis (inputs)'!E142,"")</f>
        <v/>
      </c>
      <c r="F142" s="344" t="str">
        <f>"Valeur par défaut: "&amp;TEXT('1a. Defaults Segment-Ebene'!D142,"##0")</f>
        <v>Valeur par défaut: 1</v>
      </c>
    </row>
    <row r="143" spans="2:6" x14ac:dyDescent="0.35">
      <c r="B143" s="18"/>
      <c r="C143" s="344" t="str">
        <f>IF('Éléments saisis (inputs)'!C143&lt;&gt;"",'Éléments saisis (inputs)'!C143,"")</f>
        <v>Nombre de pauses par jour</v>
      </c>
      <c r="D143" s="350"/>
      <c r="E143" s="344" t="str">
        <f>IF('Éléments saisis (inputs)'!E143&lt;&gt;"",'Éléments saisis (inputs)'!E143,"")</f>
        <v/>
      </c>
      <c r="F143" s="344"/>
    </row>
    <row r="144" spans="2:6" x14ac:dyDescent="0.35">
      <c r="B144" s="18"/>
      <c r="C144" s="344" t="str">
        <f>IF('Éléments saisis (inputs)'!C144&lt;&gt;"",'Éléments saisis (inputs)'!C144,"")</f>
        <v>Durée d’immobilisation par pause sur le site de l’entreprise</v>
      </c>
      <c r="D144" s="350" cm="1">
        <f t="array" ref="D144">INDEX('1e. Dropdown Values'!$A$9:$D$9,_xlfn.XMATCH(D138,'1e. Dropdown Values'!$A$6:$D$6))</f>
        <v>1</v>
      </c>
      <c r="E144" s="344" t="str">
        <f>IF('Éléments saisis (inputs)'!E144&lt;&gt;"",'Éléments saisis (inputs)'!E144,"")</f>
        <v>Heures</v>
      </c>
      <c r="F144" s="344" t="str">
        <f>"Valeur par défaut: "&amp;TEXT('1a. Defaults Segment-Ebene'!D144,"##0")&amp;" "&amp;IF(D144=1,"Heure",E144)</f>
        <v>Valeur par défaut: 1 Heure</v>
      </c>
    </row>
    <row r="145" spans="2:6" x14ac:dyDescent="0.35">
      <c r="B145" s="18"/>
      <c r="C145" s="344" t="str">
        <f>IF('Éléments saisis (inputs)'!C145&lt;&gt;"",'Éléments saisis (inputs)'!C145,"")</f>
        <v>Durée d’immobilisation pendant la nuit</v>
      </c>
      <c r="D145" s="350" cm="1">
        <f t="array" ref="D145">INDEX('1e. Dropdown Values'!$A$8:$D$8,_xlfn.XMATCH(D138,'1e. Dropdown Values'!$A$6:$D$6))</f>
        <v>8</v>
      </c>
      <c r="E145" s="344" t="str">
        <f>IF('Éléments saisis (inputs)'!E145&lt;&gt;"",'Éléments saisis (inputs)'!E145,"")</f>
        <v>Heures</v>
      </c>
      <c r="F145" s="344" t="str">
        <f>"Valeur par défaut: "&amp;TEXT('1a. Defaults Segment-Ebene'!D145,"##0")&amp;" "&amp;IF(D145=1,"Heure",E145)</f>
        <v>Valeur par défaut: 8 Heures</v>
      </c>
    </row>
    <row r="146" spans="2:6" x14ac:dyDescent="0.35">
      <c r="B146" s="18"/>
      <c r="C146" s="344" t="str">
        <f>IF('Éléments saisis (inputs)'!C146&lt;&gt;"",'Éléments saisis (inputs)'!C146,"")</f>
        <v>Véhicules par point de recharge, site de l’entreprise (pendant la journée)</v>
      </c>
      <c r="D146" s="350" cm="1">
        <f t="array" ref="D146">INDEX('1e. Dropdown Values'!$B$10:$D$10,_xlfn.XMATCH(D138,Nutzungsmuster))</f>
        <v>1</v>
      </c>
      <c r="E146" s="344" t="str">
        <f>IF('Éléments saisis (inputs)'!E146&lt;&gt;"",'Éléments saisis (inputs)'!E146,"")</f>
        <v/>
      </c>
      <c r="F146" s="344" t="str">
        <f>"Valeur par défaut: "&amp;TEXT('1a. Defaults Segment-Ebene'!D146,"##0")</f>
        <v>Valeur par défaut: 1</v>
      </c>
    </row>
    <row r="147" spans="2:6" x14ac:dyDescent="0.35">
      <c r="B147" s="18"/>
      <c r="C147" s="344" t="str">
        <f>IF('Éléments saisis (inputs)'!C147&lt;&gt;"",'Éléments saisis (inputs)'!C147,"")</f>
        <v/>
      </c>
      <c r="D147" s="343"/>
      <c r="E147" s="344" t="str">
        <f>IF('Éléments saisis (inputs)'!E147&lt;&gt;"",'Éléments saisis (inputs)'!E147,"")</f>
        <v/>
      </c>
      <c r="F147" s="344"/>
    </row>
    <row r="148" spans="2:6" x14ac:dyDescent="0.35">
      <c r="B148" s="18"/>
      <c r="C148" s="20" t="str">
        <f>IF('Éléments saisis (inputs)'!C148&lt;&gt;"",'Éléments saisis (inputs)'!C148,"")</f>
        <v>Coûts (indication par véhicule)</v>
      </c>
      <c r="D148" s="343"/>
      <c r="E148" s="344" t="str">
        <f>IF('Éléments saisis (inputs)'!E148&lt;&gt;"",'Éléments saisis (inputs)'!E148,"")</f>
        <v/>
      </c>
      <c r="F148" s="344"/>
    </row>
    <row r="149" spans="2:6" x14ac:dyDescent="0.35">
      <c r="B149" s="18"/>
      <c r="C149" s="344" t="str">
        <f>IF('Éléments saisis (inputs)'!C149&lt;&gt;"",'Éléments saisis (inputs)'!C149,"")</f>
        <v>Durée</v>
      </c>
      <c r="D149" s="353">
        <f>'Éléments saisis (inputs)'!D149</f>
        <v>48</v>
      </c>
      <c r="E149" s="344" t="str">
        <f>IF('Éléments saisis (inputs)'!E149&lt;&gt;"",'Éléments saisis (inputs)'!E149,"")</f>
        <v>Mois</v>
      </c>
      <c r="F149" s="344"/>
    </row>
    <row r="150" spans="2:6" x14ac:dyDescent="0.35">
      <c r="B150" s="18"/>
      <c r="C150" s="344" t="str">
        <f>IF('Éléments saisis (inputs)'!C150&lt;&gt;"",'Éléments saisis (inputs)'!C150,"")</f>
        <v>Taux d’intérêt du leasing</v>
      </c>
      <c r="D150" s="354">
        <v>0.03</v>
      </c>
      <c r="E150" s="344" t="str">
        <f>IF('Éléments saisis (inputs)'!E150&lt;&gt;"",'Éléments saisis (inputs)'!E150,"")</f>
        <v/>
      </c>
      <c r="F150" s="344" t="str">
        <f>"Valeur par défaut: "&amp;TEXT('1a. Defaults Segment-Ebene'!D150,"##0.0%")</f>
        <v>Valeur par défaut: 3.0%</v>
      </c>
    </row>
    <row r="151" spans="2:6" x14ac:dyDescent="0.35">
      <c r="B151" s="18"/>
      <c r="C151" s="344" t="str">
        <f>IF('Éléments saisis (inputs)'!C151&lt;&gt;"",'Éléments saisis (inputs)'!C151,"")</f>
        <v>Prix d’acquisition, rabais de flotte du véhicule thermique inclus</v>
      </c>
      <c r="D151" s="355" cm="1">
        <f t="array" ref="D151">INDEX('2d. Annahmen'!$H$13:$H$16,_xlfn.XMATCH(D132,'2d. Annahmen'!$B$4:$B$7))*(1-'2d. Annahmen'!$B$30)</f>
        <v>27219.464999999997</v>
      </c>
      <c r="E151" s="344" t="str">
        <f>IF('Éléments saisis (inputs)'!E151&lt;&gt;"",'Éléments saisis (inputs)'!E151,"")</f>
        <v>CHF</v>
      </c>
      <c r="F151" s="344" t="str">
        <f>"Valeur par défaut: "&amp;TEXT('1a. Defaults Segment-Ebene'!D151,"#’##0")&amp;" "&amp;E151</f>
        <v>Valeur par défaut: 27’219 CHF</v>
      </c>
    </row>
    <row r="152" spans="2:6" x14ac:dyDescent="0.35">
      <c r="B152" s="18"/>
      <c r="C152" s="344" t="str">
        <f>IF('Éléments saisis (inputs)'!C152&lt;&gt;"",'Éléments saisis (inputs)'!C152,"")</f>
        <v>Frais d’entretien et de réparation du véhicule thermique</v>
      </c>
      <c r="D152" s="350" cm="1">
        <f t="array" ref="D152">INDEX('2d. Annahmen'!$J$13:$J$16,_xlfn.XMATCH(D132,Grösse))/20000</f>
        <v>0.05</v>
      </c>
      <c r="E152" s="344" t="str">
        <f>IF('Éléments saisis (inputs)'!E152&lt;&gt;"",'Éléments saisis (inputs)'!E152,"")</f>
        <v>CHF/km</v>
      </c>
      <c r="F152" s="344" t="str">
        <f>"Valeur par défaut: "&amp;TEXT('1a. Defaults Segment-Ebene'!D152,"##0.000")&amp;" "&amp;E152</f>
        <v>Valeur par défaut: 0.050 CHF/km</v>
      </c>
    </row>
    <row r="153" spans="2:6" x14ac:dyDescent="0.35">
      <c r="B153" s="18"/>
      <c r="C153" s="344" t="str">
        <f>IF('Éléments saisis (inputs)'!C153&lt;&gt;"",'Éléments saisis (inputs)'!C153,"")</f>
        <v>Valeur résiduelle du véhicule thermique</v>
      </c>
      <c r="D153" s="356" cm="1">
        <f t="array" ref="D153">_xlfn.LET(_xlpm.class,D132,_xlpm.km,ROUNDUP(D139*IF(D126=INDEX(Einsatzart,1),D140,D140+D141)*D149/12/5000,0)*5000,_xlpm.lz,D149,_xlpm.totkm,'2d.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53" s="344" t="str">
        <f>IF('Éléments saisis (inputs)'!E153&lt;&gt;"",'Éléments saisis (inputs)'!E153,"")</f>
        <v/>
      </c>
      <c r="F153" s="344" t="str">
        <f>"Valeur par défaut: "&amp;TEXT('1a. Defaults Segment-Ebene'!D153,"##0.0%")</f>
        <v>Valeur par défaut: 31.6%</v>
      </c>
    </row>
    <row r="154" spans="2:6" x14ac:dyDescent="0.35">
      <c r="B154" s="18"/>
      <c r="C154" s="344" t="str">
        <f>IF('Éléments saisis (inputs)'!C154&lt;&gt;"",'Éléments saisis (inputs)'!C154,"")</f>
        <v>Prix d’acquisition, rabais de flotte du véhicule électrique inclus</v>
      </c>
      <c r="D154" s="355" cm="1">
        <f t="array" ref="D154">INDEX('2d. Annahmen'!$K$4:$K$7,_xlfn.XMATCH(D132,'2d. Annahmen'!$B$4:$B$7))*(1-'2d. Annahmen'!$B$29)</f>
        <v>28810.890000000003</v>
      </c>
      <c r="E154" s="344" t="str">
        <f>IF('Éléments saisis (inputs)'!E154&lt;&gt;"",'Éléments saisis (inputs)'!E154,"")</f>
        <v>CHF</v>
      </c>
      <c r="F154" s="344" t="str">
        <f>"Valeur par défaut: "&amp;TEXT('1a. Defaults Segment-Ebene'!D154,"#’##0")&amp;" "&amp;E154</f>
        <v>Valeur par défaut: 28’811 CHF</v>
      </c>
    </row>
    <row r="155" spans="2:6" x14ac:dyDescent="0.35">
      <c r="B155" s="18"/>
      <c r="C155" s="344" t="str">
        <f>IF('Éléments saisis (inputs)'!C155&lt;&gt;"",'Éléments saisis (inputs)'!C155,"")</f>
        <v>Frais d’entretien et de réparation du véhicule électrique</v>
      </c>
      <c r="D155" s="350">
        <f>D152*0.5</f>
        <v>2.5000000000000001E-2</v>
      </c>
      <c r="E155" s="344" t="str">
        <f>IF('Éléments saisis (inputs)'!E155&lt;&gt;"",'Éléments saisis (inputs)'!E155,"")</f>
        <v>CHF/km</v>
      </c>
      <c r="F155" s="344" t="str">
        <f>"Valeur par défaut: "&amp;TEXT('1a. Defaults Segment-Ebene'!D155,"0.000")&amp;" "&amp;E155</f>
        <v>Valeur par défaut: 0.025 CHF/km</v>
      </c>
    </row>
    <row r="156" spans="2:6" x14ac:dyDescent="0.35">
      <c r="B156" s="18"/>
      <c r="C156" s="344" t="str">
        <f>IF('Éléments saisis (inputs)'!C156&lt;&gt;"",'Éléments saisis (inputs)'!C156,"")</f>
        <v>Valeur résiduelle du véhicule électrique</v>
      </c>
      <c r="D156" s="356" cm="1">
        <f t="array" ref="D156">_xlfn.LET(_xlpm.class,D132,_xlpm.km,ROUNDUP(D139*IF(D126=INDEX(Einsatzart,1),D140,D140+D141)*D149/12/5000,0)*5000,_xlpm.lz,D149,_xlpm.totkm,'2d.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56" s="344" t="str">
        <f>IF('Éléments saisis (inputs)'!E156&lt;&gt;"",'Éléments saisis (inputs)'!E156,"")</f>
        <v/>
      </c>
      <c r="F156" s="344" t="str">
        <f>"Valeur par défaut: "&amp;TEXT('1a. Defaults Segment-Ebene'!D156,"##0.0%")</f>
        <v>Valeur par défaut: 30.7%</v>
      </c>
    </row>
    <row r="157" spans="2:6" x14ac:dyDescent="0.35">
      <c r="C157" s="283" t="str">
        <f>IF('Éléments saisis (inputs)'!C157&lt;&gt;"",'Éléments saisis (inputs)'!C157,"")</f>
        <v/>
      </c>
      <c r="D157" s="478"/>
      <c r="E157" s="283" t="str">
        <f>IF('Éléments saisis (inputs)'!E157&lt;&gt;"",'Éléments saisis (inputs)'!E157,"")</f>
        <v/>
      </c>
      <c r="F157" s="283"/>
    </row>
    <row r="158" spans="2:6" x14ac:dyDescent="0.35">
      <c r="C158" s="283" t="str">
        <f>IF('Éléments saisis (inputs)'!C158&lt;&gt;"",'Éléments saisis (inputs)'!C158,"")</f>
        <v/>
      </c>
      <c r="D158" s="478"/>
      <c r="E158" s="283" t="str">
        <f>IF('Éléments saisis (inputs)'!E158&lt;&gt;"",'Éléments saisis (inputs)'!E158,"")</f>
        <v/>
      </c>
      <c r="F158" s="283"/>
    </row>
    <row r="159" spans="2:6" ht="15" x14ac:dyDescent="0.35">
      <c r="B159" s="11" t="s">
        <v>57</v>
      </c>
      <c r="C159" s="11" t="str">
        <f>IF('Éléments saisis (inputs)'!C159&lt;&gt;"",'Éléments saisis (inputs)'!C159,"")</f>
        <v>Segment E</v>
      </c>
      <c r="D159" s="12"/>
      <c r="E159" s="13" t="str">
        <f>IF('Éléments saisis (inputs)'!E159&lt;&gt;"",'Éléments saisis (inputs)'!E159,"")</f>
        <v/>
      </c>
      <c r="F159" s="13"/>
    </row>
    <row r="160" spans="2:6" ht="18.899999999999999" x14ac:dyDescent="0.45">
      <c r="B160" s="18"/>
      <c r="C160" s="23" t="str">
        <f>IF('Éléments saisis (inputs)'!C160&lt;&gt;"",'Éléments saisis (inputs)'!C160,"")</f>
        <v/>
      </c>
      <c r="D160" s="24"/>
      <c r="E160" s="25" t="str">
        <f>IF('Éléments saisis (inputs)'!E160&lt;&gt;"",'Éléments saisis (inputs)'!E160,"")</f>
        <v/>
      </c>
      <c r="F160" s="25"/>
    </row>
    <row r="161" spans="2:6" x14ac:dyDescent="0.35">
      <c r="B161" s="18"/>
      <c r="C161" s="20" t="str">
        <f>IF('Éléments saisis (inputs)'!C161&lt;&gt;"",'Éléments saisis (inputs)'!C161,"")</f>
        <v>Structure des segments</v>
      </c>
      <c r="D161" s="343"/>
      <c r="E161" s="344" t="str">
        <f>IF('Éléments saisis (inputs)'!E161&lt;&gt;"",'Éléments saisis (inputs)'!E161,"")</f>
        <v/>
      </c>
      <c r="F161" s="344"/>
    </row>
    <row r="162" spans="2:6" x14ac:dyDescent="0.35">
      <c r="B162" s="18"/>
      <c r="C162" s="344" t="str">
        <f>IF('Éléments saisis (inputs)'!C162&lt;&gt;"",'Éléments saisis (inputs)'!C162,"")</f>
        <v>Nombre de véhicules</v>
      </c>
      <c r="D162" s="349">
        <f>'Éléments saisis (inputs)'!D162</f>
        <v>1</v>
      </c>
      <c r="E162" s="344" t="str">
        <f>IF('Éléments saisis (inputs)'!E162&lt;&gt;"",'Éléments saisis (inputs)'!E162,"")</f>
        <v/>
      </c>
      <c r="F162" s="344"/>
    </row>
    <row r="163" spans="2:6" x14ac:dyDescent="0.35">
      <c r="B163" s="18"/>
      <c r="C163" s="344" t="str">
        <f>IF('Éléments saisis (inputs)'!C163&lt;&gt;"",'Éléments saisis (inputs)'!C163,"")</f>
        <v>Type d’utilisation</v>
      </c>
      <c r="D163" s="349" t="str">
        <f>'Éléments saisis (inputs)'!D163</f>
        <v>Véhicules de pool</v>
      </c>
      <c r="E163" s="344" t="str">
        <f>IF('Éléments saisis (inputs)'!E163&lt;&gt;"",'Éléments saisis (inputs)'!E163,"")</f>
        <v/>
      </c>
      <c r="F163" s="344"/>
    </row>
    <row r="164" spans="2:6" x14ac:dyDescent="0.35">
      <c r="B164" s="18"/>
      <c r="C164" s="344" t="str">
        <f>IF('Éléments saisis (inputs)'!C164&lt;&gt;"",'Éléments saisis (inputs)'!C164,"")</f>
        <v>Domaine d’utilisation</v>
      </c>
      <c r="D164" s="349" t="str">
        <f>'Éléments saisis (inputs)'!D164</f>
        <v>Niveau régional</v>
      </c>
      <c r="E164" s="344" t="str">
        <f>IF('Éléments saisis (inputs)'!E164&lt;&gt;"",'Éléments saisis (inputs)'!E164,"")</f>
        <v/>
      </c>
      <c r="F164" s="344"/>
    </row>
    <row r="165" spans="2:6" x14ac:dyDescent="0.35">
      <c r="B165" s="18"/>
      <c r="C165" s="344" t="str">
        <f>IF('Éléments saisis (inputs)'!C165&lt;&gt;"",'Éléments saisis (inputs)'!C165,"")</f>
        <v>Possibilité de recharge à domicile</v>
      </c>
      <c r="D165" s="350" t="str" cm="1">
        <f t="array" ref="D165">INDEX(Heimladen,NOT(_xlfn.XMATCH(D163,Einsatzart)-1)+1)</f>
        <v>Non</v>
      </c>
      <c r="E165" s="344" t="str">
        <f>IF('Éléments saisis (inputs)'!E165&lt;&gt;"",'Éléments saisis (inputs)'!E165,"")</f>
        <v/>
      </c>
      <c r="F165" s="344" t="str">
        <f>"Valeur par défaut: "&amp;'1a. Defaults Segment-Ebene'!D165</f>
        <v>Valeur par défaut: Non</v>
      </c>
    </row>
    <row r="166" spans="2:6" x14ac:dyDescent="0.35">
      <c r="B166" s="18"/>
      <c r="C166" s="344" t="str">
        <f>IF('Éléments saisis (inputs)'!C166&lt;&gt;"",'Éléments saisis (inputs)'!C166,"")</f>
        <v/>
      </c>
      <c r="D166" s="343"/>
      <c r="E166" s="344" t="str">
        <f>IF('Éléments saisis (inputs)'!E166&lt;&gt;"",'Éléments saisis (inputs)'!E166,"")</f>
        <v/>
      </c>
      <c r="F166" s="344"/>
    </row>
    <row r="167" spans="2:6" x14ac:dyDescent="0.35">
      <c r="B167" s="18"/>
      <c r="C167" s="22" t="str">
        <f>IF('Éléments saisis (inputs)'!C167&lt;&gt;"",'Éléments saisis (inputs)'!C167,"")</f>
        <v>Données du véhicule</v>
      </c>
      <c r="D167" s="343"/>
      <c r="E167" s="344" t="str">
        <f>IF('Éléments saisis (inputs)'!E167&lt;&gt;"",'Éléments saisis (inputs)'!E167,"")</f>
        <v/>
      </c>
      <c r="F167" s="344"/>
    </row>
    <row r="168" spans="2:6" x14ac:dyDescent="0.35">
      <c r="B168" s="18"/>
      <c r="C168" s="344" t="str">
        <f>IF('Éléments saisis (inputs)'!C168&lt;&gt;"",'Éléments saisis (inputs)'!C168,"")</f>
        <v>Taille du véhicule</v>
      </c>
      <c r="D168" s="349" t="str">
        <f>'Éléments saisis (inputs)'!D168</f>
        <v>Catégorie moyenne</v>
      </c>
      <c r="E168" s="344" t="str">
        <f>IF('Éléments saisis (inputs)'!E168&lt;&gt;"",'Éléments saisis (inputs)'!E168,"")</f>
        <v/>
      </c>
      <c r="F168" s="344"/>
    </row>
    <row r="169" spans="2:6" x14ac:dyDescent="0.35">
      <c r="B169" s="18"/>
      <c r="C169" s="344" t="str">
        <f>IF('Éléments saisis (inputs)'!C169&lt;&gt;"",'Éléments saisis (inputs)'!C169,"")</f>
        <v>Consommation de carburant du véhicule thermique</v>
      </c>
      <c r="D169" s="350" cm="1">
        <f t="array" ref="D169">INDEX('2d. Annahmen'!$F$13:$F$16,_xlfn.XMATCH(D168,Grösse))</f>
        <v>5.8</v>
      </c>
      <c r="E169" s="344" t="str">
        <f>IF('Éléments saisis (inputs)'!E169&lt;&gt;"",'Éléments saisis (inputs)'!E169,"")</f>
        <v>l/100 km</v>
      </c>
      <c r="F169" s="344" t="str">
        <f>"Valeur par défaut: "&amp;TEXT('1a. Defaults Segment-Ebene'!D169,"##0.0")&amp;" "&amp;E169</f>
        <v>Valeur par défaut: 5.8 l/100 km</v>
      </c>
    </row>
    <row r="170" spans="2:6" x14ac:dyDescent="0.35">
      <c r="B170" s="18"/>
      <c r="C170" s="344" t="str">
        <f>IF('Éléments saisis (inputs)'!C170&lt;&gt;"",'Éléments saisis (inputs)'!C170,"")</f>
        <v>Consommation énergétique du véhicule électrique</v>
      </c>
      <c r="D170" s="350" cm="1">
        <f t="array" ref="D170">INDEX('2d. Annahmen'!$H$4:$H$7,_xlfn.XMATCH(D168,Grösse))</f>
        <v>15.1</v>
      </c>
      <c r="E170" s="344" t="str">
        <f>IF('Éléments saisis (inputs)'!E170&lt;&gt;"",'Éléments saisis (inputs)'!E170,"")</f>
        <v>kWh/100 km</v>
      </c>
      <c r="F170" s="344" t="str">
        <f>"Valeur par défaut: "&amp;TEXT('1a. Defaults Segment-Ebene'!D170,"##0.0")&amp;" "&amp;E170</f>
        <v>Valeur par défaut: 15.1 kWh/100 km</v>
      </c>
    </row>
    <row r="171" spans="2:6" x14ac:dyDescent="0.35">
      <c r="B171" s="18"/>
      <c r="C171" s="344" t="str">
        <f>IF('Éléments saisis (inputs)'!C171&lt;&gt;"",'Éléments saisis (inputs)'!C171,"")</f>
        <v>Capacité de la batterie (nette)</v>
      </c>
      <c r="D171" s="350" cm="1">
        <f t="array" ref="D171">INDEX('2d. Annahmen'!$F$4:$F$7,_xlfn.XMATCH(D168,Grösse))</f>
        <v>58.625</v>
      </c>
      <c r="E171" s="344" t="str">
        <f>IF('Éléments saisis (inputs)'!E171&lt;&gt;"",'Éléments saisis (inputs)'!E171,"")</f>
        <v>kWh</v>
      </c>
      <c r="F171" s="344" t="str">
        <f>"Valeur par défaut: "&amp;TEXT('1a. Defaults Segment-Ebene'!D171,"##0.0")&amp;" "&amp;E171</f>
        <v>Valeur par défaut: 58.6 kWh</v>
      </c>
    </row>
    <row r="172" spans="2:6" x14ac:dyDescent="0.35">
      <c r="B172" s="18"/>
      <c r="C172" s="344" t="str">
        <f>IF('Éléments saisis (inputs)'!C172&lt;&gt;"",'Éléments saisis (inputs)'!C172,"")</f>
        <v/>
      </c>
      <c r="D172" s="343"/>
      <c r="E172" s="344" t="str">
        <f>IF('Éléments saisis (inputs)'!E172&lt;&gt;"",'Éléments saisis (inputs)'!E172,"")</f>
        <v/>
      </c>
      <c r="F172" s="344"/>
    </row>
    <row r="173" spans="2:6" x14ac:dyDescent="0.35">
      <c r="B173" s="18"/>
      <c r="C173" s="20" t="str">
        <f>IF('Éléments saisis (inputs)'!C173&lt;&gt;"",'Éléments saisis (inputs)'!C173,"")</f>
        <v>Profil de conduite et d’utilisation (indication par véhicule)</v>
      </c>
      <c r="D173" s="343"/>
      <c r="E173" s="344" t="str">
        <f>IF('Éléments saisis (inputs)'!E173&lt;&gt;"",'Éléments saisis (inputs)'!E173,"")</f>
        <v/>
      </c>
      <c r="F173" s="344"/>
    </row>
    <row r="174" spans="2:6" x14ac:dyDescent="0.35">
      <c r="B174" s="18"/>
      <c r="C174" s="344" t="str">
        <f>IF('Éléments saisis (inputs)'!C174&lt;&gt;"",'Éléments saisis (inputs)'!C174,"")</f>
        <v>Modèle d’utilisation</v>
      </c>
      <c r="D174" s="349" t="str">
        <f>'Éléments saisis (inputs)'!D174</f>
        <v>Exploitation pendant les jours ouvrables</v>
      </c>
      <c r="E174" s="344" t="str">
        <f>IF('Éléments saisis (inputs)'!E174&lt;&gt;"",'Éléments saisis (inputs)'!E174,"")</f>
        <v/>
      </c>
      <c r="F174" s="344"/>
    </row>
    <row r="175" spans="2:6" x14ac:dyDescent="0.35">
      <c r="B175" s="18"/>
      <c r="C175" s="344" t="str">
        <f>IF('Éléments saisis (inputs)'!C175&lt;&gt;"",'Éléments saisis (inputs)'!C175,"")</f>
        <v>Nombre de jours de travail par an</v>
      </c>
      <c r="D175" s="350" cm="1">
        <f t="array" ref="D175">INDEX('1e. Dropdown Values'!$A$7:$D$7,_xlfn.XMATCH(D174,'1e. Dropdown Values'!$A$6:$D$6))</f>
        <v>260</v>
      </c>
      <c r="E175" s="344" t="str">
        <f>IF('Éléments saisis (inputs)'!E175&lt;&gt;"",'Éléments saisis (inputs)'!E175,"")</f>
        <v/>
      </c>
      <c r="F175" s="344" t="str">
        <f>"Valeur par défaut: "&amp;TEXT('1a. Defaults Segment-Ebene'!D175,"##0")</f>
        <v>Valeur par défaut: 260</v>
      </c>
    </row>
    <row r="176" spans="2:6" x14ac:dyDescent="0.35">
      <c r="B176" s="18"/>
      <c r="C176" s="344" t="str">
        <f>IF('Éléments saisis (inputs)'!C176&lt;&gt;"",'Éléments saisis (inputs)'!C176,"")</f>
        <v>Distance parcourue pendant le temps de travail</v>
      </c>
      <c r="D176" s="350" cm="1">
        <f t="array" ref="D176">INDEX('1e. Dropdown Values'!$A$4:$D$4,_xlfn.XMATCH(D164,'1e. Dropdown Values'!$A$3:$D$3))</f>
        <v>100</v>
      </c>
      <c r="E176" s="344" t="str">
        <f>IF('Éléments saisis (inputs)'!E176&lt;&gt;"",'Éléments saisis (inputs)'!E176,"")</f>
        <v>km/jour</v>
      </c>
      <c r="F176" s="344" t="str">
        <f>"Valeur par défaut: "&amp;TEXT('1a. Defaults Segment-Ebene'!D176,"##0")&amp;" "&amp;E176</f>
        <v>Valeur par défaut: 100 km/jour</v>
      </c>
    </row>
    <row r="177" spans="2:6" x14ac:dyDescent="0.35">
      <c r="B177" s="18"/>
      <c r="C177" s="344" t="str">
        <f>IF('Éléments saisis (inputs)'!C177&lt;&gt;"",'Éléments saisis (inputs)'!C177,"")</f>
        <v>Distance domicile-travail (aller-retour)</v>
      </c>
      <c r="D177" s="350">
        <f>(_xlfn.XMATCH(D163,Einsatzart)-1)*30</f>
        <v>0</v>
      </c>
      <c r="E177" s="344" t="str">
        <f>IF('Éléments saisis (inputs)'!E177&lt;&gt;"",'Éléments saisis (inputs)'!E177,"")</f>
        <v>km/jour</v>
      </c>
      <c r="F177" s="344" t="str">
        <f>"Valeur par défaut: "&amp;TEXT('1a. Defaults Segment-Ebene'!D177,"##0")&amp;" "&amp;E177</f>
        <v>Valeur par défaut: 0 km/jour</v>
      </c>
    </row>
    <row r="178" spans="2:6" x14ac:dyDescent="0.35">
      <c r="B178" s="18"/>
      <c r="C178" s="344" t="str">
        <f>IF('Éléments saisis (inputs)'!C178&lt;&gt;"",'Éléments saisis (inputs)'!C178,"")</f>
        <v>Nombre d’utilisations par jour</v>
      </c>
      <c r="D178" s="350">
        <v>1</v>
      </c>
      <c r="E178" s="344" t="str">
        <f>IF('Éléments saisis (inputs)'!E178&lt;&gt;"",'Éléments saisis (inputs)'!E178,"")</f>
        <v/>
      </c>
      <c r="F178" s="344" t="str">
        <f>"Valeur par défaut: "&amp;TEXT('1a. Defaults Segment-Ebene'!D178,"##0")</f>
        <v>Valeur par défaut: 1</v>
      </c>
    </row>
    <row r="179" spans="2:6" x14ac:dyDescent="0.35">
      <c r="B179" s="18"/>
      <c r="C179" s="344" t="str">
        <f>IF('Éléments saisis (inputs)'!C179&lt;&gt;"",'Éléments saisis (inputs)'!C179,"")</f>
        <v>Nombre de pauses par jour</v>
      </c>
      <c r="D179" s="350"/>
      <c r="E179" s="344" t="str">
        <f>IF('Éléments saisis (inputs)'!E179&lt;&gt;"",'Éléments saisis (inputs)'!E179,"")</f>
        <v/>
      </c>
      <c r="F179" s="344"/>
    </row>
    <row r="180" spans="2:6" x14ac:dyDescent="0.35">
      <c r="B180" s="18"/>
      <c r="C180" s="344" t="str">
        <f>IF('Éléments saisis (inputs)'!C180&lt;&gt;"",'Éléments saisis (inputs)'!C180,"")</f>
        <v>Durée d’immobilisation par pause sur le site de l’entreprise</v>
      </c>
      <c r="D180" s="350" cm="1">
        <f t="array" ref="D180">INDEX('1e. Dropdown Values'!$A$9:$D$9,_xlfn.XMATCH(D174,'1e. Dropdown Values'!$A$6:$D$6))</f>
        <v>1</v>
      </c>
      <c r="E180" s="344" t="str">
        <f>IF('Éléments saisis (inputs)'!E180&lt;&gt;"",'Éléments saisis (inputs)'!E180,"")</f>
        <v>Heures</v>
      </c>
      <c r="F180" s="344" t="str">
        <f>"Valeur par défaut: "&amp;TEXT('1a. Defaults Segment-Ebene'!D180,"##0")&amp;" "&amp;IF(D180=1,"Heure",E180)</f>
        <v>Valeur par défaut: 1 Heure</v>
      </c>
    </row>
    <row r="181" spans="2:6" x14ac:dyDescent="0.35">
      <c r="B181" s="18"/>
      <c r="C181" s="344" t="str">
        <f>IF('Éléments saisis (inputs)'!C181&lt;&gt;"",'Éléments saisis (inputs)'!C181,"")</f>
        <v>Durée d’immobilisation pendant la nuit</v>
      </c>
      <c r="D181" s="350" cm="1">
        <f t="array" ref="D181">INDEX('1e. Dropdown Values'!$A$8:$D$8,_xlfn.XMATCH(D174,'1e. Dropdown Values'!$A$6:$D$6))</f>
        <v>8</v>
      </c>
      <c r="E181" s="344" t="str">
        <f>IF('Éléments saisis (inputs)'!E181&lt;&gt;"",'Éléments saisis (inputs)'!E181,"")</f>
        <v>Heures</v>
      </c>
      <c r="F181" s="344" t="str">
        <f>"Valeur par défaut: "&amp;TEXT('1a. Defaults Segment-Ebene'!D181,"##0")&amp;" "&amp;IF(D181=1,"Heure",E181)</f>
        <v>Valeur par défaut: 8 Heures</v>
      </c>
    </row>
    <row r="182" spans="2:6" x14ac:dyDescent="0.35">
      <c r="B182" s="18"/>
      <c r="C182" s="344" t="str">
        <f>IF('Éléments saisis (inputs)'!C182&lt;&gt;"",'Éléments saisis (inputs)'!C182,"")</f>
        <v>Véhicules par point de recharge, site de l’entreprise (pendant la journée)</v>
      </c>
      <c r="D182" s="350" cm="1">
        <f t="array" ref="D182">INDEX('1e. Dropdown Values'!$B$10:$D$10,_xlfn.XMATCH(D174,Nutzungsmuster))</f>
        <v>1</v>
      </c>
      <c r="E182" s="344" t="str">
        <f>IF('Éléments saisis (inputs)'!E182&lt;&gt;"",'Éléments saisis (inputs)'!E182,"")</f>
        <v/>
      </c>
      <c r="F182" s="344" t="str">
        <f>"Valeur par défaut: "&amp;TEXT('1a. Defaults Segment-Ebene'!D182,"##0")</f>
        <v>Valeur par défaut: 1</v>
      </c>
    </row>
    <row r="183" spans="2:6" x14ac:dyDescent="0.35">
      <c r="B183" s="18"/>
      <c r="C183" s="344" t="str">
        <f>IF('Éléments saisis (inputs)'!C183&lt;&gt;"",'Éléments saisis (inputs)'!C183,"")</f>
        <v/>
      </c>
      <c r="D183" s="343"/>
      <c r="E183" s="344" t="str">
        <f>IF('Éléments saisis (inputs)'!E183&lt;&gt;"",'Éléments saisis (inputs)'!E183,"")</f>
        <v/>
      </c>
      <c r="F183" s="344"/>
    </row>
    <row r="184" spans="2:6" x14ac:dyDescent="0.35">
      <c r="B184" s="18"/>
      <c r="C184" s="20" t="str">
        <f>IF('Éléments saisis (inputs)'!C184&lt;&gt;"",'Éléments saisis (inputs)'!C184,"")</f>
        <v>Coûts (indication par véhicule)</v>
      </c>
      <c r="D184" s="343"/>
      <c r="E184" s="344" t="str">
        <f>IF('Éléments saisis (inputs)'!E184&lt;&gt;"",'Éléments saisis (inputs)'!E184,"")</f>
        <v/>
      </c>
      <c r="F184" s="344"/>
    </row>
    <row r="185" spans="2:6" x14ac:dyDescent="0.35">
      <c r="B185" s="18"/>
      <c r="C185" s="344" t="str">
        <f>IF('Éléments saisis (inputs)'!C185&lt;&gt;"",'Éléments saisis (inputs)'!C185,"")</f>
        <v>Durée</v>
      </c>
      <c r="D185" s="353">
        <f>'Éléments saisis (inputs)'!D185</f>
        <v>48</v>
      </c>
      <c r="E185" s="344" t="str">
        <f>IF('Éléments saisis (inputs)'!E185&lt;&gt;"",'Éléments saisis (inputs)'!E185,"")</f>
        <v>Mois</v>
      </c>
      <c r="F185" s="344"/>
    </row>
    <row r="186" spans="2:6" x14ac:dyDescent="0.35">
      <c r="B186" s="18"/>
      <c r="C186" s="344" t="str">
        <f>IF('Éléments saisis (inputs)'!C186&lt;&gt;"",'Éléments saisis (inputs)'!C186,"")</f>
        <v>Taux d’intérêt du leasing</v>
      </c>
      <c r="D186" s="354">
        <v>0.03</v>
      </c>
      <c r="E186" s="344" t="str">
        <f>IF('Éléments saisis (inputs)'!E186&lt;&gt;"",'Éléments saisis (inputs)'!E186,"")</f>
        <v/>
      </c>
      <c r="F186" s="344" t="str">
        <f>"Valeur par défaut: "&amp;TEXT('1a. Defaults Segment-Ebene'!D186,"##0.0%")</f>
        <v>Valeur par défaut: 3.0%</v>
      </c>
    </row>
    <row r="187" spans="2:6" x14ac:dyDescent="0.35">
      <c r="B187" s="18"/>
      <c r="C187" s="344" t="str">
        <f>IF('Éléments saisis (inputs)'!C187&lt;&gt;"",'Éléments saisis (inputs)'!C187,"")</f>
        <v>Prix d’acquisition, rabais de flotte du véhicule thermique inclus</v>
      </c>
      <c r="D187" s="355" cm="1">
        <f t="array" ref="D187">INDEX('2d. Annahmen'!$H$13:$H$16,_xlfn.XMATCH(D168,'2d. Annahmen'!$B$4:$B$7))*(1-'2d. Annahmen'!$B$30)</f>
        <v>27219.464999999997</v>
      </c>
      <c r="E187" s="344" t="str">
        <f>IF('Éléments saisis (inputs)'!E187&lt;&gt;"",'Éléments saisis (inputs)'!E187,"")</f>
        <v>CHF</v>
      </c>
      <c r="F187" s="344" t="str">
        <f>"Valeur par défaut: "&amp;TEXT('1a. Defaults Segment-Ebene'!D187,"#’##0")&amp;" "&amp;E187</f>
        <v>Valeur par défaut: 27’219 CHF</v>
      </c>
    </row>
    <row r="188" spans="2:6" x14ac:dyDescent="0.35">
      <c r="B188" s="18"/>
      <c r="C188" s="344" t="str">
        <f>IF('Éléments saisis (inputs)'!C188&lt;&gt;"",'Éléments saisis (inputs)'!C188,"")</f>
        <v>Frais d’entretien et de réparation du véhicule thermique</v>
      </c>
      <c r="D188" s="350" cm="1">
        <f t="array" ref="D188">INDEX('2d. Annahmen'!$J$13:$J$16,_xlfn.XMATCH(D168,Grösse))/20000</f>
        <v>0.05</v>
      </c>
      <c r="E188" s="344" t="str">
        <f>IF('Éléments saisis (inputs)'!E188&lt;&gt;"",'Éléments saisis (inputs)'!E188,"")</f>
        <v>CHF/km</v>
      </c>
      <c r="F188" s="344" t="str">
        <f>"Valeur par défaut: "&amp;TEXT('1a. Defaults Segment-Ebene'!D188,"##0.000")&amp;" "&amp;E188</f>
        <v>Valeur par défaut: 0.050 CHF/km</v>
      </c>
    </row>
    <row r="189" spans="2:6" x14ac:dyDescent="0.35">
      <c r="B189" s="18"/>
      <c r="C189" s="344" t="str">
        <f>IF('Éléments saisis (inputs)'!C189&lt;&gt;"",'Éléments saisis (inputs)'!C189,"")</f>
        <v>Valeur résiduelle du véhicule thermique</v>
      </c>
      <c r="D189" s="356" cm="1">
        <f t="array" ref="D189">_xlfn.LET(_xlpm.class,D168,_xlpm.km,ROUNDUP(D175*IF(D162=INDEX(Einsatzart,1),D176,D176+D177)*D185/12/5000,0)*5000,_xlpm.lz,D185,_xlpm.totkm,'2d.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89" s="344" t="str">
        <f>IF('Éléments saisis (inputs)'!E189&lt;&gt;"",'Éléments saisis (inputs)'!E189,"")</f>
        <v/>
      </c>
      <c r="F189" s="344" t="str">
        <f>"Valeur par défaut: "&amp;TEXT('1a. Defaults Segment-Ebene'!D189,"##0.0%")</f>
        <v>Valeur par défaut: 31.6%</v>
      </c>
    </row>
    <row r="190" spans="2:6" x14ac:dyDescent="0.35">
      <c r="B190" s="18"/>
      <c r="C190" s="344" t="str">
        <f>IF('Éléments saisis (inputs)'!C190&lt;&gt;"",'Éléments saisis (inputs)'!C190,"")</f>
        <v>Prix d’acquisition, rabais de flotte du véhicule électrique inclus</v>
      </c>
      <c r="D190" s="355" cm="1">
        <f t="array" ref="D190">INDEX('2d. Annahmen'!$K$4:$K$7,_xlfn.XMATCH(D168,'2d. Annahmen'!$B$4:$B$7))*(1-'2d. Annahmen'!$B$29)</f>
        <v>28810.890000000003</v>
      </c>
      <c r="E190" s="344" t="str">
        <f>IF('Éléments saisis (inputs)'!E190&lt;&gt;"",'Éléments saisis (inputs)'!E190,"")</f>
        <v>CHF</v>
      </c>
      <c r="F190" s="344" t="str">
        <f>"Valeur par défaut: "&amp;TEXT('1a. Defaults Segment-Ebene'!D190,"#’##0")&amp;" "&amp;E190</f>
        <v>Valeur par défaut: 28’811 CHF</v>
      </c>
    </row>
    <row r="191" spans="2:6" x14ac:dyDescent="0.35">
      <c r="B191" s="18"/>
      <c r="C191" s="344" t="str">
        <f>IF('Éléments saisis (inputs)'!C191&lt;&gt;"",'Éléments saisis (inputs)'!C191,"")</f>
        <v>Frais d’entretien et de réparation du véhicule électrique</v>
      </c>
      <c r="D191" s="350">
        <f>D188*0.5</f>
        <v>2.5000000000000001E-2</v>
      </c>
      <c r="E191" s="344" t="str">
        <f>IF('Éléments saisis (inputs)'!E191&lt;&gt;"",'Éléments saisis (inputs)'!E191,"")</f>
        <v>CHF/km</v>
      </c>
      <c r="F191" s="344" t="str">
        <f>"Valeur par défaut: "&amp;TEXT('1a. Defaults Segment-Ebene'!D191,"0.000")&amp;" "&amp;E191</f>
        <v>Valeur par défaut: 0.025 CHF/km</v>
      </c>
    </row>
    <row r="192" spans="2:6" x14ac:dyDescent="0.35">
      <c r="B192" s="18"/>
      <c r="C192" s="344" t="str">
        <f>IF('Éléments saisis (inputs)'!C192&lt;&gt;"",'Éléments saisis (inputs)'!C192,"")</f>
        <v>Valeur résiduelle du véhicule électrique</v>
      </c>
      <c r="D192" s="356" cm="1">
        <f t="array" ref="D192">_xlfn.LET(_xlpm.class,D168,_xlpm.km,ROUNDUP(D175*IF(D162=INDEX(Einsatzart,1),D176,D176+D177)*D185/12/5000,0)*5000,_xlpm.lz,D185,_xlpm.totkm,'2d.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92" s="344" t="str">
        <f>IF('Éléments saisis (inputs)'!E192&lt;&gt;"",'Éléments saisis (inputs)'!E192,"")</f>
        <v/>
      </c>
      <c r="F192" s="344" t="str">
        <f>"Valeur par défaut: "&amp;TEXT('1a. Defaults Segment-Ebene'!D192,"##0.0%")</f>
        <v>Valeur par défaut: 30.7%</v>
      </c>
    </row>
    <row r="193" spans="2:6" x14ac:dyDescent="0.35">
      <c r="C193" s="283" t="str">
        <f>IF('Éléments saisis (inputs)'!C193&lt;&gt;"",'Éléments saisis (inputs)'!C193,"")</f>
        <v/>
      </c>
      <c r="D193" s="478"/>
      <c r="E193" s="283" t="str">
        <f>IF('Éléments saisis (inputs)'!E193&lt;&gt;"",'Éléments saisis (inputs)'!E193,"")</f>
        <v/>
      </c>
      <c r="F193" s="283"/>
    </row>
    <row r="194" spans="2:6" x14ac:dyDescent="0.35">
      <c r="C194" s="283" t="str">
        <f>IF('Éléments saisis (inputs)'!C194&lt;&gt;"",'Éléments saisis (inputs)'!C194,"")</f>
        <v/>
      </c>
      <c r="D194" s="478"/>
      <c r="E194" s="283" t="str">
        <f>IF('Éléments saisis (inputs)'!E194&lt;&gt;"",'Éléments saisis (inputs)'!E194,"")</f>
        <v/>
      </c>
      <c r="F194" s="283"/>
    </row>
    <row r="195" spans="2:6" ht="15" x14ac:dyDescent="0.35">
      <c r="B195" s="11" t="s">
        <v>58</v>
      </c>
      <c r="C195" s="11" t="str">
        <f>IF('Éléments saisis (inputs)'!C195&lt;&gt;"",'Éléments saisis (inputs)'!C195,"")</f>
        <v>Segment F</v>
      </c>
      <c r="D195" s="12"/>
      <c r="E195" s="13" t="str">
        <f>IF('Éléments saisis (inputs)'!E195&lt;&gt;"",'Éléments saisis (inputs)'!E195,"")</f>
        <v/>
      </c>
      <c r="F195" s="13"/>
    </row>
    <row r="196" spans="2:6" ht="18.899999999999999" x14ac:dyDescent="0.45">
      <c r="B196" s="18"/>
      <c r="C196" s="23" t="str">
        <f>IF('Éléments saisis (inputs)'!C196&lt;&gt;"",'Éléments saisis (inputs)'!C196,"")</f>
        <v/>
      </c>
      <c r="D196" s="24"/>
      <c r="E196" s="25" t="str">
        <f>IF('Éléments saisis (inputs)'!E196&lt;&gt;"",'Éléments saisis (inputs)'!E196,"")</f>
        <v/>
      </c>
      <c r="F196" s="25"/>
    </row>
    <row r="197" spans="2:6" x14ac:dyDescent="0.35">
      <c r="B197" s="18"/>
      <c r="C197" s="20" t="str">
        <f>IF('Éléments saisis (inputs)'!C197&lt;&gt;"",'Éléments saisis (inputs)'!C197,"")</f>
        <v>Structure des segments</v>
      </c>
      <c r="D197" s="343"/>
      <c r="E197" s="344" t="str">
        <f>IF('Éléments saisis (inputs)'!E197&lt;&gt;"",'Éléments saisis (inputs)'!E197,"")</f>
        <v/>
      </c>
      <c r="F197" s="344"/>
    </row>
    <row r="198" spans="2:6" x14ac:dyDescent="0.35">
      <c r="B198" s="18"/>
      <c r="C198" s="344" t="str">
        <f>IF('Éléments saisis (inputs)'!C198&lt;&gt;"",'Éléments saisis (inputs)'!C198,"")</f>
        <v>Nombre de véhicules</v>
      </c>
      <c r="D198" s="349">
        <f>'Éléments saisis (inputs)'!D198</f>
        <v>1</v>
      </c>
      <c r="E198" s="344" t="str">
        <f>IF('Éléments saisis (inputs)'!E198&lt;&gt;"",'Éléments saisis (inputs)'!E198,"")</f>
        <v/>
      </c>
      <c r="F198" s="344"/>
    </row>
    <row r="199" spans="2:6" x14ac:dyDescent="0.35">
      <c r="B199" s="18"/>
      <c r="C199" s="344" t="str">
        <f>IF('Éléments saisis (inputs)'!C199&lt;&gt;"",'Éléments saisis (inputs)'!C199,"")</f>
        <v>Type d’utilisation</v>
      </c>
      <c r="D199" s="349" t="str">
        <f>'Éléments saisis (inputs)'!D199</f>
        <v>Véhicules de pool</v>
      </c>
      <c r="E199" s="344" t="str">
        <f>IF('Éléments saisis (inputs)'!E199&lt;&gt;"",'Éléments saisis (inputs)'!E199,"")</f>
        <v/>
      </c>
      <c r="F199" s="344"/>
    </row>
    <row r="200" spans="2:6" x14ac:dyDescent="0.35">
      <c r="B200" s="18"/>
      <c r="C200" s="344" t="str">
        <f>IF('Éléments saisis (inputs)'!C200&lt;&gt;"",'Éléments saisis (inputs)'!C200,"")</f>
        <v>Domaine d’utilisation</v>
      </c>
      <c r="D200" s="349" t="str">
        <f>'Éléments saisis (inputs)'!D200</f>
        <v>Niveau régional</v>
      </c>
      <c r="E200" s="344" t="str">
        <f>IF('Éléments saisis (inputs)'!E200&lt;&gt;"",'Éléments saisis (inputs)'!E200,"")</f>
        <v/>
      </c>
      <c r="F200" s="344"/>
    </row>
    <row r="201" spans="2:6" x14ac:dyDescent="0.35">
      <c r="B201" s="18"/>
      <c r="C201" s="344" t="str">
        <f>IF('Éléments saisis (inputs)'!C201&lt;&gt;"",'Éléments saisis (inputs)'!C201,"")</f>
        <v>Possibilité de recharge à domicile</v>
      </c>
      <c r="D201" s="350" t="str" cm="1">
        <f t="array" ref="D201">INDEX(Heimladen,NOT(_xlfn.XMATCH(D199,Einsatzart)-1)+1)</f>
        <v>Non</v>
      </c>
      <c r="E201" s="344" t="str">
        <f>IF('Éléments saisis (inputs)'!E201&lt;&gt;"",'Éléments saisis (inputs)'!E201,"")</f>
        <v/>
      </c>
      <c r="F201" s="344" t="str">
        <f>"Valeur par défaut: "&amp;'1a. Defaults Segment-Ebene'!D201</f>
        <v>Valeur par défaut: Non</v>
      </c>
    </row>
    <row r="202" spans="2:6" x14ac:dyDescent="0.35">
      <c r="B202" s="18"/>
      <c r="C202" s="344" t="str">
        <f>IF('Éléments saisis (inputs)'!C202&lt;&gt;"",'Éléments saisis (inputs)'!C202,"")</f>
        <v/>
      </c>
      <c r="D202" s="343"/>
      <c r="E202" s="344" t="str">
        <f>IF('Éléments saisis (inputs)'!E202&lt;&gt;"",'Éléments saisis (inputs)'!E202,"")</f>
        <v/>
      </c>
      <c r="F202" s="344"/>
    </row>
    <row r="203" spans="2:6" x14ac:dyDescent="0.35">
      <c r="B203" s="18"/>
      <c r="C203" s="22" t="str">
        <f>IF('Éléments saisis (inputs)'!C203&lt;&gt;"",'Éléments saisis (inputs)'!C203,"")</f>
        <v>Données du véhicule</v>
      </c>
      <c r="D203" s="343"/>
      <c r="E203" s="344" t="str">
        <f>IF('Éléments saisis (inputs)'!E203&lt;&gt;"",'Éléments saisis (inputs)'!E203,"")</f>
        <v/>
      </c>
      <c r="F203" s="344"/>
    </row>
    <row r="204" spans="2:6" x14ac:dyDescent="0.35">
      <c r="B204" s="18"/>
      <c r="C204" s="344" t="str">
        <f>IF('Éléments saisis (inputs)'!C204&lt;&gt;"",'Éléments saisis (inputs)'!C204,"")</f>
        <v>Taille du véhicule</v>
      </c>
      <c r="D204" s="349" t="str">
        <f>'Éléments saisis (inputs)'!D204</f>
        <v>Catégorie moyenne</v>
      </c>
      <c r="E204" s="344" t="str">
        <f>IF('Éléments saisis (inputs)'!E204&lt;&gt;"",'Éléments saisis (inputs)'!E204,"")</f>
        <v/>
      </c>
      <c r="F204" s="344"/>
    </row>
    <row r="205" spans="2:6" x14ac:dyDescent="0.35">
      <c r="B205" s="18"/>
      <c r="C205" s="344" t="str">
        <f>IF('Éléments saisis (inputs)'!C205&lt;&gt;"",'Éléments saisis (inputs)'!C205,"")</f>
        <v>Consommation de carburant du véhicule thermique</v>
      </c>
      <c r="D205" s="350" cm="1">
        <f t="array" ref="D205">INDEX('2d. Annahmen'!$F$13:$F$16,_xlfn.XMATCH(D204,Grösse))</f>
        <v>5.8</v>
      </c>
      <c r="E205" s="344" t="str">
        <f>IF('Éléments saisis (inputs)'!E205&lt;&gt;"",'Éléments saisis (inputs)'!E205,"")</f>
        <v>l/100 km</v>
      </c>
      <c r="F205" s="344" t="str">
        <f>"Valeur par défaut: "&amp;TEXT('1a. Defaults Segment-Ebene'!D205,"##0.0")&amp;" "&amp;E205</f>
        <v>Valeur par défaut: 5.8 l/100 km</v>
      </c>
    </row>
    <row r="206" spans="2:6" x14ac:dyDescent="0.35">
      <c r="B206" s="18"/>
      <c r="C206" s="344" t="str">
        <f>IF('Éléments saisis (inputs)'!C206&lt;&gt;"",'Éléments saisis (inputs)'!C206,"")</f>
        <v>Consommation énergétique du véhicule électrique</v>
      </c>
      <c r="D206" s="350" cm="1">
        <f t="array" ref="D206">INDEX('2d. Annahmen'!$H$4:$H$7,_xlfn.XMATCH(D204,Grösse))</f>
        <v>15.1</v>
      </c>
      <c r="E206" s="344" t="str">
        <f>IF('Éléments saisis (inputs)'!E206&lt;&gt;"",'Éléments saisis (inputs)'!E206,"")</f>
        <v>kWh/100 km</v>
      </c>
      <c r="F206" s="344" t="str">
        <f>"Valeur par défaut: "&amp;TEXT('1a. Defaults Segment-Ebene'!D206,"##0.0")&amp;" "&amp;E206</f>
        <v>Valeur par défaut: 15.1 kWh/100 km</v>
      </c>
    </row>
    <row r="207" spans="2:6" x14ac:dyDescent="0.35">
      <c r="B207" s="18"/>
      <c r="C207" s="344" t="str">
        <f>IF('Éléments saisis (inputs)'!C207&lt;&gt;"",'Éléments saisis (inputs)'!C207,"")</f>
        <v>Capacité de la batterie (nette)</v>
      </c>
      <c r="D207" s="350" cm="1">
        <f t="array" ref="D207">INDEX('2d. Annahmen'!$F$4:$F$7,_xlfn.XMATCH(D204,Grösse))</f>
        <v>58.625</v>
      </c>
      <c r="E207" s="344" t="str">
        <f>IF('Éléments saisis (inputs)'!E207&lt;&gt;"",'Éléments saisis (inputs)'!E207,"")</f>
        <v>kWh</v>
      </c>
      <c r="F207" s="344" t="str">
        <f>"Valeur par défaut: "&amp;TEXT('1a. Defaults Segment-Ebene'!D207,"##0.0")&amp;" "&amp;E207</f>
        <v>Valeur par défaut: 58.6 kWh</v>
      </c>
    </row>
    <row r="208" spans="2:6" x14ac:dyDescent="0.35">
      <c r="B208" s="18"/>
      <c r="C208" s="344" t="str">
        <f>IF('Éléments saisis (inputs)'!C208&lt;&gt;"",'Éléments saisis (inputs)'!C208,"")</f>
        <v/>
      </c>
      <c r="D208" s="343"/>
      <c r="E208" s="344" t="str">
        <f>IF('Éléments saisis (inputs)'!E208&lt;&gt;"",'Éléments saisis (inputs)'!E208,"")</f>
        <v/>
      </c>
      <c r="F208" s="344"/>
    </row>
    <row r="209" spans="2:6" x14ac:dyDescent="0.35">
      <c r="B209" s="18"/>
      <c r="C209" s="20" t="str">
        <f>IF('Éléments saisis (inputs)'!C209&lt;&gt;"",'Éléments saisis (inputs)'!C209,"")</f>
        <v>Profil de conduite et d’utilisation (indication par véhicule)</v>
      </c>
      <c r="D209" s="343"/>
      <c r="E209" s="344" t="str">
        <f>IF('Éléments saisis (inputs)'!E209&lt;&gt;"",'Éléments saisis (inputs)'!E209,"")</f>
        <v/>
      </c>
      <c r="F209" s="344"/>
    </row>
    <row r="210" spans="2:6" x14ac:dyDescent="0.35">
      <c r="B210" s="18"/>
      <c r="C210" s="344" t="str">
        <f>IF('Éléments saisis (inputs)'!C210&lt;&gt;"",'Éléments saisis (inputs)'!C210,"")</f>
        <v>Modèle d’utilisation</v>
      </c>
      <c r="D210" s="349" t="str">
        <f>'Éléments saisis (inputs)'!D210</f>
        <v>Exploitation pendant les jours ouvrables</v>
      </c>
      <c r="E210" s="344" t="str">
        <f>IF('Éléments saisis (inputs)'!E210&lt;&gt;"",'Éléments saisis (inputs)'!E210,"")</f>
        <v/>
      </c>
      <c r="F210" s="344"/>
    </row>
    <row r="211" spans="2:6" x14ac:dyDescent="0.35">
      <c r="B211" s="18"/>
      <c r="C211" s="344" t="str">
        <f>IF('Éléments saisis (inputs)'!C211&lt;&gt;"",'Éléments saisis (inputs)'!C211,"")</f>
        <v>Nombre de jours de travail par an</v>
      </c>
      <c r="D211" s="350" cm="1">
        <f t="array" ref="D211">INDEX('1e. Dropdown Values'!$A$7:$D$7,_xlfn.XMATCH(D210,'1e. Dropdown Values'!$A$6:$D$6))</f>
        <v>260</v>
      </c>
      <c r="E211" s="344" t="str">
        <f>IF('Éléments saisis (inputs)'!E211&lt;&gt;"",'Éléments saisis (inputs)'!E211,"")</f>
        <v/>
      </c>
      <c r="F211" s="344" t="str">
        <f>"Valeur par défaut: "&amp;TEXT('1a. Defaults Segment-Ebene'!D211,"##0")</f>
        <v>Valeur par défaut: 260</v>
      </c>
    </row>
    <row r="212" spans="2:6" x14ac:dyDescent="0.35">
      <c r="B212" s="18"/>
      <c r="C212" s="344" t="str">
        <f>IF('Éléments saisis (inputs)'!C212&lt;&gt;"",'Éléments saisis (inputs)'!C212,"")</f>
        <v>Distance parcourue pendant le temps de travail</v>
      </c>
      <c r="D212" s="350" cm="1">
        <f t="array" ref="D212">INDEX('1e. Dropdown Values'!$A$4:$D$4,_xlfn.XMATCH(D200,'1e. Dropdown Values'!$A$3:$D$3))</f>
        <v>100</v>
      </c>
      <c r="E212" s="344" t="str">
        <f>IF('Éléments saisis (inputs)'!E212&lt;&gt;"",'Éléments saisis (inputs)'!E212,"")</f>
        <v>km/jour</v>
      </c>
      <c r="F212" s="344" t="str">
        <f>"Valeur par défaut: "&amp;TEXT('1a. Defaults Segment-Ebene'!D212,"##0")&amp;" "&amp;E212</f>
        <v>Valeur par défaut: 100 km/jour</v>
      </c>
    </row>
    <row r="213" spans="2:6" x14ac:dyDescent="0.35">
      <c r="B213" s="18"/>
      <c r="C213" s="344" t="str">
        <f>IF('Éléments saisis (inputs)'!C213&lt;&gt;"",'Éléments saisis (inputs)'!C213,"")</f>
        <v>Distance domicile-travail (aller-retour)</v>
      </c>
      <c r="D213" s="350">
        <f>(_xlfn.XMATCH(D199,Einsatzart)-1)*30</f>
        <v>0</v>
      </c>
      <c r="E213" s="344" t="str">
        <f>IF('Éléments saisis (inputs)'!E213&lt;&gt;"",'Éléments saisis (inputs)'!E213,"")</f>
        <v>km/jour</v>
      </c>
      <c r="F213" s="344" t="str">
        <f>"Valeur par défaut: "&amp;TEXT('1a. Defaults Segment-Ebene'!D213,"##0")&amp;" "&amp;E213</f>
        <v>Valeur par défaut: 0 km/jour</v>
      </c>
    </row>
    <row r="214" spans="2:6" x14ac:dyDescent="0.35">
      <c r="B214" s="18"/>
      <c r="C214" s="344" t="str">
        <f>IF('Éléments saisis (inputs)'!C214&lt;&gt;"",'Éléments saisis (inputs)'!C214,"")</f>
        <v>Nombre d’utilisations par jour</v>
      </c>
      <c r="D214" s="350">
        <v>1</v>
      </c>
      <c r="E214" s="344" t="str">
        <f>IF('Éléments saisis (inputs)'!E214&lt;&gt;"",'Éléments saisis (inputs)'!E214,"")</f>
        <v/>
      </c>
      <c r="F214" s="344" t="str">
        <f>"Valeur par défaut: "&amp;TEXT('1a. Defaults Segment-Ebene'!D214,"##0")</f>
        <v>Valeur par défaut: 1</v>
      </c>
    </row>
    <row r="215" spans="2:6" x14ac:dyDescent="0.35">
      <c r="B215" s="18"/>
      <c r="C215" s="344" t="str">
        <f>IF('Éléments saisis (inputs)'!C215&lt;&gt;"",'Éléments saisis (inputs)'!C215,"")</f>
        <v>Nombre de pauses par jour</v>
      </c>
      <c r="D215" s="350"/>
      <c r="E215" s="344" t="str">
        <f>IF('Éléments saisis (inputs)'!E215&lt;&gt;"",'Éléments saisis (inputs)'!E215,"")</f>
        <v/>
      </c>
      <c r="F215" s="344"/>
    </row>
    <row r="216" spans="2:6" x14ac:dyDescent="0.35">
      <c r="B216" s="18"/>
      <c r="C216" s="344" t="str">
        <f>IF('Éléments saisis (inputs)'!C216&lt;&gt;"",'Éléments saisis (inputs)'!C216,"")</f>
        <v>Durée d’immobilisation par pause sur le site de l’entreprise</v>
      </c>
      <c r="D216" s="350" cm="1">
        <f t="array" ref="D216">INDEX('1e. Dropdown Values'!$A$9:$D$9,_xlfn.XMATCH(D210,'1e. Dropdown Values'!$A$6:$D$6))</f>
        <v>1</v>
      </c>
      <c r="E216" s="344" t="str">
        <f>IF('Éléments saisis (inputs)'!E216&lt;&gt;"",'Éléments saisis (inputs)'!E216,"")</f>
        <v>Heures</v>
      </c>
      <c r="F216" s="344" t="str">
        <f>"Valeur par défaut: "&amp;TEXT('1a. Defaults Segment-Ebene'!D216,"##0")&amp;" "&amp;IF(D216=1,"Heure",E216)</f>
        <v>Valeur par défaut: 1 Heure</v>
      </c>
    </row>
    <row r="217" spans="2:6" x14ac:dyDescent="0.35">
      <c r="B217" s="18"/>
      <c r="C217" s="344" t="str">
        <f>IF('Éléments saisis (inputs)'!C217&lt;&gt;"",'Éléments saisis (inputs)'!C217,"")</f>
        <v>Durée d’immobilisation pendant la nuit</v>
      </c>
      <c r="D217" s="350" cm="1">
        <f t="array" ref="D217">INDEX('1e. Dropdown Values'!$A$8:$D$8,_xlfn.XMATCH(D210,'1e. Dropdown Values'!$A$6:$D$6))</f>
        <v>8</v>
      </c>
      <c r="E217" s="344" t="str">
        <f>IF('Éléments saisis (inputs)'!E217&lt;&gt;"",'Éléments saisis (inputs)'!E217,"")</f>
        <v>Heures</v>
      </c>
      <c r="F217" s="344" t="str">
        <f>"Valeur par défaut: "&amp;TEXT('1a. Defaults Segment-Ebene'!D217,"##0")&amp;" "&amp;IF(D217=1,"Heure",E217)</f>
        <v>Valeur par défaut: 8 Heures</v>
      </c>
    </row>
    <row r="218" spans="2:6" x14ac:dyDescent="0.35">
      <c r="B218" s="18"/>
      <c r="C218" s="344" t="str">
        <f>IF('Éléments saisis (inputs)'!C218&lt;&gt;"",'Éléments saisis (inputs)'!C218,"")</f>
        <v>Véhicules par point de recharge, site de l’entreprise (pendant la journée)</v>
      </c>
      <c r="D218" s="350" cm="1">
        <f t="array" ref="D218">INDEX('1e. Dropdown Values'!$B$10:$D$10,_xlfn.XMATCH(D210,Nutzungsmuster))</f>
        <v>1</v>
      </c>
      <c r="E218" s="344" t="str">
        <f>IF('Éléments saisis (inputs)'!E218&lt;&gt;"",'Éléments saisis (inputs)'!E218,"")</f>
        <v/>
      </c>
      <c r="F218" s="344" t="str">
        <f>"Valeur par défaut: "&amp;TEXT('1a. Defaults Segment-Ebene'!D218,"##0")</f>
        <v>Valeur par défaut: 1</v>
      </c>
    </row>
    <row r="219" spans="2:6" x14ac:dyDescent="0.35">
      <c r="B219" s="18"/>
      <c r="C219" s="344" t="str">
        <f>IF('Éléments saisis (inputs)'!C219&lt;&gt;"",'Éléments saisis (inputs)'!C219,"")</f>
        <v/>
      </c>
      <c r="D219" s="343"/>
      <c r="E219" s="344" t="str">
        <f>IF('Éléments saisis (inputs)'!E219&lt;&gt;"",'Éléments saisis (inputs)'!E219,"")</f>
        <v/>
      </c>
      <c r="F219" s="344"/>
    </row>
    <row r="220" spans="2:6" x14ac:dyDescent="0.35">
      <c r="B220" s="18"/>
      <c r="C220" s="20" t="str">
        <f>IF('Éléments saisis (inputs)'!C220&lt;&gt;"",'Éléments saisis (inputs)'!C220,"")</f>
        <v>Coûts (indication par véhicule)</v>
      </c>
      <c r="D220" s="343"/>
      <c r="E220" s="344" t="str">
        <f>IF('Éléments saisis (inputs)'!E220&lt;&gt;"",'Éléments saisis (inputs)'!E220,"")</f>
        <v/>
      </c>
      <c r="F220" s="344"/>
    </row>
    <row r="221" spans="2:6" x14ac:dyDescent="0.35">
      <c r="B221" s="18"/>
      <c r="C221" s="344" t="str">
        <f>IF('Éléments saisis (inputs)'!C221&lt;&gt;"",'Éléments saisis (inputs)'!C221,"")</f>
        <v>Durée</v>
      </c>
      <c r="D221" s="353">
        <f>'Éléments saisis (inputs)'!D221</f>
        <v>48</v>
      </c>
      <c r="E221" s="344" t="str">
        <f>IF('Éléments saisis (inputs)'!E221&lt;&gt;"",'Éléments saisis (inputs)'!E221,"")</f>
        <v>Mois</v>
      </c>
      <c r="F221" s="344"/>
    </row>
    <row r="222" spans="2:6" x14ac:dyDescent="0.35">
      <c r="B222" s="18"/>
      <c r="C222" s="344" t="str">
        <f>IF('Éléments saisis (inputs)'!C222&lt;&gt;"",'Éléments saisis (inputs)'!C222,"")</f>
        <v>Taux d’intérêt du leasing</v>
      </c>
      <c r="D222" s="354">
        <v>0.03</v>
      </c>
      <c r="E222" s="344" t="str">
        <f>IF('Éléments saisis (inputs)'!E222&lt;&gt;"",'Éléments saisis (inputs)'!E222,"")</f>
        <v/>
      </c>
      <c r="F222" s="344" t="str">
        <f>"Valeur par défaut: "&amp;TEXT('1a. Defaults Segment-Ebene'!D222,"##0.0%")</f>
        <v>Valeur par défaut: 3.0%</v>
      </c>
    </row>
    <row r="223" spans="2:6" x14ac:dyDescent="0.35">
      <c r="B223" s="18"/>
      <c r="C223" s="344" t="str">
        <f>IF('Éléments saisis (inputs)'!C223&lt;&gt;"",'Éléments saisis (inputs)'!C223,"")</f>
        <v>Prix d’acquisition, rabais de flotte du véhicule thermique inclus</v>
      </c>
      <c r="D223" s="355" cm="1">
        <f t="array" ref="D223">INDEX('2d. Annahmen'!$H$13:$H$16,_xlfn.XMATCH(D204,'2d. Annahmen'!$B$4:$B$7))*(1-'2d. Annahmen'!$B$30)</f>
        <v>27219.464999999997</v>
      </c>
      <c r="E223" s="344" t="str">
        <f>IF('Éléments saisis (inputs)'!E223&lt;&gt;"",'Éléments saisis (inputs)'!E223,"")</f>
        <v>CHF</v>
      </c>
      <c r="F223" s="344" t="str">
        <f>"Valeur par défaut: "&amp;TEXT('1a. Defaults Segment-Ebene'!D223,"#’##0")&amp;" "&amp;E223</f>
        <v>Valeur par défaut: 27’219 CHF</v>
      </c>
    </row>
    <row r="224" spans="2:6" x14ac:dyDescent="0.35">
      <c r="B224" s="18"/>
      <c r="C224" s="344" t="str">
        <f>IF('Éléments saisis (inputs)'!C224&lt;&gt;"",'Éléments saisis (inputs)'!C224,"")</f>
        <v>Frais d’entretien et de réparation du véhicule thermique</v>
      </c>
      <c r="D224" s="350" cm="1">
        <f t="array" ref="D224">INDEX('2d. Annahmen'!$J$13:$J$16,_xlfn.XMATCH(D204,Grösse))/20000</f>
        <v>0.05</v>
      </c>
      <c r="E224" s="344" t="str">
        <f>IF('Éléments saisis (inputs)'!E224&lt;&gt;"",'Éléments saisis (inputs)'!E224,"")</f>
        <v>CHF/km</v>
      </c>
      <c r="F224" s="344" t="str">
        <f>"Valeur par défaut: "&amp;TEXT('1a. Defaults Segment-Ebene'!D224,"##0.000")&amp;" "&amp;E224</f>
        <v>Valeur par défaut: 0.050 CHF/km</v>
      </c>
    </row>
    <row r="225" spans="2:6" x14ac:dyDescent="0.35">
      <c r="B225" s="18"/>
      <c r="C225" s="344" t="str">
        <f>IF('Éléments saisis (inputs)'!C225&lt;&gt;"",'Éléments saisis (inputs)'!C225,"")</f>
        <v>Valeur résiduelle du véhicule thermique</v>
      </c>
      <c r="D225" s="356" cm="1">
        <f t="array" ref="D225">_xlfn.LET(_xlpm.class,D204,_xlpm.km,ROUNDUP(D211*IF(D198=INDEX(Einsatzart,1),D212,D212+D213)*D221/12/5000,0)*5000,_xlpm.lz,D221,_xlpm.totkm,'2d.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25" s="344" t="str">
        <f>IF('Éléments saisis (inputs)'!E225&lt;&gt;"",'Éléments saisis (inputs)'!E225,"")</f>
        <v/>
      </c>
      <c r="F225" s="344" t="str">
        <f>"Valeur par défaut: "&amp;TEXT('1a. Defaults Segment-Ebene'!D225,"##0.0%")</f>
        <v>Valeur par défaut: 31.6%</v>
      </c>
    </row>
    <row r="226" spans="2:6" x14ac:dyDescent="0.35">
      <c r="B226" s="18"/>
      <c r="C226" s="344" t="str">
        <f>IF('Éléments saisis (inputs)'!C226&lt;&gt;"",'Éléments saisis (inputs)'!C226,"")</f>
        <v>Prix d’acquisition, rabais de flotte du véhicule électrique inclus</v>
      </c>
      <c r="D226" s="355" cm="1">
        <f t="array" ref="D226">INDEX('2d. Annahmen'!$K$4:$K$7,_xlfn.XMATCH(D204,'2d. Annahmen'!$B$4:$B$7))*(1-'2d. Annahmen'!$B$29)</f>
        <v>28810.890000000003</v>
      </c>
      <c r="E226" s="344" t="str">
        <f>IF('Éléments saisis (inputs)'!E226&lt;&gt;"",'Éléments saisis (inputs)'!E226,"")</f>
        <v>CHF</v>
      </c>
      <c r="F226" s="344" t="str">
        <f>"Valeur par défaut: "&amp;TEXT('1a. Defaults Segment-Ebene'!D226,"#’##0")&amp;" "&amp;E226</f>
        <v>Valeur par défaut: 28’811 CHF</v>
      </c>
    </row>
    <row r="227" spans="2:6" x14ac:dyDescent="0.35">
      <c r="B227" s="18"/>
      <c r="C227" s="344" t="str">
        <f>IF('Éléments saisis (inputs)'!C227&lt;&gt;"",'Éléments saisis (inputs)'!C227,"")</f>
        <v>Frais d’entretien et de réparation du véhicule électrique</v>
      </c>
      <c r="D227" s="350">
        <f>D224*0.5</f>
        <v>2.5000000000000001E-2</v>
      </c>
      <c r="E227" s="344" t="str">
        <f>IF('Éléments saisis (inputs)'!E227&lt;&gt;"",'Éléments saisis (inputs)'!E227,"")</f>
        <v>CHF/km</v>
      </c>
      <c r="F227" s="344" t="str">
        <f>"Valeur par défaut: "&amp;TEXT('1a. Defaults Segment-Ebene'!D227,"0.000")&amp;" "&amp;E227</f>
        <v>Valeur par défaut: 0.025 CHF/km</v>
      </c>
    </row>
    <row r="228" spans="2:6" x14ac:dyDescent="0.35">
      <c r="B228" s="18"/>
      <c r="C228" s="344" t="str">
        <f>IF('Éléments saisis (inputs)'!C228&lt;&gt;"",'Éléments saisis (inputs)'!C228,"")</f>
        <v>Valeur résiduelle du véhicule électrique</v>
      </c>
      <c r="D228" s="356" cm="1">
        <f t="array" ref="D228">_xlfn.LET(_xlpm.class,D204,_xlpm.km,ROUNDUP(D211*IF(D198=INDEX(Einsatzart,1),D212,D212+D213)*D221/12/5000,0)*5000,_xlpm.lz,D221,_xlpm.totkm,'2d.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228" s="344" t="str">
        <f>IF('Éléments saisis (inputs)'!E228&lt;&gt;"",'Éléments saisis (inputs)'!E228,"")</f>
        <v/>
      </c>
      <c r="F228" s="344" t="str">
        <f>"Valeur par défaut: "&amp;TEXT('1a. Defaults Segment-Ebene'!D228,"##0.0%")</f>
        <v>Valeur par défaut: 30.7%</v>
      </c>
    </row>
    <row r="229" spans="2:6" x14ac:dyDescent="0.35">
      <c r="C229" s="283" t="str">
        <f>IF('Éléments saisis (inputs)'!C229&lt;&gt;"",'Éléments saisis (inputs)'!C229,"")</f>
        <v/>
      </c>
      <c r="D229" s="478"/>
      <c r="E229" s="283" t="str">
        <f>IF('Éléments saisis (inputs)'!E229&lt;&gt;"",'Éléments saisis (inputs)'!E229,"")</f>
        <v/>
      </c>
      <c r="F229" s="283"/>
    </row>
    <row r="230" spans="2:6" x14ac:dyDescent="0.35">
      <c r="C230" s="283" t="str">
        <f>IF('Éléments saisis (inputs)'!C230&lt;&gt;"",'Éléments saisis (inputs)'!C230,"")</f>
        <v/>
      </c>
      <c r="D230" s="478"/>
      <c r="E230" s="283" t="str">
        <f>IF('Éléments saisis (inputs)'!E230&lt;&gt;"",'Éléments saisis (inputs)'!E230,"")</f>
        <v/>
      </c>
      <c r="F230" s="283"/>
    </row>
    <row r="231" spans="2:6" ht="15" x14ac:dyDescent="0.35">
      <c r="B231" s="11" t="s">
        <v>59</v>
      </c>
      <c r="C231" s="11" t="str">
        <f>IF('Éléments saisis (inputs)'!C231&lt;&gt;"",'Éléments saisis (inputs)'!C231,"")</f>
        <v>Segment G</v>
      </c>
      <c r="D231" s="12"/>
      <c r="E231" s="13" t="str">
        <f>IF('Éléments saisis (inputs)'!E231&lt;&gt;"",'Éléments saisis (inputs)'!E231,"")</f>
        <v/>
      </c>
      <c r="F231" s="13"/>
    </row>
    <row r="232" spans="2:6" ht="18.899999999999999" x14ac:dyDescent="0.45">
      <c r="B232" s="18"/>
      <c r="C232" s="23" t="str">
        <f>IF('Éléments saisis (inputs)'!C232&lt;&gt;"",'Éléments saisis (inputs)'!C232,"")</f>
        <v/>
      </c>
      <c r="D232" s="24"/>
      <c r="E232" s="25" t="str">
        <f>IF('Éléments saisis (inputs)'!E232&lt;&gt;"",'Éléments saisis (inputs)'!E232,"")</f>
        <v/>
      </c>
      <c r="F232" s="25"/>
    </row>
    <row r="233" spans="2:6" x14ac:dyDescent="0.35">
      <c r="B233" s="18"/>
      <c r="C233" s="20" t="str">
        <f>IF('Éléments saisis (inputs)'!C233&lt;&gt;"",'Éléments saisis (inputs)'!C233,"")</f>
        <v>Structure des segments</v>
      </c>
      <c r="D233" s="343"/>
      <c r="E233" s="344" t="str">
        <f>IF('Éléments saisis (inputs)'!E233&lt;&gt;"",'Éléments saisis (inputs)'!E233,"")</f>
        <v/>
      </c>
      <c r="F233" s="344"/>
    </row>
    <row r="234" spans="2:6" x14ac:dyDescent="0.35">
      <c r="B234" s="18"/>
      <c r="C234" s="344" t="str">
        <f>IF('Éléments saisis (inputs)'!C234&lt;&gt;"",'Éléments saisis (inputs)'!C234,"")</f>
        <v>Nombre de véhicules</v>
      </c>
      <c r="D234" s="349">
        <f>'Éléments saisis (inputs)'!D234</f>
        <v>1</v>
      </c>
      <c r="E234" s="344" t="str">
        <f>IF('Éléments saisis (inputs)'!E234&lt;&gt;"",'Éléments saisis (inputs)'!E234,"")</f>
        <v/>
      </c>
      <c r="F234" s="344"/>
    </row>
    <row r="235" spans="2:6" x14ac:dyDescent="0.35">
      <c r="B235" s="18"/>
      <c r="C235" s="344" t="str">
        <f>IF('Éléments saisis (inputs)'!C235&lt;&gt;"",'Éléments saisis (inputs)'!C235,"")</f>
        <v>Type d’utilisation</v>
      </c>
      <c r="D235" s="349" t="str">
        <f>'Éléments saisis (inputs)'!D235</f>
        <v>Véhicules de pool</v>
      </c>
      <c r="E235" s="344" t="str">
        <f>IF('Éléments saisis (inputs)'!E235&lt;&gt;"",'Éléments saisis (inputs)'!E235,"")</f>
        <v/>
      </c>
      <c r="F235" s="344"/>
    </row>
    <row r="236" spans="2:6" x14ac:dyDescent="0.35">
      <c r="B236" s="18"/>
      <c r="C236" s="344" t="str">
        <f>IF('Éléments saisis (inputs)'!C236&lt;&gt;"",'Éléments saisis (inputs)'!C236,"")</f>
        <v>Domaine d’utilisation</v>
      </c>
      <c r="D236" s="349" t="str">
        <f>'Éléments saisis (inputs)'!D236</f>
        <v>Niveau régional</v>
      </c>
      <c r="E236" s="344" t="str">
        <f>IF('Éléments saisis (inputs)'!E236&lt;&gt;"",'Éléments saisis (inputs)'!E236,"")</f>
        <v/>
      </c>
      <c r="F236" s="344"/>
    </row>
    <row r="237" spans="2:6" x14ac:dyDescent="0.35">
      <c r="B237" s="18"/>
      <c r="C237" s="344" t="str">
        <f>IF('Éléments saisis (inputs)'!C237&lt;&gt;"",'Éléments saisis (inputs)'!C237,"")</f>
        <v>Possibilité de recharge à domicile</v>
      </c>
      <c r="D237" s="350" t="str" cm="1">
        <f t="array" ref="D237">INDEX(Heimladen,NOT(_xlfn.XMATCH(D235,Einsatzart)-1)+1)</f>
        <v>Non</v>
      </c>
      <c r="E237" s="344" t="str">
        <f>IF('Éléments saisis (inputs)'!E237&lt;&gt;"",'Éléments saisis (inputs)'!E237,"")</f>
        <v/>
      </c>
      <c r="F237" s="344" t="str">
        <f>"Valeur par défaut: "&amp;'1a. Defaults Segment-Ebene'!D237</f>
        <v>Valeur par défaut: Non</v>
      </c>
    </row>
    <row r="238" spans="2:6" x14ac:dyDescent="0.35">
      <c r="B238" s="18"/>
      <c r="C238" s="344" t="str">
        <f>IF('Éléments saisis (inputs)'!C238&lt;&gt;"",'Éléments saisis (inputs)'!C238,"")</f>
        <v/>
      </c>
      <c r="D238" s="343"/>
      <c r="E238" s="344" t="str">
        <f>IF('Éléments saisis (inputs)'!E238&lt;&gt;"",'Éléments saisis (inputs)'!E238,"")</f>
        <v/>
      </c>
      <c r="F238" s="344"/>
    </row>
    <row r="239" spans="2:6" x14ac:dyDescent="0.35">
      <c r="B239" s="18"/>
      <c r="C239" s="22" t="str">
        <f>IF('Éléments saisis (inputs)'!C239&lt;&gt;"",'Éléments saisis (inputs)'!C239,"")</f>
        <v>Données du véhicule</v>
      </c>
      <c r="D239" s="343"/>
      <c r="E239" s="344" t="str">
        <f>IF('Éléments saisis (inputs)'!E239&lt;&gt;"",'Éléments saisis (inputs)'!E239,"")</f>
        <v/>
      </c>
      <c r="F239" s="344"/>
    </row>
    <row r="240" spans="2:6" x14ac:dyDescent="0.35">
      <c r="B240" s="18"/>
      <c r="C240" s="344" t="str">
        <f>IF('Éléments saisis (inputs)'!C240&lt;&gt;"",'Éléments saisis (inputs)'!C240,"")</f>
        <v>Taille du véhicule</v>
      </c>
      <c r="D240" s="349" t="str">
        <f>'Éléments saisis (inputs)'!D240</f>
        <v>Catégorie moyenne</v>
      </c>
      <c r="E240" s="344" t="str">
        <f>IF('Éléments saisis (inputs)'!E240&lt;&gt;"",'Éléments saisis (inputs)'!E240,"")</f>
        <v/>
      </c>
      <c r="F240" s="344"/>
    </row>
    <row r="241" spans="2:6" x14ac:dyDescent="0.35">
      <c r="B241" s="18"/>
      <c r="C241" s="344" t="str">
        <f>IF('Éléments saisis (inputs)'!C241&lt;&gt;"",'Éléments saisis (inputs)'!C241,"")</f>
        <v>Consommation de carburant du véhicule thermique</v>
      </c>
      <c r="D241" s="350" cm="1">
        <f t="array" ref="D241">INDEX('2d. Annahmen'!$F$13:$F$16,_xlfn.XMATCH(D240,Grösse))</f>
        <v>5.8</v>
      </c>
      <c r="E241" s="344" t="str">
        <f>IF('Éléments saisis (inputs)'!E241&lt;&gt;"",'Éléments saisis (inputs)'!E241,"")</f>
        <v>l/100 km</v>
      </c>
      <c r="F241" s="344" t="str">
        <f>"Valeur par défaut: "&amp;TEXT('1a. Defaults Segment-Ebene'!D241,"##0.0")&amp;" "&amp;E241</f>
        <v>Valeur par défaut: 5.8 l/100 km</v>
      </c>
    </row>
    <row r="242" spans="2:6" x14ac:dyDescent="0.35">
      <c r="B242" s="18"/>
      <c r="C242" s="344" t="str">
        <f>IF('Éléments saisis (inputs)'!C242&lt;&gt;"",'Éléments saisis (inputs)'!C242,"")</f>
        <v>Consommation énergétique du véhicule électrique</v>
      </c>
      <c r="D242" s="350" cm="1">
        <f t="array" ref="D242">INDEX('2d. Annahmen'!$H$4:$H$7,_xlfn.XMATCH(D240,Grösse))</f>
        <v>15.1</v>
      </c>
      <c r="E242" s="344" t="str">
        <f>IF('Éléments saisis (inputs)'!E242&lt;&gt;"",'Éléments saisis (inputs)'!E242,"")</f>
        <v>kWh/100 km</v>
      </c>
      <c r="F242" s="344" t="str">
        <f>"Valeur par défaut: "&amp;TEXT('1a. Defaults Segment-Ebene'!D242,"##0.0")&amp;" "&amp;E242</f>
        <v>Valeur par défaut: 15.1 kWh/100 km</v>
      </c>
    </row>
    <row r="243" spans="2:6" x14ac:dyDescent="0.35">
      <c r="B243" s="18"/>
      <c r="C243" s="344" t="str">
        <f>IF('Éléments saisis (inputs)'!C243&lt;&gt;"",'Éléments saisis (inputs)'!C243,"")</f>
        <v>Capacité de la batterie (nette)</v>
      </c>
      <c r="D243" s="350" cm="1">
        <f t="array" ref="D243">INDEX('2d. Annahmen'!$F$4:$F$7,_xlfn.XMATCH(D240,Grösse))</f>
        <v>58.625</v>
      </c>
      <c r="E243" s="344" t="str">
        <f>IF('Éléments saisis (inputs)'!E243&lt;&gt;"",'Éléments saisis (inputs)'!E243,"")</f>
        <v>kWh</v>
      </c>
      <c r="F243" s="344" t="str">
        <f>"Valeur par défaut: "&amp;TEXT('1a. Defaults Segment-Ebene'!D243,"##0.0")&amp;" "&amp;E243</f>
        <v>Valeur par défaut: 58.6 kWh</v>
      </c>
    </row>
    <row r="244" spans="2:6" x14ac:dyDescent="0.35">
      <c r="B244" s="18"/>
      <c r="C244" s="344" t="str">
        <f>IF('Éléments saisis (inputs)'!C244&lt;&gt;"",'Éléments saisis (inputs)'!C244,"")</f>
        <v/>
      </c>
      <c r="D244" s="343"/>
      <c r="E244" s="344" t="str">
        <f>IF('Éléments saisis (inputs)'!E244&lt;&gt;"",'Éléments saisis (inputs)'!E244,"")</f>
        <v/>
      </c>
      <c r="F244" s="344"/>
    </row>
    <row r="245" spans="2:6" x14ac:dyDescent="0.35">
      <c r="B245" s="18"/>
      <c r="C245" s="20" t="str">
        <f>IF('Éléments saisis (inputs)'!C245&lt;&gt;"",'Éléments saisis (inputs)'!C245,"")</f>
        <v>Profil de conduite et d’utilisation (indication par véhicule)</v>
      </c>
      <c r="D245" s="343"/>
      <c r="E245" s="344" t="str">
        <f>IF('Éléments saisis (inputs)'!E245&lt;&gt;"",'Éléments saisis (inputs)'!E245,"")</f>
        <v/>
      </c>
      <c r="F245" s="344"/>
    </row>
    <row r="246" spans="2:6" x14ac:dyDescent="0.35">
      <c r="B246" s="18"/>
      <c r="C246" s="344" t="str">
        <f>IF('Éléments saisis (inputs)'!C246&lt;&gt;"",'Éléments saisis (inputs)'!C246,"")</f>
        <v>Modèle d’utilisation</v>
      </c>
      <c r="D246" s="349" t="str">
        <f>'Éléments saisis (inputs)'!D246</f>
        <v>Exploitation pendant les jours ouvrables</v>
      </c>
      <c r="E246" s="344" t="str">
        <f>IF('Éléments saisis (inputs)'!E246&lt;&gt;"",'Éléments saisis (inputs)'!E246,"")</f>
        <v/>
      </c>
      <c r="F246" s="344"/>
    </row>
    <row r="247" spans="2:6" x14ac:dyDescent="0.35">
      <c r="B247" s="18"/>
      <c r="C247" s="344" t="str">
        <f>IF('Éléments saisis (inputs)'!C247&lt;&gt;"",'Éléments saisis (inputs)'!C247,"")</f>
        <v>Nombre de jours de travail par an</v>
      </c>
      <c r="D247" s="350" cm="1">
        <f t="array" ref="D247">INDEX('1e. Dropdown Values'!$A$7:$D$7,_xlfn.XMATCH(D246,'1e. Dropdown Values'!$A$6:$D$6))</f>
        <v>260</v>
      </c>
      <c r="E247" s="344" t="str">
        <f>IF('Éléments saisis (inputs)'!E247&lt;&gt;"",'Éléments saisis (inputs)'!E247,"")</f>
        <v/>
      </c>
      <c r="F247" s="344" t="str">
        <f>"Valeur par défaut: "&amp;TEXT('1a. Defaults Segment-Ebene'!D247,"##0")</f>
        <v>Valeur par défaut: 260</v>
      </c>
    </row>
    <row r="248" spans="2:6" x14ac:dyDescent="0.35">
      <c r="B248" s="18"/>
      <c r="C248" s="344" t="str">
        <f>IF('Éléments saisis (inputs)'!C248&lt;&gt;"",'Éléments saisis (inputs)'!C248,"")</f>
        <v>Distance parcourue pendant le temps de travail</v>
      </c>
      <c r="D248" s="350" cm="1">
        <f t="array" ref="D248">INDEX('1e. Dropdown Values'!$A$4:$D$4,_xlfn.XMATCH(D236,'1e. Dropdown Values'!$A$3:$D$3))</f>
        <v>100</v>
      </c>
      <c r="E248" s="344" t="str">
        <f>IF('Éléments saisis (inputs)'!E248&lt;&gt;"",'Éléments saisis (inputs)'!E248,"")</f>
        <v>km/jour</v>
      </c>
      <c r="F248" s="344" t="str">
        <f>"Valeur par défaut: "&amp;TEXT('1a. Defaults Segment-Ebene'!D248,"##0")&amp;" "&amp;E248</f>
        <v>Valeur par défaut: 100 km/jour</v>
      </c>
    </row>
    <row r="249" spans="2:6" x14ac:dyDescent="0.35">
      <c r="B249" s="18"/>
      <c r="C249" s="344" t="str">
        <f>IF('Éléments saisis (inputs)'!C249&lt;&gt;"",'Éléments saisis (inputs)'!C249,"")</f>
        <v>Distance domicile-travail (aller-retour)</v>
      </c>
      <c r="D249" s="350">
        <f>(_xlfn.XMATCH(D235,Einsatzart)-1)*30</f>
        <v>0</v>
      </c>
      <c r="E249" s="344" t="str">
        <f>IF('Éléments saisis (inputs)'!E249&lt;&gt;"",'Éléments saisis (inputs)'!E249,"")</f>
        <v>km/jour</v>
      </c>
      <c r="F249" s="344" t="str">
        <f>"Valeur par défaut: "&amp;TEXT('1a. Defaults Segment-Ebene'!D249,"##0")&amp;" "&amp;E249</f>
        <v>Valeur par défaut: 0 km/jour</v>
      </c>
    </row>
    <row r="250" spans="2:6" x14ac:dyDescent="0.35">
      <c r="B250" s="18"/>
      <c r="C250" s="344" t="str">
        <f>IF('Éléments saisis (inputs)'!C250&lt;&gt;"",'Éléments saisis (inputs)'!C250,"")</f>
        <v>Nombre d’utilisations par jour</v>
      </c>
      <c r="D250" s="350">
        <v>1</v>
      </c>
      <c r="E250" s="344" t="str">
        <f>IF('Éléments saisis (inputs)'!E250&lt;&gt;"",'Éléments saisis (inputs)'!E250,"")</f>
        <v/>
      </c>
      <c r="F250" s="344" t="str">
        <f>"Valeur par défaut: "&amp;TEXT('1a. Defaults Segment-Ebene'!D250,"##0")</f>
        <v>Valeur par défaut: 1</v>
      </c>
    </row>
    <row r="251" spans="2:6" x14ac:dyDescent="0.35">
      <c r="B251" s="18"/>
      <c r="C251" s="344" t="str">
        <f>IF('Éléments saisis (inputs)'!C251&lt;&gt;"",'Éléments saisis (inputs)'!C251,"")</f>
        <v>Nombre de pauses par jour</v>
      </c>
      <c r="D251" s="350"/>
      <c r="E251" s="344" t="str">
        <f>IF('Éléments saisis (inputs)'!E251&lt;&gt;"",'Éléments saisis (inputs)'!E251,"")</f>
        <v/>
      </c>
      <c r="F251" s="344"/>
    </row>
    <row r="252" spans="2:6" x14ac:dyDescent="0.35">
      <c r="B252" s="18"/>
      <c r="C252" s="344" t="str">
        <f>IF('Éléments saisis (inputs)'!C252&lt;&gt;"",'Éléments saisis (inputs)'!C252,"")</f>
        <v>Durée d’immobilisation par pause sur le site de l’entreprise</v>
      </c>
      <c r="D252" s="350" cm="1">
        <f t="array" ref="D252">INDEX('1e. Dropdown Values'!$A$9:$D$9,_xlfn.XMATCH(D246,'1e. Dropdown Values'!$A$6:$D$6))</f>
        <v>1</v>
      </c>
      <c r="E252" s="344" t="str">
        <f>IF('Éléments saisis (inputs)'!E252&lt;&gt;"",'Éléments saisis (inputs)'!E252,"")</f>
        <v>Heures</v>
      </c>
      <c r="F252" s="344" t="str">
        <f>"Valeur par défaut: "&amp;TEXT('1a. Defaults Segment-Ebene'!D252,"##0")&amp;" "&amp;IF(D252=1,"Heure",E252)</f>
        <v>Valeur par défaut: 1 Heure</v>
      </c>
    </row>
    <row r="253" spans="2:6" x14ac:dyDescent="0.35">
      <c r="B253" s="18"/>
      <c r="C253" s="344" t="str">
        <f>IF('Éléments saisis (inputs)'!C253&lt;&gt;"",'Éléments saisis (inputs)'!C253,"")</f>
        <v>Durée d’immobilisation pendant la nuit</v>
      </c>
      <c r="D253" s="350" cm="1">
        <f t="array" ref="D253">INDEX('1e. Dropdown Values'!$A$8:$D$8,_xlfn.XMATCH(D246,'1e. Dropdown Values'!$A$6:$D$6))</f>
        <v>8</v>
      </c>
      <c r="E253" s="344" t="str">
        <f>IF('Éléments saisis (inputs)'!E253&lt;&gt;"",'Éléments saisis (inputs)'!E253,"")</f>
        <v>Heures</v>
      </c>
      <c r="F253" s="344" t="str">
        <f>"Valeur par défaut: "&amp;TEXT('1a. Defaults Segment-Ebene'!D253,"##0")&amp;" "&amp;IF(D253=1,"Heure",E253)</f>
        <v>Valeur par défaut: 8 Heures</v>
      </c>
    </row>
    <row r="254" spans="2:6" x14ac:dyDescent="0.35">
      <c r="B254" s="18"/>
      <c r="C254" s="344" t="str">
        <f>IF('Éléments saisis (inputs)'!C254&lt;&gt;"",'Éléments saisis (inputs)'!C254,"")</f>
        <v>Véhicules par point de recharge, site de l’entreprise (pendant la journée)</v>
      </c>
      <c r="D254" s="350" cm="1">
        <f t="array" ref="D254">INDEX('1e. Dropdown Values'!$B$10:$D$10,_xlfn.XMATCH(D246,Nutzungsmuster))</f>
        <v>1</v>
      </c>
      <c r="E254" s="344" t="str">
        <f>IF('Éléments saisis (inputs)'!E254&lt;&gt;"",'Éléments saisis (inputs)'!E254,"")</f>
        <v/>
      </c>
      <c r="F254" s="344" t="str">
        <f>"Valeur par défaut: "&amp;TEXT('1a. Defaults Segment-Ebene'!D254,"##0")</f>
        <v>Valeur par défaut: 1</v>
      </c>
    </row>
    <row r="255" spans="2:6" x14ac:dyDescent="0.35">
      <c r="B255" s="18"/>
      <c r="C255" s="344" t="str">
        <f>IF('Éléments saisis (inputs)'!C255&lt;&gt;"",'Éléments saisis (inputs)'!C255,"")</f>
        <v/>
      </c>
      <c r="D255" s="343"/>
      <c r="E255" s="344" t="str">
        <f>IF('Éléments saisis (inputs)'!E255&lt;&gt;"",'Éléments saisis (inputs)'!E255,"")</f>
        <v/>
      </c>
      <c r="F255" s="344"/>
    </row>
    <row r="256" spans="2:6" x14ac:dyDescent="0.35">
      <c r="B256" s="18"/>
      <c r="C256" s="20" t="str">
        <f>IF('Éléments saisis (inputs)'!C256&lt;&gt;"",'Éléments saisis (inputs)'!C256,"")</f>
        <v>Coûts (indication par véhicule)</v>
      </c>
      <c r="D256" s="343"/>
      <c r="E256" s="344" t="str">
        <f>IF('Éléments saisis (inputs)'!E256&lt;&gt;"",'Éléments saisis (inputs)'!E256,"")</f>
        <v/>
      </c>
      <c r="F256" s="344"/>
    </row>
    <row r="257" spans="2:6" x14ac:dyDescent="0.35">
      <c r="B257" s="18"/>
      <c r="C257" s="344" t="str">
        <f>IF('Éléments saisis (inputs)'!C257&lt;&gt;"",'Éléments saisis (inputs)'!C257,"")</f>
        <v>Durée</v>
      </c>
      <c r="D257" s="353">
        <f>'Éléments saisis (inputs)'!D257</f>
        <v>48</v>
      </c>
      <c r="E257" s="344" t="str">
        <f>IF('Éléments saisis (inputs)'!E257&lt;&gt;"",'Éléments saisis (inputs)'!E257,"")</f>
        <v>Mois</v>
      </c>
      <c r="F257" s="344"/>
    </row>
    <row r="258" spans="2:6" x14ac:dyDescent="0.35">
      <c r="B258" s="18"/>
      <c r="C258" s="344" t="str">
        <f>IF('Éléments saisis (inputs)'!C258&lt;&gt;"",'Éléments saisis (inputs)'!C258,"")</f>
        <v>Taux d’intérêt du leasing</v>
      </c>
      <c r="D258" s="354">
        <v>0.03</v>
      </c>
      <c r="E258" s="344" t="str">
        <f>IF('Éléments saisis (inputs)'!E258&lt;&gt;"",'Éléments saisis (inputs)'!E258,"")</f>
        <v/>
      </c>
      <c r="F258" s="344" t="str">
        <f>"Valeur par défaut: "&amp;TEXT('1a. Defaults Segment-Ebene'!D258,"##0.0%")</f>
        <v>Valeur par défaut: 3.0%</v>
      </c>
    </row>
    <row r="259" spans="2:6" x14ac:dyDescent="0.35">
      <c r="B259" s="18"/>
      <c r="C259" s="344" t="str">
        <f>IF('Éléments saisis (inputs)'!C259&lt;&gt;"",'Éléments saisis (inputs)'!C259,"")</f>
        <v>Prix d’acquisition, rabais de flotte du véhicule thermique inclus</v>
      </c>
      <c r="D259" s="355" cm="1">
        <f t="array" ref="D259">INDEX('2d. Annahmen'!$H$13:$H$16,_xlfn.XMATCH(D240,'2d. Annahmen'!$B$4:$B$7))*(1-'2d. Annahmen'!$B$30)</f>
        <v>27219.464999999997</v>
      </c>
      <c r="E259" s="344" t="str">
        <f>IF('Éléments saisis (inputs)'!E259&lt;&gt;"",'Éléments saisis (inputs)'!E259,"")</f>
        <v>CHF</v>
      </c>
      <c r="F259" s="344" t="str">
        <f>"Valeur par défaut: "&amp;TEXT('1a. Defaults Segment-Ebene'!D259,"#’##0")&amp;" "&amp;E259</f>
        <v>Valeur par défaut: 27’219 CHF</v>
      </c>
    </row>
    <row r="260" spans="2:6" x14ac:dyDescent="0.35">
      <c r="B260" s="18"/>
      <c r="C260" s="344" t="str">
        <f>IF('Éléments saisis (inputs)'!C260&lt;&gt;"",'Éléments saisis (inputs)'!C260,"")</f>
        <v>Frais d’entretien et de réparation du véhicule thermique</v>
      </c>
      <c r="D260" s="350" cm="1">
        <f t="array" ref="D260">INDEX('2d. Annahmen'!$J$13:$J$16,_xlfn.XMATCH(D240,Grösse))/20000</f>
        <v>0.05</v>
      </c>
      <c r="E260" s="344" t="str">
        <f>IF('Éléments saisis (inputs)'!E260&lt;&gt;"",'Éléments saisis (inputs)'!E260,"")</f>
        <v>CHF/km</v>
      </c>
      <c r="F260" s="344" t="str">
        <f>"Valeur par défaut: "&amp;TEXT('1a. Defaults Segment-Ebene'!D260,"##0.000")&amp;" "&amp;E260</f>
        <v>Valeur par défaut: 0.050 CHF/km</v>
      </c>
    </row>
    <row r="261" spans="2:6" x14ac:dyDescent="0.35">
      <c r="B261" s="18"/>
      <c r="C261" s="344" t="str">
        <f>IF('Éléments saisis (inputs)'!C261&lt;&gt;"",'Éléments saisis (inputs)'!C261,"")</f>
        <v>Valeur résiduelle du véhicule thermique</v>
      </c>
      <c r="D261" s="356" cm="1">
        <f t="array" ref="D261">_xlfn.LET(_xlpm.class,D240,_xlpm.km,ROUNDUP(D247*IF(D234=INDEX(Einsatzart,1),D248,D248+D249)*D257/12/5000,0)*5000,_xlpm.lz,D257,_xlpm.totkm,'2d.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61" s="344" t="str">
        <f>IF('Éléments saisis (inputs)'!E261&lt;&gt;"",'Éléments saisis (inputs)'!E261,"")</f>
        <v/>
      </c>
      <c r="F261" s="344" t="str">
        <f>"Valeur par défaut: "&amp;TEXT('1a. Defaults Segment-Ebene'!D261,"##0.0%")</f>
        <v>Valeur par défaut: 31.6%</v>
      </c>
    </row>
    <row r="262" spans="2:6" x14ac:dyDescent="0.35">
      <c r="B262" s="18"/>
      <c r="C262" s="344" t="str">
        <f>IF('Éléments saisis (inputs)'!C262&lt;&gt;"",'Éléments saisis (inputs)'!C262,"")</f>
        <v>Prix d’acquisition, rabais de flotte du véhicule électrique inclus</v>
      </c>
      <c r="D262" s="355" cm="1">
        <f t="array" ref="D262">INDEX('2d. Annahmen'!$K$4:$K$7,_xlfn.XMATCH(D240,'2d. Annahmen'!$B$4:$B$7))*(1-'2d. Annahmen'!$B$29)</f>
        <v>28810.890000000003</v>
      </c>
      <c r="E262" s="344" t="str">
        <f>IF('Éléments saisis (inputs)'!E262&lt;&gt;"",'Éléments saisis (inputs)'!E262,"")</f>
        <v>CHF</v>
      </c>
      <c r="F262" s="344" t="str">
        <f>"Valeur par défaut: "&amp;TEXT('1a. Defaults Segment-Ebene'!D262,"#’##0")&amp;" "&amp;E262</f>
        <v>Valeur par défaut: 28’811 CHF</v>
      </c>
    </row>
    <row r="263" spans="2:6" x14ac:dyDescent="0.35">
      <c r="B263" s="18"/>
      <c r="C263" s="344" t="str">
        <f>IF('Éléments saisis (inputs)'!C263&lt;&gt;"",'Éléments saisis (inputs)'!C263,"")</f>
        <v>Frais d’entretien et de réparation du véhicule électrique</v>
      </c>
      <c r="D263" s="350">
        <f>D260*0.5</f>
        <v>2.5000000000000001E-2</v>
      </c>
      <c r="E263" s="344" t="str">
        <f>IF('Éléments saisis (inputs)'!E263&lt;&gt;"",'Éléments saisis (inputs)'!E263,"")</f>
        <v>CHF/km</v>
      </c>
      <c r="F263" s="344" t="str">
        <f>"Valeur par défaut: "&amp;TEXT('1a. Defaults Segment-Ebene'!D263,"0.000")&amp;" "&amp;E263</f>
        <v>Valeur par défaut: 0.025 CHF/km</v>
      </c>
    </row>
    <row r="264" spans="2:6" x14ac:dyDescent="0.35">
      <c r="B264" s="18"/>
      <c r="C264" s="344" t="str">
        <f>IF('Éléments saisis (inputs)'!C264&lt;&gt;"",'Éléments saisis (inputs)'!C264,"")</f>
        <v>Valeur résiduelle du véhicule électrique</v>
      </c>
      <c r="D264" s="356" cm="1">
        <f t="array" ref="D264">_xlfn.LET(_xlpm.class,D240,_xlpm.km,ROUNDUP(D247*IF(D234=INDEX(Einsatzart,1),D248,D248+D249)*D257/12/5000,0)*5000,_xlpm.lz,D257,_xlpm.totkm,'2d.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264" s="344" t="str">
        <f>IF('Éléments saisis (inputs)'!E264&lt;&gt;"",'Éléments saisis (inputs)'!E264,"")</f>
        <v/>
      </c>
      <c r="F264" s="344" t="str">
        <f>"Valeur par défaut: "&amp;TEXT('1a. Defaults Segment-Ebene'!D264,"##0.0%")</f>
        <v>Valeur par défaut: 30.7%</v>
      </c>
    </row>
    <row r="265" spans="2:6" x14ac:dyDescent="0.35">
      <c r="C265" s="283" t="str">
        <f>IF('Éléments saisis (inputs)'!C265&lt;&gt;"",'Éléments saisis (inputs)'!C265,"")</f>
        <v/>
      </c>
      <c r="D265" s="478"/>
      <c r="E265" s="283" t="str">
        <f>IF('Éléments saisis (inputs)'!E265&lt;&gt;"",'Éléments saisis (inputs)'!E265,"")</f>
        <v/>
      </c>
      <c r="F265" s="283"/>
    </row>
    <row r="266" spans="2:6" x14ac:dyDescent="0.35">
      <c r="C266" s="283" t="str">
        <f>IF('Éléments saisis (inputs)'!C266&lt;&gt;"",'Éléments saisis (inputs)'!C266,"")</f>
        <v/>
      </c>
      <c r="D266" s="478"/>
      <c r="E266" s="283" t="str">
        <f>IF('Éléments saisis (inputs)'!E266&lt;&gt;"",'Éléments saisis (inputs)'!E266,"")</f>
        <v/>
      </c>
      <c r="F266" s="283"/>
    </row>
    <row r="267" spans="2:6" ht="15" x14ac:dyDescent="0.35">
      <c r="B267" s="11" t="s">
        <v>60</v>
      </c>
      <c r="C267" s="11" t="str">
        <f>IF('Éléments saisis (inputs)'!C267&lt;&gt;"",'Éléments saisis (inputs)'!C267,"")</f>
        <v>Segment H</v>
      </c>
      <c r="D267" s="12"/>
      <c r="E267" s="13" t="str">
        <f>IF('Éléments saisis (inputs)'!E267&lt;&gt;"",'Éléments saisis (inputs)'!E267,"")</f>
        <v/>
      </c>
      <c r="F267" s="13"/>
    </row>
    <row r="268" spans="2:6" ht="18.899999999999999" x14ac:dyDescent="0.45">
      <c r="B268" s="18"/>
      <c r="C268" s="23" t="str">
        <f>IF('Éléments saisis (inputs)'!C268&lt;&gt;"",'Éléments saisis (inputs)'!C268,"")</f>
        <v/>
      </c>
      <c r="D268" s="24"/>
      <c r="E268" s="25" t="str">
        <f>IF('Éléments saisis (inputs)'!E268&lt;&gt;"",'Éléments saisis (inputs)'!E268,"")</f>
        <v/>
      </c>
      <c r="F268" s="25"/>
    </row>
    <row r="269" spans="2:6" x14ac:dyDescent="0.35">
      <c r="B269" s="18"/>
      <c r="C269" s="20" t="str">
        <f>IF('Éléments saisis (inputs)'!C269&lt;&gt;"",'Éléments saisis (inputs)'!C269,"")</f>
        <v>Structure des segments</v>
      </c>
      <c r="D269" s="343"/>
      <c r="E269" s="344" t="str">
        <f>IF('Éléments saisis (inputs)'!E269&lt;&gt;"",'Éléments saisis (inputs)'!E269,"")</f>
        <v/>
      </c>
      <c r="F269" s="344"/>
    </row>
    <row r="270" spans="2:6" x14ac:dyDescent="0.35">
      <c r="B270" s="18"/>
      <c r="C270" s="344" t="str">
        <f>IF('Éléments saisis (inputs)'!C270&lt;&gt;"",'Éléments saisis (inputs)'!C270,"")</f>
        <v>Nombre de véhicules</v>
      </c>
      <c r="D270" s="349">
        <f>'Éléments saisis (inputs)'!D270</f>
        <v>1</v>
      </c>
      <c r="E270" s="344" t="str">
        <f>IF('Éléments saisis (inputs)'!E270&lt;&gt;"",'Éléments saisis (inputs)'!E270,"")</f>
        <v/>
      </c>
      <c r="F270" s="344"/>
    </row>
    <row r="271" spans="2:6" x14ac:dyDescent="0.35">
      <c r="B271" s="18"/>
      <c r="C271" s="344" t="str">
        <f>IF('Éléments saisis (inputs)'!C271&lt;&gt;"",'Éléments saisis (inputs)'!C271,"")</f>
        <v>Type d’utilisation</v>
      </c>
      <c r="D271" s="349" t="str">
        <f>'Éléments saisis (inputs)'!D271</f>
        <v>Véhicules de pool</v>
      </c>
      <c r="E271" s="344" t="str">
        <f>IF('Éléments saisis (inputs)'!E271&lt;&gt;"",'Éléments saisis (inputs)'!E271,"")</f>
        <v/>
      </c>
      <c r="F271" s="344"/>
    </row>
    <row r="272" spans="2:6" x14ac:dyDescent="0.35">
      <c r="B272" s="18"/>
      <c r="C272" s="344" t="str">
        <f>IF('Éléments saisis (inputs)'!C272&lt;&gt;"",'Éléments saisis (inputs)'!C272,"")</f>
        <v>Domaine d’utilisation</v>
      </c>
      <c r="D272" s="349" t="str">
        <f>'Éléments saisis (inputs)'!D272</f>
        <v>Niveau régional</v>
      </c>
      <c r="E272" s="344" t="str">
        <f>IF('Éléments saisis (inputs)'!E272&lt;&gt;"",'Éléments saisis (inputs)'!E272,"")</f>
        <v/>
      </c>
      <c r="F272" s="344"/>
    </row>
    <row r="273" spans="2:6" x14ac:dyDescent="0.35">
      <c r="B273" s="18"/>
      <c r="C273" s="344" t="str">
        <f>IF('Éléments saisis (inputs)'!C273&lt;&gt;"",'Éléments saisis (inputs)'!C273,"")</f>
        <v>Possibilité de recharge à domicile</v>
      </c>
      <c r="D273" s="350" t="str" cm="1">
        <f t="array" ref="D273">INDEX(Heimladen,NOT(_xlfn.XMATCH(D271,Einsatzart)-1)+1)</f>
        <v>Non</v>
      </c>
      <c r="E273" s="344" t="str">
        <f>IF('Éléments saisis (inputs)'!E273&lt;&gt;"",'Éléments saisis (inputs)'!E273,"")</f>
        <v/>
      </c>
      <c r="F273" s="344" t="str">
        <f>"Valeur par défaut: "&amp;'1a. Defaults Segment-Ebene'!D273</f>
        <v>Valeur par défaut: Non</v>
      </c>
    </row>
    <row r="274" spans="2:6" x14ac:dyDescent="0.35">
      <c r="B274" s="18"/>
      <c r="C274" s="344" t="str">
        <f>IF('Éléments saisis (inputs)'!C274&lt;&gt;"",'Éléments saisis (inputs)'!C274,"")</f>
        <v/>
      </c>
      <c r="D274" s="343"/>
      <c r="E274" s="344" t="str">
        <f>IF('Éléments saisis (inputs)'!E274&lt;&gt;"",'Éléments saisis (inputs)'!E274,"")</f>
        <v/>
      </c>
      <c r="F274" s="344"/>
    </row>
    <row r="275" spans="2:6" x14ac:dyDescent="0.35">
      <c r="B275" s="18"/>
      <c r="C275" s="22" t="str">
        <f>IF('Éléments saisis (inputs)'!C275&lt;&gt;"",'Éléments saisis (inputs)'!C275,"")</f>
        <v>Données du véhicule</v>
      </c>
      <c r="D275" s="343"/>
      <c r="E275" s="344" t="str">
        <f>IF('Éléments saisis (inputs)'!E275&lt;&gt;"",'Éléments saisis (inputs)'!E275,"")</f>
        <v/>
      </c>
      <c r="F275" s="344"/>
    </row>
    <row r="276" spans="2:6" x14ac:dyDescent="0.35">
      <c r="B276" s="18"/>
      <c r="C276" s="344" t="str">
        <f>IF('Éléments saisis (inputs)'!C276&lt;&gt;"",'Éléments saisis (inputs)'!C276,"")</f>
        <v>Taille du véhicule</v>
      </c>
      <c r="D276" s="349" t="str">
        <f>'Éléments saisis (inputs)'!D276</f>
        <v>Catégorie moyenne</v>
      </c>
      <c r="E276" s="344" t="str">
        <f>IF('Éléments saisis (inputs)'!E276&lt;&gt;"",'Éléments saisis (inputs)'!E276,"")</f>
        <v/>
      </c>
      <c r="F276" s="344"/>
    </row>
    <row r="277" spans="2:6" x14ac:dyDescent="0.35">
      <c r="B277" s="18"/>
      <c r="C277" s="344" t="str">
        <f>IF('Éléments saisis (inputs)'!C277&lt;&gt;"",'Éléments saisis (inputs)'!C277,"")</f>
        <v>Consommation de carburant du véhicule thermique</v>
      </c>
      <c r="D277" s="350" cm="1">
        <f t="array" ref="D277">INDEX('2d. Annahmen'!$F$13:$F$16,_xlfn.XMATCH(D276,Grösse))</f>
        <v>5.8</v>
      </c>
      <c r="E277" s="344" t="str">
        <f>IF('Éléments saisis (inputs)'!E277&lt;&gt;"",'Éléments saisis (inputs)'!E277,"")</f>
        <v>l/100 km</v>
      </c>
      <c r="F277" s="344" t="str">
        <f>"Valeur par défaut: "&amp;TEXT('1a. Defaults Segment-Ebene'!D277,"##0.0")&amp;" "&amp;E277</f>
        <v>Valeur par défaut: 5.8 l/100 km</v>
      </c>
    </row>
    <row r="278" spans="2:6" x14ac:dyDescent="0.35">
      <c r="B278" s="18"/>
      <c r="C278" s="344" t="str">
        <f>IF('Éléments saisis (inputs)'!C278&lt;&gt;"",'Éléments saisis (inputs)'!C278,"")</f>
        <v>Consommation énergétique du véhicule électrique</v>
      </c>
      <c r="D278" s="350" cm="1">
        <f t="array" ref="D278">INDEX('2d. Annahmen'!$H$4:$H$7,_xlfn.XMATCH(D276,Grösse))</f>
        <v>15.1</v>
      </c>
      <c r="E278" s="344" t="str">
        <f>IF('Éléments saisis (inputs)'!E278&lt;&gt;"",'Éléments saisis (inputs)'!E278,"")</f>
        <v>kWh/100 km</v>
      </c>
      <c r="F278" s="344" t="str">
        <f>"Valeur par défaut: "&amp;TEXT('1a. Defaults Segment-Ebene'!D278,"##0.0")&amp;" "&amp;E278</f>
        <v>Valeur par défaut: 15.1 kWh/100 km</v>
      </c>
    </row>
    <row r="279" spans="2:6" x14ac:dyDescent="0.35">
      <c r="B279" s="18"/>
      <c r="C279" s="344" t="str">
        <f>IF('Éléments saisis (inputs)'!C279&lt;&gt;"",'Éléments saisis (inputs)'!C279,"")</f>
        <v>Capacité de la batterie (nette)</v>
      </c>
      <c r="D279" s="350" cm="1">
        <f t="array" ref="D279">INDEX('2d. Annahmen'!$F$4:$F$7,_xlfn.XMATCH(D276,Grösse))</f>
        <v>58.625</v>
      </c>
      <c r="E279" s="344" t="str">
        <f>IF('Éléments saisis (inputs)'!E279&lt;&gt;"",'Éléments saisis (inputs)'!E279,"")</f>
        <v>kWh</v>
      </c>
      <c r="F279" s="344" t="str">
        <f>"Valeur par défaut: "&amp;TEXT('1a. Defaults Segment-Ebene'!D279,"##0.0")&amp;" "&amp;E279</f>
        <v>Valeur par défaut: 58.6 kWh</v>
      </c>
    </row>
    <row r="280" spans="2:6" x14ac:dyDescent="0.35">
      <c r="B280" s="18"/>
      <c r="C280" s="344" t="str">
        <f>IF('Éléments saisis (inputs)'!C280&lt;&gt;"",'Éléments saisis (inputs)'!C280,"")</f>
        <v/>
      </c>
      <c r="D280" s="343"/>
      <c r="E280" s="344" t="str">
        <f>IF('Éléments saisis (inputs)'!E280&lt;&gt;"",'Éléments saisis (inputs)'!E280,"")</f>
        <v/>
      </c>
      <c r="F280" s="344"/>
    </row>
    <row r="281" spans="2:6" x14ac:dyDescent="0.35">
      <c r="B281" s="18"/>
      <c r="C281" s="20" t="str">
        <f>IF('Éléments saisis (inputs)'!C281&lt;&gt;"",'Éléments saisis (inputs)'!C281,"")</f>
        <v>Profil de conduite et d’utilisation (indication par véhicule)</v>
      </c>
      <c r="D281" s="343"/>
      <c r="E281" s="344" t="str">
        <f>IF('Éléments saisis (inputs)'!E281&lt;&gt;"",'Éléments saisis (inputs)'!E281,"")</f>
        <v/>
      </c>
      <c r="F281" s="344"/>
    </row>
    <row r="282" spans="2:6" x14ac:dyDescent="0.35">
      <c r="B282" s="18"/>
      <c r="C282" s="344" t="str">
        <f>IF('Éléments saisis (inputs)'!C282&lt;&gt;"",'Éléments saisis (inputs)'!C282,"")</f>
        <v>Modèle d’utilisation</v>
      </c>
      <c r="D282" s="349" t="str">
        <f>'Éléments saisis (inputs)'!D282</f>
        <v>Exploitation pendant les jours ouvrables</v>
      </c>
      <c r="E282" s="344" t="str">
        <f>IF('Éléments saisis (inputs)'!E282&lt;&gt;"",'Éléments saisis (inputs)'!E282,"")</f>
        <v/>
      </c>
      <c r="F282" s="344"/>
    </row>
    <row r="283" spans="2:6" x14ac:dyDescent="0.35">
      <c r="B283" s="18"/>
      <c r="C283" s="344" t="str">
        <f>IF('Éléments saisis (inputs)'!C283&lt;&gt;"",'Éléments saisis (inputs)'!C283,"")</f>
        <v>Nombre de jours de travail par an</v>
      </c>
      <c r="D283" s="350" cm="1">
        <f t="array" ref="D283">INDEX('1e. Dropdown Values'!$A$7:$D$7,_xlfn.XMATCH(D282,'1e. Dropdown Values'!$A$6:$D$6))</f>
        <v>260</v>
      </c>
      <c r="E283" s="344" t="str">
        <f>IF('Éléments saisis (inputs)'!E283&lt;&gt;"",'Éléments saisis (inputs)'!E283,"")</f>
        <v/>
      </c>
      <c r="F283" s="344" t="str">
        <f>"Valeur par défaut: "&amp;TEXT('1a. Defaults Segment-Ebene'!D283,"##0")</f>
        <v>Valeur par défaut: 260</v>
      </c>
    </row>
    <row r="284" spans="2:6" x14ac:dyDescent="0.35">
      <c r="B284" s="18"/>
      <c r="C284" s="344" t="str">
        <f>IF('Éléments saisis (inputs)'!C284&lt;&gt;"",'Éléments saisis (inputs)'!C284,"")</f>
        <v>Distance parcourue pendant le temps de travail</v>
      </c>
      <c r="D284" s="350" cm="1">
        <f t="array" ref="D284">INDEX('1e. Dropdown Values'!$A$4:$D$4,_xlfn.XMATCH(D272,'1e. Dropdown Values'!$A$3:$D$3))</f>
        <v>100</v>
      </c>
      <c r="E284" s="344" t="str">
        <f>IF('Éléments saisis (inputs)'!E284&lt;&gt;"",'Éléments saisis (inputs)'!E284,"")</f>
        <v>km/jour</v>
      </c>
      <c r="F284" s="344" t="str">
        <f>"Valeur par défaut: "&amp;TEXT('1a. Defaults Segment-Ebene'!D284,"##0")&amp;" "&amp;E284</f>
        <v>Valeur par défaut: 100 km/jour</v>
      </c>
    </row>
    <row r="285" spans="2:6" x14ac:dyDescent="0.35">
      <c r="B285" s="18"/>
      <c r="C285" s="344" t="str">
        <f>IF('Éléments saisis (inputs)'!C285&lt;&gt;"",'Éléments saisis (inputs)'!C285,"")</f>
        <v>Distance domicile-travail (aller-retour)</v>
      </c>
      <c r="D285" s="350">
        <f>(_xlfn.XMATCH(D271,Einsatzart)-1)*30</f>
        <v>0</v>
      </c>
      <c r="E285" s="344" t="str">
        <f>IF('Éléments saisis (inputs)'!E285&lt;&gt;"",'Éléments saisis (inputs)'!E285,"")</f>
        <v>km/jour</v>
      </c>
      <c r="F285" s="344" t="str">
        <f>"Valeur par défaut: "&amp;TEXT('1a. Defaults Segment-Ebene'!D285,"##0")&amp;" "&amp;E285</f>
        <v>Valeur par défaut: 0 km/jour</v>
      </c>
    </row>
    <row r="286" spans="2:6" x14ac:dyDescent="0.35">
      <c r="B286" s="18"/>
      <c r="C286" s="344" t="str">
        <f>IF('Éléments saisis (inputs)'!C286&lt;&gt;"",'Éléments saisis (inputs)'!C286,"")</f>
        <v>Nombre d’utilisations par jour</v>
      </c>
      <c r="D286" s="350">
        <v>1</v>
      </c>
      <c r="E286" s="344" t="str">
        <f>IF('Éléments saisis (inputs)'!E286&lt;&gt;"",'Éléments saisis (inputs)'!E286,"")</f>
        <v/>
      </c>
      <c r="F286" s="344" t="str">
        <f>"Valeur par défaut: "&amp;TEXT('1a. Defaults Segment-Ebene'!D286,"##0")</f>
        <v>Valeur par défaut: 1</v>
      </c>
    </row>
    <row r="287" spans="2:6" x14ac:dyDescent="0.35">
      <c r="B287" s="18"/>
      <c r="C287" s="344" t="str">
        <f>IF('Éléments saisis (inputs)'!C287&lt;&gt;"",'Éléments saisis (inputs)'!C287,"")</f>
        <v>Nombre de pauses par jour</v>
      </c>
      <c r="D287" s="350"/>
      <c r="E287" s="344" t="str">
        <f>IF('Éléments saisis (inputs)'!E287&lt;&gt;"",'Éléments saisis (inputs)'!E287,"")</f>
        <v/>
      </c>
      <c r="F287" s="344"/>
    </row>
    <row r="288" spans="2:6" x14ac:dyDescent="0.35">
      <c r="B288" s="18"/>
      <c r="C288" s="344" t="str">
        <f>IF('Éléments saisis (inputs)'!C288&lt;&gt;"",'Éléments saisis (inputs)'!C288,"")</f>
        <v>Durée d’immobilisation par pause sur le site de l’entreprise</v>
      </c>
      <c r="D288" s="350" cm="1">
        <f t="array" ref="D288">INDEX('1e. Dropdown Values'!$A$9:$D$9,_xlfn.XMATCH(D282,'1e. Dropdown Values'!$A$6:$D$6))</f>
        <v>1</v>
      </c>
      <c r="E288" s="344" t="str">
        <f>IF('Éléments saisis (inputs)'!E288&lt;&gt;"",'Éléments saisis (inputs)'!E288,"")</f>
        <v>Heures</v>
      </c>
      <c r="F288" s="344" t="str">
        <f>"Valeur par défaut: "&amp;TEXT('1a. Defaults Segment-Ebene'!D288,"##0")&amp;" "&amp;IF(D288=1,"Heure",E288)</f>
        <v>Valeur par défaut: 1 Heure</v>
      </c>
    </row>
    <row r="289" spans="2:6" x14ac:dyDescent="0.35">
      <c r="B289" s="18"/>
      <c r="C289" s="344" t="str">
        <f>IF('Éléments saisis (inputs)'!C289&lt;&gt;"",'Éléments saisis (inputs)'!C289,"")</f>
        <v>Durée d’immobilisation pendant la nuit</v>
      </c>
      <c r="D289" s="350" cm="1">
        <f t="array" ref="D289">INDEX('1e. Dropdown Values'!$A$8:$D$8,_xlfn.XMATCH(D282,'1e. Dropdown Values'!$A$6:$D$6))</f>
        <v>8</v>
      </c>
      <c r="E289" s="344" t="str">
        <f>IF('Éléments saisis (inputs)'!E289&lt;&gt;"",'Éléments saisis (inputs)'!E289,"")</f>
        <v>Heures</v>
      </c>
      <c r="F289" s="344" t="str">
        <f>"Valeur par défaut: "&amp;TEXT('1a. Defaults Segment-Ebene'!D289,"##0")&amp;" "&amp;IF(D289=1,"Heure",E289)</f>
        <v>Valeur par défaut: 8 Heures</v>
      </c>
    </row>
    <row r="290" spans="2:6" x14ac:dyDescent="0.35">
      <c r="B290" s="18"/>
      <c r="C290" s="344" t="str">
        <f>IF('Éléments saisis (inputs)'!C290&lt;&gt;"",'Éléments saisis (inputs)'!C290,"")</f>
        <v>Véhicules par point de recharge, site de l’entreprise (pendant la journée)</v>
      </c>
      <c r="D290" s="350" cm="1">
        <f t="array" ref="D290">INDEX('1e. Dropdown Values'!$B$10:$D$10,_xlfn.XMATCH(D282,Nutzungsmuster))</f>
        <v>1</v>
      </c>
      <c r="E290" s="344" t="str">
        <f>IF('Éléments saisis (inputs)'!E290&lt;&gt;"",'Éléments saisis (inputs)'!E290,"")</f>
        <v/>
      </c>
      <c r="F290" s="344" t="str">
        <f>"Valeur par défaut: "&amp;TEXT('1a. Defaults Segment-Ebene'!D290,"##0")</f>
        <v>Valeur par défaut: 1</v>
      </c>
    </row>
    <row r="291" spans="2:6" x14ac:dyDescent="0.35">
      <c r="B291" s="18"/>
      <c r="C291" s="344" t="str">
        <f>IF('Éléments saisis (inputs)'!C291&lt;&gt;"",'Éléments saisis (inputs)'!C291,"")</f>
        <v/>
      </c>
      <c r="D291" s="343"/>
      <c r="E291" s="344" t="str">
        <f>IF('Éléments saisis (inputs)'!E291&lt;&gt;"",'Éléments saisis (inputs)'!E291,"")</f>
        <v/>
      </c>
      <c r="F291" s="344"/>
    </row>
    <row r="292" spans="2:6" x14ac:dyDescent="0.35">
      <c r="B292" s="18"/>
      <c r="C292" s="20" t="str">
        <f>IF('Éléments saisis (inputs)'!C292&lt;&gt;"",'Éléments saisis (inputs)'!C292,"")</f>
        <v>Coûts (indication par véhicule)</v>
      </c>
      <c r="D292" s="343"/>
      <c r="E292" s="344" t="str">
        <f>IF('Éléments saisis (inputs)'!E292&lt;&gt;"",'Éléments saisis (inputs)'!E292,"")</f>
        <v/>
      </c>
      <c r="F292" s="344"/>
    </row>
    <row r="293" spans="2:6" x14ac:dyDescent="0.35">
      <c r="B293" s="18"/>
      <c r="C293" s="344" t="str">
        <f>IF('Éléments saisis (inputs)'!C293&lt;&gt;"",'Éléments saisis (inputs)'!C293,"")</f>
        <v>Durée</v>
      </c>
      <c r="D293" s="353">
        <f>'Éléments saisis (inputs)'!D293</f>
        <v>48</v>
      </c>
      <c r="E293" s="344" t="str">
        <f>IF('Éléments saisis (inputs)'!E293&lt;&gt;"",'Éléments saisis (inputs)'!E293,"")</f>
        <v>Mois</v>
      </c>
      <c r="F293" s="344"/>
    </row>
    <row r="294" spans="2:6" x14ac:dyDescent="0.35">
      <c r="B294" s="18"/>
      <c r="C294" s="344" t="str">
        <f>IF('Éléments saisis (inputs)'!C294&lt;&gt;"",'Éléments saisis (inputs)'!C294,"")</f>
        <v>Taux d’intérêt du leasing</v>
      </c>
      <c r="D294" s="354">
        <v>0.03</v>
      </c>
      <c r="E294" s="344" t="str">
        <f>IF('Éléments saisis (inputs)'!E294&lt;&gt;"",'Éléments saisis (inputs)'!E294,"")</f>
        <v/>
      </c>
      <c r="F294" s="344" t="str">
        <f>"Valeur par défaut: "&amp;TEXT('1a. Defaults Segment-Ebene'!D294,"##0.0%")</f>
        <v>Valeur par défaut: 3.0%</v>
      </c>
    </row>
    <row r="295" spans="2:6" x14ac:dyDescent="0.35">
      <c r="B295" s="18"/>
      <c r="C295" s="344" t="str">
        <f>IF('Éléments saisis (inputs)'!C295&lt;&gt;"",'Éléments saisis (inputs)'!C295,"")</f>
        <v>Prix d’acquisition, rabais de flotte du véhicule thermique inclus</v>
      </c>
      <c r="D295" s="355" cm="1">
        <f t="array" ref="D295">INDEX('2d. Annahmen'!$H$13:$H$16,_xlfn.XMATCH(D276,'2d. Annahmen'!$B$4:$B$7))*(1-'2d. Annahmen'!$B$30)</f>
        <v>27219.464999999997</v>
      </c>
      <c r="E295" s="344" t="str">
        <f>IF('Éléments saisis (inputs)'!E295&lt;&gt;"",'Éléments saisis (inputs)'!E295,"")</f>
        <v>CHF</v>
      </c>
      <c r="F295" s="344" t="str">
        <f>"Valeur par défaut: "&amp;TEXT('1a. Defaults Segment-Ebene'!D295,"#’##0")&amp;" "&amp;E295</f>
        <v>Valeur par défaut: 27’219 CHF</v>
      </c>
    </row>
    <row r="296" spans="2:6" x14ac:dyDescent="0.35">
      <c r="B296" s="18"/>
      <c r="C296" s="344" t="str">
        <f>IF('Éléments saisis (inputs)'!C296&lt;&gt;"",'Éléments saisis (inputs)'!C296,"")</f>
        <v>Frais d’entretien et de réparation du véhicule thermique</v>
      </c>
      <c r="D296" s="350" cm="1">
        <f t="array" ref="D296">INDEX('2d. Annahmen'!$J$13:$J$16,_xlfn.XMATCH(D276,Grösse))/20000</f>
        <v>0.05</v>
      </c>
      <c r="E296" s="344" t="str">
        <f>IF('Éléments saisis (inputs)'!E296&lt;&gt;"",'Éléments saisis (inputs)'!E296,"")</f>
        <v>CHF/km</v>
      </c>
      <c r="F296" s="344" t="str">
        <f>"Valeur par défaut: "&amp;TEXT('1a. Defaults Segment-Ebene'!D296,"##0.000")&amp;" "&amp;E296</f>
        <v>Valeur par défaut: 0.050 CHF/km</v>
      </c>
    </row>
    <row r="297" spans="2:6" x14ac:dyDescent="0.35">
      <c r="B297" s="18"/>
      <c r="C297" s="344" t="str">
        <f>IF('Éléments saisis (inputs)'!C297&lt;&gt;"",'Éléments saisis (inputs)'!C297,"")</f>
        <v>Valeur résiduelle du véhicule thermique</v>
      </c>
      <c r="D297" s="356" cm="1">
        <f t="array" ref="D297">_xlfn.LET(_xlpm.class,D276,_xlpm.km,ROUNDUP(D283*IF(D270=INDEX(Einsatzart,1),D284,D284+D285)*D293/12/5000,0)*5000,_xlpm.lz,D293,_xlpm.totkm,'2d.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97" s="344" t="str">
        <f>IF('Éléments saisis (inputs)'!E297&lt;&gt;"",'Éléments saisis (inputs)'!E297,"")</f>
        <v/>
      </c>
      <c r="F297" s="344" t="str">
        <f>"Valeur par défaut: "&amp;TEXT('1a. Defaults Segment-Ebene'!D297,"##0.0%")</f>
        <v>Valeur par défaut: 31.6%</v>
      </c>
    </row>
    <row r="298" spans="2:6" x14ac:dyDescent="0.35">
      <c r="B298" s="18"/>
      <c r="C298" s="344" t="str">
        <f>IF('Éléments saisis (inputs)'!C298&lt;&gt;"",'Éléments saisis (inputs)'!C298,"")</f>
        <v>Prix d’acquisition, rabais de flotte du véhicule électrique inclus</v>
      </c>
      <c r="D298" s="355" cm="1">
        <f t="array" ref="D298">INDEX('2d. Annahmen'!$K$4:$K$7,_xlfn.XMATCH(D276,'2d. Annahmen'!$B$4:$B$7))*(1-'2d. Annahmen'!$B$29)</f>
        <v>28810.890000000003</v>
      </c>
      <c r="E298" s="344" t="str">
        <f>IF('Éléments saisis (inputs)'!E298&lt;&gt;"",'Éléments saisis (inputs)'!E298,"")</f>
        <v>CHF</v>
      </c>
      <c r="F298" s="344" t="str">
        <f>"Valeur par défaut: "&amp;TEXT('1a. Defaults Segment-Ebene'!D298,"#’##0")&amp;" "&amp;E298</f>
        <v>Valeur par défaut: 28’811 CHF</v>
      </c>
    </row>
    <row r="299" spans="2:6" x14ac:dyDescent="0.35">
      <c r="B299" s="18"/>
      <c r="C299" s="344" t="str">
        <f>IF('Éléments saisis (inputs)'!C299&lt;&gt;"",'Éléments saisis (inputs)'!C299,"")</f>
        <v>Frais d’entretien et de réparation du véhicule électrique</v>
      </c>
      <c r="D299" s="350">
        <f>D296*0.5</f>
        <v>2.5000000000000001E-2</v>
      </c>
      <c r="E299" s="344" t="str">
        <f>IF('Éléments saisis (inputs)'!E299&lt;&gt;"",'Éléments saisis (inputs)'!E299,"")</f>
        <v>CHF/km</v>
      </c>
      <c r="F299" s="344" t="str">
        <f>"Valeur par défaut: "&amp;TEXT('1a. Defaults Segment-Ebene'!D299,"0.000")&amp;" "&amp;E299</f>
        <v>Valeur par défaut: 0.025 CHF/km</v>
      </c>
    </row>
    <row r="300" spans="2:6" x14ac:dyDescent="0.35">
      <c r="B300" s="18"/>
      <c r="C300" s="344" t="str">
        <f>IF('Éléments saisis (inputs)'!C300&lt;&gt;"",'Éléments saisis (inputs)'!C300,"")</f>
        <v>Valeur résiduelle du véhicule électrique</v>
      </c>
      <c r="D300" s="356" cm="1">
        <f t="array" ref="D300">_xlfn.LET(_xlpm.class,D276,_xlpm.km,ROUNDUP(D283*IF(D270=INDEX(Einsatzart,1),D284,D284+D285)*D293/12/5000,0)*5000,_xlpm.lz,D293,_xlpm.totkm,'2d.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00" s="344" t="str">
        <f>IF('Éléments saisis (inputs)'!E300&lt;&gt;"",'Éléments saisis (inputs)'!E300,"")</f>
        <v/>
      </c>
      <c r="F300" s="344" t="str">
        <f>"Valeur par défaut: "&amp;TEXT('1a. Defaults Segment-Ebene'!D300,"##0.0%")</f>
        <v>Valeur par défaut: 30.7%</v>
      </c>
    </row>
    <row r="301" spans="2:6" x14ac:dyDescent="0.35">
      <c r="C301" s="283" t="str">
        <f>IF('Éléments saisis (inputs)'!C301&lt;&gt;"",'Éléments saisis (inputs)'!C301,"")</f>
        <v/>
      </c>
      <c r="D301" s="478"/>
      <c r="E301" s="283" t="str">
        <f>IF('Éléments saisis (inputs)'!E301&lt;&gt;"",'Éléments saisis (inputs)'!E301,"")</f>
        <v/>
      </c>
      <c r="F301" s="283"/>
    </row>
    <row r="302" spans="2:6" x14ac:dyDescent="0.35">
      <c r="C302" s="283" t="str">
        <f>IF('Éléments saisis (inputs)'!C302&lt;&gt;"",'Éléments saisis (inputs)'!C302,"")</f>
        <v/>
      </c>
      <c r="D302" s="478"/>
      <c r="E302" s="283" t="str">
        <f>IF('Éléments saisis (inputs)'!E302&lt;&gt;"",'Éléments saisis (inputs)'!E302,"")</f>
        <v/>
      </c>
      <c r="F302" s="283"/>
    </row>
    <row r="303" spans="2:6" ht="15" x14ac:dyDescent="0.35">
      <c r="B303" s="11" t="s">
        <v>61</v>
      </c>
      <c r="C303" s="11" t="str">
        <f>IF('Éléments saisis (inputs)'!C303&lt;&gt;"",'Éléments saisis (inputs)'!C303,"")</f>
        <v>Segment I</v>
      </c>
      <c r="D303" s="12"/>
      <c r="E303" s="13" t="str">
        <f>IF('Éléments saisis (inputs)'!E303&lt;&gt;"",'Éléments saisis (inputs)'!E303,"")</f>
        <v/>
      </c>
      <c r="F303" s="13"/>
    </row>
    <row r="304" spans="2:6" ht="18.899999999999999" x14ac:dyDescent="0.45">
      <c r="B304" s="18"/>
      <c r="C304" s="23" t="str">
        <f>IF('Éléments saisis (inputs)'!C304&lt;&gt;"",'Éléments saisis (inputs)'!C304,"")</f>
        <v/>
      </c>
      <c r="D304" s="24"/>
      <c r="E304" s="25" t="str">
        <f>IF('Éléments saisis (inputs)'!E304&lt;&gt;"",'Éléments saisis (inputs)'!E304,"")</f>
        <v/>
      </c>
      <c r="F304" s="25"/>
    </row>
    <row r="305" spans="2:6" x14ac:dyDescent="0.35">
      <c r="B305" s="18"/>
      <c r="C305" s="20" t="str">
        <f>IF('Éléments saisis (inputs)'!C305&lt;&gt;"",'Éléments saisis (inputs)'!C305,"")</f>
        <v>Structure des segments</v>
      </c>
      <c r="D305" s="343"/>
      <c r="E305" s="344" t="str">
        <f>IF('Éléments saisis (inputs)'!E305&lt;&gt;"",'Éléments saisis (inputs)'!E305,"")</f>
        <v/>
      </c>
      <c r="F305" s="344"/>
    </row>
    <row r="306" spans="2:6" x14ac:dyDescent="0.35">
      <c r="B306" s="18"/>
      <c r="C306" s="344" t="str">
        <f>IF('Éléments saisis (inputs)'!C306&lt;&gt;"",'Éléments saisis (inputs)'!C306,"")</f>
        <v>Nombre de véhicules</v>
      </c>
      <c r="D306" s="349">
        <f>'Éléments saisis (inputs)'!D306</f>
        <v>1</v>
      </c>
      <c r="E306" s="344" t="str">
        <f>IF('Éléments saisis (inputs)'!E306&lt;&gt;"",'Éléments saisis (inputs)'!E306,"")</f>
        <v/>
      </c>
      <c r="F306" s="344"/>
    </row>
    <row r="307" spans="2:6" x14ac:dyDescent="0.35">
      <c r="B307" s="18"/>
      <c r="C307" s="344" t="str">
        <f>IF('Éléments saisis (inputs)'!C307&lt;&gt;"",'Éléments saisis (inputs)'!C307,"")</f>
        <v>Type d’utilisation</v>
      </c>
      <c r="D307" s="349" t="str">
        <f>'Éléments saisis (inputs)'!D307</f>
        <v>Véhicules de pool</v>
      </c>
      <c r="E307" s="344" t="str">
        <f>IF('Éléments saisis (inputs)'!E307&lt;&gt;"",'Éléments saisis (inputs)'!E307,"")</f>
        <v/>
      </c>
      <c r="F307" s="344"/>
    </row>
    <row r="308" spans="2:6" x14ac:dyDescent="0.35">
      <c r="B308" s="18"/>
      <c r="C308" s="344" t="str">
        <f>IF('Éléments saisis (inputs)'!C308&lt;&gt;"",'Éléments saisis (inputs)'!C308,"")</f>
        <v>Domaine d’utilisation</v>
      </c>
      <c r="D308" s="349" t="str">
        <f>'Éléments saisis (inputs)'!D308</f>
        <v>Niveau régional</v>
      </c>
      <c r="E308" s="344" t="str">
        <f>IF('Éléments saisis (inputs)'!E308&lt;&gt;"",'Éléments saisis (inputs)'!E308,"")</f>
        <v/>
      </c>
      <c r="F308" s="344"/>
    </row>
    <row r="309" spans="2:6" x14ac:dyDescent="0.35">
      <c r="B309" s="18"/>
      <c r="C309" s="344" t="str">
        <f>IF('Éléments saisis (inputs)'!C309&lt;&gt;"",'Éléments saisis (inputs)'!C309,"")</f>
        <v>Possibilité de recharge à domicile</v>
      </c>
      <c r="D309" s="350" t="str" cm="1">
        <f t="array" ref="D309">INDEX(Heimladen,NOT(_xlfn.XMATCH(D307,Einsatzart)-1)+1)</f>
        <v>Non</v>
      </c>
      <c r="E309" s="344" t="str">
        <f>IF('Éléments saisis (inputs)'!E309&lt;&gt;"",'Éléments saisis (inputs)'!E309,"")</f>
        <v/>
      </c>
      <c r="F309" s="344" t="str">
        <f>"Valeur par défaut: "&amp;'1a. Defaults Segment-Ebene'!D309</f>
        <v>Valeur par défaut: Non</v>
      </c>
    </row>
    <row r="310" spans="2:6" x14ac:dyDescent="0.35">
      <c r="B310" s="18"/>
      <c r="C310" s="344" t="str">
        <f>IF('Éléments saisis (inputs)'!C310&lt;&gt;"",'Éléments saisis (inputs)'!C310,"")</f>
        <v/>
      </c>
      <c r="D310" s="343"/>
      <c r="E310" s="344" t="str">
        <f>IF('Éléments saisis (inputs)'!E310&lt;&gt;"",'Éléments saisis (inputs)'!E310,"")</f>
        <v/>
      </c>
      <c r="F310" s="344"/>
    </row>
    <row r="311" spans="2:6" x14ac:dyDescent="0.35">
      <c r="B311" s="18"/>
      <c r="C311" s="22" t="str">
        <f>IF('Éléments saisis (inputs)'!C311&lt;&gt;"",'Éléments saisis (inputs)'!C311,"")</f>
        <v>Données du véhicule</v>
      </c>
      <c r="D311" s="343"/>
      <c r="E311" s="344" t="str">
        <f>IF('Éléments saisis (inputs)'!E311&lt;&gt;"",'Éléments saisis (inputs)'!E311,"")</f>
        <v/>
      </c>
      <c r="F311" s="344"/>
    </row>
    <row r="312" spans="2:6" x14ac:dyDescent="0.35">
      <c r="B312" s="18"/>
      <c r="C312" s="344" t="str">
        <f>IF('Éléments saisis (inputs)'!C312&lt;&gt;"",'Éléments saisis (inputs)'!C312,"")</f>
        <v>Taille du véhicule</v>
      </c>
      <c r="D312" s="349" t="str">
        <f>'Éléments saisis (inputs)'!D312</f>
        <v>Catégorie moyenne</v>
      </c>
      <c r="E312" s="344" t="str">
        <f>IF('Éléments saisis (inputs)'!E312&lt;&gt;"",'Éléments saisis (inputs)'!E312,"")</f>
        <v/>
      </c>
      <c r="F312" s="344"/>
    </row>
    <row r="313" spans="2:6" x14ac:dyDescent="0.35">
      <c r="B313" s="18"/>
      <c r="C313" s="344" t="str">
        <f>IF('Éléments saisis (inputs)'!C313&lt;&gt;"",'Éléments saisis (inputs)'!C313,"")</f>
        <v>Consommation de carburant du véhicule thermique</v>
      </c>
      <c r="D313" s="350" cm="1">
        <f t="array" ref="D313">INDEX('2d. Annahmen'!$F$13:$F$16,_xlfn.XMATCH(D312,Grösse))</f>
        <v>5.8</v>
      </c>
      <c r="E313" s="344" t="str">
        <f>IF('Éléments saisis (inputs)'!E313&lt;&gt;"",'Éléments saisis (inputs)'!E313,"")</f>
        <v>l/100 km</v>
      </c>
      <c r="F313" s="344" t="str">
        <f>"Valeur par défaut: "&amp;TEXT('1a. Defaults Segment-Ebene'!D313,"##0.0")&amp;" "&amp;E313</f>
        <v>Valeur par défaut: 5.8 l/100 km</v>
      </c>
    </row>
    <row r="314" spans="2:6" x14ac:dyDescent="0.35">
      <c r="B314" s="18"/>
      <c r="C314" s="344" t="str">
        <f>IF('Éléments saisis (inputs)'!C314&lt;&gt;"",'Éléments saisis (inputs)'!C314,"")</f>
        <v>Consommation énergétique du véhicule électrique</v>
      </c>
      <c r="D314" s="350" cm="1">
        <f t="array" ref="D314">INDEX('2d. Annahmen'!$H$4:$H$7,_xlfn.XMATCH(D312,Grösse))</f>
        <v>15.1</v>
      </c>
      <c r="E314" s="344" t="str">
        <f>IF('Éléments saisis (inputs)'!E314&lt;&gt;"",'Éléments saisis (inputs)'!E314,"")</f>
        <v>kWh/100 km</v>
      </c>
      <c r="F314" s="344" t="str">
        <f>"Valeur par défaut: "&amp;TEXT('1a. Defaults Segment-Ebene'!D314,"##0.0")&amp;" "&amp;E314</f>
        <v>Valeur par défaut: 15.1 kWh/100 km</v>
      </c>
    </row>
    <row r="315" spans="2:6" x14ac:dyDescent="0.35">
      <c r="B315" s="18"/>
      <c r="C315" s="344" t="str">
        <f>IF('Éléments saisis (inputs)'!C315&lt;&gt;"",'Éléments saisis (inputs)'!C315,"")</f>
        <v>Capacité de la batterie (nette)</v>
      </c>
      <c r="D315" s="350" cm="1">
        <f t="array" ref="D315">INDEX('2d. Annahmen'!$F$4:$F$7,_xlfn.XMATCH(D312,Grösse))</f>
        <v>58.625</v>
      </c>
      <c r="E315" s="344" t="str">
        <f>IF('Éléments saisis (inputs)'!E315&lt;&gt;"",'Éléments saisis (inputs)'!E315,"")</f>
        <v>kWh</v>
      </c>
      <c r="F315" s="344" t="str">
        <f>"Valeur par défaut: "&amp;TEXT('1a. Defaults Segment-Ebene'!D315,"##0.0")&amp;" "&amp;E315</f>
        <v>Valeur par défaut: 58.6 kWh</v>
      </c>
    </row>
    <row r="316" spans="2:6" x14ac:dyDescent="0.35">
      <c r="B316" s="18"/>
      <c r="C316" s="344" t="str">
        <f>IF('Éléments saisis (inputs)'!C316&lt;&gt;"",'Éléments saisis (inputs)'!C316,"")</f>
        <v/>
      </c>
      <c r="D316" s="343"/>
      <c r="E316" s="344" t="str">
        <f>IF('Éléments saisis (inputs)'!E316&lt;&gt;"",'Éléments saisis (inputs)'!E316,"")</f>
        <v/>
      </c>
      <c r="F316" s="344"/>
    </row>
    <row r="317" spans="2:6" x14ac:dyDescent="0.35">
      <c r="B317" s="18"/>
      <c r="C317" s="20" t="str">
        <f>IF('Éléments saisis (inputs)'!C317&lt;&gt;"",'Éléments saisis (inputs)'!C317,"")</f>
        <v>Profil de conduite et d’utilisation (indication par véhicule)</v>
      </c>
      <c r="D317" s="343"/>
      <c r="E317" s="344" t="str">
        <f>IF('Éléments saisis (inputs)'!E317&lt;&gt;"",'Éléments saisis (inputs)'!E317,"")</f>
        <v/>
      </c>
      <c r="F317" s="344"/>
    </row>
    <row r="318" spans="2:6" x14ac:dyDescent="0.35">
      <c r="B318" s="18"/>
      <c r="C318" s="344" t="str">
        <f>IF('Éléments saisis (inputs)'!C318&lt;&gt;"",'Éléments saisis (inputs)'!C318,"")</f>
        <v>Modèle d’utilisation</v>
      </c>
      <c r="D318" s="349" t="str">
        <f>'Éléments saisis (inputs)'!D318</f>
        <v>Exploitation pendant les jours ouvrables</v>
      </c>
      <c r="E318" s="344" t="str">
        <f>IF('Éléments saisis (inputs)'!E318&lt;&gt;"",'Éléments saisis (inputs)'!E318,"")</f>
        <v/>
      </c>
      <c r="F318" s="344"/>
    </row>
    <row r="319" spans="2:6" x14ac:dyDescent="0.35">
      <c r="B319" s="18"/>
      <c r="C319" s="344" t="str">
        <f>IF('Éléments saisis (inputs)'!C319&lt;&gt;"",'Éléments saisis (inputs)'!C319,"")</f>
        <v>Nombre de jours de travail par an</v>
      </c>
      <c r="D319" s="350" cm="1">
        <f t="array" ref="D319">INDEX('1e. Dropdown Values'!$A$7:$D$7,_xlfn.XMATCH(D318,'1e. Dropdown Values'!$A$6:$D$6))</f>
        <v>260</v>
      </c>
      <c r="E319" s="344" t="str">
        <f>IF('Éléments saisis (inputs)'!E319&lt;&gt;"",'Éléments saisis (inputs)'!E319,"")</f>
        <v/>
      </c>
      <c r="F319" s="344" t="str">
        <f>"Valeur par défaut: "&amp;TEXT('1a. Defaults Segment-Ebene'!D319,"##0")</f>
        <v>Valeur par défaut: 260</v>
      </c>
    </row>
    <row r="320" spans="2:6" x14ac:dyDescent="0.35">
      <c r="B320" s="18"/>
      <c r="C320" s="344" t="str">
        <f>IF('Éléments saisis (inputs)'!C320&lt;&gt;"",'Éléments saisis (inputs)'!C320,"")</f>
        <v>Distance parcourue pendant le temps de travail</v>
      </c>
      <c r="D320" s="350" cm="1">
        <f t="array" ref="D320">INDEX('1e. Dropdown Values'!$A$4:$D$4,_xlfn.XMATCH(D308,'1e. Dropdown Values'!$A$3:$D$3))</f>
        <v>100</v>
      </c>
      <c r="E320" s="344" t="str">
        <f>IF('Éléments saisis (inputs)'!E320&lt;&gt;"",'Éléments saisis (inputs)'!E320,"")</f>
        <v>km/jour</v>
      </c>
      <c r="F320" s="344" t="str">
        <f>"Valeur par défaut: "&amp;TEXT('1a. Defaults Segment-Ebene'!D320,"##0")&amp;" "&amp;E320</f>
        <v>Valeur par défaut: 100 km/jour</v>
      </c>
    </row>
    <row r="321" spans="2:6" x14ac:dyDescent="0.35">
      <c r="B321" s="18"/>
      <c r="C321" s="344" t="str">
        <f>IF('Éléments saisis (inputs)'!C321&lt;&gt;"",'Éléments saisis (inputs)'!C321,"")</f>
        <v>Distance domicile-travail (aller-retour)</v>
      </c>
      <c r="D321" s="350">
        <f>(_xlfn.XMATCH(D307,Einsatzart)-1)*30</f>
        <v>0</v>
      </c>
      <c r="E321" s="344" t="str">
        <f>IF('Éléments saisis (inputs)'!E321&lt;&gt;"",'Éléments saisis (inputs)'!E321,"")</f>
        <v>km/jour</v>
      </c>
      <c r="F321" s="344" t="str">
        <f>"Valeur par défaut: "&amp;TEXT('1a. Defaults Segment-Ebene'!D321,"##0")&amp;" "&amp;E321</f>
        <v>Valeur par défaut: 0 km/jour</v>
      </c>
    </row>
    <row r="322" spans="2:6" x14ac:dyDescent="0.35">
      <c r="B322" s="18"/>
      <c r="C322" s="344" t="str">
        <f>IF('Éléments saisis (inputs)'!C322&lt;&gt;"",'Éléments saisis (inputs)'!C322,"")</f>
        <v>Nombre d’utilisations par jour</v>
      </c>
      <c r="D322" s="350">
        <v>1</v>
      </c>
      <c r="E322" s="344" t="str">
        <f>IF('Éléments saisis (inputs)'!E322&lt;&gt;"",'Éléments saisis (inputs)'!E322,"")</f>
        <v/>
      </c>
      <c r="F322" s="344" t="str">
        <f>"Valeur par défaut: "&amp;TEXT('1a. Defaults Segment-Ebene'!D322,"##0")</f>
        <v>Valeur par défaut: 1</v>
      </c>
    </row>
    <row r="323" spans="2:6" x14ac:dyDescent="0.35">
      <c r="B323" s="18"/>
      <c r="C323" s="344" t="str">
        <f>IF('Éléments saisis (inputs)'!C323&lt;&gt;"",'Éléments saisis (inputs)'!C323,"")</f>
        <v>Nombre de pauses par jour</v>
      </c>
      <c r="D323" s="350"/>
      <c r="E323" s="344" t="str">
        <f>IF('Éléments saisis (inputs)'!E323&lt;&gt;"",'Éléments saisis (inputs)'!E323,"")</f>
        <v/>
      </c>
      <c r="F323" s="344"/>
    </row>
    <row r="324" spans="2:6" x14ac:dyDescent="0.35">
      <c r="B324" s="18"/>
      <c r="C324" s="344" t="str">
        <f>IF('Éléments saisis (inputs)'!C324&lt;&gt;"",'Éléments saisis (inputs)'!C324,"")</f>
        <v>Durée d’immobilisation par pause sur le site de l’entreprise</v>
      </c>
      <c r="D324" s="350" cm="1">
        <f t="array" ref="D324">INDEX('1e. Dropdown Values'!$A$9:$D$9,_xlfn.XMATCH(D318,'1e. Dropdown Values'!$A$6:$D$6))</f>
        <v>1</v>
      </c>
      <c r="E324" s="344" t="str">
        <f>IF('Éléments saisis (inputs)'!E324&lt;&gt;"",'Éléments saisis (inputs)'!E324,"")</f>
        <v>Heures</v>
      </c>
      <c r="F324" s="344" t="str">
        <f>"Valeur par défaut: "&amp;TEXT('1a. Defaults Segment-Ebene'!D324,"##0")&amp;" "&amp;IF(D324=1,"Heure",E324)</f>
        <v>Valeur par défaut: 1 Heure</v>
      </c>
    </row>
    <row r="325" spans="2:6" x14ac:dyDescent="0.35">
      <c r="B325" s="18"/>
      <c r="C325" s="344" t="str">
        <f>IF('Éléments saisis (inputs)'!C325&lt;&gt;"",'Éléments saisis (inputs)'!C325,"")</f>
        <v>Durée d’immobilisation pendant la nuit</v>
      </c>
      <c r="D325" s="350" cm="1">
        <f t="array" ref="D325">INDEX('1e. Dropdown Values'!$A$8:$D$8,_xlfn.XMATCH(D318,'1e. Dropdown Values'!$A$6:$D$6))</f>
        <v>8</v>
      </c>
      <c r="E325" s="344" t="str">
        <f>IF('Éléments saisis (inputs)'!E325&lt;&gt;"",'Éléments saisis (inputs)'!E325,"")</f>
        <v>Heures</v>
      </c>
      <c r="F325" s="344" t="str">
        <f>"Valeur par défaut: "&amp;TEXT('1a. Defaults Segment-Ebene'!D325,"##0")&amp;" "&amp;IF(D325=1,"Heure",E325)</f>
        <v>Valeur par défaut: 8 Heures</v>
      </c>
    </row>
    <row r="326" spans="2:6" x14ac:dyDescent="0.35">
      <c r="B326" s="18"/>
      <c r="C326" s="344" t="str">
        <f>IF('Éléments saisis (inputs)'!C326&lt;&gt;"",'Éléments saisis (inputs)'!C326,"")</f>
        <v>Véhicules par point de recharge, site de l’entreprise (pendant la journée)</v>
      </c>
      <c r="D326" s="350" cm="1">
        <f t="array" ref="D326">INDEX('1e. Dropdown Values'!$B$10:$D$10,_xlfn.XMATCH(D318,Nutzungsmuster))</f>
        <v>1</v>
      </c>
      <c r="E326" s="344" t="str">
        <f>IF('Éléments saisis (inputs)'!E326&lt;&gt;"",'Éléments saisis (inputs)'!E326,"")</f>
        <v/>
      </c>
      <c r="F326" s="344" t="str">
        <f>"Valeur par défaut: "&amp;TEXT('1a. Defaults Segment-Ebene'!D326,"##0")</f>
        <v>Valeur par défaut: 1</v>
      </c>
    </row>
    <row r="327" spans="2:6" x14ac:dyDescent="0.35">
      <c r="B327" s="18"/>
      <c r="C327" s="344" t="str">
        <f>IF('Éléments saisis (inputs)'!C327&lt;&gt;"",'Éléments saisis (inputs)'!C327,"")</f>
        <v/>
      </c>
      <c r="D327" s="343"/>
      <c r="E327" s="344" t="str">
        <f>IF('Éléments saisis (inputs)'!E327&lt;&gt;"",'Éléments saisis (inputs)'!E327,"")</f>
        <v/>
      </c>
      <c r="F327" s="344"/>
    </row>
    <row r="328" spans="2:6" x14ac:dyDescent="0.35">
      <c r="B328" s="18"/>
      <c r="C328" s="20" t="str">
        <f>IF('Éléments saisis (inputs)'!C328&lt;&gt;"",'Éléments saisis (inputs)'!C328,"")</f>
        <v>Coûts (indication par véhicule)</v>
      </c>
      <c r="D328" s="343"/>
      <c r="E328" s="344" t="str">
        <f>IF('Éléments saisis (inputs)'!E328&lt;&gt;"",'Éléments saisis (inputs)'!E328,"")</f>
        <v/>
      </c>
      <c r="F328" s="344"/>
    </row>
    <row r="329" spans="2:6" x14ac:dyDescent="0.35">
      <c r="B329" s="18"/>
      <c r="C329" s="344" t="str">
        <f>IF('Éléments saisis (inputs)'!C329&lt;&gt;"",'Éléments saisis (inputs)'!C329,"")</f>
        <v>Durée</v>
      </c>
      <c r="D329" s="353">
        <f>'Éléments saisis (inputs)'!D329</f>
        <v>48</v>
      </c>
      <c r="E329" s="344" t="str">
        <f>IF('Éléments saisis (inputs)'!E329&lt;&gt;"",'Éléments saisis (inputs)'!E329,"")</f>
        <v>Mois</v>
      </c>
      <c r="F329" s="344"/>
    </row>
    <row r="330" spans="2:6" x14ac:dyDescent="0.35">
      <c r="B330" s="18"/>
      <c r="C330" s="344" t="str">
        <f>IF('Éléments saisis (inputs)'!C330&lt;&gt;"",'Éléments saisis (inputs)'!C330,"")</f>
        <v>Taux d’intérêt du leasing</v>
      </c>
      <c r="D330" s="354">
        <v>0.03</v>
      </c>
      <c r="E330" s="344" t="str">
        <f>IF('Éléments saisis (inputs)'!E330&lt;&gt;"",'Éléments saisis (inputs)'!E330,"")</f>
        <v/>
      </c>
      <c r="F330" s="344" t="str">
        <f>"Valeur par défaut: "&amp;TEXT('1a. Defaults Segment-Ebene'!D330,"##0.0%")</f>
        <v>Valeur par défaut: 3.0%</v>
      </c>
    </row>
    <row r="331" spans="2:6" x14ac:dyDescent="0.35">
      <c r="B331" s="18"/>
      <c r="C331" s="344" t="str">
        <f>IF('Éléments saisis (inputs)'!C331&lt;&gt;"",'Éléments saisis (inputs)'!C331,"")</f>
        <v>Prix d’acquisition, rabais de flotte du véhicule thermique inclus</v>
      </c>
      <c r="D331" s="355" cm="1">
        <f t="array" ref="D331">INDEX('2d. Annahmen'!$H$13:$H$16,_xlfn.XMATCH(D312,'2d. Annahmen'!$B$4:$B$7))*(1-'2d. Annahmen'!$B$30)</f>
        <v>27219.464999999997</v>
      </c>
      <c r="E331" s="344" t="str">
        <f>IF('Éléments saisis (inputs)'!E331&lt;&gt;"",'Éléments saisis (inputs)'!E331,"")</f>
        <v>CHF</v>
      </c>
      <c r="F331" s="344" t="str">
        <f>"Valeur par défaut: "&amp;TEXT('1a. Defaults Segment-Ebene'!D331,"#’##0")&amp;" "&amp;E331</f>
        <v>Valeur par défaut: 27’219 CHF</v>
      </c>
    </row>
    <row r="332" spans="2:6" x14ac:dyDescent="0.35">
      <c r="B332" s="18"/>
      <c r="C332" s="344" t="str">
        <f>IF('Éléments saisis (inputs)'!C332&lt;&gt;"",'Éléments saisis (inputs)'!C332,"")</f>
        <v>Frais d’entretien et de réparation du véhicule thermique</v>
      </c>
      <c r="D332" s="350" cm="1">
        <f t="array" ref="D332">INDEX('2d. Annahmen'!$J$13:$J$16,_xlfn.XMATCH(D312,Grösse))/20000</f>
        <v>0.05</v>
      </c>
      <c r="E332" s="344" t="str">
        <f>IF('Éléments saisis (inputs)'!E332&lt;&gt;"",'Éléments saisis (inputs)'!E332,"")</f>
        <v>CHF/km</v>
      </c>
      <c r="F332" s="344" t="str">
        <f>"Valeur par défaut: "&amp;TEXT('1a. Defaults Segment-Ebene'!D332,"##0.000")&amp;" "&amp;E332</f>
        <v>Valeur par défaut: 0.050 CHF/km</v>
      </c>
    </row>
    <row r="333" spans="2:6" x14ac:dyDescent="0.35">
      <c r="B333" s="18"/>
      <c r="C333" s="344" t="str">
        <f>IF('Éléments saisis (inputs)'!C333&lt;&gt;"",'Éléments saisis (inputs)'!C333,"")</f>
        <v>Valeur résiduelle du véhicule thermique</v>
      </c>
      <c r="D333" s="356" cm="1">
        <f t="array" ref="D333">_xlfn.LET(_xlpm.class,D312,_xlpm.km,ROUNDUP(D319*IF(D306=INDEX(Einsatzart,1),D320,D320+D321)*D329/12/5000,0)*5000,_xlpm.lz,D329,_xlpm.totkm,'2d.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333" s="344" t="str">
        <f>IF('Éléments saisis (inputs)'!E333&lt;&gt;"",'Éléments saisis (inputs)'!E333,"")</f>
        <v/>
      </c>
      <c r="F333" s="344" t="str">
        <f>"Valeur par défaut: "&amp;TEXT('1a. Defaults Segment-Ebene'!D333,"##0.0%")</f>
        <v>Valeur par défaut: 31.6%</v>
      </c>
    </row>
    <row r="334" spans="2:6" x14ac:dyDescent="0.35">
      <c r="B334" s="18"/>
      <c r="C334" s="344" t="str">
        <f>IF('Éléments saisis (inputs)'!C334&lt;&gt;"",'Éléments saisis (inputs)'!C334,"")</f>
        <v>Prix d’acquisition, rabais de flotte du véhicule électrique inclus</v>
      </c>
      <c r="D334" s="355" cm="1">
        <f t="array" ref="D334">INDEX('2d. Annahmen'!$K$4:$K$7,_xlfn.XMATCH(D312,'2d. Annahmen'!$B$4:$B$7))*(1-'2d. Annahmen'!$B$29)</f>
        <v>28810.890000000003</v>
      </c>
      <c r="E334" s="344" t="str">
        <f>IF('Éléments saisis (inputs)'!E334&lt;&gt;"",'Éléments saisis (inputs)'!E334,"")</f>
        <v>CHF</v>
      </c>
      <c r="F334" s="344" t="str">
        <f>"Valeur par défaut: "&amp;TEXT('1a. Defaults Segment-Ebene'!D334,"#’##0")&amp;" "&amp;E334</f>
        <v>Valeur par défaut: 28’811 CHF</v>
      </c>
    </row>
    <row r="335" spans="2:6" x14ac:dyDescent="0.35">
      <c r="B335" s="18"/>
      <c r="C335" s="344" t="str">
        <f>IF('Éléments saisis (inputs)'!C335&lt;&gt;"",'Éléments saisis (inputs)'!C335,"")</f>
        <v>Frais d’entretien et de réparation du véhicule électrique</v>
      </c>
      <c r="D335" s="350">
        <f>D332*0.5</f>
        <v>2.5000000000000001E-2</v>
      </c>
      <c r="E335" s="344" t="str">
        <f>IF('Éléments saisis (inputs)'!E335&lt;&gt;"",'Éléments saisis (inputs)'!E335,"")</f>
        <v>CHF/km</v>
      </c>
      <c r="F335" s="344" t="str">
        <f>"Valeur par défaut: "&amp;TEXT('1a. Defaults Segment-Ebene'!D335,"0.000")&amp;" "&amp;E335</f>
        <v>Valeur par défaut: 0.025 CHF/km</v>
      </c>
    </row>
    <row r="336" spans="2:6" x14ac:dyDescent="0.35">
      <c r="B336" s="18"/>
      <c r="C336" s="344" t="str">
        <f>IF('Éléments saisis (inputs)'!C336&lt;&gt;"",'Éléments saisis (inputs)'!C336,"")</f>
        <v>Valeur résiduelle du véhicule électrique</v>
      </c>
      <c r="D336" s="356" cm="1">
        <f t="array" ref="D336">_xlfn.LET(_xlpm.class,D312,_xlpm.km,ROUNDUP(D319*IF(D306=INDEX(Einsatzart,1),D320,D320+D321)*D329/12/5000,0)*5000,_xlpm.lz,D329,_xlpm.totkm,'2d.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36" s="344" t="str">
        <f>IF('Éléments saisis (inputs)'!E336&lt;&gt;"",'Éléments saisis (inputs)'!E336,"")</f>
        <v/>
      </c>
      <c r="F336" s="344" t="str">
        <f>"Valeur par défaut: "&amp;TEXT('1a. Defaults Segment-Ebene'!D336,"##0.0%")</f>
        <v>Valeur par défaut: 30.7%</v>
      </c>
    </row>
    <row r="337" spans="2:6" x14ac:dyDescent="0.35">
      <c r="C337" s="283" t="str">
        <f>IF('Éléments saisis (inputs)'!C337&lt;&gt;"",'Éléments saisis (inputs)'!C337,"")</f>
        <v/>
      </c>
      <c r="D337" s="478"/>
      <c r="E337" s="283" t="str">
        <f>IF('Éléments saisis (inputs)'!E337&lt;&gt;"",'Éléments saisis (inputs)'!E337,"")</f>
        <v/>
      </c>
      <c r="F337" s="283"/>
    </row>
    <row r="338" spans="2:6" x14ac:dyDescent="0.35">
      <c r="C338" s="283" t="str">
        <f>IF('Éléments saisis (inputs)'!C338&lt;&gt;"",'Éléments saisis (inputs)'!C338,"")</f>
        <v/>
      </c>
      <c r="D338" s="478"/>
      <c r="E338" s="283" t="str">
        <f>IF('Éléments saisis (inputs)'!E338&lt;&gt;"",'Éléments saisis (inputs)'!E338,"")</f>
        <v/>
      </c>
      <c r="F338" s="283"/>
    </row>
    <row r="339" spans="2:6" ht="15" x14ac:dyDescent="0.35">
      <c r="B339" s="11" t="s">
        <v>62</v>
      </c>
      <c r="C339" s="11" t="str">
        <f>IF('Éléments saisis (inputs)'!C339&lt;&gt;"",'Éléments saisis (inputs)'!C339,"")</f>
        <v>Segment J</v>
      </c>
      <c r="D339" s="12"/>
      <c r="E339" s="13" t="str">
        <f>IF('Éléments saisis (inputs)'!E339&lt;&gt;"",'Éléments saisis (inputs)'!E339,"")</f>
        <v/>
      </c>
      <c r="F339" s="13"/>
    </row>
    <row r="340" spans="2:6" ht="18.899999999999999" x14ac:dyDescent="0.45">
      <c r="B340" s="18"/>
      <c r="C340" s="23" t="str">
        <f>IF('Éléments saisis (inputs)'!C340&lt;&gt;"",'Éléments saisis (inputs)'!C340,"")</f>
        <v/>
      </c>
      <c r="D340" s="24"/>
      <c r="E340" s="25" t="str">
        <f>IF('Éléments saisis (inputs)'!E340&lt;&gt;"",'Éléments saisis (inputs)'!E340,"")</f>
        <v/>
      </c>
      <c r="F340" s="25"/>
    </row>
    <row r="341" spans="2:6" x14ac:dyDescent="0.35">
      <c r="B341" s="18"/>
      <c r="C341" s="20" t="str">
        <f>IF('Éléments saisis (inputs)'!C341&lt;&gt;"",'Éléments saisis (inputs)'!C341,"")</f>
        <v>Structure des segments</v>
      </c>
      <c r="D341" s="343"/>
      <c r="E341" s="344" t="str">
        <f>IF('Éléments saisis (inputs)'!E341&lt;&gt;"",'Éléments saisis (inputs)'!E341,"")</f>
        <v/>
      </c>
      <c r="F341" s="344"/>
    </row>
    <row r="342" spans="2:6" x14ac:dyDescent="0.35">
      <c r="B342" s="18"/>
      <c r="C342" s="344" t="str">
        <f>IF('Éléments saisis (inputs)'!C342&lt;&gt;"",'Éléments saisis (inputs)'!C342,"")</f>
        <v>Nombre de véhicules</v>
      </c>
      <c r="D342" s="349">
        <f>'Éléments saisis (inputs)'!D342</f>
        <v>1</v>
      </c>
      <c r="E342" s="344" t="str">
        <f>IF('Éléments saisis (inputs)'!E342&lt;&gt;"",'Éléments saisis (inputs)'!E342,"")</f>
        <v/>
      </c>
      <c r="F342" s="344"/>
    </row>
    <row r="343" spans="2:6" x14ac:dyDescent="0.35">
      <c r="B343" s="18"/>
      <c r="C343" s="344" t="str">
        <f>IF('Éléments saisis (inputs)'!C343&lt;&gt;"",'Éléments saisis (inputs)'!C343,"")</f>
        <v>Type d’utilisation</v>
      </c>
      <c r="D343" s="349" t="str">
        <f>'Éléments saisis (inputs)'!D343</f>
        <v>Véhicules de pool</v>
      </c>
      <c r="E343" s="344" t="str">
        <f>IF('Éléments saisis (inputs)'!E343&lt;&gt;"",'Éléments saisis (inputs)'!E343,"")</f>
        <v/>
      </c>
      <c r="F343" s="344"/>
    </row>
    <row r="344" spans="2:6" x14ac:dyDescent="0.35">
      <c r="B344" s="18"/>
      <c r="C344" s="344" t="str">
        <f>IF('Éléments saisis (inputs)'!C344&lt;&gt;"",'Éléments saisis (inputs)'!C344,"")</f>
        <v>Domaine d’utilisation</v>
      </c>
      <c r="D344" s="349" t="str">
        <f>'Éléments saisis (inputs)'!D344</f>
        <v>Niveau régional</v>
      </c>
      <c r="E344" s="344" t="str">
        <f>IF('Éléments saisis (inputs)'!E344&lt;&gt;"",'Éléments saisis (inputs)'!E344,"")</f>
        <v/>
      </c>
      <c r="F344" s="344"/>
    </row>
    <row r="345" spans="2:6" x14ac:dyDescent="0.35">
      <c r="B345" s="18"/>
      <c r="C345" s="344" t="str">
        <f>IF('Éléments saisis (inputs)'!C345&lt;&gt;"",'Éléments saisis (inputs)'!C345,"")</f>
        <v>Possibilité de recharge à domicile</v>
      </c>
      <c r="D345" s="350" t="str" cm="1">
        <f t="array" ref="D345">INDEX(Heimladen,NOT(_xlfn.XMATCH(D343,Einsatzart)-1)+1)</f>
        <v>Non</v>
      </c>
      <c r="E345" s="344" t="str">
        <f>IF('Éléments saisis (inputs)'!E345&lt;&gt;"",'Éléments saisis (inputs)'!E345,"")</f>
        <v/>
      </c>
      <c r="F345" s="344" t="str">
        <f>"Valeur par défaut: "&amp;'1a. Defaults Segment-Ebene'!D345</f>
        <v>Valeur par défaut: Non</v>
      </c>
    </row>
    <row r="346" spans="2:6" x14ac:dyDescent="0.35">
      <c r="B346" s="18"/>
      <c r="C346" s="344" t="str">
        <f>IF('Éléments saisis (inputs)'!C346&lt;&gt;"",'Éléments saisis (inputs)'!C346,"")</f>
        <v/>
      </c>
      <c r="D346" s="343"/>
      <c r="E346" s="344" t="str">
        <f>IF('Éléments saisis (inputs)'!E346&lt;&gt;"",'Éléments saisis (inputs)'!E346,"")</f>
        <v/>
      </c>
      <c r="F346" s="344"/>
    </row>
    <row r="347" spans="2:6" x14ac:dyDescent="0.35">
      <c r="B347" s="18"/>
      <c r="C347" s="22" t="str">
        <f>IF('Éléments saisis (inputs)'!C347&lt;&gt;"",'Éléments saisis (inputs)'!C347,"")</f>
        <v>Données du véhicule</v>
      </c>
      <c r="D347" s="343"/>
      <c r="E347" s="344" t="str">
        <f>IF('Éléments saisis (inputs)'!E347&lt;&gt;"",'Éléments saisis (inputs)'!E347,"")</f>
        <v/>
      </c>
      <c r="F347" s="344"/>
    </row>
    <row r="348" spans="2:6" x14ac:dyDescent="0.35">
      <c r="B348" s="18"/>
      <c r="C348" s="344" t="str">
        <f>IF('Éléments saisis (inputs)'!C348&lt;&gt;"",'Éléments saisis (inputs)'!C348,"")</f>
        <v>Taille du véhicule</v>
      </c>
      <c r="D348" s="349" t="str">
        <f>'Éléments saisis (inputs)'!D348</f>
        <v>Catégorie moyenne</v>
      </c>
      <c r="E348" s="344" t="str">
        <f>IF('Éléments saisis (inputs)'!E348&lt;&gt;"",'Éléments saisis (inputs)'!E348,"")</f>
        <v/>
      </c>
      <c r="F348" s="344"/>
    </row>
    <row r="349" spans="2:6" x14ac:dyDescent="0.35">
      <c r="B349" s="18"/>
      <c r="C349" s="344" t="str">
        <f>IF('Éléments saisis (inputs)'!C349&lt;&gt;"",'Éléments saisis (inputs)'!C349,"")</f>
        <v>Consommation de carburant du véhicule thermique</v>
      </c>
      <c r="D349" s="350" cm="1">
        <f t="array" ref="D349">INDEX('2d. Annahmen'!$F$13:$F$16,_xlfn.XMATCH(D348,Grösse))</f>
        <v>5.8</v>
      </c>
      <c r="E349" s="344" t="str">
        <f>IF('Éléments saisis (inputs)'!E349&lt;&gt;"",'Éléments saisis (inputs)'!E349,"")</f>
        <v>l/100 km</v>
      </c>
      <c r="F349" s="344" t="str">
        <f>"Valeur par défaut: "&amp;TEXT('1a. Defaults Segment-Ebene'!D349,"##0.0")&amp;" "&amp;E349</f>
        <v>Valeur par défaut: 5.8 l/100 km</v>
      </c>
    </row>
    <row r="350" spans="2:6" x14ac:dyDescent="0.35">
      <c r="B350" s="18"/>
      <c r="C350" s="344" t="str">
        <f>IF('Éléments saisis (inputs)'!C350&lt;&gt;"",'Éléments saisis (inputs)'!C350,"")</f>
        <v>Consommation énergétique du véhicule électrique</v>
      </c>
      <c r="D350" s="350" cm="1">
        <f t="array" ref="D350">INDEX('2d. Annahmen'!$H$4:$H$7,_xlfn.XMATCH(D348,Grösse))</f>
        <v>15.1</v>
      </c>
      <c r="E350" s="344" t="str">
        <f>IF('Éléments saisis (inputs)'!E350&lt;&gt;"",'Éléments saisis (inputs)'!E350,"")</f>
        <v>kWh/100 km</v>
      </c>
      <c r="F350" s="344" t="str">
        <f>"Valeur par défaut: "&amp;TEXT('1a. Defaults Segment-Ebene'!D350,"##0.0")&amp;" "&amp;E350</f>
        <v>Valeur par défaut: 15.1 kWh/100 km</v>
      </c>
    </row>
    <row r="351" spans="2:6" x14ac:dyDescent="0.35">
      <c r="B351" s="18"/>
      <c r="C351" s="344" t="str">
        <f>IF('Éléments saisis (inputs)'!C351&lt;&gt;"",'Éléments saisis (inputs)'!C351,"")</f>
        <v>Capacité de la batterie (nette)</v>
      </c>
      <c r="D351" s="350" cm="1">
        <f t="array" ref="D351">INDEX('2d. Annahmen'!$F$4:$F$7,_xlfn.XMATCH(D348,Grösse))</f>
        <v>58.625</v>
      </c>
      <c r="E351" s="344" t="str">
        <f>IF('Éléments saisis (inputs)'!E351&lt;&gt;"",'Éléments saisis (inputs)'!E351,"")</f>
        <v>kWh</v>
      </c>
      <c r="F351" s="344" t="str">
        <f>"Valeur par défaut: "&amp;TEXT('1a. Defaults Segment-Ebene'!D351,"##0.0")&amp;" "&amp;E351</f>
        <v>Valeur par défaut: 58.6 kWh</v>
      </c>
    </row>
    <row r="352" spans="2:6" x14ac:dyDescent="0.35">
      <c r="B352" s="18"/>
      <c r="C352" s="344" t="str">
        <f>IF('Éléments saisis (inputs)'!C352&lt;&gt;"",'Éléments saisis (inputs)'!C352,"")</f>
        <v/>
      </c>
      <c r="D352" s="343"/>
      <c r="E352" s="344" t="str">
        <f>IF('Éléments saisis (inputs)'!E352&lt;&gt;"",'Éléments saisis (inputs)'!E352,"")</f>
        <v/>
      </c>
      <c r="F352" s="344"/>
    </row>
    <row r="353" spans="2:6" x14ac:dyDescent="0.35">
      <c r="B353" s="18"/>
      <c r="C353" s="20" t="str">
        <f>IF('Éléments saisis (inputs)'!C353&lt;&gt;"",'Éléments saisis (inputs)'!C353,"")</f>
        <v>Profil de conduite et d’utilisation (indication par véhicule)</v>
      </c>
      <c r="D353" s="343"/>
      <c r="E353" s="344" t="str">
        <f>IF('Éléments saisis (inputs)'!E353&lt;&gt;"",'Éléments saisis (inputs)'!E353,"")</f>
        <v/>
      </c>
      <c r="F353" s="344"/>
    </row>
    <row r="354" spans="2:6" x14ac:dyDescent="0.35">
      <c r="B354" s="18"/>
      <c r="C354" s="344" t="str">
        <f>IF('Éléments saisis (inputs)'!C354&lt;&gt;"",'Éléments saisis (inputs)'!C354,"")</f>
        <v>Modèle d’utilisation</v>
      </c>
      <c r="D354" s="349" t="str">
        <f>'Éléments saisis (inputs)'!D354</f>
        <v>Exploitation pendant les jours ouvrables</v>
      </c>
      <c r="E354" s="344" t="str">
        <f>IF('Éléments saisis (inputs)'!E354&lt;&gt;"",'Éléments saisis (inputs)'!E354,"")</f>
        <v/>
      </c>
      <c r="F354" s="344"/>
    </row>
    <row r="355" spans="2:6" x14ac:dyDescent="0.35">
      <c r="B355" s="18"/>
      <c r="C355" s="344" t="str">
        <f>IF('Éléments saisis (inputs)'!C355&lt;&gt;"",'Éléments saisis (inputs)'!C355,"")</f>
        <v>Nombre de jours de travail par an</v>
      </c>
      <c r="D355" s="350" cm="1">
        <f t="array" ref="D355">INDEX('1e. Dropdown Values'!$A$7:$D$7,_xlfn.XMATCH(D354,'1e. Dropdown Values'!$A$6:$D$6))</f>
        <v>260</v>
      </c>
      <c r="E355" s="344" t="str">
        <f>IF('Éléments saisis (inputs)'!E355&lt;&gt;"",'Éléments saisis (inputs)'!E355,"")</f>
        <v/>
      </c>
      <c r="F355" s="344" t="str">
        <f>"Valeur par défaut: "&amp;TEXT('1a. Defaults Segment-Ebene'!D355,"##0")</f>
        <v>Valeur par défaut: 260</v>
      </c>
    </row>
    <row r="356" spans="2:6" x14ac:dyDescent="0.35">
      <c r="B356" s="18"/>
      <c r="C356" s="344" t="str">
        <f>IF('Éléments saisis (inputs)'!C356&lt;&gt;"",'Éléments saisis (inputs)'!C356,"")</f>
        <v>Distance parcourue pendant le temps de travail</v>
      </c>
      <c r="D356" s="350" cm="1">
        <f t="array" ref="D356">INDEX('1e. Dropdown Values'!$A$4:$D$4,_xlfn.XMATCH(D344,'1e. Dropdown Values'!$A$3:$D$3))</f>
        <v>100</v>
      </c>
      <c r="E356" s="344" t="str">
        <f>IF('Éléments saisis (inputs)'!E356&lt;&gt;"",'Éléments saisis (inputs)'!E356,"")</f>
        <v>km/jour</v>
      </c>
      <c r="F356" s="344" t="str">
        <f>"Valeur par défaut: "&amp;TEXT('1a. Defaults Segment-Ebene'!D356,"##0")&amp;" "&amp;E356</f>
        <v>Valeur par défaut: 100 km/jour</v>
      </c>
    </row>
    <row r="357" spans="2:6" x14ac:dyDescent="0.35">
      <c r="B357" s="18"/>
      <c r="C357" s="344" t="str">
        <f>IF('Éléments saisis (inputs)'!C357&lt;&gt;"",'Éléments saisis (inputs)'!C357,"")</f>
        <v>Distance domicile-travail (aller-retour)</v>
      </c>
      <c r="D357" s="350">
        <f>(_xlfn.XMATCH(D343,Einsatzart)-1)*30</f>
        <v>0</v>
      </c>
      <c r="E357" s="344" t="str">
        <f>IF('Éléments saisis (inputs)'!E357&lt;&gt;"",'Éléments saisis (inputs)'!E357,"")</f>
        <v>km/jour</v>
      </c>
      <c r="F357" s="344" t="str">
        <f>"Valeur par défaut: "&amp;TEXT('1a. Defaults Segment-Ebene'!D357,"##0")&amp;" "&amp;E357</f>
        <v>Valeur par défaut: 0 km/jour</v>
      </c>
    </row>
    <row r="358" spans="2:6" x14ac:dyDescent="0.35">
      <c r="B358" s="18"/>
      <c r="C358" s="344" t="str">
        <f>IF('Éléments saisis (inputs)'!C358&lt;&gt;"",'Éléments saisis (inputs)'!C358,"")</f>
        <v>Nombre d’utilisations par jour</v>
      </c>
      <c r="D358" s="350">
        <v>1</v>
      </c>
      <c r="E358" s="344" t="str">
        <f>IF('Éléments saisis (inputs)'!E358&lt;&gt;"",'Éléments saisis (inputs)'!E358,"")</f>
        <v/>
      </c>
      <c r="F358" s="344" t="str">
        <f>"Valeur par défaut: "&amp;TEXT('1a. Defaults Segment-Ebene'!D358,"##0")</f>
        <v>Valeur par défaut: 1</v>
      </c>
    </row>
    <row r="359" spans="2:6" x14ac:dyDescent="0.35">
      <c r="B359" s="18"/>
      <c r="C359" s="344" t="str">
        <f>IF('Éléments saisis (inputs)'!C359&lt;&gt;"",'Éléments saisis (inputs)'!C359,"")</f>
        <v>Nombre de pauses par jour</v>
      </c>
      <c r="D359" s="350"/>
      <c r="E359" s="344" t="str">
        <f>IF('Éléments saisis (inputs)'!E359&lt;&gt;"",'Éléments saisis (inputs)'!E359,"")</f>
        <v/>
      </c>
      <c r="F359" s="344"/>
    </row>
    <row r="360" spans="2:6" x14ac:dyDescent="0.35">
      <c r="B360" s="18"/>
      <c r="C360" s="344" t="str">
        <f>IF('Éléments saisis (inputs)'!C360&lt;&gt;"",'Éléments saisis (inputs)'!C360,"")</f>
        <v>Durée d’immobilisation par pause sur le site de l’entreprise</v>
      </c>
      <c r="D360" s="350" cm="1">
        <f t="array" ref="D360">INDEX('1e. Dropdown Values'!$A$9:$D$9,_xlfn.XMATCH(D354,'1e. Dropdown Values'!$A$6:$D$6))</f>
        <v>1</v>
      </c>
      <c r="E360" s="344" t="str">
        <f>IF('Éléments saisis (inputs)'!E360&lt;&gt;"",'Éléments saisis (inputs)'!E360,"")</f>
        <v>Heures</v>
      </c>
      <c r="F360" s="344" t="str">
        <f>"Valeur par défaut: "&amp;TEXT('1a. Defaults Segment-Ebene'!D360,"##0")&amp;" "&amp;IF(D360=1,"Heure",E360)</f>
        <v>Valeur par défaut: 1 Heure</v>
      </c>
    </row>
    <row r="361" spans="2:6" x14ac:dyDescent="0.35">
      <c r="B361" s="18"/>
      <c r="C361" s="344" t="str">
        <f>IF('Éléments saisis (inputs)'!C361&lt;&gt;"",'Éléments saisis (inputs)'!C361,"")</f>
        <v>Durée d’immobilisation pendant la nuit</v>
      </c>
      <c r="D361" s="350" cm="1">
        <f t="array" ref="D361">INDEX('1e. Dropdown Values'!$A$8:$D$8,_xlfn.XMATCH(D354,'1e. Dropdown Values'!$A$6:$D$6))</f>
        <v>8</v>
      </c>
      <c r="E361" s="344" t="str">
        <f>IF('Éléments saisis (inputs)'!E361&lt;&gt;"",'Éléments saisis (inputs)'!E361,"")</f>
        <v>Heures</v>
      </c>
      <c r="F361" s="344" t="str">
        <f>"Valeur par défaut: "&amp;TEXT('1a. Defaults Segment-Ebene'!D361,"##0")&amp;" "&amp;IF(D361=1,"Heure",E361)</f>
        <v>Valeur par défaut: 8 Heures</v>
      </c>
    </row>
    <row r="362" spans="2:6" x14ac:dyDescent="0.35">
      <c r="B362" s="18"/>
      <c r="C362" s="344" t="str">
        <f>IF('Éléments saisis (inputs)'!C362&lt;&gt;"",'Éléments saisis (inputs)'!C362,"")</f>
        <v>Véhicules par point de recharge, site de l’entreprise (pendant la journée)</v>
      </c>
      <c r="D362" s="350" cm="1">
        <f t="array" ref="D362">INDEX('1e. Dropdown Values'!$B$10:$D$10,_xlfn.XMATCH(D354,Nutzungsmuster))</f>
        <v>1</v>
      </c>
      <c r="E362" s="344" t="str">
        <f>IF('Éléments saisis (inputs)'!E362&lt;&gt;"",'Éléments saisis (inputs)'!E362,"")</f>
        <v/>
      </c>
      <c r="F362" s="344" t="str">
        <f>"Valeur par défaut: "&amp;TEXT('1a. Defaults Segment-Ebene'!D362,"##0")</f>
        <v>Valeur par défaut: 1</v>
      </c>
    </row>
    <row r="363" spans="2:6" x14ac:dyDescent="0.35">
      <c r="B363" s="18"/>
      <c r="C363" s="344" t="str">
        <f>IF('Éléments saisis (inputs)'!C363&lt;&gt;"",'Éléments saisis (inputs)'!C363,"")</f>
        <v/>
      </c>
      <c r="D363" s="343"/>
      <c r="E363" s="344" t="str">
        <f>IF('Éléments saisis (inputs)'!E363&lt;&gt;"",'Éléments saisis (inputs)'!E363,"")</f>
        <v/>
      </c>
      <c r="F363" s="344"/>
    </row>
    <row r="364" spans="2:6" x14ac:dyDescent="0.35">
      <c r="B364" s="18"/>
      <c r="C364" s="20" t="str">
        <f>IF('Éléments saisis (inputs)'!C364&lt;&gt;"",'Éléments saisis (inputs)'!C364,"")</f>
        <v>Coûts (indication par véhicule)</v>
      </c>
      <c r="D364" s="343"/>
      <c r="E364" s="344" t="str">
        <f>IF('Éléments saisis (inputs)'!E364&lt;&gt;"",'Éléments saisis (inputs)'!E364,"")</f>
        <v/>
      </c>
      <c r="F364" s="344"/>
    </row>
    <row r="365" spans="2:6" x14ac:dyDescent="0.35">
      <c r="B365" s="18"/>
      <c r="C365" s="344" t="str">
        <f>IF('Éléments saisis (inputs)'!C365&lt;&gt;"",'Éléments saisis (inputs)'!C365,"")</f>
        <v>Durée</v>
      </c>
      <c r="D365" s="353">
        <f>'Éléments saisis (inputs)'!D365</f>
        <v>48</v>
      </c>
      <c r="E365" s="344" t="str">
        <f>IF('Éléments saisis (inputs)'!E365&lt;&gt;"",'Éléments saisis (inputs)'!E365,"")</f>
        <v>Mois</v>
      </c>
      <c r="F365" s="344"/>
    </row>
    <row r="366" spans="2:6" x14ac:dyDescent="0.35">
      <c r="B366" s="18"/>
      <c r="C366" s="344" t="str">
        <f>IF('Éléments saisis (inputs)'!C366&lt;&gt;"",'Éléments saisis (inputs)'!C366,"")</f>
        <v>Taux d’intérêt du leasing</v>
      </c>
      <c r="D366" s="354">
        <v>0.03</v>
      </c>
      <c r="E366" s="344" t="str">
        <f>IF('Éléments saisis (inputs)'!E366&lt;&gt;"",'Éléments saisis (inputs)'!E366,"")</f>
        <v/>
      </c>
      <c r="F366" s="344" t="str">
        <f>"Valeur par défaut: "&amp;TEXT('1a. Defaults Segment-Ebene'!D366,"##0.0%")</f>
        <v>Valeur par défaut: 3.0%</v>
      </c>
    </row>
    <row r="367" spans="2:6" x14ac:dyDescent="0.35">
      <c r="B367" s="18"/>
      <c r="C367" s="344" t="str">
        <f>IF('Éléments saisis (inputs)'!C367&lt;&gt;"",'Éléments saisis (inputs)'!C367,"")</f>
        <v>Prix d’acquisition, rabais de flotte du véhicule thermique inclus</v>
      </c>
      <c r="D367" s="355" cm="1">
        <f t="array" ref="D367">INDEX('2d. Annahmen'!$H$13:$H$16,_xlfn.XMATCH(D348,'2d. Annahmen'!$B$4:$B$7))*(1-'2d. Annahmen'!$B$30)</f>
        <v>27219.464999999997</v>
      </c>
      <c r="E367" s="344" t="str">
        <f>IF('Éléments saisis (inputs)'!E367&lt;&gt;"",'Éléments saisis (inputs)'!E367,"")</f>
        <v>CHF</v>
      </c>
      <c r="F367" s="344" t="str">
        <f>"Valeur par défaut: "&amp;TEXT('1a. Defaults Segment-Ebene'!D367,"#’##0")&amp;" "&amp;E367</f>
        <v>Valeur par défaut: 27’219 CHF</v>
      </c>
    </row>
    <row r="368" spans="2:6" x14ac:dyDescent="0.35">
      <c r="B368" s="18"/>
      <c r="C368" s="344" t="str">
        <f>IF('Éléments saisis (inputs)'!C368&lt;&gt;"",'Éléments saisis (inputs)'!C368,"")</f>
        <v>Frais d’entretien et de réparation du véhicule thermique</v>
      </c>
      <c r="D368" s="350" cm="1">
        <f t="array" ref="D368">INDEX('2d. Annahmen'!$J$13:$J$16,_xlfn.XMATCH(D348,Grösse))/20000</f>
        <v>0.05</v>
      </c>
      <c r="E368" s="344" t="str">
        <f>IF('Éléments saisis (inputs)'!E368&lt;&gt;"",'Éléments saisis (inputs)'!E368,"")</f>
        <v>CHF/km</v>
      </c>
      <c r="F368" s="344" t="str">
        <f>"Valeur par défaut: "&amp;TEXT('1a. Defaults Segment-Ebene'!D368,"##0.000")&amp;" "&amp;E368</f>
        <v>Valeur par défaut: 0.050 CHF/km</v>
      </c>
    </row>
    <row r="369" spans="2:6" x14ac:dyDescent="0.35">
      <c r="B369" s="18"/>
      <c r="C369" s="344" t="str">
        <f>IF('Éléments saisis (inputs)'!C369&lt;&gt;"",'Éléments saisis (inputs)'!C369,"")</f>
        <v>Valeur résiduelle du véhicule thermique</v>
      </c>
      <c r="D369" s="356" cm="1">
        <f t="array" ref="D369">_xlfn.LET(_xlpm.class,D348,_xlpm.km,ROUNDUP(D355*IF(D342=INDEX(Einsatzart,1),D356,D356+D357)*D365/12/5000,0)*5000,_xlpm.lz,D365,_xlpm.totkm,'2d.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369" s="344" t="str">
        <f>IF('Éléments saisis (inputs)'!E369&lt;&gt;"",'Éléments saisis (inputs)'!E369,"")</f>
        <v/>
      </c>
      <c r="F369" s="344" t="str">
        <f>"Valeur par défaut: "&amp;TEXT('1a. Defaults Segment-Ebene'!D369,"##0.0%")</f>
        <v>Valeur par défaut: 31.6%</v>
      </c>
    </row>
    <row r="370" spans="2:6" x14ac:dyDescent="0.35">
      <c r="B370" s="18"/>
      <c r="C370" s="344" t="str">
        <f>IF('Éléments saisis (inputs)'!C370&lt;&gt;"",'Éléments saisis (inputs)'!C370,"")</f>
        <v>Prix d’acquisition, rabais de flotte du véhicule électrique inclus</v>
      </c>
      <c r="D370" s="355" cm="1">
        <f t="array" ref="D370">INDEX('2d. Annahmen'!$K$4:$K$7,_xlfn.XMATCH(D348,'2d. Annahmen'!$B$4:$B$7))*(1-'2d. Annahmen'!$B$29)</f>
        <v>28810.890000000003</v>
      </c>
      <c r="E370" s="344" t="str">
        <f>IF('Éléments saisis (inputs)'!E370&lt;&gt;"",'Éléments saisis (inputs)'!E370,"")</f>
        <v>CHF</v>
      </c>
      <c r="F370" s="344" t="str">
        <f>"Valeur par défaut: "&amp;TEXT('1a. Defaults Segment-Ebene'!D370,"#’##0")&amp;" "&amp;E370</f>
        <v>Valeur par défaut: 28’811 CHF</v>
      </c>
    </row>
    <row r="371" spans="2:6" x14ac:dyDescent="0.35">
      <c r="B371" s="18"/>
      <c r="C371" s="344" t="str">
        <f>IF('Éléments saisis (inputs)'!C371&lt;&gt;"",'Éléments saisis (inputs)'!C371,"")</f>
        <v>Frais d’entretien et de réparation du véhicule électrique</v>
      </c>
      <c r="D371" s="350">
        <f>D368*0.5</f>
        <v>2.5000000000000001E-2</v>
      </c>
      <c r="E371" s="344" t="str">
        <f>IF('Éléments saisis (inputs)'!E371&lt;&gt;"",'Éléments saisis (inputs)'!E371,"")</f>
        <v>CHF/km</v>
      </c>
      <c r="F371" s="344" t="str">
        <f>"Valeur par défaut: "&amp;TEXT('1a. Defaults Segment-Ebene'!D371,"0.000")&amp;" "&amp;E371</f>
        <v>Valeur par défaut: 0.025 CHF/km</v>
      </c>
    </row>
    <row r="372" spans="2:6" x14ac:dyDescent="0.35">
      <c r="B372" s="18"/>
      <c r="C372" s="344" t="str">
        <f>IF('Éléments saisis (inputs)'!C372&lt;&gt;"",'Éléments saisis (inputs)'!C372,"")</f>
        <v>Valeur résiduelle du véhicule électrique</v>
      </c>
      <c r="D372" s="356" cm="1">
        <f t="array" ref="D372">_xlfn.LET(_xlpm.class,D348,_xlpm.km,ROUNDUP(D355*IF(D342=INDEX(Einsatzart,1),D356,D356+D357)*D365/12/5000,0)*5000,_xlpm.lz,D365,_xlpm.totkm,'2d.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72" s="344" t="str">
        <f>IF('Éléments saisis (inputs)'!E372&lt;&gt;"",'Éléments saisis (inputs)'!E372,"")</f>
        <v/>
      </c>
      <c r="F372" s="344" t="str">
        <f>"Valeur par défaut: "&amp;TEXT('1a. Defaults Segment-Ebene'!D372,"##0.0%")</f>
        <v>Valeur par défaut: 30.7%</v>
      </c>
    </row>
    <row r="378" spans="2:6" x14ac:dyDescent="0.35">
      <c r="B378" s="283"/>
      <c r="C378" s="283"/>
      <c r="D378" s="283"/>
      <c r="E378" s="283"/>
      <c r="F378" s="283"/>
    </row>
  </sheetData>
  <sheetProtection algorithmName="SHA-512" hashValue="HE60N52vAuJqZqA3+pBIe3iTFS0PUVjO6clAc+M9cF+7Yix0pbjFkzDcBDf7R7ebgmipKqfpC/64JYvNWKdmqA==" saltValue="c1pEkd84F2BL4in3E7keIQ==" spinCount="100000" sheet="1" objects="1" scenarios="1"/>
  <dataConsolidate/>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CE22A-0A86-4763-8DB1-0128B9250F2E}">
  <sheetPr codeName="Sheet16">
    <tabColor theme="0" tint="-0.499984740745262"/>
  </sheetPr>
  <dimension ref="B1:R372"/>
  <sheetViews>
    <sheetView zoomScaleNormal="100" workbookViewId="0">
      <selection activeCell="D43" sqref="D43"/>
    </sheetView>
  </sheetViews>
  <sheetFormatPr defaultColWidth="9.2109375" defaultRowHeight="14.15" x14ac:dyDescent="0.35"/>
  <cols>
    <col min="1" max="1" width="3.35546875" style="3" customWidth="1"/>
    <col min="2" max="2" width="6.7109375" style="8" customWidth="1"/>
    <col min="3" max="3" width="53.140625" style="3" customWidth="1"/>
    <col min="4" max="4" width="16.7109375" style="9" customWidth="1"/>
    <col min="5" max="6" width="15.2109375" style="3" customWidth="1"/>
    <col min="7" max="8" width="7.2109375" style="3" customWidth="1"/>
    <col min="9" max="9" width="53.140625" style="3" customWidth="1"/>
    <col min="10" max="10" width="14.35546875" style="3" customWidth="1"/>
    <col min="11" max="11" width="15.2109375" style="3" customWidth="1"/>
    <col min="12" max="12" width="9.2109375" style="3"/>
    <col min="13" max="13" width="53.140625" style="3" customWidth="1"/>
    <col min="14" max="14" width="14.35546875" style="3" customWidth="1"/>
    <col min="15" max="15" width="15.2109375" style="3" customWidth="1"/>
    <col min="16" max="16" width="9.2109375" style="3"/>
    <col min="17" max="17" width="53.140625" style="3" customWidth="1"/>
    <col min="18" max="18" width="14.35546875" style="3" customWidth="1"/>
    <col min="19" max="19" width="15.2109375" style="3" customWidth="1"/>
    <col min="20" max="20" width="9.2109375" style="3"/>
    <col min="21" max="21" width="49.35546875" style="3" customWidth="1"/>
    <col min="22" max="22" width="13.35546875" style="3" customWidth="1"/>
    <col min="23" max="23" width="14.2109375" style="3" customWidth="1"/>
    <col min="24" max="16384" width="9.2109375" style="3"/>
  </cols>
  <sheetData>
    <row r="1" spans="2:18" x14ac:dyDescent="0.35">
      <c r="C1" s="283"/>
      <c r="D1" s="478"/>
      <c r="E1" s="283"/>
      <c r="F1" s="283"/>
      <c r="G1" s="359"/>
      <c r="H1" s="359"/>
      <c r="I1" s="283"/>
      <c r="J1" s="283"/>
      <c r="K1" s="283"/>
      <c r="L1" s="283"/>
      <c r="M1" s="283"/>
      <c r="N1" s="283"/>
      <c r="O1" s="283"/>
      <c r="P1" s="283"/>
      <c r="Q1" s="283"/>
      <c r="R1" s="283"/>
    </row>
    <row r="2" spans="2:18" x14ac:dyDescent="0.35">
      <c r="C2" s="283"/>
      <c r="D2" s="478"/>
      <c r="E2" s="283"/>
      <c r="F2" s="283"/>
      <c r="G2" s="359"/>
      <c r="H2" s="359"/>
      <c r="I2" s="283"/>
      <c r="J2" s="283"/>
      <c r="K2" s="283"/>
      <c r="L2" s="283"/>
      <c r="M2" s="283"/>
      <c r="N2" s="283"/>
      <c r="O2" s="283"/>
      <c r="P2" s="283"/>
      <c r="Q2" s="283"/>
      <c r="R2" s="283"/>
    </row>
    <row r="3" spans="2:18" x14ac:dyDescent="0.35">
      <c r="C3" s="283"/>
      <c r="D3" s="478"/>
      <c r="E3" s="283"/>
      <c r="F3" s="283"/>
      <c r="G3" s="359"/>
      <c r="H3" s="359"/>
      <c r="I3" s="283"/>
      <c r="J3" s="283"/>
      <c r="K3" s="283"/>
      <c r="L3" s="283"/>
      <c r="M3" s="283"/>
      <c r="N3" s="283"/>
      <c r="O3" s="283"/>
      <c r="P3" s="283"/>
      <c r="Q3" s="283"/>
      <c r="R3" s="283"/>
    </row>
    <row r="4" spans="2:18" x14ac:dyDescent="0.35">
      <c r="C4" s="283"/>
      <c r="D4" s="478"/>
      <c r="E4" s="283"/>
      <c r="F4" s="283"/>
      <c r="G4" s="359"/>
      <c r="H4" s="359"/>
      <c r="I4" s="283"/>
      <c r="J4" s="283"/>
      <c r="K4" s="283"/>
      <c r="L4" s="283"/>
      <c r="M4" s="283"/>
      <c r="N4" s="283"/>
      <c r="O4" s="283"/>
      <c r="P4" s="283"/>
      <c r="Q4" s="283"/>
      <c r="R4" s="283"/>
    </row>
    <row r="5" spans="2:18" x14ac:dyDescent="0.35">
      <c r="C5" s="283"/>
      <c r="D5" s="478"/>
      <c r="E5" s="283"/>
      <c r="F5" s="283"/>
      <c r="G5" s="359"/>
      <c r="H5" s="359"/>
      <c r="I5" s="283"/>
      <c r="J5" s="283"/>
      <c r="K5" s="283"/>
      <c r="L5" s="283"/>
      <c r="M5" s="283"/>
      <c r="N5" s="283"/>
      <c r="O5" s="283"/>
      <c r="P5" s="283"/>
      <c r="Q5" s="283"/>
      <c r="R5" s="283"/>
    </row>
    <row r="6" spans="2:18" x14ac:dyDescent="0.35">
      <c r="C6" s="283"/>
      <c r="D6" s="478"/>
      <c r="E6" s="283"/>
      <c r="F6" s="283"/>
      <c r="G6" s="359"/>
      <c r="H6" s="359"/>
      <c r="I6" s="283"/>
      <c r="J6" s="283"/>
      <c r="K6" s="283"/>
      <c r="L6" s="283"/>
      <c r="M6" s="283"/>
      <c r="N6" s="283"/>
      <c r="O6" s="283"/>
      <c r="P6" s="283"/>
      <c r="Q6" s="283"/>
      <c r="R6" s="283"/>
    </row>
    <row r="7" spans="2:18" x14ac:dyDescent="0.35">
      <c r="C7" s="283"/>
      <c r="D7" s="478"/>
      <c r="E7" s="283"/>
      <c r="F7" s="283"/>
      <c r="G7" s="359"/>
      <c r="H7" s="359"/>
      <c r="I7" s="283"/>
      <c r="J7" s="283"/>
      <c r="K7" s="283"/>
      <c r="L7" s="283"/>
      <c r="M7" s="283"/>
      <c r="N7" s="283"/>
      <c r="O7" s="283"/>
      <c r="P7" s="283"/>
      <c r="Q7" s="283"/>
      <c r="R7" s="283"/>
    </row>
    <row r="8" spans="2:18" x14ac:dyDescent="0.35">
      <c r="C8" s="283"/>
      <c r="D8" s="478"/>
      <c r="E8" s="283"/>
      <c r="F8" s="283"/>
      <c r="G8" s="359"/>
      <c r="H8" s="359"/>
      <c r="I8" s="283"/>
      <c r="J8" s="283"/>
      <c r="K8" s="283"/>
      <c r="L8" s="283"/>
      <c r="M8" s="283"/>
      <c r="N8" s="283"/>
      <c r="O8" s="283"/>
      <c r="P8" s="283"/>
      <c r="Q8" s="283"/>
      <c r="R8" s="283"/>
    </row>
    <row r="9" spans="2:18" ht="15" x14ac:dyDescent="0.35">
      <c r="B9" s="1" t="s">
        <v>41</v>
      </c>
      <c r="C9" s="2" t="str">
        <f>IF('Éléments saisis (inputs)'!C9&lt;&gt;"",'Éléments saisis (inputs)'!C9,"")</f>
        <v>Structure de la flotte</v>
      </c>
      <c r="D9" s="340"/>
      <c r="E9" s="341" t="str">
        <f>IF('Éléments saisis (inputs)'!E9&lt;&gt;"",'Éléments saisis (inputs)'!E9,"")</f>
        <v/>
      </c>
      <c r="F9" s="341"/>
      <c r="G9" s="359"/>
      <c r="H9" s="359"/>
      <c r="I9" s="283"/>
      <c r="J9" s="283"/>
      <c r="K9" s="283"/>
      <c r="L9" s="283"/>
      <c r="M9" s="283"/>
      <c r="N9" s="283"/>
      <c r="O9" s="283"/>
      <c r="P9" s="283"/>
      <c r="Q9" s="283"/>
      <c r="R9" s="283"/>
    </row>
    <row r="10" spans="2:18" ht="15" x14ac:dyDescent="0.35">
      <c r="B10" s="4"/>
      <c r="C10" s="2" t="str">
        <f>IF('Éléments saisis (inputs)'!C10&lt;&gt;"",'Éléments saisis (inputs)'!C10,"")</f>
        <v/>
      </c>
      <c r="D10" s="340"/>
      <c r="E10" s="341" t="str">
        <f>IF('Éléments saisis (inputs)'!E10&lt;&gt;"",'Éléments saisis (inputs)'!E10,"")</f>
        <v/>
      </c>
      <c r="F10" s="341"/>
      <c r="G10" s="359"/>
      <c r="H10" s="359"/>
      <c r="I10" s="283"/>
      <c r="J10" s="283"/>
      <c r="K10" s="283"/>
      <c r="L10" s="283"/>
      <c r="M10" s="283"/>
      <c r="N10" s="283"/>
      <c r="O10" s="283"/>
      <c r="P10" s="283"/>
      <c r="Q10" s="283"/>
      <c r="R10" s="283"/>
    </row>
    <row r="11" spans="2:18" x14ac:dyDescent="0.35">
      <c r="B11" s="5"/>
      <c r="C11" s="6" t="str">
        <f>IF('Éléments saisis (inputs)'!C11&lt;&gt;"",'Éléments saisis (inputs)'!C11,"")</f>
        <v>Flotte</v>
      </c>
      <c r="D11" s="340"/>
      <c r="E11" s="341" t="str">
        <f>IF('Éléments saisis (inputs)'!E11&lt;&gt;"",'Éléments saisis (inputs)'!E11,"")</f>
        <v/>
      </c>
      <c r="F11" s="341"/>
      <c r="G11" s="359"/>
      <c r="H11" s="359"/>
      <c r="I11" s="283"/>
      <c r="J11" s="283"/>
      <c r="K11" s="283"/>
      <c r="L11" s="283"/>
      <c r="M11" s="283"/>
      <c r="N11" s="283"/>
      <c r="O11" s="283"/>
      <c r="P11" s="283"/>
      <c r="Q11" s="283"/>
      <c r="R11" s="283"/>
    </row>
    <row r="12" spans="2:18" x14ac:dyDescent="0.35">
      <c r="B12" s="7"/>
      <c r="C12" s="341" t="str">
        <f>IF('Éléments saisis (inputs)'!C12&lt;&gt;"",'Éléments saisis (inputs)'!C12,"")</f>
        <v>Nombre de segments</v>
      </c>
      <c r="D12" s="360">
        <f>'Éléments saisis (inputs)'!D12</f>
        <v>1</v>
      </c>
      <c r="E12" s="341" t="str">
        <f>IF('Éléments saisis (inputs)'!E12&lt;&gt;"",'Éléments saisis (inputs)'!E12,"")</f>
        <v/>
      </c>
      <c r="F12" s="341"/>
      <c r="G12" s="359"/>
      <c r="H12" s="359"/>
      <c r="I12" s="283"/>
      <c r="J12" s="283"/>
      <c r="K12" s="283"/>
      <c r="L12" s="283"/>
      <c r="M12" s="283"/>
      <c r="N12" s="283"/>
      <c r="O12" s="283"/>
      <c r="P12" s="283"/>
      <c r="Q12" s="283"/>
      <c r="R12" s="283"/>
    </row>
    <row r="13" spans="2:18" x14ac:dyDescent="0.35">
      <c r="C13" s="283" t="str">
        <f>IF('Éléments saisis (inputs)'!C13&lt;&gt;"",'Éléments saisis (inputs)'!C13,"")</f>
        <v/>
      </c>
      <c r="D13" s="478"/>
      <c r="E13" s="283" t="str">
        <f>IF('Éléments saisis (inputs)'!E13&lt;&gt;"",'Éléments saisis (inputs)'!E13,"")</f>
        <v/>
      </c>
      <c r="F13" s="283"/>
      <c r="G13" s="359"/>
      <c r="H13" s="359"/>
      <c r="I13" s="283"/>
      <c r="J13" s="283"/>
      <c r="K13" s="283"/>
      <c r="L13" s="283"/>
      <c r="M13" s="283"/>
      <c r="N13" s="283"/>
      <c r="O13" s="283"/>
      <c r="P13" s="283"/>
      <c r="Q13" s="283"/>
      <c r="R13" s="283"/>
    </row>
    <row r="14" spans="2:18" x14ac:dyDescent="0.35">
      <c r="C14" s="283" t="str">
        <f>IF('Éléments saisis (inputs)'!C14&lt;&gt;"",'Éléments saisis (inputs)'!C14,"")</f>
        <v/>
      </c>
      <c r="D14" s="283"/>
      <c r="E14" s="283" t="str">
        <f>IF('Éléments saisis (inputs)'!E14&lt;&gt;"",'Éléments saisis (inputs)'!E14,"")</f>
        <v/>
      </c>
      <c r="F14" s="283"/>
      <c r="G14" s="359"/>
      <c r="H14" s="359"/>
      <c r="I14" s="283"/>
      <c r="J14" s="283"/>
      <c r="K14" s="283"/>
      <c r="L14" s="283"/>
      <c r="M14" s="283"/>
      <c r="N14" s="283"/>
      <c r="O14" s="283"/>
      <c r="P14" s="283"/>
      <c r="Q14" s="283"/>
      <c r="R14" s="10"/>
    </row>
    <row r="15" spans="2:18" s="14" customFormat="1" ht="15" x14ac:dyDescent="0.35">
      <c r="B15" s="11" t="s">
        <v>42</v>
      </c>
      <c r="C15" s="11" t="str">
        <f>IF('Éléments saisis (inputs)'!C15&lt;&gt;"",'Éléments saisis (inputs)'!C15,"")</f>
        <v>Segment A</v>
      </c>
      <c r="D15" s="26">
        <v>1</v>
      </c>
      <c r="E15" s="13" t="str">
        <f>IF('Éléments saisis (inputs)'!E15&lt;&gt;"",'Éléments saisis (inputs)'!E15,"")</f>
        <v/>
      </c>
      <c r="F15" s="13"/>
      <c r="H15" s="15" t="s">
        <v>43</v>
      </c>
      <c r="I15" s="15" t="s">
        <v>44</v>
      </c>
      <c r="J15" s="16"/>
      <c r="K15" s="17"/>
    </row>
    <row r="16" spans="2:18" x14ac:dyDescent="0.35">
      <c r="B16" s="18"/>
      <c r="C16" s="18" t="str">
        <f>IF('Éléments saisis (inputs)'!C16&lt;&gt;"",'Éléments saisis (inputs)'!C16,"")</f>
        <v/>
      </c>
      <c r="D16" s="343"/>
      <c r="E16" s="344" t="str">
        <f>IF('Éléments saisis (inputs)'!E16&lt;&gt;"",'Éléments saisis (inputs)'!E16,"")</f>
        <v/>
      </c>
      <c r="F16" s="344"/>
      <c r="G16" s="283"/>
      <c r="H16" s="345"/>
      <c r="I16" s="19"/>
      <c r="J16" s="346"/>
      <c r="K16" s="345"/>
      <c r="L16" s="283"/>
      <c r="M16" s="283"/>
      <c r="N16" s="283"/>
      <c r="O16" s="283"/>
      <c r="P16" s="283"/>
      <c r="Q16" s="283"/>
      <c r="R16" s="283"/>
    </row>
    <row r="17" spans="2:11" x14ac:dyDescent="0.35">
      <c r="B17" s="18"/>
      <c r="C17" s="20" t="str">
        <f>IF('Éléments saisis (inputs)'!C17&lt;&gt;"",'Éléments saisis (inputs)'!C17,"")</f>
        <v>Structure des segments</v>
      </c>
      <c r="D17" s="343"/>
      <c r="E17" s="344" t="str">
        <f>IF('Éléments saisis (inputs)'!E17&lt;&gt;"",'Éléments saisis (inputs)'!E17,"")</f>
        <v/>
      </c>
      <c r="F17" s="344"/>
      <c r="G17" s="283"/>
      <c r="H17" s="345"/>
      <c r="I17" s="21" t="s">
        <v>2</v>
      </c>
      <c r="J17" s="346"/>
      <c r="K17" s="345"/>
    </row>
    <row r="18" spans="2:11" x14ac:dyDescent="0.35">
      <c r="B18" s="18"/>
      <c r="C18" s="361" t="str">
        <f>IF('Éléments saisis (inputs)'!C18&lt;&gt;"",'Éléments saisis (inputs)'!C18,"")</f>
        <v>Nombre de véhicules</v>
      </c>
      <c r="D18" s="349">
        <f>IF(D15&lt;=$D$12,'Éléments saisis (inputs)'!D18,0)</f>
        <v>1</v>
      </c>
      <c r="E18" s="344" t="str">
        <f>IF('Éléments saisis (inputs)'!E18&lt;&gt;"",'Éléments saisis (inputs)'!E18,"")</f>
        <v/>
      </c>
      <c r="F18" s="344"/>
      <c r="G18" s="283"/>
      <c r="H18" s="345"/>
      <c r="I18" s="345" t="s">
        <v>45</v>
      </c>
      <c r="J18" s="348">
        <f>IF('Éléments saisis (inputs)'!J18&lt;&gt;"",'Éléments saisis (inputs)'!J18,'1a. Defaults Segment-Ebene'!J18)</f>
        <v>1.8</v>
      </c>
      <c r="K18" s="345" t="s">
        <v>4</v>
      </c>
    </row>
    <row r="19" spans="2:11" x14ac:dyDescent="0.35">
      <c r="B19" s="18"/>
      <c r="C19" s="361" t="str">
        <f>IF('Éléments saisis (inputs)'!C19&lt;&gt;"",'Éléments saisis (inputs)'!C19,"")</f>
        <v>Type d’utilisation</v>
      </c>
      <c r="D19" s="362" t="str">
        <f>'Éléments saisis (inputs)'!D19</f>
        <v>Véhicules de pool</v>
      </c>
      <c r="E19" s="344" t="str">
        <f>IF('Éléments saisis (inputs)'!E19&lt;&gt;"",'Éléments saisis (inputs)'!E19,"")</f>
        <v/>
      </c>
      <c r="F19" s="344"/>
      <c r="G19" s="283"/>
      <c r="H19" s="345"/>
      <c r="I19" s="345" t="s">
        <v>6</v>
      </c>
      <c r="J19" s="348">
        <f>IF('Éléments saisis (inputs)'!J19&lt;&gt;"",'Éléments saisis (inputs)'!J19,'1a. Defaults Segment-Ebene'!J19)</f>
        <v>0.24</v>
      </c>
      <c r="K19" s="345" t="s">
        <v>7</v>
      </c>
    </row>
    <row r="20" spans="2:11" x14ac:dyDescent="0.35">
      <c r="B20" s="18"/>
      <c r="C20" s="344" t="str">
        <f>IF('Éléments saisis (inputs)'!C20&lt;&gt;"",'Éléments saisis (inputs)'!C20,"")</f>
        <v>Domaine d’utilisation</v>
      </c>
      <c r="D20" s="349" t="str">
        <f>'Éléments saisis (inputs)'!D20</f>
        <v>Niveau régional</v>
      </c>
      <c r="E20" s="344" t="str">
        <f>IF('Éléments saisis (inputs)'!E20&lt;&gt;"",'Éléments saisis (inputs)'!E20,"")</f>
        <v/>
      </c>
      <c r="F20" s="344"/>
      <c r="G20" s="283"/>
      <c r="H20" s="345"/>
      <c r="I20" s="345" t="s">
        <v>9</v>
      </c>
      <c r="J20" s="348">
        <f>IF('Éléments saisis (inputs)'!J20&lt;&gt;"",'Éléments saisis (inputs)'!J20,'1a. Defaults Segment-Ebene'!J20)</f>
        <v>0.24</v>
      </c>
      <c r="K20" s="345" t="s">
        <v>7</v>
      </c>
    </row>
    <row r="21" spans="2:11" x14ac:dyDescent="0.35">
      <c r="B21" s="18"/>
      <c r="C21" s="344" t="str">
        <f>IF('Éléments saisis (inputs)'!C21&lt;&gt;"",'Éléments saisis (inputs)'!C21,"")</f>
        <v>Possibilité de recharge à domicile</v>
      </c>
      <c r="D21" s="349" cm="1">
        <f t="array" aca="1" ref="D21" ca="1">INDEX(OFFSET(Heimladen,0,1),_xlfn.XMATCH('Éléments saisis (inputs)'!D21,Heimladen))</f>
        <v>0</v>
      </c>
      <c r="E21" s="344" t="str">
        <f>IF('Éléments saisis (inputs)'!E21&lt;&gt;"",'Éléments saisis (inputs)'!E21,"")</f>
        <v/>
      </c>
      <c r="F21" s="344"/>
      <c r="G21" s="283"/>
      <c r="H21" s="345"/>
      <c r="I21" s="345" t="s">
        <v>46</v>
      </c>
      <c r="J21" s="348">
        <f>IF('Éléments saisis (inputs)'!J21&lt;&gt;"",'Éléments saisis (inputs)'!J21,'1a. Defaults Segment-Ebene'!J21)</f>
        <v>0.55000000000000004</v>
      </c>
      <c r="K21" s="345" t="s">
        <v>7</v>
      </c>
    </row>
    <row r="22" spans="2:11" x14ac:dyDescent="0.35">
      <c r="B22" s="18"/>
      <c r="C22" s="344" t="str">
        <f>IF('Éléments saisis (inputs)'!C22&lt;&gt;"",'Éléments saisis (inputs)'!C22,"")</f>
        <v/>
      </c>
      <c r="D22" s="343"/>
      <c r="E22" s="344" t="str">
        <f>IF('Éléments saisis (inputs)'!E22&lt;&gt;"",'Éléments saisis (inputs)'!E22,"")</f>
        <v/>
      </c>
      <c r="F22" s="344"/>
      <c r="G22" s="283"/>
      <c r="H22" s="345"/>
      <c r="I22" s="345"/>
      <c r="J22" s="346"/>
      <c r="K22" s="345"/>
    </row>
    <row r="23" spans="2:11" x14ac:dyDescent="0.35">
      <c r="B23" s="18"/>
      <c r="C23" s="22" t="str">
        <f>IF('Éléments saisis (inputs)'!C23&lt;&gt;"",'Éléments saisis (inputs)'!C23,"")</f>
        <v>Données du véhicule</v>
      </c>
      <c r="D23" s="343"/>
      <c r="E23" s="344" t="str">
        <f>IF('Éléments saisis (inputs)'!E23&lt;&gt;"",'Éléments saisis (inputs)'!E23,"")</f>
        <v/>
      </c>
      <c r="F23" s="344"/>
      <c r="G23" s="283"/>
      <c r="H23" s="345"/>
      <c r="I23" s="21" t="s">
        <v>47</v>
      </c>
      <c r="J23" s="346"/>
      <c r="K23" s="345"/>
    </row>
    <row r="24" spans="2:11" x14ac:dyDescent="0.35">
      <c r="B24" s="18"/>
      <c r="C24" s="344" t="str">
        <f>IF('Éléments saisis (inputs)'!C24&lt;&gt;"",'Éléments saisis (inputs)'!C24,"")</f>
        <v>Taille du véhicule</v>
      </c>
      <c r="D24" s="349" t="str">
        <f>'Éléments saisis (inputs)'!D24</f>
        <v>Catégorie moyenne</v>
      </c>
      <c r="E24" s="344" t="str">
        <f>IF('Éléments saisis (inputs)'!E24&lt;&gt;"",'Éléments saisis (inputs)'!E24,"")</f>
        <v/>
      </c>
      <c r="F24" s="344"/>
      <c r="G24" s="283"/>
      <c r="H24" s="345"/>
      <c r="I24" s="345" t="s">
        <v>48</v>
      </c>
      <c r="J24" s="352">
        <f>IF('Éléments saisis (inputs)'!J24&lt;&gt;"",'Éléments saisis (inputs)'!J24,'1a. Defaults Segment-Ebene'!J24)</f>
        <v>11</v>
      </c>
      <c r="K24" s="345" t="s">
        <v>12</v>
      </c>
    </row>
    <row r="25" spans="2:11" x14ac:dyDescent="0.35">
      <c r="B25" s="18"/>
      <c r="C25" s="344" t="str">
        <f>IF('Éléments saisis (inputs)'!C25&lt;&gt;"",'Éléments saisis (inputs)'!C25,"")</f>
        <v>Consommation de carburant du véhicule thermique</v>
      </c>
      <c r="D25" s="350">
        <f>IF('Éléments saisis (inputs)'!D25&lt;&gt;"",'Éléments saisis (inputs)'!D25,'1a. Defaults Segment-Ebene'!D25)</f>
        <v>5.8</v>
      </c>
      <c r="E25" s="344" t="str">
        <f>IF('Éléments saisis (inputs)'!E25&lt;&gt;"",'Éléments saisis (inputs)'!E25,"")</f>
        <v>l/100 km</v>
      </c>
      <c r="F25" s="344"/>
      <c r="G25" s="283"/>
      <c r="H25" s="345"/>
      <c r="I25" s="345" t="s">
        <v>49</v>
      </c>
      <c r="J25" s="352">
        <f>IF('Éléments saisis (inputs)'!J25&lt;&gt;"",'Éléments saisis (inputs)'!J25,'1a. Defaults Segment-Ebene'!J25)</f>
        <v>11</v>
      </c>
      <c r="K25" s="345" t="s">
        <v>12</v>
      </c>
    </row>
    <row r="26" spans="2:11" x14ac:dyDescent="0.35">
      <c r="B26" s="18"/>
      <c r="C26" s="344" t="str">
        <f>IF('Éléments saisis (inputs)'!C26&lt;&gt;"",'Éléments saisis (inputs)'!C26,"")</f>
        <v>Consommation énergétique du véhicule électrique</v>
      </c>
      <c r="D26" s="350">
        <f>IF('Éléments saisis (inputs)'!D26&lt;&gt;"",'Éléments saisis (inputs)'!D26,'1a. Defaults Segment-Ebene'!D26)</f>
        <v>15.1</v>
      </c>
      <c r="E26" s="344" t="str">
        <f>IF('Éléments saisis (inputs)'!E26&lt;&gt;"",'Éléments saisis (inputs)'!E26,"")</f>
        <v>kWh/100 km</v>
      </c>
      <c r="F26" s="344"/>
      <c r="G26" s="283"/>
      <c r="H26" s="345"/>
      <c r="I26" s="345" t="s">
        <v>50</v>
      </c>
      <c r="J26" s="352">
        <f>IF('Éléments saisis (inputs)'!J26&lt;&gt;"",'Éléments saisis (inputs)'!J26,'1a. Defaults Segment-Ebene'!J26)</f>
        <v>250</v>
      </c>
      <c r="K26" s="345" t="s">
        <v>12</v>
      </c>
    </row>
    <row r="27" spans="2:11" x14ac:dyDescent="0.35">
      <c r="B27" s="18"/>
      <c r="C27" s="344" t="str">
        <f>IF('Éléments saisis (inputs)'!C27&lt;&gt;"",'Éléments saisis (inputs)'!C27,"")</f>
        <v>Capacité de la batterie (nette)</v>
      </c>
      <c r="D27" s="350">
        <f>IF('Éléments saisis (inputs)'!D27&lt;&gt;"",'Éléments saisis (inputs)'!D27,'1a. Defaults Segment-Ebene'!D27)</f>
        <v>58.625</v>
      </c>
      <c r="E27" s="344" t="str">
        <f>IF('Éléments saisis (inputs)'!E27&lt;&gt;"",'Éléments saisis (inputs)'!E27,"")</f>
        <v>kWh</v>
      </c>
      <c r="F27" s="344"/>
      <c r="G27" s="283"/>
      <c r="H27" s="345"/>
      <c r="I27" s="345" t="s">
        <v>51</v>
      </c>
      <c r="J27" s="348">
        <f>IF('Éléments saisis (inputs)'!J27&lt;&gt;"",'Éléments saisis (inputs)'!J27,'1a. Defaults Segment-Ebene'!J27)</f>
        <v>40</v>
      </c>
      <c r="K27" s="345" t="s">
        <v>12</v>
      </c>
    </row>
    <row r="28" spans="2:11" x14ac:dyDescent="0.35">
      <c r="B28" s="18"/>
      <c r="C28" s="344" t="str">
        <f>IF('Éléments saisis (inputs)'!C28&lt;&gt;"",'Éléments saisis (inputs)'!C28,"")</f>
        <v/>
      </c>
      <c r="D28" s="343"/>
      <c r="E28" s="344" t="str">
        <f>IF('Éléments saisis (inputs)'!E28&lt;&gt;"",'Éléments saisis (inputs)'!E28,"")</f>
        <v/>
      </c>
      <c r="F28" s="344"/>
      <c r="G28" s="283"/>
      <c r="H28" s="345"/>
      <c r="I28" s="345" t="s">
        <v>52</v>
      </c>
      <c r="J28" s="352">
        <f>IF('Éléments saisis (inputs)'!J28&lt;&gt;"",'Éléments saisis (inputs)'!J28,'1a. Defaults Segment-Ebene'!J28)</f>
        <v>1</v>
      </c>
      <c r="K28" s="345"/>
    </row>
    <row r="29" spans="2:11" x14ac:dyDescent="0.35">
      <c r="B29" s="18"/>
      <c r="C29" s="20" t="str">
        <f>IF('Éléments saisis (inputs)'!C29&lt;&gt;"",'Éléments saisis (inputs)'!C29,"")</f>
        <v>Profil de conduite et d’utilisation (indication par véhicule)</v>
      </c>
      <c r="D29" s="343"/>
      <c r="E29" s="344" t="str">
        <f>IF('Éléments saisis (inputs)'!E29&lt;&gt;"",'Éléments saisis (inputs)'!E29,"")</f>
        <v/>
      </c>
      <c r="F29" s="344"/>
      <c r="G29" s="283"/>
      <c r="H29" s="345"/>
      <c r="I29" s="345" t="s">
        <v>53</v>
      </c>
      <c r="J29" s="352">
        <f>IF('Éléments saisis (inputs)'!J29&lt;&gt;"",'Éléments saisis (inputs)'!J29,'1a. Defaults Segment-Ebene'!J29)</f>
        <v>1</v>
      </c>
      <c r="K29" s="345"/>
    </row>
    <row r="30" spans="2:11" x14ac:dyDescent="0.35">
      <c r="B30" s="18"/>
      <c r="C30" s="344" t="str">
        <f>IF('Éléments saisis (inputs)'!C30&lt;&gt;"",'Éléments saisis (inputs)'!C30,"")</f>
        <v>Modèle d’utilisation</v>
      </c>
      <c r="D30" s="349" t="str">
        <f>'Éléments saisis (inputs)'!D30</f>
        <v>Exploitation pendant les jours ouvrables</v>
      </c>
      <c r="E30" s="344" t="str">
        <f>IF('Éléments saisis (inputs)'!E30&lt;&gt;"",'Éléments saisis (inputs)'!E30,"")</f>
        <v/>
      </c>
      <c r="F30" s="344"/>
      <c r="G30" s="283"/>
      <c r="H30" s="283"/>
      <c r="I30" s="283"/>
      <c r="J30" s="283"/>
      <c r="K30" s="283"/>
    </row>
    <row r="31" spans="2:11" x14ac:dyDescent="0.35">
      <c r="B31" s="18"/>
      <c r="C31" s="344" t="str">
        <f>IF('Éléments saisis (inputs)'!C31&lt;&gt;"",'Éléments saisis (inputs)'!C31,"")</f>
        <v>Nombre de jours de travail par an</v>
      </c>
      <c r="D31" s="350">
        <f>IF('Éléments saisis (inputs)'!D31&lt;&gt;"",'Éléments saisis (inputs)'!D31,'1a. Defaults Segment-Ebene'!D31)</f>
        <v>260</v>
      </c>
      <c r="E31" s="344" t="str">
        <f>IF('Éléments saisis (inputs)'!E31&lt;&gt;"",'Éléments saisis (inputs)'!E31,"")</f>
        <v/>
      </c>
      <c r="F31" s="344"/>
      <c r="G31" s="283"/>
      <c r="H31" s="283"/>
      <c r="I31" s="283"/>
      <c r="J31" s="283"/>
      <c r="K31" s="283"/>
    </row>
    <row r="32" spans="2:11" x14ac:dyDescent="0.35">
      <c r="B32" s="18"/>
      <c r="C32" s="344" t="str">
        <f>IF('Éléments saisis (inputs)'!C32&lt;&gt;"",'Éléments saisis (inputs)'!C32,"")</f>
        <v>Distance parcourue pendant le temps de travail</v>
      </c>
      <c r="D32" s="350">
        <f>IF('Éléments saisis (inputs)'!D32&lt;&gt;"",'Éléments saisis (inputs)'!D32,'1a. Defaults Segment-Ebene'!D32)</f>
        <v>100</v>
      </c>
      <c r="E32" s="344" t="str">
        <f>IF('Éléments saisis (inputs)'!E32&lt;&gt;"",'Éléments saisis (inputs)'!E32,"")</f>
        <v>km/jour</v>
      </c>
      <c r="F32" s="344"/>
      <c r="G32" s="283"/>
      <c r="H32" s="283"/>
      <c r="I32" s="283"/>
      <c r="J32" s="283"/>
      <c r="K32" s="283"/>
    </row>
    <row r="33" spans="2:6" x14ac:dyDescent="0.35">
      <c r="B33" s="18"/>
      <c r="C33" s="344" t="str">
        <f>IF('Éléments saisis (inputs)'!C33&lt;&gt;"",'Éléments saisis (inputs)'!C33,"")</f>
        <v>Distance domicile-travail (aller-retour)</v>
      </c>
      <c r="D33" s="350">
        <f>(_xlfn.XMATCH(D19,Einsatzart)-1)*IF('Éléments saisis (inputs)'!D33&lt;&gt;"",'Éléments saisis (inputs)'!D33,'1a. Defaults Segment-Ebene'!D33)</f>
        <v>0</v>
      </c>
      <c r="E33" s="344" t="str">
        <f>IF('Éléments saisis (inputs)'!E33&lt;&gt;"",'Éléments saisis (inputs)'!E33,"")</f>
        <v>km/jour</v>
      </c>
      <c r="F33" s="344"/>
    </row>
    <row r="34" spans="2:6" x14ac:dyDescent="0.35">
      <c r="B34" s="18"/>
      <c r="C34" s="344" t="str">
        <f>IF('Éléments saisis (inputs)'!C34&lt;&gt;"",'Éléments saisis (inputs)'!C34,"")</f>
        <v>Nombre d’utilisations par jour</v>
      </c>
      <c r="D34" s="350">
        <f>IF('Éléments saisis (inputs)'!D34&lt;&gt;"",'Éléments saisis (inputs)'!D34,'1a. Defaults Segment-Ebene'!D34)</f>
        <v>1</v>
      </c>
      <c r="E34" s="344" t="str">
        <f>IF('Éléments saisis (inputs)'!E34&lt;&gt;"",'Éléments saisis (inputs)'!E34,"")</f>
        <v/>
      </c>
      <c r="F34" s="344"/>
    </row>
    <row r="35" spans="2:6" x14ac:dyDescent="0.35">
      <c r="B35" s="18"/>
      <c r="C35" s="344" t="str">
        <f>IF('Éléments saisis (inputs)'!C35&lt;&gt;"",'Éléments saisis (inputs)'!C35,"")</f>
        <v>Nombre de pauses par jour</v>
      </c>
      <c r="D35" s="350">
        <f>'Éléments saisis (inputs)'!D35</f>
        <v>1</v>
      </c>
      <c r="E35" s="344" t="str">
        <f>IF('Éléments saisis (inputs)'!E35&lt;&gt;"",'Éléments saisis (inputs)'!E35,"")</f>
        <v/>
      </c>
      <c r="F35" s="344"/>
    </row>
    <row r="36" spans="2:6" x14ac:dyDescent="0.35">
      <c r="B36" s="18"/>
      <c r="C36" s="344" t="str">
        <f>IF('Éléments saisis (inputs)'!C36&lt;&gt;"",'Éléments saisis (inputs)'!C36,"")</f>
        <v>Durée d’immobilisation par pause sur le site de l’entreprise</v>
      </c>
      <c r="D36" s="350">
        <f>IF('Éléments saisis (inputs)'!D36&lt;&gt;"",'Éléments saisis (inputs)'!D36,'1a. Defaults Segment-Ebene'!D36)</f>
        <v>1</v>
      </c>
      <c r="E36" s="344" t="str">
        <f>IF('Éléments saisis (inputs)'!E36&lt;&gt;"",'Éléments saisis (inputs)'!E36,"")</f>
        <v>Heures</v>
      </c>
      <c r="F36" s="344"/>
    </row>
    <row r="37" spans="2:6" x14ac:dyDescent="0.35">
      <c r="B37" s="18"/>
      <c r="C37" s="344" t="str">
        <f>IF('Éléments saisis (inputs)'!C37&lt;&gt;"",'Éléments saisis (inputs)'!C37,"")</f>
        <v>Durée d’immobilisation pendant la nuit</v>
      </c>
      <c r="D37" s="350">
        <f ca="1">IF('Éléments saisis (inputs)'!D37&lt;&gt;"",'Éléments saisis (inputs)'!D37,'1a. Defaults Segment-Ebene'!D37)*IF(AND(_xlfn.XMATCH(D19,Einsatzart)=2,NOT(D21)),0,1)</f>
        <v>8</v>
      </c>
      <c r="E37" s="344" t="str">
        <f>IF('Éléments saisis (inputs)'!E37&lt;&gt;"",'Éléments saisis (inputs)'!E37,"")</f>
        <v>Heures</v>
      </c>
      <c r="F37" s="344"/>
    </row>
    <row r="38" spans="2:6" x14ac:dyDescent="0.35">
      <c r="B38" s="18"/>
      <c r="C38" s="344" t="str">
        <f>IF('Éléments saisis (inputs)'!C38&lt;&gt;"",'Éléments saisis (inputs)'!C38,"")</f>
        <v>Véhicules par point de recharge, site de l’entreprise (pendant la journée)</v>
      </c>
      <c r="D38" s="350">
        <f>IF('Éléments saisis (inputs)'!D38&lt;&gt;"",'Éléments saisis (inputs)'!D38,'1a. Defaults Segment-Ebene'!D38)</f>
        <v>1</v>
      </c>
      <c r="E38" s="344" t="str">
        <f>IF('Éléments saisis (inputs)'!E38&lt;&gt;"",'Éléments saisis (inputs)'!E38,"")</f>
        <v/>
      </c>
      <c r="F38" s="344"/>
    </row>
    <row r="39" spans="2:6" x14ac:dyDescent="0.35">
      <c r="B39" s="18"/>
      <c r="C39" s="344" t="str">
        <f>IF('Éléments saisis (inputs)'!C39&lt;&gt;"",'Éléments saisis (inputs)'!C39,"")</f>
        <v/>
      </c>
      <c r="D39" s="343"/>
      <c r="E39" s="344" t="str">
        <f>IF('Éléments saisis (inputs)'!E39&lt;&gt;"",'Éléments saisis (inputs)'!E39,"")</f>
        <v/>
      </c>
      <c r="F39" s="344"/>
    </row>
    <row r="40" spans="2:6" x14ac:dyDescent="0.35">
      <c r="B40" s="18"/>
      <c r="C40" s="20" t="str">
        <f>IF('Éléments saisis (inputs)'!C40&lt;&gt;"",'Éléments saisis (inputs)'!C40,"")</f>
        <v>Coûts (indication par véhicule)</v>
      </c>
      <c r="D40" s="343"/>
      <c r="E40" s="344" t="str">
        <f>IF('Éléments saisis (inputs)'!E40&lt;&gt;"",'Éléments saisis (inputs)'!E40,"")</f>
        <v/>
      </c>
      <c r="F40" s="344"/>
    </row>
    <row r="41" spans="2:6" x14ac:dyDescent="0.35">
      <c r="B41" s="18"/>
      <c r="C41" s="344" t="str">
        <f>IF('Éléments saisis (inputs)'!C41&lt;&gt;"",'Éléments saisis (inputs)'!C41,"")</f>
        <v>Durée</v>
      </c>
      <c r="D41" s="350">
        <f>IF('Éléments saisis (inputs)'!D41&lt;&gt;"",'Éléments saisis (inputs)'!D41,'1a. Defaults Segment-Ebene'!D41)</f>
        <v>48</v>
      </c>
      <c r="E41" s="344" t="str">
        <f>IF('Éléments saisis (inputs)'!E41&lt;&gt;"",'Éléments saisis (inputs)'!E41,"")</f>
        <v>Mois</v>
      </c>
      <c r="F41" s="344"/>
    </row>
    <row r="42" spans="2:6" x14ac:dyDescent="0.35">
      <c r="B42" s="18"/>
      <c r="C42" s="344" t="str">
        <f>IF('Éléments saisis (inputs)'!C42&lt;&gt;"",'Éléments saisis (inputs)'!C42,"")</f>
        <v>Taux d’intérêt du leasing</v>
      </c>
      <c r="D42" s="354">
        <f>IF('Éléments saisis (inputs)'!D42&lt;&gt;"",'Éléments saisis (inputs)'!D42,'1a. Defaults Segment-Ebene'!D42)</f>
        <v>0.03</v>
      </c>
      <c r="E42" s="344" t="str">
        <f>IF('Éléments saisis (inputs)'!E42&lt;&gt;"",'Éléments saisis (inputs)'!E42,"")</f>
        <v/>
      </c>
      <c r="F42" s="344"/>
    </row>
    <row r="43" spans="2:6" x14ac:dyDescent="0.35">
      <c r="B43" s="18"/>
      <c r="C43" s="344" t="str">
        <f>IF('Éléments saisis (inputs)'!C43&lt;&gt;"",'Éléments saisis (inputs)'!C43,"")</f>
        <v>Prix d’acquisition, rabais de flotte du véhicule thermique inclus</v>
      </c>
      <c r="D43" s="355">
        <f>IF('Éléments saisis (inputs)'!D43&lt;&gt;"",'Éléments saisis (inputs)'!D43,'1a. Defaults Segment-Ebene'!D43)</f>
        <v>27219.464999999997</v>
      </c>
      <c r="E43" s="344" t="str">
        <f>IF('Éléments saisis (inputs)'!E43&lt;&gt;"",'Éléments saisis (inputs)'!E43,"")</f>
        <v>CHF</v>
      </c>
      <c r="F43" s="344"/>
    </row>
    <row r="44" spans="2:6" x14ac:dyDescent="0.35">
      <c r="B44" s="18"/>
      <c r="C44" s="344" t="str">
        <f>IF('Éléments saisis (inputs)'!C44&lt;&gt;"",'Éléments saisis (inputs)'!C44,"")</f>
        <v>Frais d’entretien et de réparation du véhicule thermique</v>
      </c>
      <c r="D44" s="350">
        <f>IF('Éléments saisis (inputs)'!D44&lt;&gt;"",'Éléments saisis (inputs)'!D44,'1a. Defaults Segment-Ebene'!D44)</f>
        <v>0.05</v>
      </c>
      <c r="E44" s="344" t="str">
        <f>IF('Éléments saisis (inputs)'!E44&lt;&gt;"",'Éléments saisis (inputs)'!E44,"")</f>
        <v>CHF/km</v>
      </c>
      <c r="F44" s="344"/>
    </row>
    <row r="45" spans="2:6" x14ac:dyDescent="0.35">
      <c r="B45" s="18"/>
      <c r="C45" s="344" t="str">
        <f>IF('Éléments saisis (inputs)'!C45&lt;&gt;"",'Éléments saisis (inputs)'!C45,"")</f>
        <v>Valeur résiduelle du véhicule thermique</v>
      </c>
      <c r="D45" s="356">
        <f>IF('Éléments saisis (inputs)'!D45&lt;&gt;"",'Éléments saisis (inputs)'!D45,'1a. Defaults Segment-Ebene'!D45)</f>
        <v>0.31606388888888887</v>
      </c>
      <c r="E45" s="344" t="str">
        <f>IF('Éléments saisis (inputs)'!E45&lt;&gt;"",'Éléments saisis (inputs)'!E45,"")</f>
        <v/>
      </c>
      <c r="F45" s="344"/>
    </row>
    <row r="46" spans="2:6" x14ac:dyDescent="0.35">
      <c r="B46" s="18"/>
      <c r="C46" s="27" t="str">
        <f>IF('Éléments saisis (inputs)'!C46&lt;&gt;"",'Éléments saisis (inputs)'!C46,"")</f>
        <v>Prix d’acquisition, rabais de flotte du véhicule électrique inclus</v>
      </c>
      <c r="D46" s="355">
        <f>IF('Éléments saisis (inputs)'!D46&lt;&gt;"",'Éléments saisis (inputs)'!D46,'1a. Defaults Segment-Ebene'!D46)</f>
        <v>28810.890000000003</v>
      </c>
      <c r="E46" s="344" t="str">
        <f>IF('Éléments saisis (inputs)'!E46&lt;&gt;"",'Éléments saisis (inputs)'!E46,"")</f>
        <v>CHF</v>
      </c>
      <c r="F46" s="344"/>
    </row>
    <row r="47" spans="2:6" x14ac:dyDescent="0.35">
      <c r="B47" s="18"/>
      <c r="C47" s="344" t="str">
        <f>IF('Éléments saisis (inputs)'!C47&lt;&gt;"",'Éléments saisis (inputs)'!C47,"")</f>
        <v>Frais d’entretien et de réparation du véhicule électrique</v>
      </c>
      <c r="D47" s="363">
        <f>IF('Éléments saisis (inputs)'!D47&lt;&gt;"",'Éléments saisis (inputs)'!D47,'1a. Defaults Segment-Ebene'!D47)</f>
        <v>2.5000000000000001E-2</v>
      </c>
      <c r="E47" s="344" t="str">
        <f>IF('Éléments saisis (inputs)'!E47&lt;&gt;"",'Éléments saisis (inputs)'!E47,"")</f>
        <v>CHF/km</v>
      </c>
      <c r="F47" s="344"/>
    </row>
    <row r="48" spans="2:6" x14ac:dyDescent="0.35">
      <c r="B48" s="18"/>
      <c r="C48" s="344" t="str">
        <f>IF('Éléments saisis (inputs)'!C48&lt;&gt;"",'Éléments saisis (inputs)'!C48,"")</f>
        <v>Valeur résiduelle du véhicule électrique</v>
      </c>
      <c r="D48" s="356">
        <f>IF('Éléments saisis (inputs)'!D48&lt;&gt;"",'Éléments saisis (inputs)'!D48,'1a. Defaults Segment-Ebene'!D48)</f>
        <v>0.30658197222222217</v>
      </c>
      <c r="E48" s="344" t="str">
        <f>IF('Éléments saisis (inputs)'!E48&lt;&gt;"",'Éléments saisis (inputs)'!E48,"")</f>
        <v/>
      </c>
      <c r="F48" s="344"/>
    </row>
    <row r="49" spans="2:10" x14ac:dyDescent="0.35">
      <c r="C49" s="283" t="str">
        <f>IF('Éléments saisis (inputs)'!C49&lt;&gt;"",'Éléments saisis (inputs)'!C49,"")</f>
        <v/>
      </c>
      <c r="D49" s="357"/>
      <c r="E49" s="283" t="str">
        <f>IF('Éléments saisis (inputs)'!E49&lt;&gt;"",'Éléments saisis (inputs)'!E49,"")</f>
        <v/>
      </c>
      <c r="F49" s="283"/>
      <c r="G49" s="283"/>
      <c r="H49" s="283"/>
      <c r="I49" s="283"/>
      <c r="J49" s="283"/>
    </row>
    <row r="50" spans="2:10" x14ac:dyDescent="0.35">
      <c r="C50" s="283" t="str">
        <f>IF('Éléments saisis (inputs)'!C50&lt;&gt;"",'Éléments saisis (inputs)'!C50,"")</f>
        <v/>
      </c>
      <c r="D50" s="358"/>
      <c r="E50" s="283" t="str">
        <f>IF('Éléments saisis (inputs)'!E50&lt;&gt;"",'Éléments saisis (inputs)'!E50,"")</f>
        <v/>
      </c>
      <c r="F50" s="283"/>
      <c r="G50" s="283"/>
      <c r="H50" s="283"/>
      <c r="I50" s="283"/>
      <c r="J50" s="283"/>
    </row>
    <row r="51" spans="2:10" ht="15" x14ac:dyDescent="0.35">
      <c r="B51" s="11" t="s">
        <v>54</v>
      </c>
      <c r="C51" s="11" t="str">
        <f>IF('Éléments saisis (inputs)'!C51&lt;&gt;"",'Éléments saisis (inputs)'!C51,"")</f>
        <v>Segment B</v>
      </c>
      <c r="D51" s="26">
        <f>D15+1</f>
        <v>2</v>
      </c>
      <c r="E51" s="13" t="str">
        <f>IF('Éléments saisis (inputs)'!E51&lt;&gt;"",'Éléments saisis (inputs)'!E51,"")</f>
        <v/>
      </c>
      <c r="F51" s="13"/>
      <c r="G51" s="283"/>
      <c r="H51" s="283"/>
      <c r="I51" s="283"/>
      <c r="J51" s="357"/>
    </row>
    <row r="52" spans="2:10" ht="18.899999999999999" x14ac:dyDescent="0.45">
      <c r="B52" s="18"/>
      <c r="C52" s="23" t="str">
        <f>IF('Éléments saisis (inputs)'!C52&lt;&gt;"",'Éléments saisis (inputs)'!C52,"")</f>
        <v/>
      </c>
      <c r="D52" s="24"/>
      <c r="E52" s="25" t="str">
        <f>IF('Éléments saisis (inputs)'!E52&lt;&gt;"",'Éléments saisis (inputs)'!E52,"")</f>
        <v/>
      </c>
      <c r="F52" s="25"/>
      <c r="G52" s="283"/>
      <c r="H52" s="283"/>
      <c r="I52" s="283"/>
      <c r="J52" s="283"/>
    </row>
    <row r="53" spans="2:10" x14ac:dyDescent="0.35">
      <c r="B53" s="18"/>
      <c r="C53" s="20" t="str">
        <f>IF('Éléments saisis (inputs)'!C53&lt;&gt;"",'Éléments saisis (inputs)'!C53,"")</f>
        <v>Structure des segments</v>
      </c>
      <c r="D53" s="343"/>
      <c r="E53" s="344" t="str">
        <f>IF('Éléments saisis (inputs)'!E53&lt;&gt;"",'Éléments saisis (inputs)'!E53,"")</f>
        <v/>
      </c>
      <c r="F53" s="344"/>
      <c r="G53" s="283"/>
      <c r="H53" s="283"/>
      <c r="I53" s="283"/>
      <c r="J53" s="283"/>
    </row>
    <row r="54" spans="2:10" x14ac:dyDescent="0.35">
      <c r="B54" s="18"/>
      <c r="C54" s="344" t="str">
        <f>IF('Éléments saisis (inputs)'!C54&lt;&gt;"",'Éléments saisis (inputs)'!C54,"")</f>
        <v>Nombre de véhicules</v>
      </c>
      <c r="D54" s="349">
        <f>IF(D51&lt;=$D$12,'Éléments saisis (inputs)'!D54,0)</f>
        <v>0</v>
      </c>
      <c r="E54" s="344" t="str">
        <f>IF('Éléments saisis (inputs)'!E54&lt;&gt;"",'Éléments saisis (inputs)'!E54,"")</f>
        <v/>
      </c>
      <c r="F54" s="344"/>
      <c r="G54" s="283"/>
      <c r="H54" s="283"/>
      <c r="I54" s="283"/>
      <c r="J54" s="283"/>
    </row>
    <row r="55" spans="2:10" x14ac:dyDescent="0.35">
      <c r="B55" s="18"/>
      <c r="C55" s="344" t="str">
        <f>IF('Éléments saisis (inputs)'!C55&lt;&gt;"",'Éléments saisis (inputs)'!C55,"")</f>
        <v>Type d’utilisation</v>
      </c>
      <c r="D55" s="362" t="str">
        <f>'Éléments saisis (inputs)'!D55</f>
        <v>Véhicules de pool</v>
      </c>
      <c r="E55" s="344" t="str">
        <f>IF('Éléments saisis (inputs)'!E55&lt;&gt;"",'Éléments saisis (inputs)'!E55,"")</f>
        <v/>
      </c>
      <c r="F55" s="344"/>
      <c r="G55" s="283"/>
      <c r="H55" s="283"/>
      <c r="I55" s="283"/>
      <c r="J55" s="283"/>
    </row>
    <row r="56" spans="2:10" x14ac:dyDescent="0.35">
      <c r="B56" s="18"/>
      <c r="C56" s="344" t="str">
        <f>IF('Éléments saisis (inputs)'!C56&lt;&gt;"",'Éléments saisis (inputs)'!C56,"")</f>
        <v>Domaine d’utilisation</v>
      </c>
      <c r="D56" s="349" t="str">
        <f>'Éléments saisis (inputs)'!D56</f>
        <v>Niveau régional</v>
      </c>
      <c r="E56" s="344" t="str">
        <f>IF('Éléments saisis (inputs)'!E56&lt;&gt;"",'Éléments saisis (inputs)'!E56,"")</f>
        <v/>
      </c>
      <c r="F56" s="344"/>
      <c r="G56" s="283"/>
      <c r="H56" s="283"/>
      <c r="I56" s="283"/>
      <c r="J56" s="283"/>
    </row>
    <row r="57" spans="2:10" x14ac:dyDescent="0.35">
      <c r="B57" s="18"/>
      <c r="C57" s="344" t="str">
        <f>IF('Éléments saisis (inputs)'!C57&lt;&gt;"",'Éléments saisis (inputs)'!C57,"")</f>
        <v>Possibilité de recharge à domicile</v>
      </c>
      <c r="D57" s="349" cm="1">
        <f t="array" aca="1" ref="D57" ca="1">INDEX(OFFSET(Heimladen,0,1),_xlfn.XMATCH('Éléments saisis (inputs)'!D57,Heimladen))</f>
        <v>0</v>
      </c>
      <c r="E57" s="344" t="str">
        <f>IF('Éléments saisis (inputs)'!E57&lt;&gt;"",'Éléments saisis (inputs)'!E57,"")</f>
        <v/>
      </c>
      <c r="F57" s="344"/>
      <c r="G57" s="283"/>
      <c r="H57" s="283"/>
      <c r="I57" s="283"/>
      <c r="J57" s="283"/>
    </row>
    <row r="58" spans="2:10" x14ac:dyDescent="0.35">
      <c r="B58" s="18"/>
      <c r="C58" s="344" t="str">
        <f>IF('Éléments saisis (inputs)'!C58&lt;&gt;"",'Éléments saisis (inputs)'!C58,"")</f>
        <v/>
      </c>
      <c r="D58" s="343"/>
      <c r="E58" s="344" t="str">
        <f>IF('Éléments saisis (inputs)'!E58&lt;&gt;"",'Éléments saisis (inputs)'!E58,"")</f>
        <v/>
      </c>
      <c r="F58" s="344"/>
      <c r="G58" s="283"/>
      <c r="H58" s="283"/>
      <c r="I58" s="283"/>
      <c r="J58" s="283"/>
    </row>
    <row r="59" spans="2:10" x14ac:dyDescent="0.35">
      <c r="B59" s="18"/>
      <c r="C59" s="22" t="str">
        <f>IF('Éléments saisis (inputs)'!C59&lt;&gt;"",'Éléments saisis (inputs)'!C59,"")</f>
        <v>Données du véhicule</v>
      </c>
      <c r="D59" s="343"/>
      <c r="E59" s="344" t="str">
        <f>IF('Éléments saisis (inputs)'!E59&lt;&gt;"",'Éléments saisis (inputs)'!E59,"")</f>
        <v/>
      </c>
      <c r="F59" s="344"/>
      <c r="G59" s="283"/>
      <c r="H59" s="283"/>
      <c r="I59" s="283"/>
      <c r="J59" s="283"/>
    </row>
    <row r="60" spans="2:10" x14ac:dyDescent="0.35">
      <c r="B60" s="18"/>
      <c r="C60" s="344" t="str">
        <f>IF('Éléments saisis (inputs)'!C60&lt;&gt;"",'Éléments saisis (inputs)'!C60,"")</f>
        <v>Taille du véhicule</v>
      </c>
      <c r="D60" s="349" t="str">
        <f>'Éléments saisis (inputs)'!D60</f>
        <v>Catégorie moyenne</v>
      </c>
      <c r="E60" s="344" t="str">
        <f>IF('Éléments saisis (inputs)'!E60&lt;&gt;"",'Éléments saisis (inputs)'!E60,"")</f>
        <v/>
      </c>
      <c r="F60" s="344"/>
      <c r="G60" s="283"/>
      <c r="H60" s="283"/>
      <c r="I60" s="283"/>
      <c r="J60" s="283"/>
    </row>
    <row r="61" spans="2:10" x14ac:dyDescent="0.35">
      <c r="B61" s="18"/>
      <c r="C61" s="344" t="str">
        <f>IF('Éléments saisis (inputs)'!C61&lt;&gt;"",'Éléments saisis (inputs)'!C61,"")</f>
        <v>Consommation de carburant du véhicule thermique</v>
      </c>
      <c r="D61" s="350">
        <f>IF('Éléments saisis (inputs)'!D61&lt;&gt;"",'Éléments saisis (inputs)'!D61,'1a. Defaults Segment-Ebene'!D61)</f>
        <v>5.8</v>
      </c>
      <c r="E61" s="344" t="str">
        <f>IF('Éléments saisis (inputs)'!E61&lt;&gt;"",'Éléments saisis (inputs)'!E61,"")</f>
        <v>l/100 km</v>
      </c>
      <c r="F61" s="344"/>
      <c r="G61" s="283"/>
      <c r="H61" s="283"/>
      <c r="I61" s="283"/>
      <c r="J61" s="283"/>
    </row>
    <row r="62" spans="2:10" x14ac:dyDescent="0.35">
      <c r="B62" s="18"/>
      <c r="C62" s="344" t="str">
        <f>IF('Éléments saisis (inputs)'!C62&lt;&gt;"",'Éléments saisis (inputs)'!C62,"")</f>
        <v>Consommation énergétique du véhicule électrique</v>
      </c>
      <c r="D62" s="350">
        <f>IF('Éléments saisis (inputs)'!D62&lt;&gt;"",'Éléments saisis (inputs)'!D62,'1a. Defaults Segment-Ebene'!D62)</f>
        <v>15.1</v>
      </c>
      <c r="E62" s="344" t="str">
        <f>IF('Éléments saisis (inputs)'!E62&lt;&gt;"",'Éléments saisis (inputs)'!E62,"")</f>
        <v>kWh/100 km</v>
      </c>
      <c r="F62" s="344"/>
      <c r="G62" s="283"/>
      <c r="H62" s="283"/>
      <c r="I62" s="283"/>
      <c r="J62" s="283"/>
    </row>
    <row r="63" spans="2:10" x14ac:dyDescent="0.35">
      <c r="B63" s="18"/>
      <c r="C63" s="344" t="str">
        <f>IF('Éléments saisis (inputs)'!C63&lt;&gt;"",'Éléments saisis (inputs)'!C63,"")</f>
        <v>Capacité de la batterie (nette)</v>
      </c>
      <c r="D63" s="350">
        <f>IF('Éléments saisis (inputs)'!D63&lt;&gt;"",'Éléments saisis (inputs)'!D63,'1a. Defaults Segment-Ebene'!D63)</f>
        <v>58.625</v>
      </c>
      <c r="E63" s="344" t="str">
        <f>IF('Éléments saisis (inputs)'!E63&lt;&gt;"",'Éléments saisis (inputs)'!E63,"")</f>
        <v>kWh</v>
      </c>
      <c r="F63" s="344"/>
      <c r="G63" s="283"/>
      <c r="H63" s="283"/>
      <c r="I63" s="283"/>
      <c r="J63" s="283"/>
    </row>
    <row r="64" spans="2:10" x14ac:dyDescent="0.35">
      <c r="B64" s="18"/>
      <c r="C64" s="344" t="str">
        <f>IF('Éléments saisis (inputs)'!C64&lt;&gt;"",'Éléments saisis (inputs)'!C64,"")</f>
        <v/>
      </c>
      <c r="D64" s="343"/>
      <c r="E64" s="344" t="str">
        <f>IF('Éléments saisis (inputs)'!E64&lt;&gt;"",'Éléments saisis (inputs)'!E64,"")</f>
        <v/>
      </c>
      <c r="F64" s="344"/>
      <c r="G64" s="283"/>
      <c r="H64" s="283"/>
      <c r="I64" s="283"/>
      <c r="J64" s="283"/>
    </row>
    <row r="65" spans="2:6" x14ac:dyDescent="0.35">
      <c r="B65" s="18"/>
      <c r="C65" s="20" t="str">
        <f>IF('Éléments saisis (inputs)'!C65&lt;&gt;"",'Éléments saisis (inputs)'!C65,"")</f>
        <v>Profil de conduite et d’utilisation (indication par véhicule)</v>
      </c>
      <c r="D65" s="343"/>
      <c r="E65" s="344" t="str">
        <f>IF('Éléments saisis (inputs)'!E65&lt;&gt;"",'Éléments saisis (inputs)'!E65,"")</f>
        <v/>
      </c>
      <c r="F65" s="344"/>
    </row>
    <row r="66" spans="2:6" x14ac:dyDescent="0.35">
      <c r="B66" s="18"/>
      <c r="C66" s="344" t="str">
        <f>IF('Éléments saisis (inputs)'!C66&lt;&gt;"",'Éléments saisis (inputs)'!C66,"")</f>
        <v>Modèle d’utilisation</v>
      </c>
      <c r="D66" s="349" t="str">
        <f>'Éléments saisis (inputs)'!D66</f>
        <v>Exploitation pendant les jours ouvrables</v>
      </c>
      <c r="E66" s="344" t="str">
        <f>IF('Éléments saisis (inputs)'!E66&lt;&gt;"",'Éléments saisis (inputs)'!E66,"")</f>
        <v/>
      </c>
      <c r="F66" s="344"/>
    </row>
    <row r="67" spans="2:6" x14ac:dyDescent="0.35">
      <c r="B67" s="18"/>
      <c r="C67" s="344" t="str">
        <f>IF('Éléments saisis (inputs)'!C67&lt;&gt;"",'Éléments saisis (inputs)'!C67,"")</f>
        <v>Nombre de jours de travail par an</v>
      </c>
      <c r="D67" s="350">
        <f>IF('Éléments saisis (inputs)'!D67&lt;&gt;"",'Éléments saisis (inputs)'!D67,'1a. Defaults Segment-Ebene'!D67)</f>
        <v>260</v>
      </c>
      <c r="E67" s="344" t="str">
        <f>IF('Éléments saisis (inputs)'!E67&lt;&gt;"",'Éléments saisis (inputs)'!E67,"")</f>
        <v/>
      </c>
      <c r="F67" s="344"/>
    </row>
    <row r="68" spans="2:6" x14ac:dyDescent="0.35">
      <c r="B68" s="18"/>
      <c r="C68" s="344" t="str">
        <f>IF('Éléments saisis (inputs)'!C68&lt;&gt;"",'Éléments saisis (inputs)'!C68,"")</f>
        <v>Distance parcourue pendant le temps de travail</v>
      </c>
      <c r="D68" s="350">
        <f>IF('Éléments saisis (inputs)'!D68&lt;&gt;"",'Éléments saisis (inputs)'!D68,'1a. Defaults Segment-Ebene'!D68)</f>
        <v>100</v>
      </c>
      <c r="E68" s="344" t="str">
        <f>IF('Éléments saisis (inputs)'!E68&lt;&gt;"",'Éléments saisis (inputs)'!E68,"")</f>
        <v>km/jour</v>
      </c>
      <c r="F68" s="344"/>
    </row>
    <row r="69" spans="2:6" x14ac:dyDescent="0.35">
      <c r="B69" s="18"/>
      <c r="C69" s="344" t="str">
        <f>IF('Éléments saisis (inputs)'!C69&lt;&gt;"",'Éléments saisis (inputs)'!C69,"")</f>
        <v>Distance domicile-travail (aller-retour)</v>
      </c>
      <c r="D69" s="350">
        <f>(_xlfn.XMATCH(D55,Einsatzart)-1)*IF('Éléments saisis (inputs)'!D69&lt;&gt;"",'Éléments saisis (inputs)'!D69,'1a. Defaults Segment-Ebene'!D69)</f>
        <v>0</v>
      </c>
      <c r="E69" s="344" t="str">
        <f>IF('Éléments saisis (inputs)'!E69&lt;&gt;"",'Éléments saisis (inputs)'!E69,"")</f>
        <v>km/jour</v>
      </c>
      <c r="F69" s="344"/>
    </row>
    <row r="70" spans="2:6" x14ac:dyDescent="0.35">
      <c r="B70" s="18"/>
      <c r="C70" s="344" t="str">
        <f>IF('Éléments saisis (inputs)'!C70&lt;&gt;"",'Éléments saisis (inputs)'!C70,"")</f>
        <v>Nombre d’utilisations par jour</v>
      </c>
      <c r="D70" s="350">
        <f>IF('Éléments saisis (inputs)'!D70&lt;&gt;"",'Éléments saisis (inputs)'!D70,'1a. Defaults Segment-Ebene'!D70)</f>
        <v>1</v>
      </c>
      <c r="E70" s="344" t="str">
        <f>IF('Éléments saisis (inputs)'!E70&lt;&gt;"",'Éléments saisis (inputs)'!E70,"")</f>
        <v/>
      </c>
      <c r="F70" s="344"/>
    </row>
    <row r="71" spans="2:6" x14ac:dyDescent="0.35">
      <c r="B71" s="18"/>
      <c r="C71" s="344" t="str">
        <f>IF('Éléments saisis (inputs)'!C71&lt;&gt;"",'Éléments saisis (inputs)'!C71,"")</f>
        <v>Nombre de pauses par jour</v>
      </c>
      <c r="D71" s="350">
        <f>'Éléments saisis (inputs)'!D71</f>
        <v>1</v>
      </c>
      <c r="E71" s="344" t="str">
        <f>IF('Éléments saisis (inputs)'!E71&lt;&gt;"",'Éléments saisis (inputs)'!E71,"")</f>
        <v/>
      </c>
      <c r="F71" s="344"/>
    </row>
    <row r="72" spans="2:6" x14ac:dyDescent="0.35">
      <c r="B72" s="18"/>
      <c r="C72" s="344" t="str">
        <f>IF('Éléments saisis (inputs)'!C72&lt;&gt;"",'Éléments saisis (inputs)'!C72,"")</f>
        <v>Durée d’immobilisation par pause sur le site de l’entreprise</v>
      </c>
      <c r="D72" s="350">
        <f>IF('Éléments saisis (inputs)'!D72&lt;&gt;"",'Éléments saisis (inputs)'!D72,'1a. Defaults Segment-Ebene'!D72)</f>
        <v>1</v>
      </c>
      <c r="E72" s="344" t="str">
        <f>IF('Éléments saisis (inputs)'!E72&lt;&gt;"",'Éléments saisis (inputs)'!E72,"")</f>
        <v>Heures</v>
      </c>
      <c r="F72" s="344"/>
    </row>
    <row r="73" spans="2:6" x14ac:dyDescent="0.35">
      <c r="B73" s="18"/>
      <c r="C73" s="344" t="str">
        <f>IF('Éléments saisis (inputs)'!C73&lt;&gt;"",'Éléments saisis (inputs)'!C73,"")</f>
        <v>Durée d’immobilisation pendant la nuit</v>
      </c>
      <c r="D73" s="350">
        <f ca="1">IF('Éléments saisis (inputs)'!D73&lt;&gt;"",'Éléments saisis (inputs)'!D73,'1a. Defaults Segment-Ebene'!D73)*IF(AND(_xlfn.XMATCH(D55,Einsatzart)=2,NOT(D57)),0,1)</f>
        <v>8</v>
      </c>
      <c r="E73" s="344" t="str">
        <f>IF('Éléments saisis (inputs)'!E73&lt;&gt;"",'Éléments saisis (inputs)'!E73,"")</f>
        <v>Heures</v>
      </c>
      <c r="F73" s="344"/>
    </row>
    <row r="74" spans="2:6" x14ac:dyDescent="0.35">
      <c r="B74" s="18"/>
      <c r="C74" s="344" t="str">
        <f>IF('Éléments saisis (inputs)'!C74&lt;&gt;"",'Éléments saisis (inputs)'!C74,"")</f>
        <v>Véhicules par point de recharge, site de l’entreprise (pendant la journée)</v>
      </c>
      <c r="D74" s="350">
        <f>IF('Éléments saisis (inputs)'!D74&lt;&gt;"",'Éléments saisis (inputs)'!D74,'1a. Defaults Segment-Ebene'!D74)</f>
        <v>1</v>
      </c>
      <c r="E74" s="344" t="str">
        <f>IF('Éléments saisis (inputs)'!E74&lt;&gt;"",'Éléments saisis (inputs)'!E74,"")</f>
        <v/>
      </c>
      <c r="F74" s="344"/>
    </row>
    <row r="75" spans="2:6" x14ac:dyDescent="0.35">
      <c r="B75" s="18"/>
      <c r="C75" s="344" t="str">
        <f>IF('Éléments saisis (inputs)'!C75&lt;&gt;"",'Éléments saisis (inputs)'!C75,"")</f>
        <v/>
      </c>
      <c r="D75" s="343"/>
      <c r="E75" s="344" t="str">
        <f>IF('Éléments saisis (inputs)'!E75&lt;&gt;"",'Éléments saisis (inputs)'!E75,"")</f>
        <v/>
      </c>
      <c r="F75" s="344"/>
    </row>
    <row r="76" spans="2:6" x14ac:dyDescent="0.35">
      <c r="B76" s="18"/>
      <c r="C76" s="20" t="str">
        <f>IF('Éléments saisis (inputs)'!C76&lt;&gt;"",'Éléments saisis (inputs)'!C76,"")</f>
        <v>Coûts (indication par véhicule)</v>
      </c>
      <c r="D76" s="343"/>
      <c r="E76" s="344" t="str">
        <f>IF('Éléments saisis (inputs)'!E76&lt;&gt;"",'Éléments saisis (inputs)'!E76,"")</f>
        <v/>
      </c>
      <c r="F76" s="344"/>
    </row>
    <row r="77" spans="2:6" x14ac:dyDescent="0.35">
      <c r="B77" s="18"/>
      <c r="C77" s="344" t="str">
        <f>IF('Éléments saisis (inputs)'!C77&lt;&gt;"",'Éléments saisis (inputs)'!C77,"")</f>
        <v>Durée</v>
      </c>
      <c r="D77" s="350">
        <f>IF('Éléments saisis (inputs)'!D77&lt;&gt;"",'Éléments saisis (inputs)'!D77,'1a. Defaults Segment-Ebene'!D77)</f>
        <v>48</v>
      </c>
      <c r="E77" s="344" t="str">
        <f>IF('Éléments saisis (inputs)'!E77&lt;&gt;"",'Éléments saisis (inputs)'!E77,"")</f>
        <v>Mois</v>
      </c>
      <c r="F77" s="344"/>
    </row>
    <row r="78" spans="2:6" x14ac:dyDescent="0.35">
      <c r="B78" s="18"/>
      <c r="C78" s="344" t="str">
        <f>IF('Éléments saisis (inputs)'!C78&lt;&gt;"",'Éléments saisis (inputs)'!C78,"")</f>
        <v>Taux d’intérêt du leasing</v>
      </c>
      <c r="D78" s="354">
        <f>IF('Éléments saisis (inputs)'!D78&lt;&gt;"",'Éléments saisis (inputs)'!D78,'1a. Defaults Segment-Ebene'!D78)</f>
        <v>0.03</v>
      </c>
      <c r="E78" s="344" t="str">
        <f>IF('Éléments saisis (inputs)'!E78&lt;&gt;"",'Éléments saisis (inputs)'!E78,"")</f>
        <v/>
      </c>
      <c r="F78" s="344"/>
    </row>
    <row r="79" spans="2:6" x14ac:dyDescent="0.35">
      <c r="B79" s="18"/>
      <c r="C79" s="344" t="str">
        <f>IF('Éléments saisis (inputs)'!C79&lt;&gt;"",'Éléments saisis (inputs)'!C79,"")</f>
        <v>Prix d’acquisition, rabais de flotte du véhicule thermique inclus</v>
      </c>
      <c r="D79" s="355">
        <f>IF('Éléments saisis (inputs)'!D79&lt;&gt;"",'Éléments saisis (inputs)'!D79,'1a. Defaults Segment-Ebene'!D79)</f>
        <v>27219.464999999997</v>
      </c>
      <c r="E79" s="344" t="str">
        <f>IF('Éléments saisis (inputs)'!E79&lt;&gt;"",'Éléments saisis (inputs)'!E79,"")</f>
        <v>CHF</v>
      </c>
      <c r="F79" s="344"/>
    </row>
    <row r="80" spans="2:6" x14ac:dyDescent="0.35">
      <c r="B80" s="18"/>
      <c r="C80" s="344" t="str">
        <f>IF('Éléments saisis (inputs)'!C80&lt;&gt;"",'Éléments saisis (inputs)'!C80,"")</f>
        <v>Frais d’entretien et de réparation du véhicule thermique</v>
      </c>
      <c r="D80" s="350">
        <f>IF('Éléments saisis (inputs)'!D80&lt;&gt;"",'Éléments saisis (inputs)'!D80,'1a. Defaults Segment-Ebene'!D80)</f>
        <v>0.05</v>
      </c>
      <c r="E80" s="344" t="str">
        <f>IF('Éléments saisis (inputs)'!E80&lt;&gt;"",'Éléments saisis (inputs)'!E80,"")</f>
        <v>CHF/km</v>
      </c>
      <c r="F80" s="344"/>
    </row>
    <row r="81" spans="2:6" x14ac:dyDescent="0.35">
      <c r="B81" s="18"/>
      <c r="C81" s="344" t="str">
        <f>IF('Éléments saisis (inputs)'!C81&lt;&gt;"",'Éléments saisis (inputs)'!C81,"")</f>
        <v>Valeur résiduelle du véhicule thermique</v>
      </c>
      <c r="D81" s="356">
        <f>IF('Éléments saisis (inputs)'!D81&lt;&gt;"",'Éléments saisis (inputs)'!D81,'1a. Defaults Segment-Ebene'!D81)</f>
        <v>0.31606388888888887</v>
      </c>
      <c r="E81" s="344" t="str">
        <f>IF('Éléments saisis (inputs)'!E81&lt;&gt;"",'Éléments saisis (inputs)'!E81,"")</f>
        <v/>
      </c>
      <c r="F81" s="344"/>
    </row>
    <row r="82" spans="2:6" x14ac:dyDescent="0.35">
      <c r="B82" s="18"/>
      <c r="C82" s="27" t="str">
        <f>IF('Éléments saisis (inputs)'!C82&lt;&gt;"",'Éléments saisis (inputs)'!C82,"")</f>
        <v>Prix d’acquisition, rabais de flotte du véhicule électrique inclus</v>
      </c>
      <c r="D82" s="355">
        <f>IF('Éléments saisis (inputs)'!D82&lt;&gt;"",'Éléments saisis (inputs)'!D82,'1a. Defaults Segment-Ebene'!D82)</f>
        <v>28810.890000000003</v>
      </c>
      <c r="E82" s="344" t="str">
        <f>IF('Éléments saisis (inputs)'!E82&lt;&gt;"",'Éléments saisis (inputs)'!E82,"")</f>
        <v>CHF</v>
      </c>
      <c r="F82" s="344"/>
    </row>
    <row r="83" spans="2:6" x14ac:dyDescent="0.35">
      <c r="B83" s="18"/>
      <c r="C83" s="344" t="str">
        <f>IF('Éléments saisis (inputs)'!C83&lt;&gt;"",'Éléments saisis (inputs)'!C83,"")</f>
        <v>Frais d’entretien et de réparation du véhicule électrique</v>
      </c>
      <c r="D83" s="363">
        <f>IF('Éléments saisis (inputs)'!D83&lt;&gt;"",'Éléments saisis (inputs)'!D83,'1a. Defaults Segment-Ebene'!D83)</f>
        <v>2.5000000000000001E-2</v>
      </c>
      <c r="E83" s="344" t="str">
        <f>IF('Éléments saisis (inputs)'!E83&lt;&gt;"",'Éléments saisis (inputs)'!E83,"")</f>
        <v>CHF/km</v>
      </c>
      <c r="F83" s="344"/>
    </row>
    <row r="84" spans="2:6" x14ac:dyDescent="0.35">
      <c r="B84" s="18"/>
      <c r="C84" s="344" t="str">
        <f>IF('Éléments saisis (inputs)'!C84&lt;&gt;"",'Éléments saisis (inputs)'!C84,"")</f>
        <v>Valeur résiduelle du véhicule électrique</v>
      </c>
      <c r="D84" s="356">
        <f>IF('Éléments saisis (inputs)'!D84&lt;&gt;"",'Éléments saisis (inputs)'!D84,'1a. Defaults Segment-Ebene'!D84)</f>
        <v>0.30658197222222217</v>
      </c>
      <c r="E84" s="344" t="str">
        <f>IF('Éléments saisis (inputs)'!E84&lt;&gt;"",'Éléments saisis (inputs)'!E84,"")</f>
        <v/>
      </c>
      <c r="F84" s="344"/>
    </row>
    <row r="85" spans="2:6" x14ac:dyDescent="0.35">
      <c r="C85" s="283" t="str">
        <f>IF('Éléments saisis (inputs)'!C85&lt;&gt;"",'Éléments saisis (inputs)'!C85,"")</f>
        <v/>
      </c>
      <c r="D85" s="283"/>
      <c r="E85" s="283" t="str">
        <f>IF('Éléments saisis (inputs)'!E85&lt;&gt;"",'Éléments saisis (inputs)'!E85,"")</f>
        <v/>
      </c>
      <c r="F85" s="283"/>
    </row>
    <row r="86" spans="2:6" x14ac:dyDescent="0.35">
      <c r="C86" s="283" t="str">
        <f>IF('Éléments saisis (inputs)'!C86&lt;&gt;"",'Éléments saisis (inputs)'!C86,"")</f>
        <v/>
      </c>
      <c r="D86" s="283"/>
      <c r="E86" s="283" t="str">
        <f>IF('Éléments saisis (inputs)'!E86&lt;&gt;"",'Éléments saisis (inputs)'!E86,"")</f>
        <v/>
      </c>
      <c r="F86" s="283"/>
    </row>
    <row r="87" spans="2:6" ht="15" x14ac:dyDescent="0.35">
      <c r="B87" s="11" t="s">
        <v>55</v>
      </c>
      <c r="C87" s="11" t="str">
        <f>IF('Éléments saisis (inputs)'!C87&lt;&gt;"",'Éléments saisis (inputs)'!C87,"")</f>
        <v>Segment C</v>
      </c>
      <c r="D87" s="26">
        <f>D51+1</f>
        <v>3</v>
      </c>
      <c r="E87" s="13" t="str">
        <f>IF('Éléments saisis (inputs)'!E87&lt;&gt;"",'Éléments saisis (inputs)'!E87,"")</f>
        <v/>
      </c>
      <c r="F87" s="13"/>
    </row>
    <row r="88" spans="2:6" ht="18.899999999999999" x14ac:dyDescent="0.45">
      <c r="B88" s="18"/>
      <c r="C88" s="23" t="str">
        <f>IF('Éléments saisis (inputs)'!C88&lt;&gt;"",'Éléments saisis (inputs)'!C88,"")</f>
        <v/>
      </c>
      <c r="D88" s="24"/>
      <c r="E88" s="25" t="str">
        <f>IF('Éléments saisis (inputs)'!E88&lt;&gt;"",'Éléments saisis (inputs)'!E88,"")</f>
        <v/>
      </c>
      <c r="F88" s="25"/>
    </row>
    <row r="89" spans="2:6" x14ac:dyDescent="0.35">
      <c r="B89" s="18"/>
      <c r="C89" s="20" t="str">
        <f>IF('Éléments saisis (inputs)'!C89&lt;&gt;"",'Éléments saisis (inputs)'!C89,"")</f>
        <v>Structure des segments</v>
      </c>
      <c r="D89" s="343"/>
      <c r="E89" s="344" t="str">
        <f>IF('Éléments saisis (inputs)'!E89&lt;&gt;"",'Éléments saisis (inputs)'!E89,"")</f>
        <v/>
      </c>
      <c r="F89" s="344"/>
    </row>
    <row r="90" spans="2:6" x14ac:dyDescent="0.35">
      <c r="B90" s="18"/>
      <c r="C90" s="344" t="str">
        <f>IF('Éléments saisis (inputs)'!C90&lt;&gt;"",'Éléments saisis (inputs)'!C90,"")</f>
        <v>Nombre de véhicules</v>
      </c>
      <c r="D90" s="349">
        <f>IF(D87&lt;=$D$12,'Éléments saisis (inputs)'!D90,0)</f>
        <v>0</v>
      </c>
      <c r="E90" s="344" t="str">
        <f>IF('Éléments saisis (inputs)'!E90&lt;&gt;"",'Éléments saisis (inputs)'!E90,"")</f>
        <v/>
      </c>
      <c r="F90" s="344"/>
    </row>
    <row r="91" spans="2:6" x14ac:dyDescent="0.35">
      <c r="B91" s="18"/>
      <c r="C91" s="344" t="str">
        <f>IF('Éléments saisis (inputs)'!C91&lt;&gt;"",'Éléments saisis (inputs)'!C91,"")</f>
        <v>Type d’utilisation</v>
      </c>
      <c r="D91" s="362" t="str">
        <f>'Éléments saisis (inputs)'!D91</f>
        <v>Véhicules de pool</v>
      </c>
      <c r="E91" s="344" t="str">
        <f>IF('Éléments saisis (inputs)'!E91&lt;&gt;"",'Éléments saisis (inputs)'!E91,"")</f>
        <v/>
      </c>
      <c r="F91" s="344"/>
    </row>
    <row r="92" spans="2:6" x14ac:dyDescent="0.35">
      <c r="B92" s="18"/>
      <c r="C92" s="344" t="str">
        <f>IF('Éléments saisis (inputs)'!C92&lt;&gt;"",'Éléments saisis (inputs)'!C92,"")</f>
        <v>Domaine d’utilisation</v>
      </c>
      <c r="D92" s="349" t="str">
        <f>'Éléments saisis (inputs)'!D92</f>
        <v>Niveau régional</v>
      </c>
      <c r="E92" s="344" t="str">
        <f>IF('Éléments saisis (inputs)'!E92&lt;&gt;"",'Éléments saisis (inputs)'!E92,"")</f>
        <v/>
      </c>
      <c r="F92" s="344"/>
    </row>
    <row r="93" spans="2:6" x14ac:dyDescent="0.35">
      <c r="B93" s="18"/>
      <c r="C93" s="344" t="str">
        <f>IF('Éléments saisis (inputs)'!C93&lt;&gt;"",'Éléments saisis (inputs)'!C93,"")</f>
        <v>Possibilité de recharge à domicile</v>
      </c>
      <c r="D93" s="349" cm="1">
        <f t="array" aca="1" ref="D93" ca="1">INDEX(OFFSET(Heimladen,0,1),_xlfn.XMATCH('Éléments saisis (inputs)'!D93,Heimladen))</f>
        <v>0</v>
      </c>
      <c r="E93" s="344" t="str">
        <f>IF('Éléments saisis (inputs)'!E93&lt;&gt;"",'Éléments saisis (inputs)'!E93,"")</f>
        <v/>
      </c>
      <c r="F93" s="344"/>
    </row>
    <row r="94" spans="2:6" x14ac:dyDescent="0.35">
      <c r="B94" s="18"/>
      <c r="C94" s="344" t="str">
        <f>IF('Éléments saisis (inputs)'!C94&lt;&gt;"",'Éléments saisis (inputs)'!C94,"")</f>
        <v/>
      </c>
      <c r="D94" s="343"/>
      <c r="E94" s="344" t="str">
        <f>IF('Éléments saisis (inputs)'!E94&lt;&gt;"",'Éléments saisis (inputs)'!E94,"")</f>
        <v/>
      </c>
      <c r="F94" s="344"/>
    </row>
    <row r="95" spans="2:6" x14ac:dyDescent="0.35">
      <c r="B95" s="18"/>
      <c r="C95" s="22" t="str">
        <f>IF('Éléments saisis (inputs)'!C95&lt;&gt;"",'Éléments saisis (inputs)'!C95,"")</f>
        <v>Données du véhicule</v>
      </c>
      <c r="D95" s="343"/>
      <c r="E95" s="344" t="str">
        <f>IF('Éléments saisis (inputs)'!E95&lt;&gt;"",'Éléments saisis (inputs)'!E95,"")</f>
        <v/>
      </c>
      <c r="F95" s="344"/>
    </row>
    <row r="96" spans="2:6" x14ac:dyDescent="0.35">
      <c r="B96" s="18"/>
      <c r="C96" s="344" t="str">
        <f>IF('Éléments saisis (inputs)'!C96&lt;&gt;"",'Éléments saisis (inputs)'!C96,"")</f>
        <v>Taille du véhicule</v>
      </c>
      <c r="D96" s="349" t="str">
        <f>'Éléments saisis (inputs)'!D96</f>
        <v>Catégorie moyenne</v>
      </c>
      <c r="E96" s="344" t="str">
        <f>IF('Éléments saisis (inputs)'!E96&lt;&gt;"",'Éléments saisis (inputs)'!E96,"")</f>
        <v/>
      </c>
      <c r="F96" s="344"/>
    </row>
    <row r="97" spans="2:6" x14ac:dyDescent="0.35">
      <c r="B97" s="18"/>
      <c r="C97" s="344" t="str">
        <f>IF('Éléments saisis (inputs)'!C97&lt;&gt;"",'Éléments saisis (inputs)'!C97,"")</f>
        <v>Consommation de carburant du véhicule thermique</v>
      </c>
      <c r="D97" s="350">
        <f>IF('Éléments saisis (inputs)'!D97&lt;&gt;"",'Éléments saisis (inputs)'!D97,'1a. Defaults Segment-Ebene'!D97)</f>
        <v>5.8</v>
      </c>
      <c r="E97" s="344" t="str">
        <f>IF('Éléments saisis (inputs)'!E97&lt;&gt;"",'Éléments saisis (inputs)'!E97,"")</f>
        <v>l/100 km</v>
      </c>
      <c r="F97" s="344"/>
    </row>
    <row r="98" spans="2:6" x14ac:dyDescent="0.35">
      <c r="B98" s="18"/>
      <c r="C98" s="344" t="str">
        <f>IF('Éléments saisis (inputs)'!C98&lt;&gt;"",'Éléments saisis (inputs)'!C98,"")</f>
        <v>Consommation énergétique du véhicule électrique</v>
      </c>
      <c r="D98" s="350">
        <f>IF('Éléments saisis (inputs)'!D98&lt;&gt;"",'Éléments saisis (inputs)'!D98,'1a. Defaults Segment-Ebene'!D98)</f>
        <v>15.1</v>
      </c>
      <c r="E98" s="344" t="str">
        <f>IF('Éléments saisis (inputs)'!E98&lt;&gt;"",'Éléments saisis (inputs)'!E98,"")</f>
        <v>kWh/100 km</v>
      </c>
      <c r="F98" s="344"/>
    </row>
    <row r="99" spans="2:6" x14ac:dyDescent="0.35">
      <c r="B99" s="18"/>
      <c r="C99" s="344" t="str">
        <f>IF('Éléments saisis (inputs)'!C99&lt;&gt;"",'Éléments saisis (inputs)'!C99,"")</f>
        <v>Capacité de la batterie (nette)</v>
      </c>
      <c r="D99" s="350">
        <f>IF('Éléments saisis (inputs)'!D99&lt;&gt;"",'Éléments saisis (inputs)'!D99,'1a. Defaults Segment-Ebene'!D99)</f>
        <v>58.625</v>
      </c>
      <c r="E99" s="344" t="str">
        <f>IF('Éléments saisis (inputs)'!E99&lt;&gt;"",'Éléments saisis (inputs)'!E99,"")</f>
        <v>kWh</v>
      </c>
      <c r="F99" s="344"/>
    </row>
    <row r="100" spans="2:6" x14ac:dyDescent="0.35">
      <c r="B100" s="18"/>
      <c r="C100" s="344" t="str">
        <f>IF('Éléments saisis (inputs)'!C100&lt;&gt;"",'Éléments saisis (inputs)'!C100,"")</f>
        <v/>
      </c>
      <c r="D100" s="343"/>
      <c r="E100" s="344" t="str">
        <f>IF('Éléments saisis (inputs)'!E100&lt;&gt;"",'Éléments saisis (inputs)'!E100,"")</f>
        <v/>
      </c>
      <c r="F100" s="344"/>
    </row>
    <row r="101" spans="2:6" x14ac:dyDescent="0.35">
      <c r="B101" s="18"/>
      <c r="C101" s="20" t="str">
        <f>IF('Éléments saisis (inputs)'!C101&lt;&gt;"",'Éléments saisis (inputs)'!C101,"")</f>
        <v>Profil de conduite et d’utilisation (indication par véhicule)</v>
      </c>
      <c r="D101" s="343"/>
      <c r="E101" s="344" t="str">
        <f>IF('Éléments saisis (inputs)'!E101&lt;&gt;"",'Éléments saisis (inputs)'!E101,"")</f>
        <v/>
      </c>
      <c r="F101" s="344"/>
    </row>
    <row r="102" spans="2:6" x14ac:dyDescent="0.35">
      <c r="B102" s="18"/>
      <c r="C102" s="344" t="str">
        <f>IF('Éléments saisis (inputs)'!C102&lt;&gt;"",'Éléments saisis (inputs)'!C102,"")</f>
        <v>Modèle d’utilisation</v>
      </c>
      <c r="D102" s="349" t="str">
        <f>'Éléments saisis (inputs)'!D102</f>
        <v>Exploitation pendant les jours ouvrables</v>
      </c>
      <c r="E102" s="344" t="str">
        <f>IF('Éléments saisis (inputs)'!E102&lt;&gt;"",'Éléments saisis (inputs)'!E102,"")</f>
        <v/>
      </c>
      <c r="F102" s="344"/>
    </row>
    <row r="103" spans="2:6" x14ac:dyDescent="0.35">
      <c r="B103" s="18"/>
      <c r="C103" s="344" t="str">
        <f>IF('Éléments saisis (inputs)'!C103&lt;&gt;"",'Éléments saisis (inputs)'!C103,"")</f>
        <v>Nombre de jours de travail par an</v>
      </c>
      <c r="D103" s="350">
        <f>IF('Éléments saisis (inputs)'!D103&lt;&gt;"",'Éléments saisis (inputs)'!D103,'1a. Defaults Segment-Ebene'!D103)</f>
        <v>260</v>
      </c>
      <c r="E103" s="344" t="str">
        <f>IF('Éléments saisis (inputs)'!E103&lt;&gt;"",'Éléments saisis (inputs)'!E103,"")</f>
        <v/>
      </c>
      <c r="F103" s="344"/>
    </row>
    <row r="104" spans="2:6" x14ac:dyDescent="0.35">
      <c r="B104" s="18"/>
      <c r="C104" s="344" t="str">
        <f>IF('Éléments saisis (inputs)'!C104&lt;&gt;"",'Éléments saisis (inputs)'!C104,"")</f>
        <v>Distance parcourue pendant le temps de travail</v>
      </c>
      <c r="D104" s="350">
        <f>IF('Éléments saisis (inputs)'!D104&lt;&gt;"",'Éléments saisis (inputs)'!D104,'1a. Defaults Segment-Ebene'!D104)</f>
        <v>100</v>
      </c>
      <c r="E104" s="344" t="str">
        <f>IF('Éléments saisis (inputs)'!E104&lt;&gt;"",'Éléments saisis (inputs)'!E104,"")</f>
        <v>km/jour</v>
      </c>
      <c r="F104" s="344"/>
    </row>
    <row r="105" spans="2:6" x14ac:dyDescent="0.35">
      <c r="B105" s="18"/>
      <c r="C105" s="344" t="str">
        <f>IF('Éléments saisis (inputs)'!C105&lt;&gt;"",'Éléments saisis (inputs)'!C105,"")</f>
        <v>Distance domicile-travail (aller-retour)</v>
      </c>
      <c r="D105" s="350">
        <f>(_xlfn.XMATCH(D91,Einsatzart)-1)*IF('Éléments saisis (inputs)'!D105&lt;&gt;"",'Éléments saisis (inputs)'!D105,'1a. Defaults Segment-Ebene'!D105)</f>
        <v>0</v>
      </c>
      <c r="E105" s="344" t="str">
        <f>IF('Éléments saisis (inputs)'!E105&lt;&gt;"",'Éléments saisis (inputs)'!E105,"")</f>
        <v>km/jour</v>
      </c>
      <c r="F105" s="344"/>
    </row>
    <row r="106" spans="2:6" x14ac:dyDescent="0.35">
      <c r="B106" s="18"/>
      <c r="C106" s="344" t="str">
        <f>IF('Éléments saisis (inputs)'!C106&lt;&gt;"",'Éléments saisis (inputs)'!C106,"")</f>
        <v>Nombre d’utilisations par jour</v>
      </c>
      <c r="D106" s="350">
        <f>IF('Éléments saisis (inputs)'!D106&lt;&gt;"",'Éléments saisis (inputs)'!D106,'1a. Defaults Segment-Ebene'!D106)</f>
        <v>1</v>
      </c>
      <c r="E106" s="344" t="str">
        <f>IF('Éléments saisis (inputs)'!E106&lt;&gt;"",'Éléments saisis (inputs)'!E106,"")</f>
        <v/>
      </c>
      <c r="F106" s="344"/>
    </row>
    <row r="107" spans="2:6" x14ac:dyDescent="0.35">
      <c r="B107" s="18"/>
      <c r="C107" s="344" t="str">
        <f>IF('Éléments saisis (inputs)'!C107&lt;&gt;"",'Éléments saisis (inputs)'!C107,"")</f>
        <v>Nombre de pauses par jour</v>
      </c>
      <c r="D107" s="350">
        <f>'Éléments saisis (inputs)'!D107</f>
        <v>1</v>
      </c>
      <c r="E107" s="344" t="str">
        <f>IF('Éléments saisis (inputs)'!E107&lt;&gt;"",'Éléments saisis (inputs)'!E107,"")</f>
        <v/>
      </c>
      <c r="F107" s="344"/>
    </row>
    <row r="108" spans="2:6" x14ac:dyDescent="0.35">
      <c r="B108" s="18"/>
      <c r="C108" s="344" t="str">
        <f>IF('Éléments saisis (inputs)'!C108&lt;&gt;"",'Éléments saisis (inputs)'!C108,"")</f>
        <v>Durée d’immobilisation par pause sur le site de l’entreprise</v>
      </c>
      <c r="D108" s="350">
        <f>IF('Éléments saisis (inputs)'!D108&lt;&gt;"",'Éléments saisis (inputs)'!D108,'1a. Defaults Segment-Ebene'!D108)</f>
        <v>1</v>
      </c>
      <c r="E108" s="344" t="str">
        <f>IF('Éléments saisis (inputs)'!E108&lt;&gt;"",'Éléments saisis (inputs)'!E108,"")</f>
        <v>Heures</v>
      </c>
      <c r="F108" s="344"/>
    </row>
    <row r="109" spans="2:6" x14ac:dyDescent="0.35">
      <c r="B109" s="18"/>
      <c r="C109" s="344" t="str">
        <f>IF('Éléments saisis (inputs)'!C109&lt;&gt;"",'Éléments saisis (inputs)'!C109,"")</f>
        <v>Durée d’immobilisation pendant la nuit</v>
      </c>
      <c r="D109" s="350">
        <f ca="1">IF('Éléments saisis (inputs)'!D109&lt;&gt;"",'Éléments saisis (inputs)'!D109,'1a. Defaults Segment-Ebene'!D109)*IF(AND(_xlfn.XMATCH(D91,Einsatzart)=2,NOT(D93)),0,1)</f>
        <v>8</v>
      </c>
      <c r="E109" s="344" t="str">
        <f>IF('Éléments saisis (inputs)'!E109&lt;&gt;"",'Éléments saisis (inputs)'!E109,"")</f>
        <v>Heures</v>
      </c>
      <c r="F109" s="344"/>
    </row>
    <row r="110" spans="2:6" x14ac:dyDescent="0.35">
      <c r="B110" s="18"/>
      <c r="C110" s="344" t="str">
        <f>IF('Éléments saisis (inputs)'!C110&lt;&gt;"",'Éléments saisis (inputs)'!C110,"")</f>
        <v>Véhicules par point de recharge, site de l’entreprise (pendant la journée)</v>
      </c>
      <c r="D110" s="350">
        <f>IF('Éléments saisis (inputs)'!D110&lt;&gt;"",'Éléments saisis (inputs)'!D110,'1a. Defaults Segment-Ebene'!D110)</f>
        <v>1</v>
      </c>
      <c r="E110" s="344" t="str">
        <f>IF('Éléments saisis (inputs)'!E110&lt;&gt;"",'Éléments saisis (inputs)'!E110,"")</f>
        <v/>
      </c>
      <c r="F110" s="344"/>
    </row>
    <row r="111" spans="2:6" x14ac:dyDescent="0.35">
      <c r="B111" s="18"/>
      <c r="C111" s="344" t="str">
        <f>IF('Éléments saisis (inputs)'!C111&lt;&gt;"",'Éléments saisis (inputs)'!C111,"")</f>
        <v/>
      </c>
      <c r="D111" s="343"/>
      <c r="E111" s="344" t="str">
        <f>IF('Éléments saisis (inputs)'!E111&lt;&gt;"",'Éléments saisis (inputs)'!E111,"")</f>
        <v/>
      </c>
      <c r="F111" s="344"/>
    </row>
    <row r="112" spans="2:6" x14ac:dyDescent="0.35">
      <c r="B112" s="18"/>
      <c r="C112" s="20" t="str">
        <f>IF('Éléments saisis (inputs)'!C112&lt;&gt;"",'Éléments saisis (inputs)'!C112,"")</f>
        <v>Coûts (indication par véhicule)</v>
      </c>
      <c r="D112" s="343"/>
      <c r="E112" s="344" t="str">
        <f>IF('Éléments saisis (inputs)'!E112&lt;&gt;"",'Éléments saisis (inputs)'!E112,"")</f>
        <v/>
      </c>
      <c r="F112" s="344"/>
    </row>
    <row r="113" spans="2:6" x14ac:dyDescent="0.35">
      <c r="B113" s="18"/>
      <c r="C113" s="344" t="str">
        <f>IF('Éléments saisis (inputs)'!C113&lt;&gt;"",'Éléments saisis (inputs)'!C113,"")</f>
        <v>Durée</v>
      </c>
      <c r="D113" s="350">
        <f>IF('Éléments saisis (inputs)'!D113&lt;&gt;"",'Éléments saisis (inputs)'!D113,'1a. Defaults Segment-Ebene'!D113)</f>
        <v>48</v>
      </c>
      <c r="E113" s="344" t="str">
        <f>IF('Éléments saisis (inputs)'!E113&lt;&gt;"",'Éléments saisis (inputs)'!E113,"")</f>
        <v>Mois</v>
      </c>
      <c r="F113" s="344"/>
    </row>
    <row r="114" spans="2:6" x14ac:dyDescent="0.35">
      <c r="B114" s="18"/>
      <c r="C114" s="344" t="str">
        <f>IF('Éléments saisis (inputs)'!C114&lt;&gt;"",'Éléments saisis (inputs)'!C114,"")</f>
        <v>Taux d’intérêt du leasing</v>
      </c>
      <c r="D114" s="354">
        <f>IF('Éléments saisis (inputs)'!D114&lt;&gt;"",'Éléments saisis (inputs)'!D114,'1a. Defaults Segment-Ebene'!D114)</f>
        <v>0.03</v>
      </c>
      <c r="E114" s="344" t="str">
        <f>IF('Éléments saisis (inputs)'!E114&lt;&gt;"",'Éléments saisis (inputs)'!E114,"")</f>
        <v/>
      </c>
      <c r="F114" s="344"/>
    </row>
    <row r="115" spans="2:6" x14ac:dyDescent="0.35">
      <c r="B115" s="18"/>
      <c r="C115" s="344" t="str">
        <f>IF('Éléments saisis (inputs)'!C115&lt;&gt;"",'Éléments saisis (inputs)'!C115,"")</f>
        <v>Prix d’acquisition, rabais de flotte du véhicule thermique inclus</v>
      </c>
      <c r="D115" s="355">
        <f>IF('Éléments saisis (inputs)'!D115&lt;&gt;"",'Éléments saisis (inputs)'!D115,'1a. Defaults Segment-Ebene'!D115)</f>
        <v>27219.464999999997</v>
      </c>
      <c r="E115" s="344" t="str">
        <f>IF('Éléments saisis (inputs)'!E115&lt;&gt;"",'Éléments saisis (inputs)'!E115,"")</f>
        <v>CHF</v>
      </c>
      <c r="F115" s="344"/>
    </row>
    <row r="116" spans="2:6" x14ac:dyDescent="0.35">
      <c r="B116" s="18"/>
      <c r="C116" s="344" t="str">
        <f>IF('Éléments saisis (inputs)'!C116&lt;&gt;"",'Éléments saisis (inputs)'!C116,"")</f>
        <v>Frais d’entretien et de réparation du véhicule thermique</v>
      </c>
      <c r="D116" s="350">
        <f>IF('Éléments saisis (inputs)'!D116&lt;&gt;"",'Éléments saisis (inputs)'!D116,'1a. Defaults Segment-Ebene'!D116)</f>
        <v>0.05</v>
      </c>
      <c r="E116" s="344" t="str">
        <f>IF('Éléments saisis (inputs)'!E116&lt;&gt;"",'Éléments saisis (inputs)'!E116,"")</f>
        <v>CHF/km</v>
      </c>
      <c r="F116" s="344"/>
    </row>
    <row r="117" spans="2:6" x14ac:dyDescent="0.35">
      <c r="B117" s="18"/>
      <c r="C117" s="344" t="str">
        <f>IF('Éléments saisis (inputs)'!C117&lt;&gt;"",'Éléments saisis (inputs)'!C117,"")</f>
        <v>Valeur résiduelle du véhicule thermique</v>
      </c>
      <c r="D117" s="356">
        <f>IF('Éléments saisis (inputs)'!D117&lt;&gt;"",'Éléments saisis (inputs)'!D117,'1a. Defaults Segment-Ebene'!D117)</f>
        <v>0.31606388888888887</v>
      </c>
      <c r="E117" s="344" t="str">
        <f>IF('Éléments saisis (inputs)'!E117&lt;&gt;"",'Éléments saisis (inputs)'!E117,"")</f>
        <v/>
      </c>
      <c r="F117" s="344"/>
    </row>
    <row r="118" spans="2:6" x14ac:dyDescent="0.35">
      <c r="B118" s="18"/>
      <c r="C118" s="27" t="str">
        <f>IF('Éléments saisis (inputs)'!C118&lt;&gt;"",'Éléments saisis (inputs)'!C118,"")</f>
        <v>Prix d’acquisition, rabais de flotte du véhicule électrique inclus</v>
      </c>
      <c r="D118" s="355">
        <f>IF('Éléments saisis (inputs)'!D118&lt;&gt;"",'Éléments saisis (inputs)'!D118,'1a. Defaults Segment-Ebene'!D118)</f>
        <v>28810.890000000003</v>
      </c>
      <c r="E118" s="344" t="str">
        <f>IF('Éléments saisis (inputs)'!E118&lt;&gt;"",'Éléments saisis (inputs)'!E118,"")</f>
        <v>CHF</v>
      </c>
      <c r="F118" s="344"/>
    </row>
    <row r="119" spans="2:6" x14ac:dyDescent="0.35">
      <c r="B119" s="18"/>
      <c r="C119" s="344" t="str">
        <f>IF('Éléments saisis (inputs)'!C119&lt;&gt;"",'Éléments saisis (inputs)'!C119,"")</f>
        <v>Frais d’entretien et de réparation du véhicule électrique</v>
      </c>
      <c r="D119" s="363">
        <f>IF('Éléments saisis (inputs)'!D119&lt;&gt;"",'Éléments saisis (inputs)'!D119,'1a. Defaults Segment-Ebene'!D119)</f>
        <v>2.5000000000000001E-2</v>
      </c>
      <c r="E119" s="344" t="str">
        <f>IF('Éléments saisis (inputs)'!E119&lt;&gt;"",'Éléments saisis (inputs)'!E119,"")</f>
        <v>CHF/km</v>
      </c>
      <c r="F119" s="344"/>
    </row>
    <row r="120" spans="2:6" x14ac:dyDescent="0.35">
      <c r="B120" s="18"/>
      <c r="C120" s="344" t="str">
        <f>IF('Éléments saisis (inputs)'!C120&lt;&gt;"",'Éléments saisis (inputs)'!C120,"")</f>
        <v>Valeur résiduelle du véhicule électrique</v>
      </c>
      <c r="D120" s="356">
        <f>IF('Éléments saisis (inputs)'!D120&lt;&gt;"",'Éléments saisis (inputs)'!D120,'1a. Defaults Segment-Ebene'!D120)</f>
        <v>0.30658197222222217</v>
      </c>
      <c r="E120" s="344" t="str">
        <f>IF('Éléments saisis (inputs)'!E120&lt;&gt;"",'Éléments saisis (inputs)'!E120,"")</f>
        <v/>
      </c>
      <c r="F120" s="344"/>
    </row>
    <row r="121" spans="2:6" x14ac:dyDescent="0.35">
      <c r="C121" s="283" t="str">
        <f>IF('Éléments saisis (inputs)'!C121&lt;&gt;"",'Éléments saisis (inputs)'!C121,"")</f>
        <v/>
      </c>
      <c r="D121" s="478"/>
      <c r="E121" s="283" t="str">
        <f>IF('Éléments saisis (inputs)'!E121&lt;&gt;"",'Éléments saisis (inputs)'!E121,"")</f>
        <v/>
      </c>
      <c r="F121" s="283"/>
    </row>
    <row r="122" spans="2:6" x14ac:dyDescent="0.35">
      <c r="C122" s="283" t="str">
        <f>IF('Éléments saisis (inputs)'!C122&lt;&gt;"",'Éléments saisis (inputs)'!C122,"")</f>
        <v/>
      </c>
      <c r="D122" s="478"/>
      <c r="E122" s="283" t="str">
        <f>IF('Éléments saisis (inputs)'!E122&lt;&gt;"",'Éléments saisis (inputs)'!E122,"")</f>
        <v/>
      </c>
      <c r="F122" s="283"/>
    </row>
    <row r="123" spans="2:6" ht="15" x14ac:dyDescent="0.35">
      <c r="B123" s="11" t="s">
        <v>56</v>
      </c>
      <c r="C123" s="11" t="str">
        <f>IF('Éléments saisis (inputs)'!C123&lt;&gt;"",'Éléments saisis (inputs)'!C123,"")</f>
        <v>Segment D</v>
      </c>
      <c r="D123" s="26">
        <f>D87+1</f>
        <v>4</v>
      </c>
      <c r="E123" s="13" t="str">
        <f>IF('Éléments saisis (inputs)'!E123&lt;&gt;"",'Éléments saisis (inputs)'!E123,"")</f>
        <v/>
      </c>
      <c r="F123" s="13"/>
    </row>
    <row r="124" spans="2:6" ht="18.899999999999999" x14ac:dyDescent="0.45">
      <c r="B124" s="18"/>
      <c r="C124" s="23" t="str">
        <f>IF('Éléments saisis (inputs)'!C124&lt;&gt;"",'Éléments saisis (inputs)'!C124,"")</f>
        <v/>
      </c>
      <c r="D124" s="24"/>
      <c r="E124" s="25" t="str">
        <f>IF('Éléments saisis (inputs)'!E124&lt;&gt;"",'Éléments saisis (inputs)'!E124,"")</f>
        <v/>
      </c>
      <c r="F124" s="25"/>
    </row>
    <row r="125" spans="2:6" x14ac:dyDescent="0.35">
      <c r="B125" s="18"/>
      <c r="C125" s="20" t="str">
        <f>IF('Éléments saisis (inputs)'!C125&lt;&gt;"",'Éléments saisis (inputs)'!C125,"")</f>
        <v>Structure des segments</v>
      </c>
      <c r="D125" s="343"/>
      <c r="E125" s="344" t="str">
        <f>IF('Éléments saisis (inputs)'!E125&lt;&gt;"",'Éléments saisis (inputs)'!E125,"")</f>
        <v/>
      </c>
      <c r="F125" s="344"/>
    </row>
    <row r="126" spans="2:6" x14ac:dyDescent="0.35">
      <c r="B126" s="18"/>
      <c r="C126" s="344" t="str">
        <f>IF('Éléments saisis (inputs)'!C126&lt;&gt;"",'Éléments saisis (inputs)'!C126,"")</f>
        <v>Nombre de véhicules</v>
      </c>
      <c r="D126" s="349">
        <f>IF(D123&lt;=$D$12,'Éléments saisis (inputs)'!D126,0)</f>
        <v>0</v>
      </c>
      <c r="E126" s="344" t="str">
        <f>IF('Éléments saisis (inputs)'!E126&lt;&gt;"",'Éléments saisis (inputs)'!E126,"")</f>
        <v/>
      </c>
      <c r="F126" s="344"/>
    </row>
    <row r="127" spans="2:6" x14ac:dyDescent="0.35">
      <c r="B127" s="18"/>
      <c r="C127" s="344" t="str">
        <f>IF('Éléments saisis (inputs)'!C127&lt;&gt;"",'Éléments saisis (inputs)'!C127,"")</f>
        <v>Type d’utilisation</v>
      </c>
      <c r="D127" s="362" t="str">
        <f>'Éléments saisis (inputs)'!D127</f>
        <v>Véhicules de pool</v>
      </c>
      <c r="E127" s="344" t="str">
        <f>IF('Éléments saisis (inputs)'!E127&lt;&gt;"",'Éléments saisis (inputs)'!E127,"")</f>
        <v/>
      </c>
      <c r="F127" s="344"/>
    </row>
    <row r="128" spans="2:6" x14ac:dyDescent="0.35">
      <c r="B128" s="18"/>
      <c r="C128" s="344" t="str">
        <f>IF('Éléments saisis (inputs)'!C128&lt;&gt;"",'Éléments saisis (inputs)'!C128,"")</f>
        <v>Domaine d’utilisation</v>
      </c>
      <c r="D128" s="349" t="str">
        <f>'Éléments saisis (inputs)'!D128</f>
        <v>Niveau régional</v>
      </c>
      <c r="E128" s="344" t="str">
        <f>IF('Éléments saisis (inputs)'!E128&lt;&gt;"",'Éléments saisis (inputs)'!E128,"")</f>
        <v/>
      </c>
      <c r="F128" s="344"/>
    </row>
    <row r="129" spans="2:6" x14ac:dyDescent="0.35">
      <c r="B129" s="18"/>
      <c r="C129" s="344" t="str">
        <f>IF('Éléments saisis (inputs)'!C129&lt;&gt;"",'Éléments saisis (inputs)'!C129,"")</f>
        <v>Possibilité de recharge à domicile</v>
      </c>
      <c r="D129" s="349" cm="1">
        <f t="array" aca="1" ref="D129" ca="1">INDEX(OFFSET(Heimladen,0,1),_xlfn.XMATCH('Éléments saisis (inputs)'!D129,Heimladen))</f>
        <v>0</v>
      </c>
      <c r="E129" s="344" t="str">
        <f>IF('Éléments saisis (inputs)'!E129&lt;&gt;"",'Éléments saisis (inputs)'!E129,"")</f>
        <v/>
      </c>
      <c r="F129" s="344"/>
    </row>
    <row r="130" spans="2:6" x14ac:dyDescent="0.35">
      <c r="B130" s="18"/>
      <c r="C130" s="344" t="str">
        <f>IF('Éléments saisis (inputs)'!C130&lt;&gt;"",'Éléments saisis (inputs)'!C130,"")</f>
        <v/>
      </c>
      <c r="D130" s="343"/>
      <c r="E130" s="344" t="str">
        <f>IF('Éléments saisis (inputs)'!E130&lt;&gt;"",'Éléments saisis (inputs)'!E130,"")</f>
        <v/>
      </c>
      <c r="F130" s="344"/>
    </row>
    <row r="131" spans="2:6" x14ac:dyDescent="0.35">
      <c r="B131" s="18"/>
      <c r="C131" s="22" t="str">
        <f>IF('Éléments saisis (inputs)'!C131&lt;&gt;"",'Éléments saisis (inputs)'!C131,"")</f>
        <v>Données du véhicule</v>
      </c>
      <c r="D131" s="343"/>
      <c r="E131" s="344" t="str">
        <f>IF('Éléments saisis (inputs)'!E131&lt;&gt;"",'Éléments saisis (inputs)'!E131,"")</f>
        <v/>
      </c>
      <c r="F131" s="344"/>
    </row>
    <row r="132" spans="2:6" x14ac:dyDescent="0.35">
      <c r="B132" s="18"/>
      <c r="C132" s="344" t="str">
        <f>IF('Éléments saisis (inputs)'!C132&lt;&gt;"",'Éléments saisis (inputs)'!C132,"")</f>
        <v>Taille du véhicule</v>
      </c>
      <c r="D132" s="349" t="str">
        <f>'Éléments saisis (inputs)'!D132</f>
        <v>Catégorie moyenne</v>
      </c>
      <c r="E132" s="344" t="str">
        <f>IF('Éléments saisis (inputs)'!E132&lt;&gt;"",'Éléments saisis (inputs)'!E132,"")</f>
        <v/>
      </c>
      <c r="F132" s="344"/>
    </row>
    <row r="133" spans="2:6" x14ac:dyDescent="0.35">
      <c r="B133" s="18"/>
      <c r="C133" s="344" t="str">
        <f>IF('Éléments saisis (inputs)'!C133&lt;&gt;"",'Éléments saisis (inputs)'!C133,"")</f>
        <v>Consommation de carburant du véhicule thermique</v>
      </c>
      <c r="D133" s="350">
        <f>IF('Éléments saisis (inputs)'!D133&lt;&gt;"",'Éléments saisis (inputs)'!D133,'1a. Defaults Segment-Ebene'!D133)</f>
        <v>5.8</v>
      </c>
      <c r="E133" s="344" t="str">
        <f>IF('Éléments saisis (inputs)'!E133&lt;&gt;"",'Éléments saisis (inputs)'!E133,"")</f>
        <v>l/100 km</v>
      </c>
      <c r="F133" s="344"/>
    </row>
    <row r="134" spans="2:6" x14ac:dyDescent="0.35">
      <c r="B134" s="18"/>
      <c r="C134" s="344" t="str">
        <f>IF('Éléments saisis (inputs)'!C134&lt;&gt;"",'Éléments saisis (inputs)'!C134,"")</f>
        <v>Consommation énergétique du véhicule électrique</v>
      </c>
      <c r="D134" s="350">
        <f>IF('Éléments saisis (inputs)'!D134&lt;&gt;"",'Éléments saisis (inputs)'!D134,'1a. Defaults Segment-Ebene'!D134)</f>
        <v>15.1</v>
      </c>
      <c r="E134" s="344" t="str">
        <f>IF('Éléments saisis (inputs)'!E134&lt;&gt;"",'Éléments saisis (inputs)'!E134,"")</f>
        <v>kWh/100 km</v>
      </c>
      <c r="F134" s="344"/>
    </row>
    <row r="135" spans="2:6" x14ac:dyDescent="0.35">
      <c r="B135" s="18"/>
      <c r="C135" s="344" t="str">
        <f>IF('Éléments saisis (inputs)'!C135&lt;&gt;"",'Éléments saisis (inputs)'!C135,"")</f>
        <v>Capacité de la batterie (nette)</v>
      </c>
      <c r="D135" s="350">
        <f>IF('Éléments saisis (inputs)'!D135&lt;&gt;"",'Éléments saisis (inputs)'!D135,'1a. Defaults Segment-Ebene'!D135)</f>
        <v>58.625</v>
      </c>
      <c r="E135" s="344" t="str">
        <f>IF('Éléments saisis (inputs)'!E135&lt;&gt;"",'Éléments saisis (inputs)'!E135,"")</f>
        <v>kWh</v>
      </c>
      <c r="F135" s="344"/>
    </row>
    <row r="136" spans="2:6" x14ac:dyDescent="0.35">
      <c r="B136" s="18"/>
      <c r="C136" s="344" t="str">
        <f>IF('Éléments saisis (inputs)'!C136&lt;&gt;"",'Éléments saisis (inputs)'!C136,"")</f>
        <v/>
      </c>
      <c r="D136" s="343"/>
      <c r="E136" s="344" t="str">
        <f>IF('Éléments saisis (inputs)'!E136&lt;&gt;"",'Éléments saisis (inputs)'!E136,"")</f>
        <v/>
      </c>
      <c r="F136" s="344"/>
    </row>
    <row r="137" spans="2:6" x14ac:dyDescent="0.35">
      <c r="B137" s="18"/>
      <c r="C137" s="20" t="str">
        <f>IF('Éléments saisis (inputs)'!C137&lt;&gt;"",'Éléments saisis (inputs)'!C137,"")</f>
        <v>Profil de conduite et d’utilisation (indication par véhicule)</v>
      </c>
      <c r="D137" s="343"/>
      <c r="E137" s="344" t="str">
        <f>IF('Éléments saisis (inputs)'!E137&lt;&gt;"",'Éléments saisis (inputs)'!E137,"")</f>
        <v/>
      </c>
      <c r="F137" s="344"/>
    </row>
    <row r="138" spans="2:6" x14ac:dyDescent="0.35">
      <c r="B138" s="18"/>
      <c r="C138" s="344" t="str">
        <f>IF('Éléments saisis (inputs)'!C138&lt;&gt;"",'Éléments saisis (inputs)'!C138,"")</f>
        <v>Modèle d’utilisation</v>
      </c>
      <c r="D138" s="349" t="str">
        <f>'Éléments saisis (inputs)'!D138</f>
        <v>Exploitation pendant les jours ouvrables</v>
      </c>
      <c r="E138" s="344" t="str">
        <f>IF('Éléments saisis (inputs)'!E138&lt;&gt;"",'Éléments saisis (inputs)'!E138,"")</f>
        <v/>
      </c>
      <c r="F138" s="344"/>
    </row>
    <row r="139" spans="2:6" x14ac:dyDescent="0.35">
      <c r="B139" s="18"/>
      <c r="C139" s="344" t="str">
        <f>IF('Éléments saisis (inputs)'!C139&lt;&gt;"",'Éléments saisis (inputs)'!C139,"")</f>
        <v>Nombre de jours de travail par an</v>
      </c>
      <c r="D139" s="350">
        <f>IF('Éléments saisis (inputs)'!D139&lt;&gt;"",'Éléments saisis (inputs)'!D139,'1a. Defaults Segment-Ebene'!D139)</f>
        <v>260</v>
      </c>
      <c r="E139" s="344" t="str">
        <f>IF('Éléments saisis (inputs)'!E139&lt;&gt;"",'Éléments saisis (inputs)'!E139,"")</f>
        <v/>
      </c>
      <c r="F139" s="344"/>
    </row>
    <row r="140" spans="2:6" x14ac:dyDescent="0.35">
      <c r="B140" s="18"/>
      <c r="C140" s="344" t="str">
        <f>IF('Éléments saisis (inputs)'!C140&lt;&gt;"",'Éléments saisis (inputs)'!C140,"")</f>
        <v>Distance parcourue pendant le temps de travail</v>
      </c>
      <c r="D140" s="350">
        <f>IF('Éléments saisis (inputs)'!D140&lt;&gt;"",'Éléments saisis (inputs)'!D140,'1a. Defaults Segment-Ebene'!D140)</f>
        <v>100</v>
      </c>
      <c r="E140" s="344" t="str">
        <f>IF('Éléments saisis (inputs)'!E140&lt;&gt;"",'Éléments saisis (inputs)'!E140,"")</f>
        <v>km/jour</v>
      </c>
      <c r="F140" s="344"/>
    </row>
    <row r="141" spans="2:6" x14ac:dyDescent="0.35">
      <c r="B141" s="18"/>
      <c r="C141" s="344" t="str">
        <f>IF('Éléments saisis (inputs)'!C141&lt;&gt;"",'Éléments saisis (inputs)'!C141,"")</f>
        <v>Distance domicile-travail (aller-retour)</v>
      </c>
      <c r="D141" s="350">
        <f>(_xlfn.XMATCH(D127,Einsatzart)-1)*IF('Éléments saisis (inputs)'!D141&lt;&gt;"",'Éléments saisis (inputs)'!D141,'1a. Defaults Segment-Ebene'!D141)</f>
        <v>0</v>
      </c>
      <c r="E141" s="344" t="str">
        <f>IF('Éléments saisis (inputs)'!E141&lt;&gt;"",'Éléments saisis (inputs)'!E141,"")</f>
        <v>km/jour</v>
      </c>
      <c r="F141" s="344"/>
    </row>
    <row r="142" spans="2:6" x14ac:dyDescent="0.35">
      <c r="B142" s="18"/>
      <c r="C142" s="344" t="str">
        <f>IF('Éléments saisis (inputs)'!C142&lt;&gt;"",'Éléments saisis (inputs)'!C142,"")</f>
        <v>Nombre d’utilisations par jour</v>
      </c>
      <c r="D142" s="350">
        <f>IF('Éléments saisis (inputs)'!D142&lt;&gt;"",'Éléments saisis (inputs)'!D142,'1a. Defaults Segment-Ebene'!D142)</f>
        <v>1</v>
      </c>
      <c r="E142" s="344" t="str">
        <f>IF('Éléments saisis (inputs)'!E142&lt;&gt;"",'Éléments saisis (inputs)'!E142,"")</f>
        <v/>
      </c>
      <c r="F142" s="344"/>
    </row>
    <row r="143" spans="2:6" x14ac:dyDescent="0.35">
      <c r="B143" s="18"/>
      <c r="C143" s="344" t="str">
        <f>IF('Éléments saisis (inputs)'!C143&lt;&gt;"",'Éléments saisis (inputs)'!C143,"")</f>
        <v>Nombre de pauses par jour</v>
      </c>
      <c r="D143" s="350">
        <f>'Éléments saisis (inputs)'!D143</f>
        <v>1</v>
      </c>
      <c r="E143" s="344" t="str">
        <f>IF('Éléments saisis (inputs)'!E143&lt;&gt;"",'Éléments saisis (inputs)'!E143,"")</f>
        <v/>
      </c>
      <c r="F143" s="344"/>
    </row>
    <row r="144" spans="2:6" x14ac:dyDescent="0.35">
      <c r="B144" s="18"/>
      <c r="C144" s="344" t="str">
        <f>IF('Éléments saisis (inputs)'!C144&lt;&gt;"",'Éléments saisis (inputs)'!C144,"")</f>
        <v>Durée d’immobilisation par pause sur le site de l’entreprise</v>
      </c>
      <c r="D144" s="350">
        <f>IF('Éléments saisis (inputs)'!D144&lt;&gt;"",'Éléments saisis (inputs)'!D144,'1a. Defaults Segment-Ebene'!D144)</f>
        <v>1</v>
      </c>
      <c r="E144" s="344" t="str">
        <f>IF('Éléments saisis (inputs)'!E144&lt;&gt;"",'Éléments saisis (inputs)'!E144,"")</f>
        <v>Heures</v>
      </c>
      <c r="F144" s="344"/>
    </row>
    <row r="145" spans="2:6" x14ac:dyDescent="0.35">
      <c r="B145" s="18"/>
      <c r="C145" s="344" t="str">
        <f>IF('Éléments saisis (inputs)'!C145&lt;&gt;"",'Éléments saisis (inputs)'!C145,"")</f>
        <v>Durée d’immobilisation pendant la nuit</v>
      </c>
      <c r="D145" s="350">
        <f ca="1">IF('Éléments saisis (inputs)'!D145&lt;&gt;"",'Éléments saisis (inputs)'!D145,'1a. Defaults Segment-Ebene'!D145)*IF(AND(_xlfn.XMATCH(D127,Einsatzart)=2,NOT(D129)),0,1)</f>
        <v>8</v>
      </c>
      <c r="E145" s="344" t="str">
        <f>IF('Éléments saisis (inputs)'!E145&lt;&gt;"",'Éléments saisis (inputs)'!E145,"")</f>
        <v>Heures</v>
      </c>
      <c r="F145" s="344"/>
    </row>
    <row r="146" spans="2:6" x14ac:dyDescent="0.35">
      <c r="B146" s="18"/>
      <c r="C146" s="344" t="str">
        <f>IF('Éléments saisis (inputs)'!C146&lt;&gt;"",'Éléments saisis (inputs)'!C146,"")</f>
        <v>Véhicules par point de recharge, site de l’entreprise (pendant la journée)</v>
      </c>
      <c r="D146" s="350">
        <f>IF('Éléments saisis (inputs)'!D146&lt;&gt;"",'Éléments saisis (inputs)'!D146,'1a. Defaults Segment-Ebene'!D146)</f>
        <v>1</v>
      </c>
      <c r="E146" s="344" t="str">
        <f>IF('Éléments saisis (inputs)'!E146&lt;&gt;"",'Éléments saisis (inputs)'!E146,"")</f>
        <v/>
      </c>
      <c r="F146" s="344"/>
    </row>
    <row r="147" spans="2:6" x14ac:dyDescent="0.35">
      <c r="B147" s="18"/>
      <c r="C147" s="344" t="str">
        <f>IF('Éléments saisis (inputs)'!C147&lt;&gt;"",'Éléments saisis (inputs)'!C147,"")</f>
        <v/>
      </c>
      <c r="D147" s="343"/>
      <c r="E147" s="344" t="str">
        <f>IF('Éléments saisis (inputs)'!E147&lt;&gt;"",'Éléments saisis (inputs)'!E147,"")</f>
        <v/>
      </c>
      <c r="F147" s="344"/>
    </row>
    <row r="148" spans="2:6" x14ac:dyDescent="0.35">
      <c r="B148" s="18"/>
      <c r="C148" s="20" t="str">
        <f>IF('Éléments saisis (inputs)'!C148&lt;&gt;"",'Éléments saisis (inputs)'!C148,"")</f>
        <v>Coûts (indication par véhicule)</v>
      </c>
      <c r="D148" s="343"/>
      <c r="E148" s="344" t="str">
        <f>IF('Éléments saisis (inputs)'!E148&lt;&gt;"",'Éléments saisis (inputs)'!E148,"")</f>
        <v/>
      </c>
      <c r="F148" s="344"/>
    </row>
    <row r="149" spans="2:6" x14ac:dyDescent="0.35">
      <c r="B149" s="18"/>
      <c r="C149" s="344" t="str">
        <f>IF('Éléments saisis (inputs)'!C149&lt;&gt;"",'Éléments saisis (inputs)'!C149,"")</f>
        <v>Durée</v>
      </c>
      <c r="D149" s="350">
        <f>IF('Éléments saisis (inputs)'!D149&lt;&gt;"",'Éléments saisis (inputs)'!D149,'1a. Defaults Segment-Ebene'!D149)</f>
        <v>48</v>
      </c>
      <c r="E149" s="344" t="str">
        <f>IF('Éléments saisis (inputs)'!E149&lt;&gt;"",'Éléments saisis (inputs)'!E149,"")</f>
        <v>Mois</v>
      </c>
      <c r="F149" s="344"/>
    </row>
    <row r="150" spans="2:6" x14ac:dyDescent="0.35">
      <c r="B150" s="18"/>
      <c r="C150" s="344" t="str">
        <f>IF('Éléments saisis (inputs)'!C150&lt;&gt;"",'Éléments saisis (inputs)'!C150,"")</f>
        <v>Taux d’intérêt du leasing</v>
      </c>
      <c r="D150" s="354">
        <f>IF('Éléments saisis (inputs)'!D150&lt;&gt;"",'Éléments saisis (inputs)'!D150,'1a. Defaults Segment-Ebene'!D150)</f>
        <v>0.03</v>
      </c>
      <c r="E150" s="344" t="str">
        <f>IF('Éléments saisis (inputs)'!E150&lt;&gt;"",'Éléments saisis (inputs)'!E150,"")</f>
        <v/>
      </c>
      <c r="F150" s="344"/>
    </row>
    <row r="151" spans="2:6" x14ac:dyDescent="0.35">
      <c r="B151" s="18"/>
      <c r="C151" s="344" t="str">
        <f>IF('Éléments saisis (inputs)'!C151&lt;&gt;"",'Éléments saisis (inputs)'!C151,"")</f>
        <v>Prix d’acquisition, rabais de flotte du véhicule thermique inclus</v>
      </c>
      <c r="D151" s="355">
        <f>IF('Éléments saisis (inputs)'!D151&lt;&gt;"",'Éléments saisis (inputs)'!D151,'1a. Defaults Segment-Ebene'!D151)</f>
        <v>27219.464999999997</v>
      </c>
      <c r="E151" s="344" t="str">
        <f>IF('Éléments saisis (inputs)'!E151&lt;&gt;"",'Éléments saisis (inputs)'!E151,"")</f>
        <v>CHF</v>
      </c>
      <c r="F151" s="344"/>
    </row>
    <row r="152" spans="2:6" x14ac:dyDescent="0.35">
      <c r="B152" s="18"/>
      <c r="C152" s="344" t="str">
        <f>IF('Éléments saisis (inputs)'!C152&lt;&gt;"",'Éléments saisis (inputs)'!C152,"")</f>
        <v>Frais d’entretien et de réparation du véhicule thermique</v>
      </c>
      <c r="D152" s="350">
        <f>IF('Éléments saisis (inputs)'!D152&lt;&gt;"",'Éléments saisis (inputs)'!D152,'1a. Defaults Segment-Ebene'!D152)</f>
        <v>0.05</v>
      </c>
      <c r="E152" s="344" t="str">
        <f>IF('Éléments saisis (inputs)'!E152&lt;&gt;"",'Éléments saisis (inputs)'!E152,"")</f>
        <v>CHF/km</v>
      </c>
      <c r="F152" s="344"/>
    </row>
    <row r="153" spans="2:6" x14ac:dyDescent="0.35">
      <c r="B153" s="18"/>
      <c r="C153" s="344" t="str">
        <f>IF('Éléments saisis (inputs)'!C153&lt;&gt;"",'Éléments saisis (inputs)'!C153,"")</f>
        <v>Valeur résiduelle du véhicule thermique</v>
      </c>
      <c r="D153" s="356">
        <f>IF('Éléments saisis (inputs)'!D153&lt;&gt;"",'Éléments saisis (inputs)'!D153,'1a. Defaults Segment-Ebene'!D153)</f>
        <v>0.31606388888888887</v>
      </c>
      <c r="E153" s="344" t="str">
        <f>IF('Éléments saisis (inputs)'!E153&lt;&gt;"",'Éléments saisis (inputs)'!E153,"")</f>
        <v/>
      </c>
      <c r="F153" s="344"/>
    </row>
    <row r="154" spans="2:6" x14ac:dyDescent="0.35">
      <c r="B154" s="18"/>
      <c r="C154" s="27" t="str">
        <f>IF('Éléments saisis (inputs)'!C154&lt;&gt;"",'Éléments saisis (inputs)'!C154,"")</f>
        <v>Prix d’acquisition, rabais de flotte du véhicule électrique inclus</v>
      </c>
      <c r="D154" s="355">
        <f>IF('Éléments saisis (inputs)'!D154&lt;&gt;"",'Éléments saisis (inputs)'!D154,'1a. Defaults Segment-Ebene'!D154)</f>
        <v>28810.890000000003</v>
      </c>
      <c r="E154" s="344" t="str">
        <f>IF('Éléments saisis (inputs)'!E154&lt;&gt;"",'Éléments saisis (inputs)'!E154,"")</f>
        <v>CHF</v>
      </c>
      <c r="F154" s="344"/>
    </row>
    <row r="155" spans="2:6" x14ac:dyDescent="0.35">
      <c r="B155" s="18"/>
      <c r="C155" s="344" t="str">
        <f>IF('Éléments saisis (inputs)'!C155&lt;&gt;"",'Éléments saisis (inputs)'!C155,"")</f>
        <v>Frais d’entretien et de réparation du véhicule électrique</v>
      </c>
      <c r="D155" s="363">
        <f>IF('Éléments saisis (inputs)'!D155&lt;&gt;"",'Éléments saisis (inputs)'!D155,'1a. Defaults Segment-Ebene'!D155)</f>
        <v>2.5000000000000001E-2</v>
      </c>
      <c r="E155" s="344" t="str">
        <f>IF('Éléments saisis (inputs)'!E155&lt;&gt;"",'Éléments saisis (inputs)'!E155,"")</f>
        <v>CHF/km</v>
      </c>
      <c r="F155" s="344"/>
    </row>
    <row r="156" spans="2:6" x14ac:dyDescent="0.35">
      <c r="B156" s="18"/>
      <c r="C156" s="344" t="str">
        <f>IF('Éléments saisis (inputs)'!C156&lt;&gt;"",'Éléments saisis (inputs)'!C156,"")</f>
        <v>Valeur résiduelle du véhicule électrique</v>
      </c>
      <c r="D156" s="356">
        <f>IF('Éléments saisis (inputs)'!D156&lt;&gt;"",'Éléments saisis (inputs)'!D156,'1a. Defaults Segment-Ebene'!D156)</f>
        <v>0.30658197222222217</v>
      </c>
      <c r="E156" s="344" t="str">
        <f>IF('Éléments saisis (inputs)'!E156&lt;&gt;"",'Éléments saisis (inputs)'!E156,"")</f>
        <v/>
      </c>
      <c r="F156" s="344"/>
    </row>
    <row r="157" spans="2:6" x14ac:dyDescent="0.35">
      <c r="C157" s="283" t="str">
        <f>IF('Éléments saisis (inputs)'!C157&lt;&gt;"",'Éléments saisis (inputs)'!C157,"")</f>
        <v/>
      </c>
      <c r="D157" s="478"/>
      <c r="E157" s="283" t="str">
        <f>IF('Éléments saisis (inputs)'!E157&lt;&gt;"",'Éléments saisis (inputs)'!E157,"")</f>
        <v/>
      </c>
      <c r="F157" s="283"/>
    </row>
    <row r="158" spans="2:6" x14ac:dyDescent="0.35">
      <c r="C158" s="283" t="str">
        <f>IF('Éléments saisis (inputs)'!C158&lt;&gt;"",'Éléments saisis (inputs)'!C158,"")</f>
        <v/>
      </c>
      <c r="D158" s="478"/>
      <c r="E158" s="283" t="str">
        <f>IF('Éléments saisis (inputs)'!E158&lt;&gt;"",'Éléments saisis (inputs)'!E158,"")</f>
        <v/>
      </c>
      <c r="F158" s="283"/>
    </row>
    <row r="159" spans="2:6" ht="15" x14ac:dyDescent="0.35">
      <c r="B159" s="11" t="s">
        <v>57</v>
      </c>
      <c r="C159" s="11" t="str">
        <f>IF('Éléments saisis (inputs)'!C159&lt;&gt;"",'Éléments saisis (inputs)'!C159,"")</f>
        <v>Segment E</v>
      </c>
      <c r="D159" s="26">
        <f>D123+1</f>
        <v>5</v>
      </c>
      <c r="E159" s="13" t="str">
        <f>IF('Éléments saisis (inputs)'!E159&lt;&gt;"",'Éléments saisis (inputs)'!E159,"")</f>
        <v/>
      </c>
      <c r="F159" s="13"/>
    </row>
    <row r="160" spans="2:6" ht="18.899999999999999" x14ac:dyDescent="0.45">
      <c r="B160" s="18"/>
      <c r="C160" s="23" t="str">
        <f>IF('Éléments saisis (inputs)'!C160&lt;&gt;"",'Éléments saisis (inputs)'!C160,"")</f>
        <v/>
      </c>
      <c r="D160" s="24"/>
      <c r="E160" s="25" t="str">
        <f>IF('Éléments saisis (inputs)'!E160&lt;&gt;"",'Éléments saisis (inputs)'!E160,"")</f>
        <v/>
      </c>
      <c r="F160" s="25"/>
    </row>
    <row r="161" spans="2:6" x14ac:dyDescent="0.35">
      <c r="B161" s="18"/>
      <c r="C161" s="20" t="str">
        <f>IF('Éléments saisis (inputs)'!C161&lt;&gt;"",'Éléments saisis (inputs)'!C161,"")</f>
        <v>Structure des segments</v>
      </c>
      <c r="D161" s="343"/>
      <c r="E161" s="344" t="str">
        <f>IF('Éléments saisis (inputs)'!E161&lt;&gt;"",'Éléments saisis (inputs)'!E161,"")</f>
        <v/>
      </c>
      <c r="F161" s="344"/>
    </row>
    <row r="162" spans="2:6" x14ac:dyDescent="0.35">
      <c r="B162" s="18"/>
      <c r="C162" s="344" t="str">
        <f>IF('Éléments saisis (inputs)'!C162&lt;&gt;"",'Éléments saisis (inputs)'!C162,"")</f>
        <v>Nombre de véhicules</v>
      </c>
      <c r="D162" s="349">
        <f>IF(D159&lt;=$D$12,'Éléments saisis (inputs)'!D162,0)</f>
        <v>0</v>
      </c>
      <c r="E162" s="344" t="str">
        <f>IF('Éléments saisis (inputs)'!E162&lt;&gt;"",'Éléments saisis (inputs)'!E162,"")</f>
        <v/>
      </c>
      <c r="F162" s="344"/>
    </row>
    <row r="163" spans="2:6" x14ac:dyDescent="0.35">
      <c r="B163" s="18"/>
      <c r="C163" s="344" t="str">
        <f>IF('Éléments saisis (inputs)'!C163&lt;&gt;"",'Éléments saisis (inputs)'!C163,"")</f>
        <v>Type d’utilisation</v>
      </c>
      <c r="D163" s="362" t="str">
        <f>'Éléments saisis (inputs)'!D163</f>
        <v>Véhicules de pool</v>
      </c>
      <c r="E163" s="344" t="str">
        <f>IF('Éléments saisis (inputs)'!E163&lt;&gt;"",'Éléments saisis (inputs)'!E163,"")</f>
        <v/>
      </c>
      <c r="F163" s="344"/>
    </row>
    <row r="164" spans="2:6" x14ac:dyDescent="0.35">
      <c r="B164" s="18"/>
      <c r="C164" s="344" t="str">
        <f>IF('Éléments saisis (inputs)'!C164&lt;&gt;"",'Éléments saisis (inputs)'!C164,"")</f>
        <v>Domaine d’utilisation</v>
      </c>
      <c r="D164" s="349" t="str">
        <f>'Éléments saisis (inputs)'!D164</f>
        <v>Niveau régional</v>
      </c>
      <c r="E164" s="344" t="str">
        <f>IF('Éléments saisis (inputs)'!E164&lt;&gt;"",'Éléments saisis (inputs)'!E164,"")</f>
        <v/>
      </c>
      <c r="F164" s="344"/>
    </row>
    <row r="165" spans="2:6" x14ac:dyDescent="0.35">
      <c r="B165" s="18"/>
      <c r="C165" s="344" t="str">
        <f>IF('Éléments saisis (inputs)'!C165&lt;&gt;"",'Éléments saisis (inputs)'!C165,"")</f>
        <v>Possibilité de recharge à domicile</v>
      </c>
      <c r="D165" s="349" cm="1">
        <f t="array" aca="1" ref="D165" ca="1">INDEX(OFFSET(Heimladen,0,1),_xlfn.XMATCH('Éléments saisis (inputs)'!D165,Heimladen))</f>
        <v>0</v>
      </c>
      <c r="E165" s="344" t="str">
        <f>IF('Éléments saisis (inputs)'!E165&lt;&gt;"",'Éléments saisis (inputs)'!E165,"")</f>
        <v/>
      </c>
      <c r="F165" s="344"/>
    </row>
    <row r="166" spans="2:6" x14ac:dyDescent="0.35">
      <c r="B166" s="18"/>
      <c r="C166" s="344" t="str">
        <f>IF('Éléments saisis (inputs)'!C166&lt;&gt;"",'Éléments saisis (inputs)'!C166,"")</f>
        <v/>
      </c>
      <c r="D166" s="343"/>
      <c r="E166" s="344" t="str">
        <f>IF('Éléments saisis (inputs)'!E166&lt;&gt;"",'Éléments saisis (inputs)'!E166,"")</f>
        <v/>
      </c>
      <c r="F166" s="344"/>
    </row>
    <row r="167" spans="2:6" x14ac:dyDescent="0.35">
      <c r="B167" s="18"/>
      <c r="C167" s="22" t="str">
        <f>IF('Éléments saisis (inputs)'!C167&lt;&gt;"",'Éléments saisis (inputs)'!C167,"")</f>
        <v>Données du véhicule</v>
      </c>
      <c r="D167" s="343"/>
      <c r="E167" s="344" t="str">
        <f>IF('Éléments saisis (inputs)'!E167&lt;&gt;"",'Éléments saisis (inputs)'!E167,"")</f>
        <v/>
      </c>
      <c r="F167" s="344"/>
    </row>
    <row r="168" spans="2:6" x14ac:dyDescent="0.35">
      <c r="B168" s="18"/>
      <c r="C168" s="344" t="str">
        <f>IF('Éléments saisis (inputs)'!C168&lt;&gt;"",'Éléments saisis (inputs)'!C168,"")</f>
        <v>Taille du véhicule</v>
      </c>
      <c r="D168" s="349" t="str">
        <f>'Éléments saisis (inputs)'!D168</f>
        <v>Catégorie moyenne</v>
      </c>
      <c r="E168" s="344" t="str">
        <f>IF('Éléments saisis (inputs)'!E168&lt;&gt;"",'Éléments saisis (inputs)'!E168,"")</f>
        <v/>
      </c>
      <c r="F168" s="344"/>
    </row>
    <row r="169" spans="2:6" x14ac:dyDescent="0.35">
      <c r="B169" s="18"/>
      <c r="C169" s="344" t="str">
        <f>IF('Éléments saisis (inputs)'!C169&lt;&gt;"",'Éléments saisis (inputs)'!C169,"")</f>
        <v>Consommation de carburant du véhicule thermique</v>
      </c>
      <c r="D169" s="350">
        <f>IF('Éléments saisis (inputs)'!D169&lt;&gt;"",'Éléments saisis (inputs)'!D169,'1a. Defaults Segment-Ebene'!D169)</f>
        <v>5.8</v>
      </c>
      <c r="E169" s="344" t="str">
        <f>IF('Éléments saisis (inputs)'!E169&lt;&gt;"",'Éléments saisis (inputs)'!E169,"")</f>
        <v>l/100 km</v>
      </c>
      <c r="F169" s="344"/>
    </row>
    <row r="170" spans="2:6" x14ac:dyDescent="0.35">
      <c r="B170" s="18"/>
      <c r="C170" s="344" t="str">
        <f>IF('Éléments saisis (inputs)'!C170&lt;&gt;"",'Éléments saisis (inputs)'!C170,"")</f>
        <v>Consommation énergétique du véhicule électrique</v>
      </c>
      <c r="D170" s="350">
        <f>IF('Éléments saisis (inputs)'!D170&lt;&gt;"",'Éléments saisis (inputs)'!D170,'1a. Defaults Segment-Ebene'!D170)</f>
        <v>15.1</v>
      </c>
      <c r="E170" s="344" t="str">
        <f>IF('Éléments saisis (inputs)'!E170&lt;&gt;"",'Éléments saisis (inputs)'!E170,"")</f>
        <v>kWh/100 km</v>
      </c>
      <c r="F170" s="344"/>
    </row>
    <row r="171" spans="2:6" x14ac:dyDescent="0.35">
      <c r="B171" s="18"/>
      <c r="C171" s="344" t="str">
        <f>IF('Éléments saisis (inputs)'!C171&lt;&gt;"",'Éléments saisis (inputs)'!C171,"")</f>
        <v>Capacité de la batterie (nette)</v>
      </c>
      <c r="D171" s="350">
        <f>IF('Éléments saisis (inputs)'!D171&lt;&gt;"",'Éléments saisis (inputs)'!D171,'1a. Defaults Segment-Ebene'!D171)</f>
        <v>58.625</v>
      </c>
      <c r="E171" s="344" t="str">
        <f>IF('Éléments saisis (inputs)'!E171&lt;&gt;"",'Éléments saisis (inputs)'!E171,"")</f>
        <v>kWh</v>
      </c>
      <c r="F171" s="344"/>
    </row>
    <row r="172" spans="2:6" x14ac:dyDescent="0.35">
      <c r="B172" s="18"/>
      <c r="C172" s="344" t="str">
        <f>IF('Éléments saisis (inputs)'!C172&lt;&gt;"",'Éléments saisis (inputs)'!C172,"")</f>
        <v/>
      </c>
      <c r="D172" s="343"/>
      <c r="E172" s="344" t="str">
        <f>IF('Éléments saisis (inputs)'!E172&lt;&gt;"",'Éléments saisis (inputs)'!E172,"")</f>
        <v/>
      </c>
      <c r="F172" s="344"/>
    </row>
    <row r="173" spans="2:6" x14ac:dyDescent="0.35">
      <c r="B173" s="18"/>
      <c r="C173" s="20" t="str">
        <f>IF('Éléments saisis (inputs)'!C173&lt;&gt;"",'Éléments saisis (inputs)'!C173,"")</f>
        <v>Profil de conduite et d’utilisation (indication par véhicule)</v>
      </c>
      <c r="D173" s="343"/>
      <c r="E173" s="344" t="str">
        <f>IF('Éléments saisis (inputs)'!E173&lt;&gt;"",'Éléments saisis (inputs)'!E173,"")</f>
        <v/>
      </c>
      <c r="F173" s="344"/>
    </row>
    <row r="174" spans="2:6" x14ac:dyDescent="0.35">
      <c r="B174" s="18"/>
      <c r="C174" s="344" t="str">
        <f>IF('Éléments saisis (inputs)'!C174&lt;&gt;"",'Éléments saisis (inputs)'!C174,"")</f>
        <v>Modèle d’utilisation</v>
      </c>
      <c r="D174" s="349" t="str">
        <f>'Éléments saisis (inputs)'!D174</f>
        <v>Exploitation pendant les jours ouvrables</v>
      </c>
      <c r="E174" s="344" t="str">
        <f>IF('Éléments saisis (inputs)'!E174&lt;&gt;"",'Éléments saisis (inputs)'!E174,"")</f>
        <v/>
      </c>
      <c r="F174" s="344"/>
    </row>
    <row r="175" spans="2:6" x14ac:dyDescent="0.35">
      <c r="B175" s="18"/>
      <c r="C175" s="344" t="str">
        <f>IF('Éléments saisis (inputs)'!C175&lt;&gt;"",'Éléments saisis (inputs)'!C175,"")</f>
        <v>Nombre de jours de travail par an</v>
      </c>
      <c r="D175" s="350">
        <f>IF('Éléments saisis (inputs)'!D175&lt;&gt;"",'Éléments saisis (inputs)'!D175,'1a. Defaults Segment-Ebene'!D175)</f>
        <v>260</v>
      </c>
      <c r="E175" s="344" t="str">
        <f>IF('Éléments saisis (inputs)'!E175&lt;&gt;"",'Éléments saisis (inputs)'!E175,"")</f>
        <v/>
      </c>
      <c r="F175" s="344"/>
    </row>
    <row r="176" spans="2:6" x14ac:dyDescent="0.35">
      <c r="B176" s="18"/>
      <c r="C176" s="344" t="str">
        <f>IF('Éléments saisis (inputs)'!C176&lt;&gt;"",'Éléments saisis (inputs)'!C176,"")</f>
        <v>Distance parcourue pendant le temps de travail</v>
      </c>
      <c r="D176" s="350">
        <f>IF('Éléments saisis (inputs)'!D176&lt;&gt;"",'Éléments saisis (inputs)'!D176,'1a. Defaults Segment-Ebene'!D176)</f>
        <v>100</v>
      </c>
      <c r="E176" s="344" t="str">
        <f>IF('Éléments saisis (inputs)'!E176&lt;&gt;"",'Éléments saisis (inputs)'!E176,"")</f>
        <v>km/jour</v>
      </c>
      <c r="F176" s="344"/>
    </row>
    <row r="177" spans="2:6" x14ac:dyDescent="0.35">
      <c r="B177" s="18"/>
      <c r="C177" s="344" t="str">
        <f>IF('Éléments saisis (inputs)'!C177&lt;&gt;"",'Éléments saisis (inputs)'!C177,"")</f>
        <v>Distance domicile-travail (aller-retour)</v>
      </c>
      <c r="D177" s="350">
        <f>(_xlfn.XMATCH(D163,Einsatzart)-1)*IF('Éléments saisis (inputs)'!D177&lt;&gt;"",'Éléments saisis (inputs)'!D177,'1a. Defaults Segment-Ebene'!D177)</f>
        <v>0</v>
      </c>
      <c r="E177" s="344" t="str">
        <f>IF('Éléments saisis (inputs)'!E177&lt;&gt;"",'Éléments saisis (inputs)'!E177,"")</f>
        <v>km/jour</v>
      </c>
      <c r="F177" s="344"/>
    </row>
    <row r="178" spans="2:6" x14ac:dyDescent="0.35">
      <c r="B178" s="18"/>
      <c r="C178" s="344" t="str">
        <f>IF('Éléments saisis (inputs)'!C178&lt;&gt;"",'Éléments saisis (inputs)'!C178,"")</f>
        <v>Nombre d’utilisations par jour</v>
      </c>
      <c r="D178" s="350">
        <f>IF('Éléments saisis (inputs)'!D178&lt;&gt;"",'Éléments saisis (inputs)'!D178,'1a. Defaults Segment-Ebene'!D178)</f>
        <v>1</v>
      </c>
      <c r="E178" s="344" t="str">
        <f>IF('Éléments saisis (inputs)'!E178&lt;&gt;"",'Éléments saisis (inputs)'!E178,"")</f>
        <v/>
      </c>
      <c r="F178" s="344"/>
    </row>
    <row r="179" spans="2:6" x14ac:dyDescent="0.35">
      <c r="B179" s="18"/>
      <c r="C179" s="344" t="str">
        <f>IF('Éléments saisis (inputs)'!C179&lt;&gt;"",'Éléments saisis (inputs)'!C179,"")</f>
        <v>Nombre de pauses par jour</v>
      </c>
      <c r="D179" s="350">
        <f>'Éléments saisis (inputs)'!D179</f>
        <v>1</v>
      </c>
      <c r="E179" s="344" t="str">
        <f>IF('Éléments saisis (inputs)'!E179&lt;&gt;"",'Éléments saisis (inputs)'!E179,"")</f>
        <v/>
      </c>
      <c r="F179" s="344"/>
    </row>
    <row r="180" spans="2:6" x14ac:dyDescent="0.35">
      <c r="B180" s="18"/>
      <c r="C180" s="344" t="str">
        <f>IF('Éléments saisis (inputs)'!C180&lt;&gt;"",'Éléments saisis (inputs)'!C180,"")</f>
        <v>Durée d’immobilisation par pause sur le site de l’entreprise</v>
      </c>
      <c r="D180" s="350">
        <f>IF('Éléments saisis (inputs)'!D180&lt;&gt;"",'Éléments saisis (inputs)'!D180,'1a. Defaults Segment-Ebene'!D180)</f>
        <v>1</v>
      </c>
      <c r="E180" s="344" t="str">
        <f>IF('Éléments saisis (inputs)'!E180&lt;&gt;"",'Éléments saisis (inputs)'!E180,"")</f>
        <v>Heures</v>
      </c>
      <c r="F180" s="344"/>
    </row>
    <row r="181" spans="2:6" x14ac:dyDescent="0.35">
      <c r="B181" s="18"/>
      <c r="C181" s="344" t="str">
        <f>IF('Éléments saisis (inputs)'!C181&lt;&gt;"",'Éléments saisis (inputs)'!C181,"")</f>
        <v>Durée d’immobilisation pendant la nuit</v>
      </c>
      <c r="D181" s="350">
        <f ca="1">IF('Éléments saisis (inputs)'!D181&lt;&gt;"",'Éléments saisis (inputs)'!D181,'1a. Defaults Segment-Ebene'!D181)*IF(AND(_xlfn.XMATCH(D163,Einsatzart)=2,NOT(D165)),0,1)</f>
        <v>8</v>
      </c>
      <c r="E181" s="344" t="str">
        <f>IF('Éléments saisis (inputs)'!E181&lt;&gt;"",'Éléments saisis (inputs)'!E181,"")</f>
        <v>Heures</v>
      </c>
      <c r="F181" s="344"/>
    </row>
    <row r="182" spans="2:6" x14ac:dyDescent="0.35">
      <c r="B182" s="18"/>
      <c r="C182" s="344" t="str">
        <f>IF('Éléments saisis (inputs)'!C182&lt;&gt;"",'Éléments saisis (inputs)'!C182,"")</f>
        <v>Véhicules par point de recharge, site de l’entreprise (pendant la journée)</v>
      </c>
      <c r="D182" s="350">
        <f>IF('Éléments saisis (inputs)'!D182&lt;&gt;"",'Éléments saisis (inputs)'!D182,'1a. Defaults Segment-Ebene'!D182)</f>
        <v>1</v>
      </c>
      <c r="E182" s="344" t="str">
        <f>IF('Éléments saisis (inputs)'!E182&lt;&gt;"",'Éléments saisis (inputs)'!E182,"")</f>
        <v/>
      </c>
      <c r="F182" s="344"/>
    </row>
    <row r="183" spans="2:6" x14ac:dyDescent="0.35">
      <c r="B183" s="18"/>
      <c r="C183" s="344" t="str">
        <f>IF('Éléments saisis (inputs)'!C183&lt;&gt;"",'Éléments saisis (inputs)'!C183,"")</f>
        <v/>
      </c>
      <c r="D183" s="343"/>
      <c r="E183" s="344" t="str">
        <f>IF('Éléments saisis (inputs)'!E183&lt;&gt;"",'Éléments saisis (inputs)'!E183,"")</f>
        <v/>
      </c>
      <c r="F183" s="344"/>
    </row>
    <row r="184" spans="2:6" x14ac:dyDescent="0.35">
      <c r="B184" s="18"/>
      <c r="C184" s="20" t="str">
        <f>IF('Éléments saisis (inputs)'!C184&lt;&gt;"",'Éléments saisis (inputs)'!C184,"")</f>
        <v>Coûts (indication par véhicule)</v>
      </c>
      <c r="D184" s="343"/>
      <c r="E184" s="344" t="str">
        <f>IF('Éléments saisis (inputs)'!E184&lt;&gt;"",'Éléments saisis (inputs)'!E184,"")</f>
        <v/>
      </c>
      <c r="F184" s="344"/>
    </row>
    <row r="185" spans="2:6" x14ac:dyDescent="0.35">
      <c r="B185" s="18"/>
      <c r="C185" s="344" t="str">
        <f>IF('Éléments saisis (inputs)'!C185&lt;&gt;"",'Éléments saisis (inputs)'!C185,"")</f>
        <v>Durée</v>
      </c>
      <c r="D185" s="350">
        <f>IF('Éléments saisis (inputs)'!D185&lt;&gt;"",'Éléments saisis (inputs)'!D185,'1a. Defaults Segment-Ebene'!D185)</f>
        <v>48</v>
      </c>
      <c r="E185" s="344" t="str">
        <f>IF('Éléments saisis (inputs)'!E185&lt;&gt;"",'Éléments saisis (inputs)'!E185,"")</f>
        <v>Mois</v>
      </c>
      <c r="F185" s="344"/>
    </row>
    <row r="186" spans="2:6" x14ac:dyDescent="0.35">
      <c r="B186" s="18"/>
      <c r="C186" s="344" t="str">
        <f>IF('Éléments saisis (inputs)'!C186&lt;&gt;"",'Éléments saisis (inputs)'!C186,"")</f>
        <v>Taux d’intérêt du leasing</v>
      </c>
      <c r="D186" s="354">
        <f>IF('Éléments saisis (inputs)'!D186&lt;&gt;"",'Éléments saisis (inputs)'!D186,'1a. Defaults Segment-Ebene'!D186)</f>
        <v>0.03</v>
      </c>
      <c r="E186" s="344" t="str">
        <f>IF('Éléments saisis (inputs)'!E186&lt;&gt;"",'Éléments saisis (inputs)'!E186,"")</f>
        <v/>
      </c>
      <c r="F186" s="344"/>
    </row>
    <row r="187" spans="2:6" x14ac:dyDescent="0.35">
      <c r="B187" s="18"/>
      <c r="C187" s="344" t="str">
        <f>IF('Éléments saisis (inputs)'!C187&lt;&gt;"",'Éléments saisis (inputs)'!C187,"")</f>
        <v>Prix d’acquisition, rabais de flotte du véhicule thermique inclus</v>
      </c>
      <c r="D187" s="355">
        <f>IF('Éléments saisis (inputs)'!D187&lt;&gt;"",'Éléments saisis (inputs)'!D187,'1a. Defaults Segment-Ebene'!D187)</f>
        <v>27219.464999999997</v>
      </c>
      <c r="E187" s="344" t="str">
        <f>IF('Éléments saisis (inputs)'!E187&lt;&gt;"",'Éléments saisis (inputs)'!E187,"")</f>
        <v>CHF</v>
      </c>
      <c r="F187" s="344"/>
    </row>
    <row r="188" spans="2:6" x14ac:dyDescent="0.35">
      <c r="B188" s="18"/>
      <c r="C188" s="344" t="str">
        <f>IF('Éléments saisis (inputs)'!C188&lt;&gt;"",'Éléments saisis (inputs)'!C188,"")</f>
        <v>Frais d’entretien et de réparation du véhicule thermique</v>
      </c>
      <c r="D188" s="350">
        <f>IF('Éléments saisis (inputs)'!D188&lt;&gt;"",'Éléments saisis (inputs)'!D188,'1a. Defaults Segment-Ebene'!D188)</f>
        <v>0.05</v>
      </c>
      <c r="E188" s="344" t="str">
        <f>IF('Éléments saisis (inputs)'!E188&lt;&gt;"",'Éléments saisis (inputs)'!E188,"")</f>
        <v>CHF/km</v>
      </c>
      <c r="F188" s="344"/>
    </row>
    <row r="189" spans="2:6" x14ac:dyDescent="0.35">
      <c r="B189" s="18"/>
      <c r="C189" s="344" t="str">
        <f>IF('Éléments saisis (inputs)'!C189&lt;&gt;"",'Éléments saisis (inputs)'!C189,"")</f>
        <v>Valeur résiduelle du véhicule thermique</v>
      </c>
      <c r="D189" s="356">
        <f>IF('Éléments saisis (inputs)'!D189&lt;&gt;"",'Éléments saisis (inputs)'!D189,'1a. Defaults Segment-Ebene'!D189)</f>
        <v>0.31606388888888887</v>
      </c>
      <c r="E189" s="344" t="str">
        <f>IF('Éléments saisis (inputs)'!E189&lt;&gt;"",'Éléments saisis (inputs)'!E189,"")</f>
        <v/>
      </c>
      <c r="F189" s="344"/>
    </row>
    <row r="190" spans="2:6" x14ac:dyDescent="0.35">
      <c r="B190" s="18"/>
      <c r="C190" s="27" t="str">
        <f>IF('Éléments saisis (inputs)'!C190&lt;&gt;"",'Éléments saisis (inputs)'!C190,"")</f>
        <v>Prix d’acquisition, rabais de flotte du véhicule électrique inclus</v>
      </c>
      <c r="D190" s="355">
        <f>IF('Éléments saisis (inputs)'!D190&lt;&gt;"",'Éléments saisis (inputs)'!D190,'1a. Defaults Segment-Ebene'!D190)</f>
        <v>28810.890000000003</v>
      </c>
      <c r="E190" s="344" t="str">
        <f>IF('Éléments saisis (inputs)'!E190&lt;&gt;"",'Éléments saisis (inputs)'!E190,"")</f>
        <v>CHF</v>
      </c>
      <c r="F190" s="344"/>
    </row>
    <row r="191" spans="2:6" x14ac:dyDescent="0.35">
      <c r="B191" s="18"/>
      <c r="C191" s="344" t="str">
        <f>IF('Éléments saisis (inputs)'!C191&lt;&gt;"",'Éléments saisis (inputs)'!C191,"")</f>
        <v>Frais d’entretien et de réparation du véhicule électrique</v>
      </c>
      <c r="D191" s="363">
        <f>IF('Éléments saisis (inputs)'!D191&lt;&gt;"",'Éléments saisis (inputs)'!D191,'1a. Defaults Segment-Ebene'!D191)</f>
        <v>2.5000000000000001E-2</v>
      </c>
      <c r="E191" s="344" t="str">
        <f>IF('Éléments saisis (inputs)'!E191&lt;&gt;"",'Éléments saisis (inputs)'!E191,"")</f>
        <v>CHF/km</v>
      </c>
      <c r="F191" s="344"/>
    </row>
    <row r="192" spans="2:6" x14ac:dyDescent="0.35">
      <c r="B192" s="18"/>
      <c r="C192" s="344" t="str">
        <f>IF('Éléments saisis (inputs)'!C192&lt;&gt;"",'Éléments saisis (inputs)'!C192,"")</f>
        <v>Valeur résiduelle du véhicule électrique</v>
      </c>
      <c r="D192" s="356">
        <f>IF('Éléments saisis (inputs)'!D192&lt;&gt;"",'Éléments saisis (inputs)'!D192,'1a. Defaults Segment-Ebene'!D192)</f>
        <v>0.30658197222222217</v>
      </c>
      <c r="E192" s="344" t="str">
        <f>IF('Éléments saisis (inputs)'!E192&lt;&gt;"",'Éléments saisis (inputs)'!E192,"")</f>
        <v/>
      </c>
      <c r="F192" s="344"/>
    </row>
    <row r="193" spans="2:6" x14ac:dyDescent="0.35">
      <c r="C193" s="283" t="str">
        <f>IF('Éléments saisis (inputs)'!C193&lt;&gt;"",'Éléments saisis (inputs)'!C193,"")</f>
        <v/>
      </c>
      <c r="D193" s="478"/>
      <c r="E193" s="283" t="str">
        <f>IF('Éléments saisis (inputs)'!E193&lt;&gt;"",'Éléments saisis (inputs)'!E193,"")</f>
        <v/>
      </c>
      <c r="F193" s="283"/>
    </row>
    <row r="194" spans="2:6" x14ac:dyDescent="0.35">
      <c r="C194" s="283" t="str">
        <f>IF('Éléments saisis (inputs)'!C194&lt;&gt;"",'Éléments saisis (inputs)'!C194,"")</f>
        <v/>
      </c>
      <c r="D194" s="478"/>
      <c r="E194" s="283" t="str">
        <f>IF('Éléments saisis (inputs)'!E194&lt;&gt;"",'Éléments saisis (inputs)'!E194,"")</f>
        <v/>
      </c>
      <c r="F194" s="283"/>
    </row>
    <row r="195" spans="2:6" ht="15" x14ac:dyDescent="0.35">
      <c r="B195" s="11" t="s">
        <v>58</v>
      </c>
      <c r="C195" s="11" t="str">
        <f>IF('Éléments saisis (inputs)'!C195&lt;&gt;"",'Éléments saisis (inputs)'!C195,"")</f>
        <v>Segment F</v>
      </c>
      <c r="D195" s="26">
        <f>D159+1</f>
        <v>6</v>
      </c>
      <c r="E195" s="13" t="str">
        <f>IF('Éléments saisis (inputs)'!E195&lt;&gt;"",'Éléments saisis (inputs)'!E195,"")</f>
        <v/>
      </c>
      <c r="F195" s="13"/>
    </row>
    <row r="196" spans="2:6" ht="18.899999999999999" x14ac:dyDescent="0.45">
      <c r="B196" s="18"/>
      <c r="C196" s="23" t="str">
        <f>IF('Éléments saisis (inputs)'!C196&lt;&gt;"",'Éléments saisis (inputs)'!C196,"")</f>
        <v/>
      </c>
      <c r="D196" s="24"/>
      <c r="E196" s="25" t="str">
        <f>IF('Éléments saisis (inputs)'!E196&lt;&gt;"",'Éléments saisis (inputs)'!E196,"")</f>
        <v/>
      </c>
      <c r="F196" s="25"/>
    </row>
    <row r="197" spans="2:6" x14ac:dyDescent="0.35">
      <c r="B197" s="18"/>
      <c r="C197" s="20" t="str">
        <f>IF('Éléments saisis (inputs)'!C197&lt;&gt;"",'Éléments saisis (inputs)'!C197,"")</f>
        <v>Structure des segments</v>
      </c>
      <c r="D197" s="343"/>
      <c r="E197" s="344" t="str">
        <f>IF('Éléments saisis (inputs)'!E197&lt;&gt;"",'Éléments saisis (inputs)'!E197,"")</f>
        <v/>
      </c>
      <c r="F197" s="344"/>
    </row>
    <row r="198" spans="2:6" x14ac:dyDescent="0.35">
      <c r="B198" s="18"/>
      <c r="C198" s="344" t="str">
        <f>IF('Éléments saisis (inputs)'!C198&lt;&gt;"",'Éléments saisis (inputs)'!C198,"")</f>
        <v>Nombre de véhicules</v>
      </c>
      <c r="D198" s="349">
        <f>IF(D195&lt;=$D$12,'Éléments saisis (inputs)'!D198,0)</f>
        <v>0</v>
      </c>
      <c r="E198" s="344" t="str">
        <f>IF('Éléments saisis (inputs)'!E198&lt;&gt;"",'Éléments saisis (inputs)'!E198,"")</f>
        <v/>
      </c>
      <c r="F198" s="344"/>
    </row>
    <row r="199" spans="2:6" x14ac:dyDescent="0.35">
      <c r="B199" s="18"/>
      <c r="C199" s="344" t="str">
        <f>IF('Éléments saisis (inputs)'!C199&lt;&gt;"",'Éléments saisis (inputs)'!C199,"")</f>
        <v>Type d’utilisation</v>
      </c>
      <c r="D199" s="362" t="str">
        <f>'Éléments saisis (inputs)'!D199</f>
        <v>Véhicules de pool</v>
      </c>
      <c r="E199" s="344" t="str">
        <f>IF('Éléments saisis (inputs)'!E199&lt;&gt;"",'Éléments saisis (inputs)'!E199,"")</f>
        <v/>
      </c>
      <c r="F199" s="344"/>
    </row>
    <row r="200" spans="2:6" x14ac:dyDescent="0.35">
      <c r="B200" s="18"/>
      <c r="C200" s="344" t="str">
        <f>IF('Éléments saisis (inputs)'!C200&lt;&gt;"",'Éléments saisis (inputs)'!C200,"")</f>
        <v>Domaine d’utilisation</v>
      </c>
      <c r="D200" s="349" t="str">
        <f>'Éléments saisis (inputs)'!D200</f>
        <v>Niveau régional</v>
      </c>
      <c r="E200" s="344" t="str">
        <f>IF('Éléments saisis (inputs)'!E200&lt;&gt;"",'Éléments saisis (inputs)'!E200,"")</f>
        <v/>
      </c>
      <c r="F200" s="344"/>
    </row>
    <row r="201" spans="2:6" x14ac:dyDescent="0.35">
      <c r="B201" s="18"/>
      <c r="C201" s="344" t="str">
        <f>IF('Éléments saisis (inputs)'!C201&lt;&gt;"",'Éléments saisis (inputs)'!C201,"")</f>
        <v>Possibilité de recharge à domicile</v>
      </c>
      <c r="D201" s="349" cm="1">
        <f t="array" aca="1" ref="D201" ca="1">INDEX(OFFSET(Heimladen,0,1),_xlfn.XMATCH('Éléments saisis (inputs)'!D201,Heimladen))</f>
        <v>0</v>
      </c>
      <c r="E201" s="344" t="str">
        <f>IF('Éléments saisis (inputs)'!E201&lt;&gt;"",'Éléments saisis (inputs)'!E201,"")</f>
        <v/>
      </c>
      <c r="F201" s="344"/>
    </row>
    <row r="202" spans="2:6" x14ac:dyDescent="0.35">
      <c r="B202" s="18"/>
      <c r="C202" s="344" t="str">
        <f>IF('Éléments saisis (inputs)'!C202&lt;&gt;"",'Éléments saisis (inputs)'!C202,"")</f>
        <v/>
      </c>
      <c r="D202" s="343"/>
      <c r="E202" s="344" t="str">
        <f>IF('Éléments saisis (inputs)'!E202&lt;&gt;"",'Éléments saisis (inputs)'!E202,"")</f>
        <v/>
      </c>
      <c r="F202" s="344"/>
    </row>
    <row r="203" spans="2:6" x14ac:dyDescent="0.35">
      <c r="B203" s="18"/>
      <c r="C203" s="22" t="str">
        <f>IF('Éléments saisis (inputs)'!C203&lt;&gt;"",'Éléments saisis (inputs)'!C203,"")</f>
        <v>Données du véhicule</v>
      </c>
      <c r="D203" s="343"/>
      <c r="E203" s="344" t="str">
        <f>IF('Éléments saisis (inputs)'!E203&lt;&gt;"",'Éléments saisis (inputs)'!E203,"")</f>
        <v/>
      </c>
      <c r="F203" s="344"/>
    </row>
    <row r="204" spans="2:6" x14ac:dyDescent="0.35">
      <c r="B204" s="18"/>
      <c r="C204" s="344" t="str">
        <f>IF('Éléments saisis (inputs)'!C204&lt;&gt;"",'Éléments saisis (inputs)'!C204,"")</f>
        <v>Taille du véhicule</v>
      </c>
      <c r="D204" s="349" t="str">
        <f>'Éléments saisis (inputs)'!D204</f>
        <v>Catégorie moyenne</v>
      </c>
      <c r="E204" s="344" t="str">
        <f>IF('Éléments saisis (inputs)'!E204&lt;&gt;"",'Éléments saisis (inputs)'!E204,"")</f>
        <v/>
      </c>
      <c r="F204" s="344"/>
    </row>
    <row r="205" spans="2:6" x14ac:dyDescent="0.35">
      <c r="B205" s="18"/>
      <c r="C205" s="344" t="str">
        <f>IF('Éléments saisis (inputs)'!C205&lt;&gt;"",'Éléments saisis (inputs)'!C205,"")</f>
        <v>Consommation de carburant du véhicule thermique</v>
      </c>
      <c r="D205" s="350">
        <f>IF('Éléments saisis (inputs)'!D205&lt;&gt;"",'Éléments saisis (inputs)'!D205,'1a. Defaults Segment-Ebene'!D205)</f>
        <v>5.8</v>
      </c>
      <c r="E205" s="344" t="str">
        <f>IF('Éléments saisis (inputs)'!E205&lt;&gt;"",'Éléments saisis (inputs)'!E205,"")</f>
        <v>l/100 km</v>
      </c>
      <c r="F205" s="344"/>
    </row>
    <row r="206" spans="2:6" x14ac:dyDescent="0.35">
      <c r="B206" s="18"/>
      <c r="C206" s="344" t="str">
        <f>IF('Éléments saisis (inputs)'!C206&lt;&gt;"",'Éléments saisis (inputs)'!C206,"")</f>
        <v>Consommation énergétique du véhicule électrique</v>
      </c>
      <c r="D206" s="350">
        <f>IF('Éléments saisis (inputs)'!D206&lt;&gt;"",'Éléments saisis (inputs)'!D206,'1a. Defaults Segment-Ebene'!D206)</f>
        <v>15.1</v>
      </c>
      <c r="E206" s="344" t="str">
        <f>IF('Éléments saisis (inputs)'!E206&lt;&gt;"",'Éléments saisis (inputs)'!E206,"")</f>
        <v>kWh/100 km</v>
      </c>
      <c r="F206" s="344"/>
    </row>
    <row r="207" spans="2:6" x14ac:dyDescent="0.35">
      <c r="B207" s="18"/>
      <c r="C207" s="344" t="str">
        <f>IF('Éléments saisis (inputs)'!C207&lt;&gt;"",'Éléments saisis (inputs)'!C207,"")</f>
        <v>Capacité de la batterie (nette)</v>
      </c>
      <c r="D207" s="350">
        <f>IF('Éléments saisis (inputs)'!D207&lt;&gt;"",'Éléments saisis (inputs)'!D207,'1a. Defaults Segment-Ebene'!D207)</f>
        <v>58.625</v>
      </c>
      <c r="E207" s="344" t="str">
        <f>IF('Éléments saisis (inputs)'!E207&lt;&gt;"",'Éléments saisis (inputs)'!E207,"")</f>
        <v>kWh</v>
      </c>
      <c r="F207" s="344"/>
    </row>
    <row r="208" spans="2:6" x14ac:dyDescent="0.35">
      <c r="B208" s="18"/>
      <c r="C208" s="344" t="str">
        <f>IF('Éléments saisis (inputs)'!C208&lt;&gt;"",'Éléments saisis (inputs)'!C208,"")</f>
        <v/>
      </c>
      <c r="D208" s="343"/>
      <c r="E208" s="344" t="str">
        <f>IF('Éléments saisis (inputs)'!E208&lt;&gt;"",'Éléments saisis (inputs)'!E208,"")</f>
        <v/>
      </c>
      <c r="F208" s="344"/>
    </row>
    <row r="209" spans="2:6" x14ac:dyDescent="0.35">
      <c r="B209" s="18"/>
      <c r="C209" s="20" t="str">
        <f>IF('Éléments saisis (inputs)'!C209&lt;&gt;"",'Éléments saisis (inputs)'!C209,"")</f>
        <v>Profil de conduite et d’utilisation (indication par véhicule)</v>
      </c>
      <c r="D209" s="343"/>
      <c r="E209" s="344" t="str">
        <f>IF('Éléments saisis (inputs)'!E209&lt;&gt;"",'Éléments saisis (inputs)'!E209,"")</f>
        <v/>
      </c>
      <c r="F209" s="344"/>
    </row>
    <row r="210" spans="2:6" x14ac:dyDescent="0.35">
      <c r="B210" s="18"/>
      <c r="C210" s="344" t="str">
        <f>IF('Éléments saisis (inputs)'!C210&lt;&gt;"",'Éléments saisis (inputs)'!C210,"")</f>
        <v>Modèle d’utilisation</v>
      </c>
      <c r="D210" s="349" t="str">
        <f>'Éléments saisis (inputs)'!D210</f>
        <v>Exploitation pendant les jours ouvrables</v>
      </c>
      <c r="E210" s="344" t="str">
        <f>IF('Éléments saisis (inputs)'!E210&lt;&gt;"",'Éléments saisis (inputs)'!E210,"")</f>
        <v/>
      </c>
      <c r="F210" s="344"/>
    </row>
    <row r="211" spans="2:6" x14ac:dyDescent="0.35">
      <c r="B211" s="18"/>
      <c r="C211" s="344" t="str">
        <f>IF('Éléments saisis (inputs)'!C211&lt;&gt;"",'Éléments saisis (inputs)'!C211,"")</f>
        <v>Nombre de jours de travail par an</v>
      </c>
      <c r="D211" s="350">
        <f>IF('Éléments saisis (inputs)'!D211&lt;&gt;"",'Éléments saisis (inputs)'!D211,'1a. Defaults Segment-Ebene'!D211)</f>
        <v>260</v>
      </c>
      <c r="E211" s="344" t="str">
        <f>IF('Éléments saisis (inputs)'!E211&lt;&gt;"",'Éléments saisis (inputs)'!E211,"")</f>
        <v/>
      </c>
      <c r="F211" s="344"/>
    </row>
    <row r="212" spans="2:6" x14ac:dyDescent="0.35">
      <c r="B212" s="18"/>
      <c r="C212" s="344" t="str">
        <f>IF('Éléments saisis (inputs)'!C212&lt;&gt;"",'Éléments saisis (inputs)'!C212,"")</f>
        <v>Distance parcourue pendant le temps de travail</v>
      </c>
      <c r="D212" s="350">
        <f>IF('Éléments saisis (inputs)'!D212&lt;&gt;"",'Éléments saisis (inputs)'!D212,'1a. Defaults Segment-Ebene'!D212)</f>
        <v>100</v>
      </c>
      <c r="E212" s="344" t="str">
        <f>IF('Éléments saisis (inputs)'!E212&lt;&gt;"",'Éléments saisis (inputs)'!E212,"")</f>
        <v>km/jour</v>
      </c>
      <c r="F212" s="344"/>
    </row>
    <row r="213" spans="2:6" x14ac:dyDescent="0.35">
      <c r="B213" s="18"/>
      <c r="C213" s="344" t="str">
        <f>IF('Éléments saisis (inputs)'!C213&lt;&gt;"",'Éléments saisis (inputs)'!C213,"")</f>
        <v>Distance domicile-travail (aller-retour)</v>
      </c>
      <c r="D213" s="350">
        <f>(_xlfn.XMATCH(D199,Einsatzart)-1)*IF('Éléments saisis (inputs)'!D213&lt;&gt;"",'Éléments saisis (inputs)'!D213,'1a. Defaults Segment-Ebene'!D213)</f>
        <v>0</v>
      </c>
      <c r="E213" s="344" t="str">
        <f>IF('Éléments saisis (inputs)'!E213&lt;&gt;"",'Éléments saisis (inputs)'!E213,"")</f>
        <v>km/jour</v>
      </c>
      <c r="F213" s="344"/>
    </row>
    <row r="214" spans="2:6" x14ac:dyDescent="0.35">
      <c r="B214" s="18"/>
      <c r="C214" s="344" t="str">
        <f>IF('Éléments saisis (inputs)'!C214&lt;&gt;"",'Éléments saisis (inputs)'!C214,"")</f>
        <v>Nombre d’utilisations par jour</v>
      </c>
      <c r="D214" s="350">
        <f>IF('Éléments saisis (inputs)'!D214&lt;&gt;"",'Éléments saisis (inputs)'!D214,'1a. Defaults Segment-Ebene'!D214)</f>
        <v>1</v>
      </c>
      <c r="E214" s="344" t="str">
        <f>IF('Éléments saisis (inputs)'!E214&lt;&gt;"",'Éléments saisis (inputs)'!E214,"")</f>
        <v/>
      </c>
      <c r="F214" s="344"/>
    </row>
    <row r="215" spans="2:6" x14ac:dyDescent="0.35">
      <c r="B215" s="18"/>
      <c r="C215" s="344" t="str">
        <f>IF('Éléments saisis (inputs)'!C215&lt;&gt;"",'Éléments saisis (inputs)'!C215,"")</f>
        <v>Nombre de pauses par jour</v>
      </c>
      <c r="D215" s="350">
        <f>'Éléments saisis (inputs)'!D215</f>
        <v>1</v>
      </c>
      <c r="E215" s="344" t="str">
        <f>IF('Éléments saisis (inputs)'!E215&lt;&gt;"",'Éléments saisis (inputs)'!E215,"")</f>
        <v/>
      </c>
      <c r="F215" s="344"/>
    </row>
    <row r="216" spans="2:6" x14ac:dyDescent="0.35">
      <c r="B216" s="18"/>
      <c r="C216" s="344" t="str">
        <f>IF('Éléments saisis (inputs)'!C216&lt;&gt;"",'Éléments saisis (inputs)'!C216,"")</f>
        <v>Durée d’immobilisation par pause sur le site de l’entreprise</v>
      </c>
      <c r="D216" s="350">
        <f>IF('Éléments saisis (inputs)'!D216&lt;&gt;"",'Éléments saisis (inputs)'!D216,'1a. Defaults Segment-Ebene'!D216)</f>
        <v>1</v>
      </c>
      <c r="E216" s="344" t="str">
        <f>IF('Éléments saisis (inputs)'!E216&lt;&gt;"",'Éléments saisis (inputs)'!E216,"")</f>
        <v>Heures</v>
      </c>
      <c r="F216" s="344"/>
    </row>
    <row r="217" spans="2:6" x14ac:dyDescent="0.35">
      <c r="B217" s="18"/>
      <c r="C217" s="344" t="str">
        <f>IF('Éléments saisis (inputs)'!C217&lt;&gt;"",'Éléments saisis (inputs)'!C217,"")</f>
        <v>Durée d’immobilisation pendant la nuit</v>
      </c>
      <c r="D217" s="350">
        <f ca="1">IF('Éléments saisis (inputs)'!D217&lt;&gt;"",'Éléments saisis (inputs)'!D217,'1a. Defaults Segment-Ebene'!D217)*IF(AND(_xlfn.XMATCH(D199,Einsatzart)=2,NOT(D201)),0,1)</f>
        <v>8</v>
      </c>
      <c r="E217" s="344" t="str">
        <f>IF('Éléments saisis (inputs)'!E217&lt;&gt;"",'Éléments saisis (inputs)'!E217,"")</f>
        <v>Heures</v>
      </c>
      <c r="F217" s="344"/>
    </row>
    <row r="218" spans="2:6" x14ac:dyDescent="0.35">
      <c r="B218" s="18"/>
      <c r="C218" s="344" t="str">
        <f>IF('Éléments saisis (inputs)'!C218&lt;&gt;"",'Éléments saisis (inputs)'!C218,"")</f>
        <v>Véhicules par point de recharge, site de l’entreprise (pendant la journée)</v>
      </c>
      <c r="D218" s="350">
        <f>IF('Éléments saisis (inputs)'!D218&lt;&gt;"",'Éléments saisis (inputs)'!D218,'1a. Defaults Segment-Ebene'!D218)</f>
        <v>1</v>
      </c>
      <c r="E218" s="344" t="str">
        <f>IF('Éléments saisis (inputs)'!E218&lt;&gt;"",'Éléments saisis (inputs)'!E218,"")</f>
        <v/>
      </c>
      <c r="F218" s="344"/>
    </row>
    <row r="219" spans="2:6" x14ac:dyDescent="0.35">
      <c r="B219" s="18"/>
      <c r="C219" s="344" t="str">
        <f>IF('Éléments saisis (inputs)'!C219&lt;&gt;"",'Éléments saisis (inputs)'!C219,"")</f>
        <v/>
      </c>
      <c r="D219" s="343"/>
      <c r="E219" s="344" t="str">
        <f>IF('Éléments saisis (inputs)'!E219&lt;&gt;"",'Éléments saisis (inputs)'!E219,"")</f>
        <v/>
      </c>
      <c r="F219" s="344"/>
    </row>
    <row r="220" spans="2:6" x14ac:dyDescent="0.35">
      <c r="B220" s="18"/>
      <c r="C220" s="20" t="str">
        <f>IF('Éléments saisis (inputs)'!C220&lt;&gt;"",'Éléments saisis (inputs)'!C220,"")</f>
        <v>Coûts (indication par véhicule)</v>
      </c>
      <c r="D220" s="343"/>
      <c r="E220" s="344" t="str">
        <f>IF('Éléments saisis (inputs)'!E220&lt;&gt;"",'Éléments saisis (inputs)'!E220,"")</f>
        <v/>
      </c>
      <c r="F220" s="344"/>
    </row>
    <row r="221" spans="2:6" x14ac:dyDescent="0.35">
      <c r="B221" s="18"/>
      <c r="C221" s="344" t="str">
        <f>IF('Éléments saisis (inputs)'!C221&lt;&gt;"",'Éléments saisis (inputs)'!C221,"")</f>
        <v>Durée</v>
      </c>
      <c r="D221" s="350">
        <f>IF('Éléments saisis (inputs)'!D221&lt;&gt;"",'Éléments saisis (inputs)'!D221,'1a. Defaults Segment-Ebene'!D221)</f>
        <v>48</v>
      </c>
      <c r="E221" s="344" t="str">
        <f>IF('Éléments saisis (inputs)'!E221&lt;&gt;"",'Éléments saisis (inputs)'!E221,"")</f>
        <v>Mois</v>
      </c>
      <c r="F221" s="344"/>
    </row>
    <row r="222" spans="2:6" x14ac:dyDescent="0.35">
      <c r="B222" s="18"/>
      <c r="C222" s="344" t="str">
        <f>IF('Éléments saisis (inputs)'!C222&lt;&gt;"",'Éléments saisis (inputs)'!C222,"")</f>
        <v>Taux d’intérêt du leasing</v>
      </c>
      <c r="D222" s="354">
        <f>IF('Éléments saisis (inputs)'!D222&lt;&gt;"",'Éléments saisis (inputs)'!D222,'1a. Defaults Segment-Ebene'!D222)</f>
        <v>0.03</v>
      </c>
      <c r="E222" s="344" t="str">
        <f>IF('Éléments saisis (inputs)'!E222&lt;&gt;"",'Éléments saisis (inputs)'!E222,"")</f>
        <v/>
      </c>
      <c r="F222" s="344"/>
    </row>
    <row r="223" spans="2:6" x14ac:dyDescent="0.35">
      <c r="B223" s="18"/>
      <c r="C223" s="344" t="str">
        <f>IF('Éléments saisis (inputs)'!C223&lt;&gt;"",'Éléments saisis (inputs)'!C223,"")</f>
        <v>Prix d’acquisition, rabais de flotte du véhicule thermique inclus</v>
      </c>
      <c r="D223" s="355">
        <f>IF('Éléments saisis (inputs)'!D223&lt;&gt;"",'Éléments saisis (inputs)'!D223,'1a. Defaults Segment-Ebene'!D223)</f>
        <v>27219.464999999997</v>
      </c>
      <c r="E223" s="344" t="str">
        <f>IF('Éléments saisis (inputs)'!E223&lt;&gt;"",'Éléments saisis (inputs)'!E223,"")</f>
        <v>CHF</v>
      </c>
      <c r="F223" s="344"/>
    </row>
    <row r="224" spans="2:6" x14ac:dyDescent="0.35">
      <c r="B224" s="18"/>
      <c r="C224" s="344" t="str">
        <f>IF('Éléments saisis (inputs)'!C224&lt;&gt;"",'Éléments saisis (inputs)'!C224,"")</f>
        <v>Frais d’entretien et de réparation du véhicule thermique</v>
      </c>
      <c r="D224" s="350">
        <f>IF('Éléments saisis (inputs)'!D224&lt;&gt;"",'Éléments saisis (inputs)'!D224,'1a. Defaults Segment-Ebene'!D224)</f>
        <v>0.05</v>
      </c>
      <c r="E224" s="344" t="str">
        <f>IF('Éléments saisis (inputs)'!E224&lt;&gt;"",'Éléments saisis (inputs)'!E224,"")</f>
        <v>CHF/km</v>
      </c>
      <c r="F224" s="344"/>
    </row>
    <row r="225" spans="2:6" x14ac:dyDescent="0.35">
      <c r="B225" s="18"/>
      <c r="C225" s="344" t="str">
        <f>IF('Éléments saisis (inputs)'!C225&lt;&gt;"",'Éléments saisis (inputs)'!C225,"")</f>
        <v>Valeur résiduelle du véhicule thermique</v>
      </c>
      <c r="D225" s="356">
        <f>IF('Éléments saisis (inputs)'!D225&lt;&gt;"",'Éléments saisis (inputs)'!D225,'1a. Defaults Segment-Ebene'!D225)</f>
        <v>0.31606388888888887</v>
      </c>
      <c r="E225" s="344" t="str">
        <f>IF('Éléments saisis (inputs)'!E225&lt;&gt;"",'Éléments saisis (inputs)'!E225,"")</f>
        <v/>
      </c>
      <c r="F225" s="344"/>
    </row>
    <row r="226" spans="2:6" x14ac:dyDescent="0.35">
      <c r="B226" s="18"/>
      <c r="C226" s="27" t="str">
        <f>IF('Éléments saisis (inputs)'!C226&lt;&gt;"",'Éléments saisis (inputs)'!C226,"")</f>
        <v>Prix d’acquisition, rabais de flotte du véhicule électrique inclus</v>
      </c>
      <c r="D226" s="355">
        <f>IF('Éléments saisis (inputs)'!D226&lt;&gt;"",'Éléments saisis (inputs)'!D226,'1a. Defaults Segment-Ebene'!D226)</f>
        <v>28810.890000000003</v>
      </c>
      <c r="E226" s="344" t="str">
        <f>IF('Éléments saisis (inputs)'!E226&lt;&gt;"",'Éléments saisis (inputs)'!E226,"")</f>
        <v>CHF</v>
      </c>
      <c r="F226" s="344"/>
    </row>
    <row r="227" spans="2:6" x14ac:dyDescent="0.35">
      <c r="B227" s="18"/>
      <c r="C227" s="344" t="str">
        <f>IF('Éléments saisis (inputs)'!C227&lt;&gt;"",'Éléments saisis (inputs)'!C227,"")</f>
        <v>Frais d’entretien et de réparation du véhicule électrique</v>
      </c>
      <c r="D227" s="363">
        <f>IF('Éléments saisis (inputs)'!D227&lt;&gt;"",'Éléments saisis (inputs)'!D227,'1a. Defaults Segment-Ebene'!D227)</f>
        <v>2.5000000000000001E-2</v>
      </c>
      <c r="E227" s="344" t="str">
        <f>IF('Éléments saisis (inputs)'!E227&lt;&gt;"",'Éléments saisis (inputs)'!E227,"")</f>
        <v>CHF/km</v>
      </c>
      <c r="F227" s="344"/>
    </row>
    <row r="228" spans="2:6" x14ac:dyDescent="0.35">
      <c r="B228" s="18"/>
      <c r="C228" s="344" t="str">
        <f>IF('Éléments saisis (inputs)'!C228&lt;&gt;"",'Éléments saisis (inputs)'!C228,"")</f>
        <v>Valeur résiduelle du véhicule électrique</v>
      </c>
      <c r="D228" s="356">
        <f>IF('Éléments saisis (inputs)'!D228&lt;&gt;"",'Éléments saisis (inputs)'!D228,'1a. Defaults Segment-Ebene'!D228)</f>
        <v>0.30658197222222217</v>
      </c>
      <c r="E228" s="344" t="str">
        <f>IF('Éléments saisis (inputs)'!E228&lt;&gt;"",'Éléments saisis (inputs)'!E228,"")</f>
        <v/>
      </c>
      <c r="F228" s="344"/>
    </row>
    <row r="229" spans="2:6" x14ac:dyDescent="0.35">
      <c r="C229" s="283" t="str">
        <f>IF('Éléments saisis (inputs)'!C229&lt;&gt;"",'Éléments saisis (inputs)'!C229,"")</f>
        <v/>
      </c>
      <c r="D229" s="478"/>
      <c r="E229" s="283" t="str">
        <f>IF('Éléments saisis (inputs)'!E229&lt;&gt;"",'Éléments saisis (inputs)'!E229,"")</f>
        <v/>
      </c>
      <c r="F229" s="283"/>
    </row>
    <row r="230" spans="2:6" x14ac:dyDescent="0.35">
      <c r="C230" s="283" t="str">
        <f>IF('Éléments saisis (inputs)'!C230&lt;&gt;"",'Éléments saisis (inputs)'!C230,"")</f>
        <v/>
      </c>
      <c r="D230" s="478"/>
      <c r="E230" s="283" t="str">
        <f>IF('Éléments saisis (inputs)'!E230&lt;&gt;"",'Éléments saisis (inputs)'!E230,"")</f>
        <v/>
      </c>
      <c r="F230" s="283"/>
    </row>
    <row r="231" spans="2:6" ht="15" x14ac:dyDescent="0.35">
      <c r="B231" s="11" t="s">
        <v>59</v>
      </c>
      <c r="C231" s="11" t="str">
        <f>IF('Éléments saisis (inputs)'!C231&lt;&gt;"",'Éléments saisis (inputs)'!C231,"")</f>
        <v>Segment G</v>
      </c>
      <c r="D231" s="26">
        <f>D195+1</f>
        <v>7</v>
      </c>
      <c r="E231" s="13" t="str">
        <f>IF('Éléments saisis (inputs)'!E231&lt;&gt;"",'Éléments saisis (inputs)'!E231,"")</f>
        <v/>
      </c>
      <c r="F231" s="13"/>
    </row>
    <row r="232" spans="2:6" ht="18.899999999999999" x14ac:dyDescent="0.45">
      <c r="B232" s="18"/>
      <c r="C232" s="23" t="str">
        <f>IF('Éléments saisis (inputs)'!C232&lt;&gt;"",'Éléments saisis (inputs)'!C232,"")</f>
        <v/>
      </c>
      <c r="D232" s="24"/>
      <c r="E232" s="25" t="str">
        <f>IF('Éléments saisis (inputs)'!E232&lt;&gt;"",'Éléments saisis (inputs)'!E232,"")</f>
        <v/>
      </c>
      <c r="F232" s="25"/>
    </row>
    <row r="233" spans="2:6" x14ac:dyDescent="0.35">
      <c r="B233" s="18"/>
      <c r="C233" s="20" t="str">
        <f>IF('Éléments saisis (inputs)'!C233&lt;&gt;"",'Éléments saisis (inputs)'!C233,"")</f>
        <v>Structure des segments</v>
      </c>
      <c r="D233" s="343"/>
      <c r="E233" s="344" t="str">
        <f>IF('Éléments saisis (inputs)'!E233&lt;&gt;"",'Éléments saisis (inputs)'!E233,"")</f>
        <v/>
      </c>
      <c r="F233" s="344"/>
    </row>
    <row r="234" spans="2:6" x14ac:dyDescent="0.35">
      <c r="B234" s="18"/>
      <c r="C234" s="344" t="str">
        <f>IF('Éléments saisis (inputs)'!C234&lt;&gt;"",'Éléments saisis (inputs)'!C234,"")</f>
        <v>Nombre de véhicules</v>
      </c>
      <c r="D234" s="349">
        <f>IF(D231&lt;=$D$12,'Éléments saisis (inputs)'!D234,0)</f>
        <v>0</v>
      </c>
      <c r="E234" s="344" t="str">
        <f>IF('Éléments saisis (inputs)'!E234&lt;&gt;"",'Éléments saisis (inputs)'!E234,"")</f>
        <v/>
      </c>
      <c r="F234" s="344"/>
    </row>
    <row r="235" spans="2:6" x14ac:dyDescent="0.35">
      <c r="B235" s="18"/>
      <c r="C235" s="344" t="str">
        <f>IF('Éléments saisis (inputs)'!C235&lt;&gt;"",'Éléments saisis (inputs)'!C235,"")</f>
        <v>Type d’utilisation</v>
      </c>
      <c r="D235" s="362" t="str">
        <f>'Éléments saisis (inputs)'!D235</f>
        <v>Véhicules de pool</v>
      </c>
      <c r="E235" s="344" t="str">
        <f>IF('Éléments saisis (inputs)'!E235&lt;&gt;"",'Éléments saisis (inputs)'!E235,"")</f>
        <v/>
      </c>
      <c r="F235" s="344"/>
    </row>
    <row r="236" spans="2:6" x14ac:dyDescent="0.35">
      <c r="B236" s="18"/>
      <c r="C236" s="344" t="str">
        <f>IF('Éléments saisis (inputs)'!C236&lt;&gt;"",'Éléments saisis (inputs)'!C236,"")</f>
        <v>Domaine d’utilisation</v>
      </c>
      <c r="D236" s="349" t="str">
        <f>'Éléments saisis (inputs)'!D236</f>
        <v>Niveau régional</v>
      </c>
      <c r="E236" s="344" t="str">
        <f>IF('Éléments saisis (inputs)'!E236&lt;&gt;"",'Éléments saisis (inputs)'!E236,"")</f>
        <v/>
      </c>
      <c r="F236" s="344"/>
    </row>
    <row r="237" spans="2:6" x14ac:dyDescent="0.35">
      <c r="B237" s="18"/>
      <c r="C237" s="344" t="str">
        <f>IF('Éléments saisis (inputs)'!C237&lt;&gt;"",'Éléments saisis (inputs)'!C237,"")</f>
        <v>Possibilité de recharge à domicile</v>
      </c>
      <c r="D237" s="349" cm="1">
        <f t="array" aca="1" ref="D237" ca="1">INDEX(OFFSET(Heimladen,0,1),_xlfn.XMATCH('Éléments saisis (inputs)'!D237,Heimladen))</f>
        <v>0</v>
      </c>
      <c r="E237" s="344" t="str">
        <f>IF('Éléments saisis (inputs)'!E237&lt;&gt;"",'Éléments saisis (inputs)'!E237,"")</f>
        <v/>
      </c>
      <c r="F237" s="344"/>
    </row>
    <row r="238" spans="2:6" x14ac:dyDescent="0.35">
      <c r="B238" s="18"/>
      <c r="C238" s="344" t="str">
        <f>IF('Éléments saisis (inputs)'!C238&lt;&gt;"",'Éléments saisis (inputs)'!C238,"")</f>
        <v/>
      </c>
      <c r="D238" s="343"/>
      <c r="E238" s="344" t="str">
        <f>IF('Éléments saisis (inputs)'!E238&lt;&gt;"",'Éléments saisis (inputs)'!E238,"")</f>
        <v/>
      </c>
      <c r="F238" s="344"/>
    </row>
    <row r="239" spans="2:6" x14ac:dyDescent="0.35">
      <c r="B239" s="18"/>
      <c r="C239" s="22" t="str">
        <f>IF('Éléments saisis (inputs)'!C239&lt;&gt;"",'Éléments saisis (inputs)'!C239,"")</f>
        <v>Données du véhicule</v>
      </c>
      <c r="D239" s="343"/>
      <c r="E239" s="344" t="str">
        <f>IF('Éléments saisis (inputs)'!E239&lt;&gt;"",'Éléments saisis (inputs)'!E239,"")</f>
        <v/>
      </c>
      <c r="F239" s="344"/>
    </row>
    <row r="240" spans="2:6" x14ac:dyDescent="0.35">
      <c r="B240" s="18"/>
      <c r="C240" s="344" t="str">
        <f>IF('Éléments saisis (inputs)'!C240&lt;&gt;"",'Éléments saisis (inputs)'!C240,"")</f>
        <v>Taille du véhicule</v>
      </c>
      <c r="D240" s="349" t="str">
        <f>'Éléments saisis (inputs)'!D240</f>
        <v>Catégorie moyenne</v>
      </c>
      <c r="E240" s="344" t="str">
        <f>IF('Éléments saisis (inputs)'!E240&lt;&gt;"",'Éléments saisis (inputs)'!E240,"")</f>
        <v/>
      </c>
      <c r="F240" s="344"/>
    </row>
    <row r="241" spans="2:6" x14ac:dyDescent="0.35">
      <c r="B241" s="18"/>
      <c r="C241" s="344" t="str">
        <f>IF('Éléments saisis (inputs)'!C241&lt;&gt;"",'Éléments saisis (inputs)'!C241,"")</f>
        <v>Consommation de carburant du véhicule thermique</v>
      </c>
      <c r="D241" s="350">
        <f>IF('Éléments saisis (inputs)'!D241&lt;&gt;"",'Éléments saisis (inputs)'!D241,'1a. Defaults Segment-Ebene'!D241)</f>
        <v>5.8</v>
      </c>
      <c r="E241" s="344" t="str">
        <f>IF('Éléments saisis (inputs)'!E241&lt;&gt;"",'Éléments saisis (inputs)'!E241,"")</f>
        <v>l/100 km</v>
      </c>
      <c r="F241" s="344"/>
    </row>
    <row r="242" spans="2:6" x14ac:dyDescent="0.35">
      <c r="B242" s="18"/>
      <c r="C242" s="344" t="str">
        <f>IF('Éléments saisis (inputs)'!C242&lt;&gt;"",'Éléments saisis (inputs)'!C242,"")</f>
        <v>Consommation énergétique du véhicule électrique</v>
      </c>
      <c r="D242" s="350">
        <f>IF('Éléments saisis (inputs)'!D242&lt;&gt;"",'Éléments saisis (inputs)'!D242,'1a. Defaults Segment-Ebene'!D242)</f>
        <v>15.1</v>
      </c>
      <c r="E242" s="344" t="str">
        <f>IF('Éléments saisis (inputs)'!E242&lt;&gt;"",'Éléments saisis (inputs)'!E242,"")</f>
        <v>kWh/100 km</v>
      </c>
      <c r="F242" s="344"/>
    </row>
    <row r="243" spans="2:6" x14ac:dyDescent="0.35">
      <c r="B243" s="18"/>
      <c r="C243" s="344" t="str">
        <f>IF('Éléments saisis (inputs)'!C243&lt;&gt;"",'Éléments saisis (inputs)'!C243,"")</f>
        <v>Capacité de la batterie (nette)</v>
      </c>
      <c r="D243" s="350">
        <f>IF('Éléments saisis (inputs)'!D243&lt;&gt;"",'Éléments saisis (inputs)'!D243,'1a. Defaults Segment-Ebene'!D243)</f>
        <v>58.625</v>
      </c>
      <c r="E243" s="344" t="str">
        <f>IF('Éléments saisis (inputs)'!E243&lt;&gt;"",'Éléments saisis (inputs)'!E243,"")</f>
        <v>kWh</v>
      </c>
      <c r="F243" s="344"/>
    </row>
    <row r="244" spans="2:6" x14ac:dyDescent="0.35">
      <c r="B244" s="18"/>
      <c r="C244" s="344" t="str">
        <f>IF('Éléments saisis (inputs)'!C244&lt;&gt;"",'Éléments saisis (inputs)'!C244,"")</f>
        <v/>
      </c>
      <c r="D244" s="343"/>
      <c r="E244" s="344" t="str">
        <f>IF('Éléments saisis (inputs)'!E244&lt;&gt;"",'Éléments saisis (inputs)'!E244,"")</f>
        <v/>
      </c>
      <c r="F244" s="344"/>
    </row>
    <row r="245" spans="2:6" x14ac:dyDescent="0.35">
      <c r="B245" s="18"/>
      <c r="C245" s="20" t="str">
        <f>IF('Éléments saisis (inputs)'!C245&lt;&gt;"",'Éléments saisis (inputs)'!C245,"")</f>
        <v>Profil de conduite et d’utilisation (indication par véhicule)</v>
      </c>
      <c r="D245" s="343"/>
      <c r="E245" s="344" t="str">
        <f>IF('Éléments saisis (inputs)'!E245&lt;&gt;"",'Éléments saisis (inputs)'!E245,"")</f>
        <v/>
      </c>
      <c r="F245" s="344"/>
    </row>
    <row r="246" spans="2:6" x14ac:dyDescent="0.35">
      <c r="B246" s="18"/>
      <c r="C246" s="344" t="str">
        <f>IF('Éléments saisis (inputs)'!C246&lt;&gt;"",'Éléments saisis (inputs)'!C246,"")</f>
        <v>Modèle d’utilisation</v>
      </c>
      <c r="D246" s="349" t="str">
        <f>'Éléments saisis (inputs)'!D246</f>
        <v>Exploitation pendant les jours ouvrables</v>
      </c>
      <c r="E246" s="344" t="str">
        <f>IF('Éléments saisis (inputs)'!E246&lt;&gt;"",'Éléments saisis (inputs)'!E246,"")</f>
        <v/>
      </c>
      <c r="F246" s="344"/>
    </row>
    <row r="247" spans="2:6" x14ac:dyDescent="0.35">
      <c r="B247" s="18"/>
      <c r="C247" s="344" t="str">
        <f>IF('Éléments saisis (inputs)'!C247&lt;&gt;"",'Éléments saisis (inputs)'!C247,"")</f>
        <v>Nombre de jours de travail par an</v>
      </c>
      <c r="D247" s="350">
        <f>IF('Éléments saisis (inputs)'!D247&lt;&gt;"",'Éléments saisis (inputs)'!D247,'1a. Defaults Segment-Ebene'!D247)</f>
        <v>260</v>
      </c>
      <c r="E247" s="344" t="str">
        <f>IF('Éléments saisis (inputs)'!E247&lt;&gt;"",'Éléments saisis (inputs)'!E247,"")</f>
        <v/>
      </c>
      <c r="F247" s="344"/>
    </row>
    <row r="248" spans="2:6" x14ac:dyDescent="0.35">
      <c r="B248" s="18"/>
      <c r="C248" s="344" t="str">
        <f>IF('Éléments saisis (inputs)'!C248&lt;&gt;"",'Éléments saisis (inputs)'!C248,"")</f>
        <v>Distance parcourue pendant le temps de travail</v>
      </c>
      <c r="D248" s="350">
        <f>IF('Éléments saisis (inputs)'!D248&lt;&gt;"",'Éléments saisis (inputs)'!D248,'1a. Defaults Segment-Ebene'!D248)</f>
        <v>100</v>
      </c>
      <c r="E248" s="344" t="str">
        <f>IF('Éléments saisis (inputs)'!E248&lt;&gt;"",'Éléments saisis (inputs)'!E248,"")</f>
        <v>km/jour</v>
      </c>
      <c r="F248" s="344"/>
    </row>
    <row r="249" spans="2:6" x14ac:dyDescent="0.35">
      <c r="B249" s="18"/>
      <c r="C249" s="344" t="str">
        <f>IF('Éléments saisis (inputs)'!C249&lt;&gt;"",'Éléments saisis (inputs)'!C249,"")</f>
        <v>Distance domicile-travail (aller-retour)</v>
      </c>
      <c r="D249" s="350">
        <f>(_xlfn.XMATCH(D235,Einsatzart)-1)*IF('Éléments saisis (inputs)'!D249&lt;&gt;"",'Éléments saisis (inputs)'!D249,'1a. Defaults Segment-Ebene'!D249)</f>
        <v>0</v>
      </c>
      <c r="E249" s="344" t="str">
        <f>IF('Éléments saisis (inputs)'!E249&lt;&gt;"",'Éléments saisis (inputs)'!E249,"")</f>
        <v>km/jour</v>
      </c>
      <c r="F249" s="344"/>
    </row>
    <row r="250" spans="2:6" x14ac:dyDescent="0.35">
      <c r="B250" s="18"/>
      <c r="C250" s="344" t="str">
        <f>IF('Éléments saisis (inputs)'!C250&lt;&gt;"",'Éléments saisis (inputs)'!C250,"")</f>
        <v>Nombre d’utilisations par jour</v>
      </c>
      <c r="D250" s="350">
        <f>IF('Éléments saisis (inputs)'!D250&lt;&gt;"",'Éléments saisis (inputs)'!D250,'1a. Defaults Segment-Ebene'!D250)</f>
        <v>1</v>
      </c>
      <c r="E250" s="344" t="str">
        <f>IF('Éléments saisis (inputs)'!E250&lt;&gt;"",'Éléments saisis (inputs)'!E250,"")</f>
        <v/>
      </c>
      <c r="F250" s="344"/>
    </row>
    <row r="251" spans="2:6" x14ac:dyDescent="0.35">
      <c r="B251" s="18"/>
      <c r="C251" s="344" t="str">
        <f>IF('Éléments saisis (inputs)'!C251&lt;&gt;"",'Éléments saisis (inputs)'!C251,"")</f>
        <v>Nombre de pauses par jour</v>
      </c>
      <c r="D251" s="350">
        <f>'Éléments saisis (inputs)'!D251</f>
        <v>1</v>
      </c>
      <c r="E251" s="344" t="str">
        <f>IF('Éléments saisis (inputs)'!E251&lt;&gt;"",'Éléments saisis (inputs)'!E251,"")</f>
        <v/>
      </c>
      <c r="F251" s="344"/>
    </row>
    <row r="252" spans="2:6" x14ac:dyDescent="0.35">
      <c r="B252" s="18"/>
      <c r="C252" s="344" t="str">
        <f>IF('Éléments saisis (inputs)'!C252&lt;&gt;"",'Éléments saisis (inputs)'!C252,"")</f>
        <v>Durée d’immobilisation par pause sur le site de l’entreprise</v>
      </c>
      <c r="D252" s="350">
        <f>IF('Éléments saisis (inputs)'!D252&lt;&gt;"",'Éléments saisis (inputs)'!D252,'1a. Defaults Segment-Ebene'!D252)</f>
        <v>1</v>
      </c>
      <c r="E252" s="344" t="str">
        <f>IF('Éléments saisis (inputs)'!E252&lt;&gt;"",'Éléments saisis (inputs)'!E252,"")</f>
        <v>Heures</v>
      </c>
      <c r="F252" s="344"/>
    </row>
    <row r="253" spans="2:6" x14ac:dyDescent="0.35">
      <c r="B253" s="18"/>
      <c r="C253" s="344" t="str">
        <f>IF('Éléments saisis (inputs)'!C253&lt;&gt;"",'Éléments saisis (inputs)'!C253,"")</f>
        <v>Durée d’immobilisation pendant la nuit</v>
      </c>
      <c r="D253" s="350">
        <f ca="1">IF('Éléments saisis (inputs)'!D253&lt;&gt;"",'Éléments saisis (inputs)'!D253,'1a. Defaults Segment-Ebene'!D253)*IF(AND(_xlfn.XMATCH(D235,Einsatzart)=2,NOT(D237)),0,1)</f>
        <v>8</v>
      </c>
      <c r="E253" s="344" t="str">
        <f>IF('Éléments saisis (inputs)'!E253&lt;&gt;"",'Éléments saisis (inputs)'!E253,"")</f>
        <v>Heures</v>
      </c>
      <c r="F253" s="344"/>
    </row>
    <row r="254" spans="2:6" x14ac:dyDescent="0.35">
      <c r="B254" s="18"/>
      <c r="C254" s="344" t="str">
        <f>IF('Éléments saisis (inputs)'!C254&lt;&gt;"",'Éléments saisis (inputs)'!C254,"")</f>
        <v>Véhicules par point de recharge, site de l’entreprise (pendant la journée)</v>
      </c>
      <c r="D254" s="350">
        <f>IF('Éléments saisis (inputs)'!D254&lt;&gt;"",'Éléments saisis (inputs)'!D254,'1a. Defaults Segment-Ebene'!D254)</f>
        <v>1</v>
      </c>
      <c r="E254" s="344" t="str">
        <f>IF('Éléments saisis (inputs)'!E254&lt;&gt;"",'Éléments saisis (inputs)'!E254,"")</f>
        <v/>
      </c>
      <c r="F254" s="344"/>
    </row>
    <row r="255" spans="2:6" x14ac:dyDescent="0.35">
      <c r="B255" s="18"/>
      <c r="C255" s="344" t="str">
        <f>IF('Éléments saisis (inputs)'!C255&lt;&gt;"",'Éléments saisis (inputs)'!C255,"")</f>
        <v/>
      </c>
      <c r="D255" s="343"/>
      <c r="E255" s="344" t="str">
        <f>IF('Éléments saisis (inputs)'!E255&lt;&gt;"",'Éléments saisis (inputs)'!E255,"")</f>
        <v/>
      </c>
      <c r="F255" s="344"/>
    </row>
    <row r="256" spans="2:6" x14ac:dyDescent="0.35">
      <c r="B256" s="18"/>
      <c r="C256" s="20" t="str">
        <f>IF('Éléments saisis (inputs)'!C256&lt;&gt;"",'Éléments saisis (inputs)'!C256,"")</f>
        <v>Coûts (indication par véhicule)</v>
      </c>
      <c r="D256" s="343"/>
      <c r="E256" s="344" t="str">
        <f>IF('Éléments saisis (inputs)'!E256&lt;&gt;"",'Éléments saisis (inputs)'!E256,"")</f>
        <v/>
      </c>
      <c r="F256" s="344"/>
    </row>
    <row r="257" spans="2:6" x14ac:dyDescent="0.35">
      <c r="B257" s="18"/>
      <c r="C257" s="344" t="str">
        <f>IF('Éléments saisis (inputs)'!C257&lt;&gt;"",'Éléments saisis (inputs)'!C257,"")</f>
        <v>Durée</v>
      </c>
      <c r="D257" s="350">
        <f>IF('Éléments saisis (inputs)'!D257&lt;&gt;"",'Éléments saisis (inputs)'!D257,'1a. Defaults Segment-Ebene'!D257)</f>
        <v>48</v>
      </c>
      <c r="E257" s="344" t="str">
        <f>IF('Éléments saisis (inputs)'!E257&lt;&gt;"",'Éléments saisis (inputs)'!E257,"")</f>
        <v>Mois</v>
      </c>
      <c r="F257" s="344"/>
    </row>
    <row r="258" spans="2:6" x14ac:dyDescent="0.35">
      <c r="B258" s="18"/>
      <c r="C258" s="344" t="str">
        <f>IF('Éléments saisis (inputs)'!C258&lt;&gt;"",'Éléments saisis (inputs)'!C258,"")</f>
        <v>Taux d’intérêt du leasing</v>
      </c>
      <c r="D258" s="354">
        <f>IF('Éléments saisis (inputs)'!D258&lt;&gt;"",'Éléments saisis (inputs)'!D258,'1a. Defaults Segment-Ebene'!D258)</f>
        <v>0.03</v>
      </c>
      <c r="E258" s="344" t="str">
        <f>IF('Éléments saisis (inputs)'!E258&lt;&gt;"",'Éléments saisis (inputs)'!E258,"")</f>
        <v/>
      </c>
      <c r="F258" s="344"/>
    </row>
    <row r="259" spans="2:6" x14ac:dyDescent="0.35">
      <c r="B259" s="18"/>
      <c r="C259" s="344" t="str">
        <f>IF('Éléments saisis (inputs)'!C259&lt;&gt;"",'Éléments saisis (inputs)'!C259,"")</f>
        <v>Prix d’acquisition, rabais de flotte du véhicule thermique inclus</v>
      </c>
      <c r="D259" s="355">
        <f>IF('Éléments saisis (inputs)'!D259&lt;&gt;"",'Éléments saisis (inputs)'!D259,'1a. Defaults Segment-Ebene'!D259)</f>
        <v>27219.464999999997</v>
      </c>
      <c r="E259" s="344" t="str">
        <f>IF('Éléments saisis (inputs)'!E259&lt;&gt;"",'Éléments saisis (inputs)'!E259,"")</f>
        <v>CHF</v>
      </c>
      <c r="F259" s="344"/>
    </row>
    <row r="260" spans="2:6" x14ac:dyDescent="0.35">
      <c r="B260" s="18"/>
      <c r="C260" s="344" t="str">
        <f>IF('Éléments saisis (inputs)'!C260&lt;&gt;"",'Éléments saisis (inputs)'!C260,"")</f>
        <v>Frais d’entretien et de réparation du véhicule thermique</v>
      </c>
      <c r="D260" s="350">
        <f>IF('Éléments saisis (inputs)'!D260&lt;&gt;"",'Éléments saisis (inputs)'!D260,'1a. Defaults Segment-Ebene'!D260)</f>
        <v>0.05</v>
      </c>
      <c r="E260" s="344" t="str">
        <f>IF('Éléments saisis (inputs)'!E260&lt;&gt;"",'Éléments saisis (inputs)'!E260,"")</f>
        <v>CHF/km</v>
      </c>
      <c r="F260" s="344"/>
    </row>
    <row r="261" spans="2:6" x14ac:dyDescent="0.35">
      <c r="B261" s="18"/>
      <c r="C261" s="344" t="str">
        <f>IF('Éléments saisis (inputs)'!C261&lt;&gt;"",'Éléments saisis (inputs)'!C261,"")</f>
        <v>Valeur résiduelle du véhicule thermique</v>
      </c>
      <c r="D261" s="356">
        <f>IF('Éléments saisis (inputs)'!D261&lt;&gt;"",'Éléments saisis (inputs)'!D261,'1a. Defaults Segment-Ebene'!D261)</f>
        <v>0.31606388888888887</v>
      </c>
      <c r="E261" s="344" t="str">
        <f>IF('Éléments saisis (inputs)'!E261&lt;&gt;"",'Éléments saisis (inputs)'!E261,"")</f>
        <v/>
      </c>
      <c r="F261" s="344"/>
    </row>
    <row r="262" spans="2:6" x14ac:dyDescent="0.35">
      <c r="B262" s="18"/>
      <c r="C262" s="27" t="str">
        <f>IF('Éléments saisis (inputs)'!C262&lt;&gt;"",'Éléments saisis (inputs)'!C262,"")</f>
        <v>Prix d’acquisition, rabais de flotte du véhicule électrique inclus</v>
      </c>
      <c r="D262" s="355">
        <f>IF('Éléments saisis (inputs)'!D262&lt;&gt;"",'Éléments saisis (inputs)'!D262,'1a. Defaults Segment-Ebene'!D262)</f>
        <v>28810.890000000003</v>
      </c>
      <c r="E262" s="344" t="str">
        <f>IF('Éléments saisis (inputs)'!E262&lt;&gt;"",'Éléments saisis (inputs)'!E262,"")</f>
        <v>CHF</v>
      </c>
      <c r="F262" s="344"/>
    </row>
    <row r="263" spans="2:6" x14ac:dyDescent="0.35">
      <c r="B263" s="18"/>
      <c r="C263" s="344" t="str">
        <f>IF('Éléments saisis (inputs)'!C263&lt;&gt;"",'Éléments saisis (inputs)'!C263,"")</f>
        <v>Frais d’entretien et de réparation du véhicule électrique</v>
      </c>
      <c r="D263" s="363">
        <f>IF('Éléments saisis (inputs)'!D263&lt;&gt;"",'Éléments saisis (inputs)'!D263,'1a. Defaults Segment-Ebene'!D263)</f>
        <v>2.5000000000000001E-2</v>
      </c>
      <c r="E263" s="344" t="str">
        <f>IF('Éléments saisis (inputs)'!E263&lt;&gt;"",'Éléments saisis (inputs)'!E263,"")</f>
        <v>CHF/km</v>
      </c>
      <c r="F263" s="344"/>
    </row>
    <row r="264" spans="2:6" x14ac:dyDescent="0.35">
      <c r="B264" s="18"/>
      <c r="C264" s="344" t="str">
        <f>IF('Éléments saisis (inputs)'!C264&lt;&gt;"",'Éléments saisis (inputs)'!C264,"")</f>
        <v>Valeur résiduelle du véhicule électrique</v>
      </c>
      <c r="D264" s="356">
        <f>IF('Éléments saisis (inputs)'!D264&lt;&gt;"",'Éléments saisis (inputs)'!D264,'1a. Defaults Segment-Ebene'!D264)</f>
        <v>0.30658197222222217</v>
      </c>
      <c r="E264" s="344" t="str">
        <f>IF('Éléments saisis (inputs)'!E264&lt;&gt;"",'Éléments saisis (inputs)'!E264,"")</f>
        <v/>
      </c>
      <c r="F264" s="344"/>
    </row>
    <row r="265" spans="2:6" x14ac:dyDescent="0.35">
      <c r="C265" s="283" t="str">
        <f>IF('Éléments saisis (inputs)'!C265&lt;&gt;"",'Éléments saisis (inputs)'!C265,"")</f>
        <v/>
      </c>
      <c r="D265" s="478"/>
      <c r="E265" s="283" t="str">
        <f>IF('Éléments saisis (inputs)'!E265&lt;&gt;"",'Éléments saisis (inputs)'!E265,"")</f>
        <v/>
      </c>
      <c r="F265" s="283"/>
    </row>
    <row r="266" spans="2:6" x14ac:dyDescent="0.35">
      <c r="C266" s="283" t="str">
        <f>IF('Éléments saisis (inputs)'!C266&lt;&gt;"",'Éléments saisis (inputs)'!C266,"")</f>
        <v/>
      </c>
      <c r="D266" s="478"/>
      <c r="E266" s="283" t="str">
        <f>IF('Éléments saisis (inputs)'!E266&lt;&gt;"",'Éléments saisis (inputs)'!E266,"")</f>
        <v/>
      </c>
      <c r="F266" s="283"/>
    </row>
    <row r="267" spans="2:6" ht="15" x14ac:dyDescent="0.35">
      <c r="B267" s="11" t="s">
        <v>60</v>
      </c>
      <c r="C267" s="11" t="str">
        <f>IF('Éléments saisis (inputs)'!C267&lt;&gt;"",'Éléments saisis (inputs)'!C267,"")</f>
        <v>Segment H</v>
      </c>
      <c r="D267" s="26">
        <f>D231+1</f>
        <v>8</v>
      </c>
      <c r="E267" s="13" t="str">
        <f>IF('Éléments saisis (inputs)'!E267&lt;&gt;"",'Éléments saisis (inputs)'!E267,"")</f>
        <v/>
      </c>
      <c r="F267" s="13"/>
    </row>
    <row r="268" spans="2:6" ht="18.899999999999999" x14ac:dyDescent="0.45">
      <c r="B268" s="18"/>
      <c r="C268" s="23" t="str">
        <f>IF('Éléments saisis (inputs)'!C268&lt;&gt;"",'Éléments saisis (inputs)'!C268,"")</f>
        <v/>
      </c>
      <c r="D268" s="24"/>
      <c r="E268" s="25" t="str">
        <f>IF('Éléments saisis (inputs)'!E268&lt;&gt;"",'Éléments saisis (inputs)'!E268,"")</f>
        <v/>
      </c>
      <c r="F268" s="25"/>
    </row>
    <row r="269" spans="2:6" x14ac:dyDescent="0.35">
      <c r="B269" s="18"/>
      <c r="C269" s="20" t="str">
        <f>IF('Éléments saisis (inputs)'!C269&lt;&gt;"",'Éléments saisis (inputs)'!C269,"")</f>
        <v>Structure des segments</v>
      </c>
      <c r="D269" s="343"/>
      <c r="E269" s="344" t="str">
        <f>IF('Éléments saisis (inputs)'!E269&lt;&gt;"",'Éléments saisis (inputs)'!E269,"")</f>
        <v/>
      </c>
      <c r="F269" s="344"/>
    </row>
    <row r="270" spans="2:6" x14ac:dyDescent="0.35">
      <c r="B270" s="18"/>
      <c r="C270" s="344" t="str">
        <f>IF('Éléments saisis (inputs)'!C270&lt;&gt;"",'Éléments saisis (inputs)'!C270,"")</f>
        <v>Nombre de véhicules</v>
      </c>
      <c r="D270" s="349">
        <f>IF(D267&lt;=$D$12,'Éléments saisis (inputs)'!D270,0)</f>
        <v>0</v>
      </c>
      <c r="E270" s="344" t="str">
        <f>IF('Éléments saisis (inputs)'!E270&lt;&gt;"",'Éléments saisis (inputs)'!E270,"")</f>
        <v/>
      </c>
      <c r="F270" s="344"/>
    </row>
    <row r="271" spans="2:6" x14ac:dyDescent="0.35">
      <c r="B271" s="18"/>
      <c r="C271" s="344" t="str">
        <f>IF('Éléments saisis (inputs)'!C271&lt;&gt;"",'Éléments saisis (inputs)'!C271,"")</f>
        <v>Type d’utilisation</v>
      </c>
      <c r="D271" s="362" t="str">
        <f>'Éléments saisis (inputs)'!D271</f>
        <v>Véhicules de pool</v>
      </c>
      <c r="E271" s="344" t="str">
        <f>IF('Éléments saisis (inputs)'!E271&lt;&gt;"",'Éléments saisis (inputs)'!E271,"")</f>
        <v/>
      </c>
      <c r="F271" s="344"/>
    </row>
    <row r="272" spans="2:6" x14ac:dyDescent="0.35">
      <c r="B272" s="18"/>
      <c r="C272" s="344" t="str">
        <f>IF('Éléments saisis (inputs)'!C272&lt;&gt;"",'Éléments saisis (inputs)'!C272,"")</f>
        <v>Domaine d’utilisation</v>
      </c>
      <c r="D272" s="349" t="str">
        <f>'Éléments saisis (inputs)'!D272</f>
        <v>Niveau régional</v>
      </c>
      <c r="E272" s="344" t="str">
        <f>IF('Éléments saisis (inputs)'!E272&lt;&gt;"",'Éléments saisis (inputs)'!E272,"")</f>
        <v/>
      </c>
      <c r="F272" s="344"/>
    </row>
    <row r="273" spans="2:6" x14ac:dyDescent="0.35">
      <c r="B273" s="18"/>
      <c r="C273" s="344" t="str">
        <f>IF('Éléments saisis (inputs)'!C273&lt;&gt;"",'Éléments saisis (inputs)'!C273,"")</f>
        <v>Possibilité de recharge à domicile</v>
      </c>
      <c r="D273" s="349" cm="1">
        <f t="array" aca="1" ref="D273" ca="1">INDEX(OFFSET(Heimladen,0,1),_xlfn.XMATCH('Éléments saisis (inputs)'!D273,Heimladen))</f>
        <v>0</v>
      </c>
      <c r="E273" s="344" t="str">
        <f>IF('Éléments saisis (inputs)'!E273&lt;&gt;"",'Éléments saisis (inputs)'!E273,"")</f>
        <v/>
      </c>
      <c r="F273" s="344"/>
    </row>
    <row r="274" spans="2:6" x14ac:dyDescent="0.35">
      <c r="B274" s="18"/>
      <c r="C274" s="344" t="str">
        <f>IF('Éléments saisis (inputs)'!C274&lt;&gt;"",'Éléments saisis (inputs)'!C274,"")</f>
        <v/>
      </c>
      <c r="D274" s="343"/>
      <c r="E274" s="344" t="str">
        <f>IF('Éléments saisis (inputs)'!E274&lt;&gt;"",'Éléments saisis (inputs)'!E274,"")</f>
        <v/>
      </c>
      <c r="F274" s="344"/>
    </row>
    <row r="275" spans="2:6" x14ac:dyDescent="0.35">
      <c r="B275" s="18"/>
      <c r="C275" s="22" t="str">
        <f>IF('Éléments saisis (inputs)'!C275&lt;&gt;"",'Éléments saisis (inputs)'!C275,"")</f>
        <v>Données du véhicule</v>
      </c>
      <c r="D275" s="343"/>
      <c r="E275" s="344" t="str">
        <f>IF('Éléments saisis (inputs)'!E275&lt;&gt;"",'Éléments saisis (inputs)'!E275,"")</f>
        <v/>
      </c>
      <c r="F275" s="344"/>
    </row>
    <row r="276" spans="2:6" x14ac:dyDescent="0.35">
      <c r="B276" s="18"/>
      <c r="C276" s="344" t="str">
        <f>IF('Éléments saisis (inputs)'!C276&lt;&gt;"",'Éléments saisis (inputs)'!C276,"")</f>
        <v>Taille du véhicule</v>
      </c>
      <c r="D276" s="349" t="str">
        <f>'Éléments saisis (inputs)'!D276</f>
        <v>Catégorie moyenne</v>
      </c>
      <c r="E276" s="344" t="str">
        <f>IF('Éléments saisis (inputs)'!E276&lt;&gt;"",'Éléments saisis (inputs)'!E276,"")</f>
        <v/>
      </c>
      <c r="F276" s="344"/>
    </row>
    <row r="277" spans="2:6" x14ac:dyDescent="0.35">
      <c r="B277" s="18"/>
      <c r="C277" s="344" t="str">
        <f>IF('Éléments saisis (inputs)'!C277&lt;&gt;"",'Éléments saisis (inputs)'!C277,"")</f>
        <v>Consommation de carburant du véhicule thermique</v>
      </c>
      <c r="D277" s="350">
        <f>IF('Éléments saisis (inputs)'!D277&lt;&gt;"",'Éléments saisis (inputs)'!D277,'1a. Defaults Segment-Ebene'!D277)</f>
        <v>5.8</v>
      </c>
      <c r="E277" s="344" t="str">
        <f>IF('Éléments saisis (inputs)'!E277&lt;&gt;"",'Éléments saisis (inputs)'!E277,"")</f>
        <v>l/100 km</v>
      </c>
      <c r="F277" s="344"/>
    </row>
    <row r="278" spans="2:6" x14ac:dyDescent="0.35">
      <c r="B278" s="18"/>
      <c r="C278" s="344" t="str">
        <f>IF('Éléments saisis (inputs)'!C278&lt;&gt;"",'Éléments saisis (inputs)'!C278,"")</f>
        <v>Consommation énergétique du véhicule électrique</v>
      </c>
      <c r="D278" s="350">
        <f>IF('Éléments saisis (inputs)'!D278&lt;&gt;"",'Éléments saisis (inputs)'!D278,'1a. Defaults Segment-Ebene'!D278)</f>
        <v>15.1</v>
      </c>
      <c r="E278" s="344" t="str">
        <f>IF('Éléments saisis (inputs)'!E278&lt;&gt;"",'Éléments saisis (inputs)'!E278,"")</f>
        <v>kWh/100 km</v>
      </c>
      <c r="F278" s="344"/>
    </row>
    <row r="279" spans="2:6" x14ac:dyDescent="0.35">
      <c r="B279" s="18"/>
      <c r="C279" s="344" t="str">
        <f>IF('Éléments saisis (inputs)'!C279&lt;&gt;"",'Éléments saisis (inputs)'!C279,"")</f>
        <v>Capacité de la batterie (nette)</v>
      </c>
      <c r="D279" s="350">
        <f>IF('Éléments saisis (inputs)'!D279&lt;&gt;"",'Éléments saisis (inputs)'!D279,'1a. Defaults Segment-Ebene'!D279)</f>
        <v>58.625</v>
      </c>
      <c r="E279" s="344" t="str">
        <f>IF('Éléments saisis (inputs)'!E279&lt;&gt;"",'Éléments saisis (inputs)'!E279,"")</f>
        <v>kWh</v>
      </c>
      <c r="F279" s="344"/>
    </row>
    <row r="280" spans="2:6" x14ac:dyDescent="0.35">
      <c r="B280" s="18"/>
      <c r="C280" s="344" t="str">
        <f>IF('Éléments saisis (inputs)'!C280&lt;&gt;"",'Éléments saisis (inputs)'!C280,"")</f>
        <v/>
      </c>
      <c r="D280" s="343"/>
      <c r="E280" s="344" t="str">
        <f>IF('Éléments saisis (inputs)'!E280&lt;&gt;"",'Éléments saisis (inputs)'!E280,"")</f>
        <v/>
      </c>
      <c r="F280" s="344"/>
    </row>
    <row r="281" spans="2:6" x14ac:dyDescent="0.35">
      <c r="B281" s="18"/>
      <c r="C281" s="20" t="str">
        <f>IF('Éléments saisis (inputs)'!C281&lt;&gt;"",'Éléments saisis (inputs)'!C281,"")</f>
        <v>Profil de conduite et d’utilisation (indication par véhicule)</v>
      </c>
      <c r="D281" s="343"/>
      <c r="E281" s="344" t="str">
        <f>IF('Éléments saisis (inputs)'!E281&lt;&gt;"",'Éléments saisis (inputs)'!E281,"")</f>
        <v/>
      </c>
      <c r="F281" s="344"/>
    </row>
    <row r="282" spans="2:6" x14ac:dyDescent="0.35">
      <c r="B282" s="18"/>
      <c r="C282" s="344" t="str">
        <f>IF('Éléments saisis (inputs)'!C282&lt;&gt;"",'Éléments saisis (inputs)'!C282,"")</f>
        <v>Modèle d’utilisation</v>
      </c>
      <c r="D282" s="349" t="str">
        <f>'Éléments saisis (inputs)'!D282</f>
        <v>Exploitation pendant les jours ouvrables</v>
      </c>
      <c r="E282" s="344" t="str">
        <f>IF('Éléments saisis (inputs)'!E282&lt;&gt;"",'Éléments saisis (inputs)'!E282,"")</f>
        <v/>
      </c>
      <c r="F282" s="344"/>
    </row>
    <row r="283" spans="2:6" x14ac:dyDescent="0.35">
      <c r="B283" s="18"/>
      <c r="C283" s="344" t="str">
        <f>IF('Éléments saisis (inputs)'!C283&lt;&gt;"",'Éléments saisis (inputs)'!C283,"")</f>
        <v>Nombre de jours de travail par an</v>
      </c>
      <c r="D283" s="350">
        <f>IF('Éléments saisis (inputs)'!D283&lt;&gt;"",'Éléments saisis (inputs)'!D283,'1a. Defaults Segment-Ebene'!D283)</f>
        <v>260</v>
      </c>
      <c r="E283" s="344" t="str">
        <f>IF('Éléments saisis (inputs)'!E283&lt;&gt;"",'Éléments saisis (inputs)'!E283,"")</f>
        <v/>
      </c>
      <c r="F283" s="344"/>
    </row>
    <row r="284" spans="2:6" x14ac:dyDescent="0.35">
      <c r="B284" s="18"/>
      <c r="C284" s="344" t="str">
        <f>IF('Éléments saisis (inputs)'!C284&lt;&gt;"",'Éléments saisis (inputs)'!C284,"")</f>
        <v>Distance parcourue pendant le temps de travail</v>
      </c>
      <c r="D284" s="350">
        <f>IF('Éléments saisis (inputs)'!D284&lt;&gt;"",'Éléments saisis (inputs)'!D284,'1a. Defaults Segment-Ebene'!D284)</f>
        <v>100</v>
      </c>
      <c r="E284" s="344" t="str">
        <f>IF('Éléments saisis (inputs)'!E284&lt;&gt;"",'Éléments saisis (inputs)'!E284,"")</f>
        <v>km/jour</v>
      </c>
      <c r="F284" s="344"/>
    </row>
    <row r="285" spans="2:6" x14ac:dyDescent="0.35">
      <c r="B285" s="18"/>
      <c r="C285" s="344" t="str">
        <f>IF('Éléments saisis (inputs)'!C285&lt;&gt;"",'Éléments saisis (inputs)'!C285,"")</f>
        <v>Distance domicile-travail (aller-retour)</v>
      </c>
      <c r="D285" s="350">
        <f>(_xlfn.XMATCH(D271,Einsatzart)-1)*IF('Éléments saisis (inputs)'!D285&lt;&gt;"",'Éléments saisis (inputs)'!D285,'1a. Defaults Segment-Ebene'!D285)</f>
        <v>0</v>
      </c>
      <c r="E285" s="344" t="str">
        <f>IF('Éléments saisis (inputs)'!E285&lt;&gt;"",'Éléments saisis (inputs)'!E285,"")</f>
        <v>km/jour</v>
      </c>
      <c r="F285" s="344"/>
    </row>
    <row r="286" spans="2:6" x14ac:dyDescent="0.35">
      <c r="B286" s="18"/>
      <c r="C286" s="344" t="str">
        <f>IF('Éléments saisis (inputs)'!C286&lt;&gt;"",'Éléments saisis (inputs)'!C286,"")</f>
        <v>Nombre d’utilisations par jour</v>
      </c>
      <c r="D286" s="350">
        <f>IF('Éléments saisis (inputs)'!D286&lt;&gt;"",'Éléments saisis (inputs)'!D286,'1a. Defaults Segment-Ebene'!D286)</f>
        <v>1</v>
      </c>
      <c r="E286" s="344" t="str">
        <f>IF('Éléments saisis (inputs)'!E286&lt;&gt;"",'Éléments saisis (inputs)'!E286,"")</f>
        <v/>
      </c>
      <c r="F286" s="344"/>
    </row>
    <row r="287" spans="2:6" x14ac:dyDescent="0.35">
      <c r="B287" s="18"/>
      <c r="C287" s="344" t="str">
        <f>IF('Éléments saisis (inputs)'!C287&lt;&gt;"",'Éléments saisis (inputs)'!C287,"")</f>
        <v>Nombre de pauses par jour</v>
      </c>
      <c r="D287" s="350">
        <f>'Éléments saisis (inputs)'!D287</f>
        <v>1</v>
      </c>
      <c r="E287" s="344" t="str">
        <f>IF('Éléments saisis (inputs)'!E287&lt;&gt;"",'Éléments saisis (inputs)'!E287,"")</f>
        <v/>
      </c>
      <c r="F287" s="344"/>
    </row>
    <row r="288" spans="2:6" x14ac:dyDescent="0.35">
      <c r="B288" s="18"/>
      <c r="C288" s="344" t="str">
        <f>IF('Éléments saisis (inputs)'!C288&lt;&gt;"",'Éléments saisis (inputs)'!C288,"")</f>
        <v>Durée d’immobilisation par pause sur le site de l’entreprise</v>
      </c>
      <c r="D288" s="350">
        <f>IF('Éléments saisis (inputs)'!D288&lt;&gt;"",'Éléments saisis (inputs)'!D288,'1a. Defaults Segment-Ebene'!D288)</f>
        <v>1</v>
      </c>
      <c r="E288" s="344" t="str">
        <f>IF('Éléments saisis (inputs)'!E288&lt;&gt;"",'Éléments saisis (inputs)'!E288,"")</f>
        <v>Heures</v>
      </c>
      <c r="F288" s="344"/>
    </row>
    <row r="289" spans="2:6" x14ac:dyDescent="0.35">
      <c r="B289" s="18"/>
      <c r="C289" s="344" t="str">
        <f>IF('Éléments saisis (inputs)'!C289&lt;&gt;"",'Éléments saisis (inputs)'!C289,"")</f>
        <v>Durée d’immobilisation pendant la nuit</v>
      </c>
      <c r="D289" s="350">
        <f ca="1">IF('Éléments saisis (inputs)'!D289&lt;&gt;"",'Éléments saisis (inputs)'!D289,'1a. Defaults Segment-Ebene'!D289)*IF(AND(_xlfn.XMATCH(D271,Einsatzart)=2,NOT(D273)),0,1)</f>
        <v>8</v>
      </c>
      <c r="E289" s="344" t="str">
        <f>IF('Éléments saisis (inputs)'!E289&lt;&gt;"",'Éléments saisis (inputs)'!E289,"")</f>
        <v>Heures</v>
      </c>
      <c r="F289" s="344"/>
    </row>
    <row r="290" spans="2:6" x14ac:dyDescent="0.35">
      <c r="B290" s="18"/>
      <c r="C290" s="344" t="str">
        <f>IF('Éléments saisis (inputs)'!C290&lt;&gt;"",'Éléments saisis (inputs)'!C290,"")</f>
        <v>Véhicules par point de recharge, site de l’entreprise (pendant la journée)</v>
      </c>
      <c r="D290" s="350">
        <f>IF('Éléments saisis (inputs)'!D290&lt;&gt;"",'Éléments saisis (inputs)'!D290,'1a. Defaults Segment-Ebene'!D290)</f>
        <v>1</v>
      </c>
      <c r="E290" s="344" t="str">
        <f>IF('Éléments saisis (inputs)'!E290&lt;&gt;"",'Éléments saisis (inputs)'!E290,"")</f>
        <v/>
      </c>
      <c r="F290" s="344"/>
    </row>
    <row r="291" spans="2:6" x14ac:dyDescent="0.35">
      <c r="B291" s="18"/>
      <c r="C291" s="344" t="str">
        <f>IF('Éléments saisis (inputs)'!C291&lt;&gt;"",'Éléments saisis (inputs)'!C291,"")</f>
        <v/>
      </c>
      <c r="D291" s="343"/>
      <c r="E291" s="344" t="str">
        <f>IF('Éléments saisis (inputs)'!E291&lt;&gt;"",'Éléments saisis (inputs)'!E291,"")</f>
        <v/>
      </c>
      <c r="F291" s="344"/>
    </row>
    <row r="292" spans="2:6" x14ac:dyDescent="0.35">
      <c r="B292" s="18"/>
      <c r="C292" s="20" t="str">
        <f>IF('Éléments saisis (inputs)'!C292&lt;&gt;"",'Éléments saisis (inputs)'!C292,"")</f>
        <v>Coûts (indication par véhicule)</v>
      </c>
      <c r="D292" s="343"/>
      <c r="E292" s="344" t="str">
        <f>IF('Éléments saisis (inputs)'!E292&lt;&gt;"",'Éléments saisis (inputs)'!E292,"")</f>
        <v/>
      </c>
      <c r="F292" s="344"/>
    </row>
    <row r="293" spans="2:6" x14ac:dyDescent="0.35">
      <c r="B293" s="18"/>
      <c r="C293" s="344" t="str">
        <f>IF('Éléments saisis (inputs)'!C293&lt;&gt;"",'Éléments saisis (inputs)'!C293,"")</f>
        <v>Durée</v>
      </c>
      <c r="D293" s="350">
        <f>IF('Éléments saisis (inputs)'!D293&lt;&gt;"",'Éléments saisis (inputs)'!D293,'1a. Defaults Segment-Ebene'!D293)</f>
        <v>48</v>
      </c>
      <c r="E293" s="344" t="str">
        <f>IF('Éléments saisis (inputs)'!E293&lt;&gt;"",'Éléments saisis (inputs)'!E293,"")</f>
        <v>Mois</v>
      </c>
      <c r="F293" s="344"/>
    </row>
    <row r="294" spans="2:6" x14ac:dyDescent="0.35">
      <c r="B294" s="18"/>
      <c r="C294" s="344" t="str">
        <f>IF('Éléments saisis (inputs)'!C294&lt;&gt;"",'Éléments saisis (inputs)'!C294,"")</f>
        <v>Taux d’intérêt du leasing</v>
      </c>
      <c r="D294" s="354">
        <f>IF('Éléments saisis (inputs)'!D294&lt;&gt;"",'Éléments saisis (inputs)'!D294,'1a. Defaults Segment-Ebene'!D294)</f>
        <v>0.03</v>
      </c>
      <c r="E294" s="344" t="str">
        <f>IF('Éléments saisis (inputs)'!E294&lt;&gt;"",'Éléments saisis (inputs)'!E294,"")</f>
        <v/>
      </c>
      <c r="F294" s="344"/>
    </row>
    <row r="295" spans="2:6" x14ac:dyDescent="0.35">
      <c r="B295" s="18"/>
      <c r="C295" s="344" t="str">
        <f>IF('Éléments saisis (inputs)'!C295&lt;&gt;"",'Éléments saisis (inputs)'!C295,"")</f>
        <v>Prix d’acquisition, rabais de flotte du véhicule thermique inclus</v>
      </c>
      <c r="D295" s="355">
        <f>IF('Éléments saisis (inputs)'!D295&lt;&gt;"",'Éléments saisis (inputs)'!D295,'1a. Defaults Segment-Ebene'!D295)</f>
        <v>27219.464999999997</v>
      </c>
      <c r="E295" s="344" t="str">
        <f>IF('Éléments saisis (inputs)'!E295&lt;&gt;"",'Éléments saisis (inputs)'!E295,"")</f>
        <v>CHF</v>
      </c>
      <c r="F295" s="344"/>
    </row>
    <row r="296" spans="2:6" x14ac:dyDescent="0.35">
      <c r="B296" s="18"/>
      <c r="C296" s="344" t="str">
        <f>IF('Éléments saisis (inputs)'!C296&lt;&gt;"",'Éléments saisis (inputs)'!C296,"")</f>
        <v>Frais d’entretien et de réparation du véhicule thermique</v>
      </c>
      <c r="D296" s="350">
        <f>IF('Éléments saisis (inputs)'!D296&lt;&gt;"",'Éléments saisis (inputs)'!D296,'1a. Defaults Segment-Ebene'!D296)</f>
        <v>0.05</v>
      </c>
      <c r="E296" s="344" t="str">
        <f>IF('Éléments saisis (inputs)'!E296&lt;&gt;"",'Éléments saisis (inputs)'!E296,"")</f>
        <v>CHF/km</v>
      </c>
      <c r="F296" s="344"/>
    </row>
    <row r="297" spans="2:6" x14ac:dyDescent="0.35">
      <c r="B297" s="18"/>
      <c r="C297" s="344" t="str">
        <f>IF('Éléments saisis (inputs)'!C297&lt;&gt;"",'Éléments saisis (inputs)'!C297,"")</f>
        <v>Valeur résiduelle du véhicule thermique</v>
      </c>
      <c r="D297" s="356">
        <f>IF('Éléments saisis (inputs)'!D297&lt;&gt;"",'Éléments saisis (inputs)'!D297,'1a. Defaults Segment-Ebene'!D297)</f>
        <v>0.31606388888888887</v>
      </c>
      <c r="E297" s="344" t="str">
        <f>IF('Éléments saisis (inputs)'!E297&lt;&gt;"",'Éléments saisis (inputs)'!E297,"")</f>
        <v/>
      </c>
      <c r="F297" s="344"/>
    </row>
    <row r="298" spans="2:6" x14ac:dyDescent="0.35">
      <c r="B298" s="18"/>
      <c r="C298" s="27" t="str">
        <f>IF('Éléments saisis (inputs)'!C298&lt;&gt;"",'Éléments saisis (inputs)'!C298,"")</f>
        <v>Prix d’acquisition, rabais de flotte du véhicule électrique inclus</v>
      </c>
      <c r="D298" s="355">
        <f>IF('Éléments saisis (inputs)'!D298&lt;&gt;"",'Éléments saisis (inputs)'!D298,'1a. Defaults Segment-Ebene'!D298)</f>
        <v>28810.890000000003</v>
      </c>
      <c r="E298" s="344" t="str">
        <f>IF('Éléments saisis (inputs)'!E298&lt;&gt;"",'Éléments saisis (inputs)'!E298,"")</f>
        <v>CHF</v>
      </c>
      <c r="F298" s="344"/>
    </row>
    <row r="299" spans="2:6" x14ac:dyDescent="0.35">
      <c r="B299" s="18"/>
      <c r="C299" s="344" t="str">
        <f>IF('Éléments saisis (inputs)'!C299&lt;&gt;"",'Éléments saisis (inputs)'!C299,"")</f>
        <v>Frais d’entretien et de réparation du véhicule électrique</v>
      </c>
      <c r="D299" s="363">
        <f>IF('Éléments saisis (inputs)'!D299&lt;&gt;"",'Éléments saisis (inputs)'!D299,'1a. Defaults Segment-Ebene'!D299)</f>
        <v>2.5000000000000001E-2</v>
      </c>
      <c r="E299" s="344" t="str">
        <f>IF('Éléments saisis (inputs)'!E299&lt;&gt;"",'Éléments saisis (inputs)'!E299,"")</f>
        <v>CHF/km</v>
      </c>
      <c r="F299" s="344"/>
    </row>
    <row r="300" spans="2:6" x14ac:dyDescent="0.35">
      <c r="B300" s="18"/>
      <c r="C300" s="344" t="str">
        <f>IF('Éléments saisis (inputs)'!C300&lt;&gt;"",'Éléments saisis (inputs)'!C300,"")</f>
        <v>Valeur résiduelle du véhicule électrique</v>
      </c>
      <c r="D300" s="356">
        <f>IF('Éléments saisis (inputs)'!D300&lt;&gt;"",'Éléments saisis (inputs)'!D300,'1a. Defaults Segment-Ebene'!D300)</f>
        <v>0.30658197222222217</v>
      </c>
      <c r="E300" s="344" t="str">
        <f>IF('Éléments saisis (inputs)'!E300&lt;&gt;"",'Éléments saisis (inputs)'!E300,"")</f>
        <v/>
      </c>
      <c r="F300" s="344"/>
    </row>
    <row r="301" spans="2:6" x14ac:dyDescent="0.35">
      <c r="C301" s="283" t="str">
        <f>IF('Éléments saisis (inputs)'!C301&lt;&gt;"",'Éléments saisis (inputs)'!C301,"")</f>
        <v/>
      </c>
      <c r="D301" s="478"/>
      <c r="E301" s="283" t="str">
        <f>IF('Éléments saisis (inputs)'!E301&lt;&gt;"",'Éléments saisis (inputs)'!E301,"")</f>
        <v/>
      </c>
      <c r="F301" s="283"/>
    </row>
    <row r="302" spans="2:6" x14ac:dyDescent="0.35">
      <c r="C302" s="283" t="str">
        <f>IF('Éléments saisis (inputs)'!C302&lt;&gt;"",'Éléments saisis (inputs)'!C302,"")</f>
        <v/>
      </c>
      <c r="D302" s="478"/>
      <c r="E302" s="283" t="str">
        <f>IF('Éléments saisis (inputs)'!E302&lt;&gt;"",'Éléments saisis (inputs)'!E302,"")</f>
        <v/>
      </c>
      <c r="F302" s="283"/>
    </row>
    <row r="303" spans="2:6" ht="15" x14ac:dyDescent="0.35">
      <c r="B303" s="11" t="s">
        <v>61</v>
      </c>
      <c r="C303" s="11" t="str">
        <f>IF('Éléments saisis (inputs)'!C303&lt;&gt;"",'Éléments saisis (inputs)'!C303,"")</f>
        <v>Segment I</v>
      </c>
      <c r="D303" s="26">
        <f>D267+1</f>
        <v>9</v>
      </c>
      <c r="E303" s="13" t="str">
        <f>IF('Éléments saisis (inputs)'!E303&lt;&gt;"",'Éléments saisis (inputs)'!E303,"")</f>
        <v/>
      </c>
      <c r="F303" s="13"/>
    </row>
    <row r="304" spans="2:6" ht="18.899999999999999" x14ac:dyDescent="0.45">
      <c r="B304" s="18"/>
      <c r="C304" s="23" t="str">
        <f>IF('Éléments saisis (inputs)'!C304&lt;&gt;"",'Éléments saisis (inputs)'!C304,"")</f>
        <v/>
      </c>
      <c r="D304" s="24"/>
      <c r="E304" s="25" t="str">
        <f>IF('Éléments saisis (inputs)'!E304&lt;&gt;"",'Éléments saisis (inputs)'!E304,"")</f>
        <v/>
      </c>
      <c r="F304" s="25"/>
    </row>
    <row r="305" spans="2:6" x14ac:dyDescent="0.35">
      <c r="B305" s="18"/>
      <c r="C305" s="20" t="str">
        <f>IF('Éléments saisis (inputs)'!C305&lt;&gt;"",'Éléments saisis (inputs)'!C305,"")</f>
        <v>Structure des segments</v>
      </c>
      <c r="D305" s="343"/>
      <c r="E305" s="344" t="str">
        <f>IF('Éléments saisis (inputs)'!E305&lt;&gt;"",'Éléments saisis (inputs)'!E305,"")</f>
        <v/>
      </c>
      <c r="F305" s="344"/>
    </row>
    <row r="306" spans="2:6" x14ac:dyDescent="0.35">
      <c r="B306" s="18"/>
      <c r="C306" s="344" t="str">
        <f>IF('Éléments saisis (inputs)'!C306&lt;&gt;"",'Éléments saisis (inputs)'!C306,"")</f>
        <v>Nombre de véhicules</v>
      </c>
      <c r="D306" s="349">
        <f>IF(D303&lt;=$D$12,'Éléments saisis (inputs)'!D306,0)</f>
        <v>0</v>
      </c>
      <c r="E306" s="344" t="str">
        <f>IF('Éléments saisis (inputs)'!E306&lt;&gt;"",'Éléments saisis (inputs)'!E306,"")</f>
        <v/>
      </c>
      <c r="F306" s="344"/>
    </row>
    <row r="307" spans="2:6" x14ac:dyDescent="0.35">
      <c r="B307" s="18"/>
      <c r="C307" s="344" t="str">
        <f>IF('Éléments saisis (inputs)'!C307&lt;&gt;"",'Éléments saisis (inputs)'!C307,"")</f>
        <v>Type d’utilisation</v>
      </c>
      <c r="D307" s="362" t="str">
        <f>'Éléments saisis (inputs)'!D307</f>
        <v>Véhicules de pool</v>
      </c>
      <c r="E307" s="344" t="str">
        <f>IF('Éléments saisis (inputs)'!E307&lt;&gt;"",'Éléments saisis (inputs)'!E307,"")</f>
        <v/>
      </c>
      <c r="F307" s="344"/>
    </row>
    <row r="308" spans="2:6" x14ac:dyDescent="0.35">
      <c r="B308" s="18"/>
      <c r="C308" s="344" t="str">
        <f>IF('Éléments saisis (inputs)'!C308&lt;&gt;"",'Éléments saisis (inputs)'!C308,"")</f>
        <v>Domaine d’utilisation</v>
      </c>
      <c r="D308" s="349" t="str">
        <f>'Éléments saisis (inputs)'!D308</f>
        <v>Niveau régional</v>
      </c>
      <c r="E308" s="344" t="str">
        <f>IF('Éléments saisis (inputs)'!E308&lt;&gt;"",'Éléments saisis (inputs)'!E308,"")</f>
        <v/>
      </c>
      <c r="F308" s="344"/>
    </row>
    <row r="309" spans="2:6" x14ac:dyDescent="0.35">
      <c r="B309" s="18"/>
      <c r="C309" s="344" t="str">
        <f>IF('Éléments saisis (inputs)'!C309&lt;&gt;"",'Éléments saisis (inputs)'!C309,"")</f>
        <v>Possibilité de recharge à domicile</v>
      </c>
      <c r="D309" s="349" cm="1">
        <f t="array" aca="1" ref="D309" ca="1">INDEX(OFFSET(Heimladen,0,1),_xlfn.XMATCH('Éléments saisis (inputs)'!D309,Heimladen))</f>
        <v>0</v>
      </c>
      <c r="E309" s="344" t="str">
        <f>IF('Éléments saisis (inputs)'!E309&lt;&gt;"",'Éléments saisis (inputs)'!E309,"")</f>
        <v/>
      </c>
      <c r="F309" s="344"/>
    </row>
    <row r="310" spans="2:6" x14ac:dyDescent="0.35">
      <c r="B310" s="18"/>
      <c r="C310" s="344" t="str">
        <f>IF('Éléments saisis (inputs)'!C310&lt;&gt;"",'Éléments saisis (inputs)'!C310,"")</f>
        <v/>
      </c>
      <c r="D310" s="343"/>
      <c r="E310" s="344" t="str">
        <f>IF('Éléments saisis (inputs)'!E310&lt;&gt;"",'Éléments saisis (inputs)'!E310,"")</f>
        <v/>
      </c>
      <c r="F310" s="344"/>
    </row>
    <row r="311" spans="2:6" x14ac:dyDescent="0.35">
      <c r="B311" s="18"/>
      <c r="C311" s="22" t="str">
        <f>IF('Éléments saisis (inputs)'!C311&lt;&gt;"",'Éléments saisis (inputs)'!C311,"")</f>
        <v>Données du véhicule</v>
      </c>
      <c r="D311" s="343"/>
      <c r="E311" s="344" t="str">
        <f>IF('Éléments saisis (inputs)'!E311&lt;&gt;"",'Éléments saisis (inputs)'!E311,"")</f>
        <v/>
      </c>
      <c r="F311" s="344"/>
    </row>
    <row r="312" spans="2:6" x14ac:dyDescent="0.35">
      <c r="B312" s="18"/>
      <c r="C312" s="344" t="str">
        <f>IF('Éléments saisis (inputs)'!C312&lt;&gt;"",'Éléments saisis (inputs)'!C312,"")</f>
        <v>Taille du véhicule</v>
      </c>
      <c r="D312" s="349" t="str">
        <f>'Éléments saisis (inputs)'!D312</f>
        <v>Catégorie moyenne</v>
      </c>
      <c r="E312" s="344" t="str">
        <f>IF('Éléments saisis (inputs)'!E312&lt;&gt;"",'Éléments saisis (inputs)'!E312,"")</f>
        <v/>
      </c>
      <c r="F312" s="344"/>
    </row>
    <row r="313" spans="2:6" x14ac:dyDescent="0.35">
      <c r="B313" s="18"/>
      <c r="C313" s="344" t="str">
        <f>IF('Éléments saisis (inputs)'!C313&lt;&gt;"",'Éléments saisis (inputs)'!C313,"")</f>
        <v>Consommation de carburant du véhicule thermique</v>
      </c>
      <c r="D313" s="350">
        <f>IF('Éléments saisis (inputs)'!D313&lt;&gt;"",'Éléments saisis (inputs)'!D313,'1a. Defaults Segment-Ebene'!D313)</f>
        <v>5.8</v>
      </c>
      <c r="E313" s="344" t="str">
        <f>IF('Éléments saisis (inputs)'!E313&lt;&gt;"",'Éléments saisis (inputs)'!E313,"")</f>
        <v>l/100 km</v>
      </c>
      <c r="F313" s="344"/>
    </row>
    <row r="314" spans="2:6" x14ac:dyDescent="0.35">
      <c r="B314" s="18"/>
      <c r="C314" s="344" t="str">
        <f>IF('Éléments saisis (inputs)'!C314&lt;&gt;"",'Éléments saisis (inputs)'!C314,"")</f>
        <v>Consommation énergétique du véhicule électrique</v>
      </c>
      <c r="D314" s="350">
        <f>IF('Éléments saisis (inputs)'!D314&lt;&gt;"",'Éléments saisis (inputs)'!D314,'1a. Defaults Segment-Ebene'!D314)</f>
        <v>15.1</v>
      </c>
      <c r="E314" s="344" t="str">
        <f>IF('Éléments saisis (inputs)'!E314&lt;&gt;"",'Éléments saisis (inputs)'!E314,"")</f>
        <v>kWh/100 km</v>
      </c>
      <c r="F314" s="344"/>
    </row>
    <row r="315" spans="2:6" x14ac:dyDescent="0.35">
      <c r="B315" s="18"/>
      <c r="C315" s="344" t="str">
        <f>IF('Éléments saisis (inputs)'!C315&lt;&gt;"",'Éléments saisis (inputs)'!C315,"")</f>
        <v>Capacité de la batterie (nette)</v>
      </c>
      <c r="D315" s="350">
        <f>IF('Éléments saisis (inputs)'!D315&lt;&gt;"",'Éléments saisis (inputs)'!D315,'1a. Defaults Segment-Ebene'!D315)</f>
        <v>58.625</v>
      </c>
      <c r="E315" s="344" t="str">
        <f>IF('Éléments saisis (inputs)'!E315&lt;&gt;"",'Éléments saisis (inputs)'!E315,"")</f>
        <v>kWh</v>
      </c>
      <c r="F315" s="344"/>
    </row>
    <row r="316" spans="2:6" x14ac:dyDescent="0.35">
      <c r="B316" s="18"/>
      <c r="C316" s="344" t="str">
        <f>IF('Éléments saisis (inputs)'!C316&lt;&gt;"",'Éléments saisis (inputs)'!C316,"")</f>
        <v/>
      </c>
      <c r="D316" s="343"/>
      <c r="E316" s="344" t="str">
        <f>IF('Éléments saisis (inputs)'!E316&lt;&gt;"",'Éléments saisis (inputs)'!E316,"")</f>
        <v/>
      </c>
      <c r="F316" s="344"/>
    </row>
    <row r="317" spans="2:6" x14ac:dyDescent="0.35">
      <c r="B317" s="18"/>
      <c r="C317" s="20" t="str">
        <f>IF('Éléments saisis (inputs)'!C317&lt;&gt;"",'Éléments saisis (inputs)'!C317,"")</f>
        <v>Profil de conduite et d’utilisation (indication par véhicule)</v>
      </c>
      <c r="D317" s="343"/>
      <c r="E317" s="344" t="str">
        <f>IF('Éléments saisis (inputs)'!E317&lt;&gt;"",'Éléments saisis (inputs)'!E317,"")</f>
        <v/>
      </c>
      <c r="F317" s="344"/>
    </row>
    <row r="318" spans="2:6" x14ac:dyDescent="0.35">
      <c r="B318" s="18"/>
      <c r="C318" s="344" t="str">
        <f>IF('Éléments saisis (inputs)'!C318&lt;&gt;"",'Éléments saisis (inputs)'!C318,"")</f>
        <v>Modèle d’utilisation</v>
      </c>
      <c r="D318" s="349" t="str">
        <f>'Éléments saisis (inputs)'!D318</f>
        <v>Exploitation pendant les jours ouvrables</v>
      </c>
      <c r="E318" s="344" t="str">
        <f>IF('Éléments saisis (inputs)'!E318&lt;&gt;"",'Éléments saisis (inputs)'!E318,"")</f>
        <v/>
      </c>
      <c r="F318" s="344"/>
    </row>
    <row r="319" spans="2:6" x14ac:dyDescent="0.35">
      <c r="B319" s="18"/>
      <c r="C319" s="344" t="str">
        <f>IF('Éléments saisis (inputs)'!C319&lt;&gt;"",'Éléments saisis (inputs)'!C319,"")</f>
        <v>Nombre de jours de travail par an</v>
      </c>
      <c r="D319" s="350">
        <f>IF('Éléments saisis (inputs)'!D319&lt;&gt;"",'Éléments saisis (inputs)'!D319,'1a. Defaults Segment-Ebene'!D319)</f>
        <v>260</v>
      </c>
      <c r="E319" s="344" t="str">
        <f>IF('Éléments saisis (inputs)'!E319&lt;&gt;"",'Éléments saisis (inputs)'!E319,"")</f>
        <v/>
      </c>
      <c r="F319" s="344"/>
    </row>
    <row r="320" spans="2:6" x14ac:dyDescent="0.35">
      <c r="B320" s="18"/>
      <c r="C320" s="344" t="str">
        <f>IF('Éléments saisis (inputs)'!C320&lt;&gt;"",'Éléments saisis (inputs)'!C320,"")</f>
        <v>Distance parcourue pendant le temps de travail</v>
      </c>
      <c r="D320" s="350">
        <f>IF('Éléments saisis (inputs)'!D320&lt;&gt;"",'Éléments saisis (inputs)'!D320,'1a. Defaults Segment-Ebene'!D320)</f>
        <v>100</v>
      </c>
      <c r="E320" s="344" t="str">
        <f>IF('Éléments saisis (inputs)'!E320&lt;&gt;"",'Éléments saisis (inputs)'!E320,"")</f>
        <v>km/jour</v>
      </c>
      <c r="F320" s="344"/>
    </row>
    <row r="321" spans="2:6" x14ac:dyDescent="0.35">
      <c r="B321" s="18"/>
      <c r="C321" s="344" t="str">
        <f>IF('Éléments saisis (inputs)'!C321&lt;&gt;"",'Éléments saisis (inputs)'!C321,"")</f>
        <v>Distance domicile-travail (aller-retour)</v>
      </c>
      <c r="D321" s="350">
        <f>(_xlfn.XMATCH(D307,Einsatzart)-1)*IF('Éléments saisis (inputs)'!D321&lt;&gt;"",'Éléments saisis (inputs)'!D321,'1a. Defaults Segment-Ebene'!D321)</f>
        <v>0</v>
      </c>
      <c r="E321" s="344" t="str">
        <f>IF('Éléments saisis (inputs)'!E321&lt;&gt;"",'Éléments saisis (inputs)'!E321,"")</f>
        <v>km/jour</v>
      </c>
      <c r="F321" s="344"/>
    </row>
    <row r="322" spans="2:6" x14ac:dyDescent="0.35">
      <c r="B322" s="18"/>
      <c r="C322" s="344" t="str">
        <f>IF('Éléments saisis (inputs)'!C322&lt;&gt;"",'Éléments saisis (inputs)'!C322,"")</f>
        <v>Nombre d’utilisations par jour</v>
      </c>
      <c r="D322" s="350">
        <f>IF('Éléments saisis (inputs)'!D322&lt;&gt;"",'Éléments saisis (inputs)'!D322,'1a. Defaults Segment-Ebene'!D322)</f>
        <v>1</v>
      </c>
      <c r="E322" s="344" t="str">
        <f>IF('Éléments saisis (inputs)'!E322&lt;&gt;"",'Éléments saisis (inputs)'!E322,"")</f>
        <v/>
      </c>
      <c r="F322" s="344"/>
    </row>
    <row r="323" spans="2:6" x14ac:dyDescent="0.35">
      <c r="B323" s="18"/>
      <c r="C323" s="344" t="str">
        <f>IF('Éléments saisis (inputs)'!C323&lt;&gt;"",'Éléments saisis (inputs)'!C323,"")</f>
        <v>Nombre de pauses par jour</v>
      </c>
      <c r="D323" s="350">
        <f>'Éléments saisis (inputs)'!D323</f>
        <v>1</v>
      </c>
      <c r="E323" s="344" t="str">
        <f>IF('Éléments saisis (inputs)'!E323&lt;&gt;"",'Éléments saisis (inputs)'!E323,"")</f>
        <v/>
      </c>
      <c r="F323" s="344"/>
    </row>
    <row r="324" spans="2:6" x14ac:dyDescent="0.35">
      <c r="B324" s="18"/>
      <c r="C324" s="344" t="str">
        <f>IF('Éléments saisis (inputs)'!C324&lt;&gt;"",'Éléments saisis (inputs)'!C324,"")</f>
        <v>Durée d’immobilisation par pause sur le site de l’entreprise</v>
      </c>
      <c r="D324" s="350">
        <f>IF('Éléments saisis (inputs)'!D324&lt;&gt;"",'Éléments saisis (inputs)'!D324,'1a. Defaults Segment-Ebene'!D324)</f>
        <v>1</v>
      </c>
      <c r="E324" s="344" t="str">
        <f>IF('Éléments saisis (inputs)'!E324&lt;&gt;"",'Éléments saisis (inputs)'!E324,"")</f>
        <v>Heures</v>
      </c>
      <c r="F324" s="344"/>
    </row>
    <row r="325" spans="2:6" x14ac:dyDescent="0.35">
      <c r="B325" s="18"/>
      <c r="C325" s="344" t="str">
        <f>IF('Éléments saisis (inputs)'!C325&lt;&gt;"",'Éléments saisis (inputs)'!C325,"")</f>
        <v>Durée d’immobilisation pendant la nuit</v>
      </c>
      <c r="D325" s="350">
        <f ca="1">IF('Éléments saisis (inputs)'!D325&lt;&gt;"",'Éléments saisis (inputs)'!D325,'1a. Defaults Segment-Ebene'!D325)*IF(AND(_xlfn.XMATCH(D307,Einsatzart)=2,NOT(D309)),0,1)</f>
        <v>8</v>
      </c>
      <c r="E325" s="344" t="str">
        <f>IF('Éléments saisis (inputs)'!E325&lt;&gt;"",'Éléments saisis (inputs)'!E325,"")</f>
        <v>Heures</v>
      </c>
      <c r="F325" s="344"/>
    </row>
    <row r="326" spans="2:6" x14ac:dyDescent="0.35">
      <c r="B326" s="18"/>
      <c r="C326" s="344" t="str">
        <f>IF('Éléments saisis (inputs)'!C326&lt;&gt;"",'Éléments saisis (inputs)'!C326,"")</f>
        <v>Véhicules par point de recharge, site de l’entreprise (pendant la journée)</v>
      </c>
      <c r="D326" s="350">
        <f>IF('Éléments saisis (inputs)'!D326&lt;&gt;"",'Éléments saisis (inputs)'!D326,'1a. Defaults Segment-Ebene'!D326)</f>
        <v>1</v>
      </c>
      <c r="E326" s="344" t="str">
        <f>IF('Éléments saisis (inputs)'!E326&lt;&gt;"",'Éléments saisis (inputs)'!E326,"")</f>
        <v/>
      </c>
      <c r="F326" s="344"/>
    </row>
    <row r="327" spans="2:6" x14ac:dyDescent="0.35">
      <c r="B327" s="18"/>
      <c r="C327" s="344" t="str">
        <f>IF('Éléments saisis (inputs)'!C327&lt;&gt;"",'Éléments saisis (inputs)'!C327,"")</f>
        <v/>
      </c>
      <c r="D327" s="343"/>
      <c r="E327" s="344" t="str">
        <f>IF('Éléments saisis (inputs)'!E327&lt;&gt;"",'Éléments saisis (inputs)'!E327,"")</f>
        <v/>
      </c>
      <c r="F327" s="344"/>
    </row>
    <row r="328" spans="2:6" x14ac:dyDescent="0.35">
      <c r="B328" s="18"/>
      <c r="C328" s="20" t="str">
        <f>IF('Éléments saisis (inputs)'!C328&lt;&gt;"",'Éléments saisis (inputs)'!C328,"")</f>
        <v>Coûts (indication par véhicule)</v>
      </c>
      <c r="D328" s="343"/>
      <c r="E328" s="344" t="str">
        <f>IF('Éléments saisis (inputs)'!E328&lt;&gt;"",'Éléments saisis (inputs)'!E328,"")</f>
        <v/>
      </c>
      <c r="F328" s="344"/>
    </row>
    <row r="329" spans="2:6" x14ac:dyDescent="0.35">
      <c r="B329" s="18"/>
      <c r="C329" s="344" t="str">
        <f>IF('Éléments saisis (inputs)'!C329&lt;&gt;"",'Éléments saisis (inputs)'!C329,"")</f>
        <v>Durée</v>
      </c>
      <c r="D329" s="350">
        <f>IF('Éléments saisis (inputs)'!D329&lt;&gt;"",'Éléments saisis (inputs)'!D329,'1a. Defaults Segment-Ebene'!D329)</f>
        <v>48</v>
      </c>
      <c r="E329" s="344" t="str">
        <f>IF('Éléments saisis (inputs)'!E329&lt;&gt;"",'Éléments saisis (inputs)'!E329,"")</f>
        <v>Mois</v>
      </c>
      <c r="F329" s="344"/>
    </row>
    <row r="330" spans="2:6" x14ac:dyDescent="0.35">
      <c r="B330" s="18"/>
      <c r="C330" s="344" t="str">
        <f>IF('Éléments saisis (inputs)'!C330&lt;&gt;"",'Éléments saisis (inputs)'!C330,"")</f>
        <v>Taux d’intérêt du leasing</v>
      </c>
      <c r="D330" s="354">
        <f>IF('Éléments saisis (inputs)'!D330&lt;&gt;"",'Éléments saisis (inputs)'!D330,'1a. Defaults Segment-Ebene'!D330)</f>
        <v>0.03</v>
      </c>
      <c r="E330" s="344" t="str">
        <f>IF('Éléments saisis (inputs)'!E330&lt;&gt;"",'Éléments saisis (inputs)'!E330,"")</f>
        <v/>
      </c>
      <c r="F330" s="344"/>
    </row>
    <row r="331" spans="2:6" x14ac:dyDescent="0.35">
      <c r="B331" s="18"/>
      <c r="C331" s="344" t="str">
        <f>IF('Éléments saisis (inputs)'!C331&lt;&gt;"",'Éléments saisis (inputs)'!C331,"")</f>
        <v>Prix d’acquisition, rabais de flotte du véhicule thermique inclus</v>
      </c>
      <c r="D331" s="355">
        <f>IF('Éléments saisis (inputs)'!D331&lt;&gt;"",'Éléments saisis (inputs)'!D331,'1a. Defaults Segment-Ebene'!D331)</f>
        <v>27219.464999999997</v>
      </c>
      <c r="E331" s="344" t="str">
        <f>IF('Éléments saisis (inputs)'!E331&lt;&gt;"",'Éléments saisis (inputs)'!E331,"")</f>
        <v>CHF</v>
      </c>
      <c r="F331" s="344"/>
    </row>
    <row r="332" spans="2:6" x14ac:dyDescent="0.35">
      <c r="B332" s="18"/>
      <c r="C332" s="344" t="str">
        <f>IF('Éléments saisis (inputs)'!C332&lt;&gt;"",'Éléments saisis (inputs)'!C332,"")</f>
        <v>Frais d’entretien et de réparation du véhicule thermique</v>
      </c>
      <c r="D332" s="350">
        <f>IF('Éléments saisis (inputs)'!D332&lt;&gt;"",'Éléments saisis (inputs)'!D332,'1a. Defaults Segment-Ebene'!D332)</f>
        <v>0.05</v>
      </c>
      <c r="E332" s="344" t="str">
        <f>IF('Éléments saisis (inputs)'!E332&lt;&gt;"",'Éléments saisis (inputs)'!E332,"")</f>
        <v>CHF/km</v>
      </c>
      <c r="F332" s="344"/>
    </row>
    <row r="333" spans="2:6" x14ac:dyDescent="0.35">
      <c r="B333" s="18"/>
      <c r="C333" s="344" t="str">
        <f>IF('Éléments saisis (inputs)'!C333&lt;&gt;"",'Éléments saisis (inputs)'!C333,"")</f>
        <v>Valeur résiduelle du véhicule thermique</v>
      </c>
      <c r="D333" s="356">
        <f>IF('Éléments saisis (inputs)'!D333&lt;&gt;"",'Éléments saisis (inputs)'!D333,'1a. Defaults Segment-Ebene'!D333)</f>
        <v>0.31606388888888887</v>
      </c>
      <c r="E333" s="344" t="str">
        <f>IF('Éléments saisis (inputs)'!E333&lt;&gt;"",'Éléments saisis (inputs)'!E333,"")</f>
        <v/>
      </c>
      <c r="F333" s="344"/>
    </row>
    <row r="334" spans="2:6" x14ac:dyDescent="0.35">
      <c r="B334" s="18"/>
      <c r="C334" s="27" t="str">
        <f>IF('Éléments saisis (inputs)'!C334&lt;&gt;"",'Éléments saisis (inputs)'!C334,"")</f>
        <v>Prix d’acquisition, rabais de flotte du véhicule électrique inclus</v>
      </c>
      <c r="D334" s="355">
        <f>IF('Éléments saisis (inputs)'!D334&lt;&gt;"",'Éléments saisis (inputs)'!D334,'1a. Defaults Segment-Ebene'!D334)</f>
        <v>28810.890000000003</v>
      </c>
      <c r="E334" s="344" t="str">
        <f>IF('Éléments saisis (inputs)'!E334&lt;&gt;"",'Éléments saisis (inputs)'!E334,"")</f>
        <v>CHF</v>
      </c>
      <c r="F334" s="344"/>
    </row>
    <row r="335" spans="2:6" x14ac:dyDescent="0.35">
      <c r="B335" s="18"/>
      <c r="C335" s="344" t="str">
        <f>IF('Éléments saisis (inputs)'!C335&lt;&gt;"",'Éléments saisis (inputs)'!C335,"")</f>
        <v>Frais d’entretien et de réparation du véhicule électrique</v>
      </c>
      <c r="D335" s="363">
        <f>IF('Éléments saisis (inputs)'!D335&lt;&gt;"",'Éléments saisis (inputs)'!D335,'1a. Defaults Segment-Ebene'!D335)</f>
        <v>2.5000000000000001E-2</v>
      </c>
      <c r="E335" s="344" t="str">
        <f>IF('Éléments saisis (inputs)'!E335&lt;&gt;"",'Éléments saisis (inputs)'!E335,"")</f>
        <v>CHF/km</v>
      </c>
      <c r="F335" s="344"/>
    </row>
    <row r="336" spans="2:6" x14ac:dyDescent="0.35">
      <c r="B336" s="18"/>
      <c r="C336" s="344" t="str">
        <f>IF('Éléments saisis (inputs)'!C336&lt;&gt;"",'Éléments saisis (inputs)'!C336,"")</f>
        <v>Valeur résiduelle du véhicule électrique</v>
      </c>
      <c r="D336" s="356">
        <f>IF('Éléments saisis (inputs)'!D336&lt;&gt;"",'Éléments saisis (inputs)'!D336,'1a. Defaults Segment-Ebene'!D336)</f>
        <v>0.30658197222222217</v>
      </c>
      <c r="E336" s="344" t="str">
        <f>IF('Éléments saisis (inputs)'!E336&lt;&gt;"",'Éléments saisis (inputs)'!E336,"")</f>
        <v/>
      </c>
      <c r="F336" s="344"/>
    </row>
    <row r="337" spans="2:6" x14ac:dyDescent="0.35">
      <c r="C337" s="283" t="str">
        <f>IF('Éléments saisis (inputs)'!C337&lt;&gt;"",'Éléments saisis (inputs)'!C337,"")</f>
        <v/>
      </c>
      <c r="D337" s="478"/>
      <c r="E337" s="283" t="str">
        <f>IF('Éléments saisis (inputs)'!E337&lt;&gt;"",'Éléments saisis (inputs)'!E337,"")</f>
        <v/>
      </c>
      <c r="F337" s="283"/>
    </row>
    <row r="338" spans="2:6" x14ac:dyDescent="0.35">
      <c r="C338" s="283" t="str">
        <f>IF('Éléments saisis (inputs)'!C338&lt;&gt;"",'Éléments saisis (inputs)'!C338,"")</f>
        <v/>
      </c>
      <c r="D338" s="478"/>
      <c r="E338" s="283" t="str">
        <f>IF('Éléments saisis (inputs)'!E338&lt;&gt;"",'Éléments saisis (inputs)'!E338,"")</f>
        <v/>
      </c>
      <c r="F338" s="283"/>
    </row>
    <row r="339" spans="2:6" ht="15" x14ac:dyDescent="0.35">
      <c r="B339" s="11" t="s">
        <v>62</v>
      </c>
      <c r="C339" s="11" t="str">
        <f>IF('Éléments saisis (inputs)'!C339&lt;&gt;"",'Éléments saisis (inputs)'!C339,"")</f>
        <v>Segment J</v>
      </c>
      <c r="D339" s="26">
        <f>D303+1</f>
        <v>10</v>
      </c>
      <c r="E339" s="13" t="str">
        <f>IF('Éléments saisis (inputs)'!E339&lt;&gt;"",'Éléments saisis (inputs)'!E339,"")</f>
        <v/>
      </c>
      <c r="F339" s="13"/>
    </row>
    <row r="340" spans="2:6" ht="18.899999999999999" x14ac:dyDescent="0.45">
      <c r="B340" s="18"/>
      <c r="C340" s="23" t="str">
        <f>IF('Éléments saisis (inputs)'!C340&lt;&gt;"",'Éléments saisis (inputs)'!C340,"")</f>
        <v/>
      </c>
      <c r="D340" s="24"/>
      <c r="E340" s="25" t="str">
        <f>IF('Éléments saisis (inputs)'!E340&lt;&gt;"",'Éléments saisis (inputs)'!E340,"")</f>
        <v/>
      </c>
      <c r="F340" s="25"/>
    </row>
    <row r="341" spans="2:6" x14ac:dyDescent="0.35">
      <c r="B341" s="18"/>
      <c r="C341" s="20" t="str">
        <f>IF('Éléments saisis (inputs)'!C341&lt;&gt;"",'Éléments saisis (inputs)'!C341,"")</f>
        <v>Structure des segments</v>
      </c>
      <c r="D341" s="343"/>
      <c r="E341" s="344" t="str">
        <f>IF('Éléments saisis (inputs)'!E341&lt;&gt;"",'Éléments saisis (inputs)'!E341,"")</f>
        <v/>
      </c>
      <c r="F341" s="344"/>
    </row>
    <row r="342" spans="2:6" x14ac:dyDescent="0.35">
      <c r="B342" s="18"/>
      <c r="C342" s="344" t="str">
        <f>IF('Éléments saisis (inputs)'!C342&lt;&gt;"",'Éléments saisis (inputs)'!C342,"")</f>
        <v>Nombre de véhicules</v>
      </c>
      <c r="D342" s="349">
        <f>IF(D339&lt;=$D$12,'Éléments saisis (inputs)'!D342,0)</f>
        <v>0</v>
      </c>
      <c r="E342" s="344" t="str">
        <f>IF('Éléments saisis (inputs)'!E342&lt;&gt;"",'Éléments saisis (inputs)'!E342,"")</f>
        <v/>
      </c>
      <c r="F342" s="344"/>
    </row>
    <row r="343" spans="2:6" x14ac:dyDescent="0.35">
      <c r="B343" s="18"/>
      <c r="C343" s="344" t="str">
        <f>IF('Éléments saisis (inputs)'!C343&lt;&gt;"",'Éléments saisis (inputs)'!C343,"")</f>
        <v>Type d’utilisation</v>
      </c>
      <c r="D343" s="362" t="str">
        <f>'Éléments saisis (inputs)'!D343</f>
        <v>Véhicules de pool</v>
      </c>
      <c r="E343" s="344" t="str">
        <f>IF('Éléments saisis (inputs)'!E343&lt;&gt;"",'Éléments saisis (inputs)'!E343,"")</f>
        <v/>
      </c>
      <c r="F343" s="344"/>
    </row>
    <row r="344" spans="2:6" x14ac:dyDescent="0.35">
      <c r="B344" s="18"/>
      <c r="C344" s="344" t="str">
        <f>IF('Éléments saisis (inputs)'!C344&lt;&gt;"",'Éléments saisis (inputs)'!C344,"")</f>
        <v>Domaine d’utilisation</v>
      </c>
      <c r="D344" s="349" t="str">
        <f>'Éléments saisis (inputs)'!D344</f>
        <v>Niveau régional</v>
      </c>
      <c r="E344" s="344" t="str">
        <f>IF('Éléments saisis (inputs)'!E344&lt;&gt;"",'Éléments saisis (inputs)'!E344,"")</f>
        <v/>
      </c>
      <c r="F344" s="344"/>
    </row>
    <row r="345" spans="2:6" x14ac:dyDescent="0.35">
      <c r="B345" s="18"/>
      <c r="C345" s="344" t="str">
        <f>IF('Éléments saisis (inputs)'!C345&lt;&gt;"",'Éléments saisis (inputs)'!C345,"")</f>
        <v>Possibilité de recharge à domicile</v>
      </c>
      <c r="D345" s="349" cm="1">
        <f t="array" aca="1" ref="D345" ca="1">INDEX(OFFSET(Heimladen,0,1),_xlfn.XMATCH('Éléments saisis (inputs)'!D345,Heimladen))</f>
        <v>0</v>
      </c>
      <c r="E345" s="344" t="str">
        <f>IF('Éléments saisis (inputs)'!E345&lt;&gt;"",'Éléments saisis (inputs)'!E345,"")</f>
        <v/>
      </c>
      <c r="F345" s="344"/>
    </row>
    <row r="346" spans="2:6" x14ac:dyDescent="0.35">
      <c r="B346" s="18"/>
      <c r="C346" s="344" t="str">
        <f>IF('Éléments saisis (inputs)'!C346&lt;&gt;"",'Éléments saisis (inputs)'!C346,"")</f>
        <v/>
      </c>
      <c r="D346" s="343"/>
      <c r="E346" s="344" t="str">
        <f>IF('Éléments saisis (inputs)'!E346&lt;&gt;"",'Éléments saisis (inputs)'!E346,"")</f>
        <v/>
      </c>
      <c r="F346" s="344"/>
    </row>
    <row r="347" spans="2:6" x14ac:dyDescent="0.35">
      <c r="B347" s="18"/>
      <c r="C347" s="22" t="str">
        <f>IF('Éléments saisis (inputs)'!C347&lt;&gt;"",'Éléments saisis (inputs)'!C347,"")</f>
        <v>Données du véhicule</v>
      </c>
      <c r="D347" s="343"/>
      <c r="E347" s="344" t="str">
        <f>IF('Éléments saisis (inputs)'!E347&lt;&gt;"",'Éléments saisis (inputs)'!E347,"")</f>
        <v/>
      </c>
      <c r="F347" s="344"/>
    </row>
    <row r="348" spans="2:6" x14ac:dyDescent="0.35">
      <c r="B348" s="18"/>
      <c r="C348" s="344" t="str">
        <f>IF('Éléments saisis (inputs)'!C348&lt;&gt;"",'Éléments saisis (inputs)'!C348,"")</f>
        <v>Taille du véhicule</v>
      </c>
      <c r="D348" s="349" t="str">
        <f>'Éléments saisis (inputs)'!D348</f>
        <v>Catégorie moyenne</v>
      </c>
      <c r="E348" s="344" t="str">
        <f>IF('Éléments saisis (inputs)'!E348&lt;&gt;"",'Éléments saisis (inputs)'!E348,"")</f>
        <v/>
      </c>
      <c r="F348" s="344"/>
    </row>
    <row r="349" spans="2:6" x14ac:dyDescent="0.35">
      <c r="B349" s="18"/>
      <c r="C349" s="344" t="str">
        <f>IF('Éléments saisis (inputs)'!C349&lt;&gt;"",'Éléments saisis (inputs)'!C349,"")</f>
        <v>Consommation de carburant du véhicule thermique</v>
      </c>
      <c r="D349" s="350">
        <f>IF('Éléments saisis (inputs)'!D349&lt;&gt;"",'Éléments saisis (inputs)'!D349,'1a. Defaults Segment-Ebene'!D349)</f>
        <v>5.8</v>
      </c>
      <c r="E349" s="344" t="str">
        <f>IF('Éléments saisis (inputs)'!E349&lt;&gt;"",'Éléments saisis (inputs)'!E349,"")</f>
        <v>l/100 km</v>
      </c>
      <c r="F349" s="344"/>
    </row>
    <row r="350" spans="2:6" x14ac:dyDescent="0.35">
      <c r="B350" s="18"/>
      <c r="C350" s="344" t="str">
        <f>IF('Éléments saisis (inputs)'!C350&lt;&gt;"",'Éléments saisis (inputs)'!C350,"")</f>
        <v>Consommation énergétique du véhicule électrique</v>
      </c>
      <c r="D350" s="350">
        <f>IF('Éléments saisis (inputs)'!D350&lt;&gt;"",'Éléments saisis (inputs)'!D350,'1a. Defaults Segment-Ebene'!D350)</f>
        <v>15.1</v>
      </c>
      <c r="E350" s="344" t="str">
        <f>IF('Éléments saisis (inputs)'!E350&lt;&gt;"",'Éléments saisis (inputs)'!E350,"")</f>
        <v>kWh/100 km</v>
      </c>
      <c r="F350" s="344"/>
    </row>
    <row r="351" spans="2:6" x14ac:dyDescent="0.35">
      <c r="B351" s="18"/>
      <c r="C351" s="344" t="str">
        <f>IF('Éléments saisis (inputs)'!C351&lt;&gt;"",'Éléments saisis (inputs)'!C351,"")</f>
        <v>Capacité de la batterie (nette)</v>
      </c>
      <c r="D351" s="350">
        <f>IF('Éléments saisis (inputs)'!D351&lt;&gt;"",'Éléments saisis (inputs)'!D351,'1a. Defaults Segment-Ebene'!D351)</f>
        <v>58.625</v>
      </c>
      <c r="E351" s="344" t="str">
        <f>IF('Éléments saisis (inputs)'!E351&lt;&gt;"",'Éléments saisis (inputs)'!E351,"")</f>
        <v>kWh</v>
      </c>
      <c r="F351" s="344"/>
    </row>
    <row r="352" spans="2:6" x14ac:dyDescent="0.35">
      <c r="B352" s="18"/>
      <c r="C352" s="344" t="str">
        <f>IF('Éléments saisis (inputs)'!C352&lt;&gt;"",'Éléments saisis (inputs)'!C352,"")</f>
        <v/>
      </c>
      <c r="D352" s="343"/>
      <c r="E352" s="344" t="str">
        <f>IF('Éléments saisis (inputs)'!E352&lt;&gt;"",'Éléments saisis (inputs)'!E352,"")</f>
        <v/>
      </c>
      <c r="F352" s="344"/>
    </row>
    <row r="353" spans="2:6" x14ac:dyDescent="0.35">
      <c r="B353" s="18"/>
      <c r="C353" s="20" t="str">
        <f>IF('Éléments saisis (inputs)'!C353&lt;&gt;"",'Éléments saisis (inputs)'!C353,"")</f>
        <v>Profil de conduite et d’utilisation (indication par véhicule)</v>
      </c>
      <c r="D353" s="343"/>
      <c r="E353" s="344" t="str">
        <f>IF('Éléments saisis (inputs)'!E353&lt;&gt;"",'Éléments saisis (inputs)'!E353,"")</f>
        <v/>
      </c>
      <c r="F353" s="344"/>
    </row>
    <row r="354" spans="2:6" x14ac:dyDescent="0.35">
      <c r="B354" s="18"/>
      <c r="C354" s="344" t="str">
        <f>IF('Éléments saisis (inputs)'!C354&lt;&gt;"",'Éléments saisis (inputs)'!C354,"")</f>
        <v>Modèle d’utilisation</v>
      </c>
      <c r="D354" s="349" t="str">
        <f>'Éléments saisis (inputs)'!D354</f>
        <v>Exploitation pendant les jours ouvrables</v>
      </c>
      <c r="E354" s="344" t="str">
        <f>IF('Éléments saisis (inputs)'!E354&lt;&gt;"",'Éléments saisis (inputs)'!E354,"")</f>
        <v/>
      </c>
      <c r="F354" s="344"/>
    </row>
    <row r="355" spans="2:6" x14ac:dyDescent="0.35">
      <c r="B355" s="18"/>
      <c r="C355" s="344" t="str">
        <f>IF('Éléments saisis (inputs)'!C355&lt;&gt;"",'Éléments saisis (inputs)'!C355,"")</f>
        <v>Nombre de jours de travail par an</v>
      </c>
      <c r="D355" s="350">
        <f>IF('Éléments saisis (inputs)'!D355&lt;&gt;"",'Éléments saisis (inputs)'!D355,'1a. Defaults Segment-Ebene'!D355)</f>
        <v>260</v>
      </c>
      <c r="E355" s="344" t="str">
        <f>IF('Éléments saisis (inputs)'!E355&lt;&gt;"",'Éléments saisis (inputs)'!E355,"")</f>
        <v/>
      </c>
      <c r="F355" s="344"/>
    </row>
    <row r="356" spans="2:6" x14ac:dyDescent="0.35">
      <c r="B356" s="18"/>
      <c r="C356" s="344" t="str">
        <f>IF('Éléments saisis (inputs)'!C356&lt;&gt;"",'Éléments saisis (inputs)'!C356,"")</f>
        <v>Distance parcourue pendant le temps de travail</v>
      </c>
      <c r="D356" s="350">
        <f>IF('Éléments saisis (inputs)'!D356&lt;&gt;"",'Éléments saisis (inputs)'!D356,'1a. Defaults Segment-Ebene'!D356)</f>
        <v>100</v>
      </c>
      <c r="E356" s="344" t="str">
        <f>IF('Éléments saisis (inputs)'!E356&lt;&gt;"",'Éléments saisis (inputs)'!E356,"")</f>
        <v>km/jour</v>
      </c>
      <c r="F356" s="344"/>
    </row>
    <row r="357" spans="2:6" x14ac:dyDescent="0.35">
      <c r="B357" s="18"/>
      <c r="C357" s="344" t="str">
        <f>IF('Éléments saisis (inputs)'!C357&lt;&gt;"",'Éléments saisis (inputs)'!C357,"")</f>
        <v>Distance domicile-travail (aller-retour)</v>
      </c>
      <c r="D357" s="350">
        <f>(_xlfn.XMATCH(D343,Einsatzart)-1)*IF('Éléments saisis (inputs)'!D357&lt;&gt;"",'Éléments saisis (inputs)'!D357,'1a. Defaults Segment-Ebene'!D357)</f>
        <v>0</v>
      </c>
      <c r="E357" s="344" t="str">
        <f>IF('Éléments saisis (inputs)'!E357&lt;&gt;"",'Éléments saisis (inputs)'!E357,"")</f>
        <v>km/jour</v>
      </c>
      <c r="F357" s="344"/>
    </row>
    <row r="358" spans="2:6" x14ac:dyDescent="0.35">
      <c r="B358" s="18"/>
      <c r="C358" s="344" t="str">
        <f>IF('Éléments saisis (inputs)'!C358&lt;&gt;"",'Éléments saisis (inputs)'!C358,"")</f>
        <v>Nombre d’utilisations par jour</v>
      </c>
      <c r="D358" s="350">
        <f>IF('Éléments saisis (inputs)'!D358&lt;&gt;"",'Éléments saisis (inputs)'!D358,'1a. Defaults Segment-Ebene'!D358)</f>
        <v>1</v>
      </c>
      <c r="E358" s="344" t="str">
        <f>IF('Éléments saisis (inputs)'!E358&lt;&gt;"",'Éléments saisis (inputs)'!E358,"")</f>
        <v/>
      </c>
      <c r="F358" s="344"/>
    </row>
    <row r="359" spans="2:6" x14ac:dyDescent="0.35">
      <c r="B359" s="18"/>
      <c r="C359" s="344" t="str">
        <f>IF('Éléments saisis (inputs)'!C359&lt;&gt;"",'Éléments saisis (inputs)'!C359,"")</f>
        <v>Nombre de pauses par jour</v>
      </c>
      <c r="D359" s="350">
        <f>'Éléments saisis (inputs)'!D359</f>
        <v>1</v>
      </c>
      <c r="E359" s="344" t="str">
        <f>IF('Éléments saisis (inputs)'!E359&lt;&gt;"",'Éléments saisis (inputs)'!E359,"")</f>
        <v/>
      </c>
      <c r="F359" s="344"/>
    </row>
    <row r="360" spans="2:6" x14ac:dyDescent="0.35">
      <c r="B360" s="18"/>
      <c r="C360" s="344" t="str">
        <f>IF('Éléments saisis (inputs)'!C360&lt;&gt;"",'Éléments saisis (inputs)'!C360,"")</f>
        <v>Durée d’immobilisation par pause sur le site de l’entreprise</v>
      </c>
      <c r="D360" s="350">
        <f>IF('Éléments saisis (inputs)'!D360&lt;&gt;"",'Éléments saisis (inputs)'!D360,'1a. Defaults Segment-Ebene'!D360)</f>
        <v>1</v>
      </c>
      <c r="E360" s="344" t="str">
        <f>IF('Éléments saisis (inputs)'!E360&lt;&gt;"",'Éléments saisis (inputs)'!E360,"")</f>
        <v>Heures</v>
      </c>
      <c r="F360" s="344"/>
    </row>
    <row r="361" spans="2:6" x14ac:dyDescent="0.35">
      <c r="B361" s="18"/>
      <c r="C361" s="344" t="str">
        <f>IF('Éléments saisis (inputs)'!C361&lt;&gt;"",'Éléments saisis (inputs)'!C361,"")</f>
        <v>Durée d’immobilisation pendant la nuit</v>
      </c>
      <c r="D361" s="350">
        <f ca="1">IF('Éléments saisis (inputs)'!D361&lt;&gt;"",'Éléments saisis (inputs)'!D361,'1a. Defaults Segment-Ebene'!D361)*IF(AND(_xlfn.XMATCH(D343,Einsatzart)=2,NOT(D345)),0,1)</f>
        <v>8</v>
      </c>
      <c r="E361" s="344" t="str">
        <f>IF('Éléments saisis (inputs)'!E361&lt;&gt;"",'Éléments saisis (inputs)'!E361,"")</f>
        <v>Heures</v>
      </c>
      <c r="F361" s="344"/>
    </row>
    <row r="362" spans="2:6" x14ac:dyDescent="0.35">
      <c r="B362" s="18"/>
      <c r="C362" s="344" t="str">
        <f>IF('Éléments saisis (inputs)'!C362&lt;&gt;"",'Éléments saisis (inputs)'!C362,"")</f>
        <v>Véhicules par point de recharge, site de l’entreprise (pendant la journée)</v>
      </c>
      <c r="D362" s="350">
        <f>IF('Éléments saisis (inputs)'!D362&lt;&gt;"",'Éléments saisis (inputs)'!D362,'1a. Defaults Segment-Ebene'!D362)</f>
        <v>1</v>
      </c>
      <c r="E362" s="344" t="str">
        <f>IF('Éléments saisis (inputs)'!E362&lt;&gt;"",'Éléments saisis (inputs)'!E362,"")</f>
        <v/>
      </c>
      <c r="F362" s="344"/>
    </row>
    <row r="363" spans="2:6" x14ac:dyDescent="0.35">
      <c r="B363" s="18"/>
      <c r="C363" s="344" t="str">
        <f>IF('Éléments saisis (inputs)'!C363&lt;&gt;"",'Éléments saisis (inputs)'!C363,"")</f>
        <v/>
      </c>
      <c r="D363" s="343"/>
      <c r="E363" s="344" t="str">
        <f>IF('Éléments saisis (inputs)'!E363&lt;&gt;"",'Éléments saisis (inputs)'!E363,"")</f>
        <v/>
      </c>
      <c r="F363" s="344"/>
    </row>
    <row r="364" spans="2:6" x14ac:dyDescent="0.35">
      <c r="B364" s="18"/>
      <c r="C364" s="20" t="str">
        <f>IF('Éléments saisis (inputs)'!C364&lt;&gt;"",'Éléments saisis (inputs)'!C364,"")</f>
        <v>Coûts (indication par véhicule)</v>
      </c>
      <c r="D364" s="343"/>
      <c r="E364" s="344" t="str">
        <f>IF('Éléments saisis (inputs)'!E364&lt;&gt;"",'Éléments saisis (inputs)'!E364,"")</f>
        <v/>
      </c>
      <c r="F364" s="344"/>
    </row>
    <row r="365" spans="2:6" x14ac:dyDescent="0.35">
      <c r="B365" s="18"/>
      <c r="C365" s="344" t="str">
        <f>IF('Éléments saisis (inputs)'!C365&lt;&gt;"",'Éléments saisis (inputs)'!C365,"")</f>
        <v>Durée</v>
      </c>
      <c r="D365" s="350">
        <f>IF('Éléments saisis (inputs)'!D365&lt;&gt;"",'Éléments saisis (inputs)'!D365,'1a. Defaults Segment-Ebene'!D365)</f>
        <v>48</v>
      </c>
      <c r="E365" s="344" t="str">
        <f>IF('Éléments saisis (inputs)'!E365&lt;&gt;"",'Éléments saisis (inputs)'!E365,"")</f>
        <v>Mois</v>
      </c>
      <c r="F365" s="344"/>
    </row>
    <row r="366" spans="2:6" x14ac:dyDescent="0.35">
      <c r="B366" s="18"/>
      <c r="C366" s="344" t="str">
        <f>IF('Éléments saisis (inputs)'!C366&lt;&gt;"",'Éléments saisis (inputs)'!C366,"")</f>
        <v>Taux d’intérêt du leasing</v>
      </c>
      <c r="D366" s="354">
        <f>IF('Éléments saisis (inputs)'!D366&lt;&gt;"",'Éléments saisis (inputs)'!D366,'1a. Defaults Segment-Ebene'!D366)</f>
        <v>0.03</v>
      </c>
      <c r="E366" s="344" t="str">
        <f>IF('Éléments saisis (inputs)'!E366&lt;&gt;"",'Éléments saisis (inputs)'!E366,"")</f>
        <v/>
      </c>
      <c r="F366" s="344"/>
    </row>
    <row r="367" spans="2:6" x14ac:dyDescent="0.35">
      <c r="B367" s="18"/>
      <c r="C367" s="344" t="str">
        <f>IF('Éléments saisis (inputs)'!C367&lt;&gt;"",'Éléments saisis (inputs)'!C367,"")</f>
        <v>Prix d’acquisition, rabais de flotte du véhicule thermique inclus</v>
      </c>
      <c r="D367" s="355">
        <f>IF('Éléments saisis (inputs)'!D367&lt;&gt;"",'Éléments saisis (inputs)'!D367,'1a. Defaults Segment-Ebene'!D367)</f>
        <v>27219.464999999997</v>
      </c>
      <c r="E367" s="344" t="str">
        <f>IF('Éléments saisis (inputs)'!E367&lt;&gt;"",'Éléments saisis (inputs)'!E367,"")</f>
        <v>CHF</v>
      </c>
      <c r="F367" s="344"/>
    </row>
    <row r="368" spans="2:6" x14ac:dyDescent="0.35">
      <c r="B368" s="18"/>
      <c r="C368" s="344" t="str">
        <f>IF('Éléments saisis (inputs)'!C368&lt;&gt;"",'Éléments saisis (inputs)'!C368,"")</f>
        <v>Frais d’entretien et de réparation du véhicule thermique</v>
      </c>
      <c r="D368" s="350">
        <f>IF('Éléments saisis (inputs)'!D368&lt;&gt;"",'Éléments saisis (inputs)'!D368,'1a. Defaults Segment-Ebene'!D368)</f>
        <v>0.05</v>
      </c>
      <c r="E368" s="344" t="str">
        <f>IF('Éléments saisis (inputs)'!E368&lt;&gt;"",'Éléments saisis (inputs)'!E368,"")</f>
        <v>CHF/km</v>
      </c>
      <c r="F368" s="344"/>
    </row>
    <row r="369" spans="2:6" x14ac:dyDescent="0.35">
      <c r="B369" s="18"/>
      <c r="C369" s="344" t="str">
        <f>IF('Éléments saisis (inputs)'!C369&lt;&gt;"",'Éléments saisis (inputs)'!C369,"")</f>
        <v>Valeur résiduelle du véhicule thermique</v>
      </c>
      <c r="D369" s="356">
        <f>IF('Éléments saisis (inputs)'!D369&lt;&gt;"",'Éléments saisis (inputs)'!D369,'1a. Defaults Segment-Ebene'!D369)</f>
        <v>0.31606388888888887</v>
      </c>
      <c r="E369" s="344" t="str">
        <f>IF('Éléments saisis (inputs)'!E369&lt;&gt;"",'Éléments saisis (inputs)'!E369,"")</f>
        <v/>
      </c>
      <c r="F369" s="344"/>
    </row>
    <row r="370" spans="2:6" x14ac:dyDescent="0.35">
      <c r="B370" s="18"/>
      <c r="C370" s="27" t="str">
        <f>IF('Éléments saisis (inputs)'!C370&lt;&gt;"",'Éléments saisis (inputs)'!C370,"")</f>
        <v>Prix d’acquisition, rabais de flotte du véhicule électrique inclus</v>
      </c>
      <c r="D370" s="355">
        <f>IF('Éléments saisis (inputs)'!D370&lt;&gt;"",'Éléments saisis (inputs)'!D370,'1a. Defaults Segment-Ebene'!D370)</f>
        <v>28810.890000000003</v>
      </c>
      <c r="E370" s="344" t="str">
        <f>IF('Éléments saisis (inputs)'!E370&lt;&gt;"",'Éléments saisis (inputs)'!E370,"")</f>
        <v>CHF</v>
      </c>
      <c r="F370" s="344"/>
    </row>
    <row r="371" spans="2:6" x14ac:dyDescent="0.35">
      <c r="B371" s="18"/>
      <c r="C371" s="344" t="str">
        <f>IF('Éléments saisis (inputs)'!C371&lt;&gt;"",'Éléments saisis (inputs)'!C371,"")</f>
        <v>Frais d’entretien et de réparation du véhicule électrique</v>
      </c>
      <c r="D371" s="363">
        <f>IF('Éléments saisis (inputs)'!D371&lt;&gt;"",'Éléments saisis (inputs)'!D371,'1a. Defaults Segment-Ebene'!D371)</f>
        <v>2.5000000000000001E-2</v>
      </c>
      <c r="E371" s="344" t="str">
        <f>IF('Éléments saisis (inputs)'!E371&lt;&gt;"",'Éléments saisis (inputs)'!E371,"")</f>
        <v>CHF/km</v>
      </c>
      <c r="F371" s="344"/>
    </row>
    <row r="372" spans="2:6" x14ac:dyDescent="0.35">
      <c r="B372" s="18"/>
      <c r="C372" s="344" t="str">
        <f>IF('Éléments saisis (inputs)'!C372&lt;&gt;"",'Éléments saisis (inputs)'!C372,"")</f>
        <v>Valeur résiduelle du véhicule électrique</v>
      </c>
      <c r="D372" s="356">
        <f>IF('Éléments saisis (inputs)'!D372&lt;&gt;"",'Éléments saisis (inputs)'!D372,'1a. Defaults Segment-Ebene'!D372)</f>
        <v>0.30658197222222217</v>
      </c>
      <c r="E372" s="344" t="str">
        <f>IF('Éléments saisis (inputs)'!E372&lt;&gt;"",'Éléments saisis (inputs)'!E372,"")</f>
        <v/>
      </c>
      <c r="F372" s="344"/>
    </row>
  </sheetData>
  <sheetProtection algorithmName="SHA-512" hashValue="fxtW0k1QLJbQv0whbhSL3qtbP1e4nAJtiSIC84dSMpLbWwIMW20WrpCyDJPzgcRONEdPOdSjDPKPulfua4M7CQ==" saltValue="MB7iTDM6+Sim/I5nHNmiDw==" spinCount="100000" sheet="1" objects="1" scenarios="1"/>
  <dataConsolidate/>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3FD4-D02F-4C26-B823-19A5A69F666D}">
  <sheetPr codeName="Sheet8">
    <tabColor theme="0" tint="-0.499984740745262"/>
  </sheetPr>
  <dimension ref="A1:AE25"/>
  <sheetViews>
    <sheetView workbookViewId="0">
      <selection activeCell="X2" sqref="X2"/>
    </sheetView>
  </sheetViews>
  <sheetFormatPr defaultColWidth="9.2109375" defaultRowHeight="14.15" x14ac:dyDescent="0.35"/>
  <cols>
    <col min="1" max="1" width="11.7109375" style="28" customWidth="1"/>
    <col min="2" max="2" width="16.7109375" style="28" customWidth="1"/>
    <col min="3" max="3" width="21.140625" style="28" customWidth="1"/>
    <col min="4" max="4" width="23.7109375" style="28" customWidth="1"/>
    <col min="5" max="5" width="15.2109375" style="28" customWidth="1"/>
    <col min="6" max="6" width="16.7109375" style="28" customWidth="1"/>
    <col min="7" max="7" width="21.140625" style="28" customWidth="1"/>
    <col min="8" max="8" width="23.7109375" style="28" customWidth="1"/>
    <col min="9" max="9" width="14.35546875" style="28" customWidth="1"/>
    <col min="10" max="10" width="26.35546875" style="28" customWidth="1"/>
    <col min="11" max="11" width="15.2109375" style="29" customWidth="1"/>
    <col min="12" max="12" width="24.2109375" style="29" customWidth="1"/>
    <col min="13" max="13" width="29.2109375" style="29" customWidth="1"/>
    <col min="14" max="14" width="30.2109375" style="29" customWidth="1"/>
    <col min="15" max="16" width="15.7109375" style="28" customWidth="1"/>
    <col min="17" max="17" width="35.640625" style="28" customWidth="1"/>
    <col min="18" max="18" width="34.2109375" style="28" customWidth="1"/>
    <col min="19" max="19" width="22.35546875" style="28" customWidth="1"/>
    <col min="20" max="20" width="20.140625" style="28" bestFit="1" customWidth="1"/>
    <col min="21" max="24" width="20.7109375" style="28" customWidth="1"/>
    <col min="25" max="25" width="29.35546875" style="28" customWidth="1"/>
    <col min="26" max="26" width="8.2109375" style="28" customWidth="1"/>
    <col min="27" max="27" width="7.640625" style="28" customWidth="1"/>
    <col min="28" max="28" width="39.7109375" style="28" customWidth="1"/>
    <col min="29" max="29" width="20.640625" style="28" customWidth="1"/>
    <col min="30" max="30" width="37.7109375" style="28" customWidth="1"/>
    <col min="31" max="31" width="18.35546875" style="28" customWidth="1"/>
    <col min="32" max="16384" width="9.2109375" style="28"/>
  </cols>
  <sheetData>
    <row r="1" spans="1:31" x14ac:dyDescent="0.35">
      <c r="A1" s="364"/>
      <c r="B1" s="364" t="s">
        <v>3</v>
      </c>
      <c r="C1" s="364" t="s">
        <v>63</v>
      </c>
      <c r="D1" s="364" t="s">
        <v>64</v>
      </c>
      <c r="E1" s="364" t="s">
        <v>5</v>
      </c>
      <c r="F1" s="364" t="s">
        <v>3</v>
      </c>
      <c r="G1" s="364" t="s">
        <v>63</v>
      </c>
      <c r="H1" s="364" t="s">
        <v>64</v>
      </c>
      <c r="I1" s="364" t="s">
        <v>8</v>
      </c>
      <c r="J1" s="364" t="s">
        <v>65</v>
      </c>
      <c r="K1" s="365" t="s">
        <v>10</v>
      </c>
      <c r="L1" s="365" t="s">
        <v>66</v>
      </c>
      <c r="M1" s="365" t="s">
        <v>67</v>
      </c>
      <c r="N1" s="365" t="s">
        <v>68</v>
      </c>
      <c r="O1" s="364" t="s">
        <v>17</v>
      </c>
      <c r="P1" s="364" t="s">
        <v>18</v>
      </c>
      <c r="Q1" s="364" t="s">
        <v>69</v>
      </c>
      <c r="R1" s="364" t="s">
        <v>70</v>
      </c>
      <c r="S1" s="364" t="s">
        <v>19</v>
      </c>
      <c r="T1" s="365" t="s">
        <v>20</v>
      </c>
      <c r="U1" s="364" t="s">
        <v>71</v>
      </c>
      <c r="V1" s="364" t="s">
        <v>72</v>
      </c>
      <c r="W1" s="364" t="s">
        <v>73</v>
      </c>
      <c r="X1" s="364" t="s">
        <v>74</v>
      </c>
      <c r="Y1" s="364" t="s">
        <v>75</v>
      </c>
      <c r="Z1" s="364" t="s">
        <v>76</v>
      </c>
      <c r="AA1" s="364" t="s">
        <v>22</v>
      </c>
      <c r="AB1" s="364" t="s">
        <v>77</v>
      </c>
      <c r="AC1" s="365" t="s">
        <v>78</v>
      </c>
      <c r="AD1" s="364" t="s">
        <v>79</v>
      </c>
      <c r="AE1" s="364" t="s">
        <v>80</v>
      </c>
    </row>
    <row r="2" spans="1:31" x14ac:dyDescent="0.35">
      <c r="A2" s="364" t="s">
        <v>1</v>
      </c>
      <c r="B2" s="365">
        <f>SUM(F$2:F2)</f>
        <v>1</v>
      </c>
      <c r="C2" s="365">
        <f>SUM(G$2:G2)</f>
        <v>1</v>
      </c>
      <c r="D2" s="365">
        <f>SUM(H$2:H2)</f>
        <v>0</v>
      </c>
      <c r="E2" s="366" t="str">
        <f>'1b. Corrected Inputs Segment'!$D$19</f>
        <v>Véhicules de pool</v>
      </c>
      <c r="F2" s="365">
        <f>'1b. Corrected Inputs Segment'!$D$18</f>
        <v>1</v>
      </c>
      <c r="G2" s="366">
        <f>IF(E2=INDEX(Einsatzart,1),F2,0)</f>
        <v>1</v>
      </c>
      <c r="H2" s="366">
        <f>IF(E2=INDEX(Einsatzart,1),0,F2)</f>
        <v>0</v>
      </c>
      <c r="I2" s="365" t="str">
        <f>'1b. Corrected Inputs Segment'!$D$20</f>
        <v>Niveau régional</v>
      </c>
      <c r="J2" s="365">
        <f ca="1">'1b. Corrected Inputs Segment'!$D$21</f>
        <v>0</v>
      </c>
      <c r="K2" s="365" t="str">
        <f>'1b. Corrected Inputs Segment'!$D$24</f>
        <v>Catégorie moyenne</v>
      </c>
      <c r="L2" s="365">
        <f>'1b. Corrected Inputs Segment'!$D$27*'2d. Annahmen'!$G$2</f>
        <v>46.900000000000006</v>
      </c>
      <c r="M2" s="365">
        <f>'1b. Corrected Inputs Segment'!$D$26</f>
        <v>15.1</v>
      </c>
      <c r="N2" s="365">
        <f>'1b. Corrected Inputs Segment'!$D$25</f>
        <v>5.8</v>
      </c>
      <c r="O2" s="365" t="str">
        <f>'1b. Corrected Inputs Segment'!$D$30</f>
        <v>Exploitation pendant les jours ouvrables</v>
      </c>
      <c r="P2" s="365">
        <f>'1b. Corrected Inputs Segment'!$D$31</f>
        <v>260</v>
      </c>
      <c r="Q2" s="365">
        <f>'1b. Corrected Inputs Segment'!$D$32</f>
        <v>100</v>
      </c>
      <c r="R2" s="365">
        <f>'1b. Corrected Inputs Segment'!$D$33</f>
        <v>0</v>
      </c>
      <c r="S2" s="365">
        <f>'1b. Corrected Inputs Segment'!$D$34</f>
        <v>1</v>
      </c>
      <c r="T2" s="365">
        <f>'1b. Corrected Inputs Segment'!$D$35</f>
        <v>1</v>
      </c>
      <c r="U2" s="367">
        <f>'1b. Corrected Inputs Segment'!$D$36</f>
        <v>1</v>
      </c>
      <c r="V2" s="367">
        <f ca="1">'1b. Corrected Inputs Segment'!$D$37</f>
        <v>8</v>
      </c>
      <c r="W2" s="367">
        <f>'1b. Corrected Inputs Segment'!$D$38</f>
        <v>1</v>
      </c>
      <c r="X2" s="368">
        <f>'1b. Corrected Inputs Segment'!$D$46</f>
        <v>28810.890000000003</v>
      </c>
      <c r="Y2" s="368">
        <f>'1b. Corrected Inputs Segment'!$D$43</f>
        <v>27219.464999999997</v>
      </c>
      <c r="Z2" s="369">
        <f>'1b. Corrected Inputs Segment'!$D$42</f>
        <v>0.03</v>
      </c>
      <c r="AA2" s="368">
        <f>'1b. Corrected Inputs Segment'!$D$41</f>
        <v>48</v>
      </c>
      <c r="AB2" s="370">
        <f>'1b. Corrected Inputs Segment'!$D$44</f>
        <v>0.05</v>
      </c>
      <c r="AC2" s="371">
        <f>'1b. Corrected Inputs Segment'!$D$45</f>
        <v>0.31606388888888887</v>
      </c>
      <c r="AD2" s="370">
        <f>'1b. Corrected Inputs Segment'!$D$47</f>
        <v>2.5000000000000001E-2</v>
      </c>
      <c r="AE2" s="371">
        <f>'1b. Corrected Inputs Segment'!$D$48</f>
        <v>0.30658197222222217</v>
      </c>
    </row>
    <row r="3" spans="1:31" x14ac:dyDescent="0.35">
      <c r="A3" s="364" t="s">
        <v>26</v>
      </c>
      <c r="B3" s="365">
        <f>SUM(F$2:F3)</f>
        <v>1</v>
      </c>
      <c r="C3" s="365">
        <f>SUM(G$2:G3)</f>
        <v>1</v>
      </c>
      <c r="D3" s="365">
        <f>SUM(H$2:H3)</f>
        <v>0</v>
      </c>
      <c r="E3" s="366" t="str">
        <f>'1b. Corrected Inputs Segment'!$D$55</f>
        <v>Véhicules de pool</v>
      </c>
      <c r="F3" s="365">
        <f>'1b. Corrected Inputs Segment'!$D$54</f>
        <v>0</v>
      </c>
      <c r="G3" s="366">
        <f t="shared" ref="G3:G11" si="0">IF(E3=INDEX(Einsatzart,1),F3,0)</f>
        <v>0</v>
      </c>
      <c r="H3" s="366">
        <f t="shared" ref="H3:H11" si="1">IF(E3=INDEX(Einsatzart,1),0,F3)</f>
        <v>0</v>
      </c>
      <c r="I3" s="365" t="str">
        <f>'1b. Corrected Inputs Segment'!$D$56</f>
        <v>Niveau régional</v>
      </c>
      <c r="J3" s="365">
        <f ca="1">'1b. Corrected Inputs Segment'!$D$57</f>
        <v>0</v>
      </c>
      <c r="K3" s="365" t="str">
        <f>'1b. Corrected Inputs Segment'!$D$60</f>
        <v>Catégorie moyenne</v>
      </c>
      <c r="L3" s="372">
        <f>'1b. Corrected Inputs Segment'!$D$63*'2d. Annahmen'!$G$2</f>
        <v>46.900000000000006</v>
      </c>
      <c r="M3" s="365">
        <f>'1b. Corrected Inputs Segment'!$D$62</f>
        <v>15.1</v>
      </c>
      <c r="N3" s="365">
        <f>'1b. Corrected Inputs Segment'!$D$61</f>
        <v>5.8</v>
      </c>
      <c r="O3" s="365" t="str">
        <f>'1b. Corrected Inputs Segment'!$D$66</f>
        <v>Exploitation pendant les jours ouvrables</v>
      </c>
      <c r="P3" s="365">
        <f>'1b. Corrected Inputs Segment'!$D$67</f>
        <v>260</v>
      </c>
      <c r="Q3" s="365">
        <f>'1b. Corrected Inputs Segment'!$D$68</f>
        <v>100</v>
      </c>
      <c r="R3" s="365">
        <f>'1b. Corrected Inputs Segment'!$D$69</f>
        <v>0</v>
      </c>
      <c r="S3" s="365">
        <f>'1b. Corrected Inputs Segment'!$D$70</f>
        <v>1</v>
      </c>
      <c r="T3" s="365">
        <f>'1b. Corrected Inputs Segment'!$D$71</f>
        <v>1</v>
      </c>
      <c r="U3" s="367">
        <f>'1b. Corrected Inputs Segment'!$D$72</f>
        <v>1</v>
      </c>
      <c r="V3" s="367">
        <f ca="1">'1b. Corrected Inputs Segment'!$D$73</f>
        <v>8</v>
      </c>
      <c r="W3" s="367">
        <f>'1b. Corrected Inputs Segment'!$D$74</f>
        <v>1</v>
      </c>
      <c r="X3" s="368">
        <f>'1b. Corrected Inputs Segment'!$D$82</f>
        <v>28810.890000000003</v>
      </c>
      <c r="Y3" s="368">
        <f>'1b. Corrected Inputs Segment'!$D$79</f>
        <v>27219.464999999997</v>
      </c>
      <c r="Z3" s="369">
        <f>'1b. Corrected Inputs Segment'!$D$78</f>
        <v>0.03</v>
      </c>
      <c r="AA3" s="368">
        <f>'1b. Corrected Inputs Segment'!$D$77</f>
        <v>48</v>
      </c>
      <c r="AB3" s="370">
        <f>'1b. Corrected Inputs Segment'!$D$80</f>
        <v>0.05</v>
      </c>
      <c r="AC3" s="371">
        <f>'1b. Corrected Inputs Segment'!$D$81</f>
        <v>0.31606388888888887</v>
      </c>
      <c r="AD3" s="370">
        <f>'1b. Corrected Inputs Segment'!$D$83</f>
        <v>2.5000000000000001E-2</v>
      </c>
      <c r="AE3" s="371">
        <f>'1b. Corrected Inputs Segment'!$D$84</f>
        <v>0.30658197222222217</v>
      </c>
    </row>
    <row r="4" spans="1:31" x14ac:dyDescent="0.35">
      <c r="A4" s="364" t="s">
        <v>27</v>
      </c>
      <c r="B4" s="365">
        <f>SUM(F$2:F4)</f>
        <v>1</v>
      </c>
      <c r="C4" s="365">
        <f>SUM(G$2:G4)</f>
        <v>1</v>
      </c>
      <c r="D4" s="365">
        <f>SUM(H$2:H4)</f>
        <v>0</v>
      </c>
      <c r="E4" s="366" t="str">
        <f>'1b. Corrected Inputs Segment'!$D$91</f>
        <v>Véhicules de pool</v>
      </c>
      <c r="F4" s="365">
        <f>'1b. Corrected Inputs Segment'!$D$90</f>
        <v>0</v>
      </c>
      <c r="G4" s="366">
        <f t="shared" si="0"/>
        <v>0</v>
      </c>
      <c r="H4" s="366">
        <f t="shared" si="1"/>
        <v>0</v>
      </c>
      <c r="I4" s="365" t="str">
        <f>'1b. Corrected Inputs Segment'!$D$92</f>
        <v>Niveau régional</v>
      </c>
      <c r="J4" s="365">
        <f ca="1">'1b. Corrected Inputs Segment'!$D$93</f>
        <v>0</v>
      </c>
      <c r="K4" s="365" t="str">
        <f>'1b. Corrected Inputs Segment'!$D$96</f>
        <v>Catégorie moyenne</v>
      </c>
      <c r="L4" s="372">
        <f>'1b. Corrected Inputs Segment'!$D$99*'2d. Annahmen'!$G$2</f>
        <v>46.900000000000006</v>
      </c>
      <c r="M4" s="365">
        <f>'1b. Corrected Inputs Segment'!$D$98</f>
        <v>15.1</v>
      </c>
      <c r="N4" s="365">
        <f>'1b. Corrected Inputs Segment'!$D$97</f>
        <v>5.8</v>
      </c>
      <c r="O4" s="365" t="str">
        <f>'1b. Corrected Inputs Segment'!$D$102</f>
        <v>Exploitation pendant les jours ouvrables</v>
      </c>
      <c r="P4" s="365">
        <f>'1b. Corrected Inputs Segment'!$D$103</f>
        <v>260</v>
      </c>
      <c r="Q4" s="365">
        <f>'1b. Corrected Inputs Segment'!$D$104</f>
        <v>100</v>
      </c>
      <c r="R4" s="365">
        <f>'1b. Corrected Inputs Segment'!$D$105</f>
        <v>0</v>
      </c>
      <c r="S4" s="365">
        <f>'1b. Corrected Inputs Segment'!$D$106</f>
        <v>1</v>
      </c>
      <c r="T4" s="365">
        <f>'1b. Corrected Inputs Segment'!$D$107</f>
        <v>1</v>
      </c>
      <c r="U4" s="367">
        <f>'1b. Corrected Inputs Segment'!$D$108</f>
        <v>1</v>
      </c>
      <c r="V4" s="367">
        <f ca="1">'1b. Corrected Inputs Segment'!$D$109</f>
        <v>8</v>
      </c>
      <c r="W4" s="367">
        <f>'1b. Corrected Inputs Segment'!$D$110</f>
        <v>1</v>
      </c>
      <c r="X4" s="368">
        <f>'1b. Corrected Inputs Segment'!$D$118</f>
        <v>28810.890000000003</v>
      </c>
      <c r="Y4" s="368">
        <f>'1b. Corrected Inputs Segment'!$D$115</f>
        <v>27219.464999999997</v>
      </c>
      <c r="Z4" s="369">
        <f>'1b. Corrected Inputs Segment'!$D$114</f>
        <v>0.03</v>
      </c>
      <c r="AA4" s="368">
        <f>'1b. Corrected Inputs Segment'!$D$113</f>
        <v>48</v>
      </c>
      <c r="AB4" s="370">
        <f>'1b. Corrected Inputs Segment'!$D$116</f>
        <v>0.05</v>
      </c>
      <c r="AC4" s="371">
        <f>'1b. Corrected Inputs Segment'!$D$117</f>
        <v>0.31606388888888887</v>
      </c>
      <c r="AD4" s="370">
        <f>'1b. Corrected Inputs Segment'!$D$119</f>
        <v>2.5000000000000001E-2</v>
      </c>
      <c r="AE4" s="371">
        <f>'1b. Corrected Inputs Segment'!$D$120</f>
        <v>0.30658197222222217</v>
      </c>
    </row>
    <row r="5" spans="1:31" x14ac:dyDescent="0.35">
      <c r="A5" s="364" t="s">
        <v>28</v>
      </c>
      <c r="B5" s="365">
        <f>SUM(F$2:F5)</f>
        <v>1</v>
      </c>
      <c r="C5" s="365">
        <f>SUM(G$2:G5)</f>
        <v>1</v>
      </c>
      <c r="D5" s="365">
        <f>SUM(H$2:H5)</f>
        <v>0</v>
      </c>
      <c r="E5" s="366" t="str">
        <f>'1b. Corrected Inputs Segment'!$D$127</f>
        <v>Véhicules de pool</v>
      </c>
      <c r="F5" s="365">
        <f>'1b. Corrected Inputs Segment'!$D$126</f>
        <v>0</v>
      </c>
      <c r="G5" s="366">
        <f t="shared" si="0"/>
        <v>0</v>
      </c>
      <c r="H5" s="366">
        <f t="shared" si="1"/>
        <v>0</v>
      </c>
      <c r="I5" s="365" t="str">
        <f>'1b. Corrected Inputs Segment'!$D$128</f>
        <v>Niveau régional</v>
      </c>
      <c r="J5" s="365">
        <f ca="1">'1b. Corrected Inputs Segment'!$D$129</f>
        <v>0</v>
      </c>
      <c r="K5" s="365" t="str">
        <f>'1b. Corrected Inputs Segment'!$D$132</f>
        <v>Catégorie moyenne</v>
      </c>
      <c r="L5" s="372">
        <f>'1b. Corrected Inputs Segment'!$D$135*'2d. Annahmen'!$G$2</f>
        <v>46.900000000000006</v>
      </c>
      <c r="M5" s="365">
        <f>'1b. Corrected Inputs Segment'!$D$134</f>
        <v>15.1</v>
      </c>
      <c r="N5" s="365">
        <f>'1b. Corrected Inputs Segment'!$D$133</f>
        <v>5.8</v>
      </c>
      <c r="O5" s="365" t="str">
        <f>'1b. Corrected Inputs Segment'!$D$138</f>
        <v>Exploitation pendant les jours ouvrables</v>
      </c>
      <c r="P5" s="365">
        <f>'1b. Corrected Inputs Segment'!$D$139</f>
        <v>260</v>
      </c>
      <c r="Q5" s="365">
        <f>'1b. Corrected Inputs Segment'!$D$140</f>
        <v>100</v>
      </c>
      <c r="R5" s="365">
        <f>'1b. Corrected Inputs Segment'!$D$141</f>
        <v>0</v>
      </c>
      <c r="S5" s="365">
        <f>'1b. Corrected Inputs Segment'!$D$142</f>
        <v>1</v>
      </c>
      <c r="T5" s="365">
        <f>'1b. Corrected Inputs Segment'!$D$143</f>
        <v>1</v>
      </c>
      <c r="U5" s="367">
        <f>'1b. Corrected Inputs Segment'!$D$144</f>
        <v>1</v>
      </c>
      <c r="V5" s="367">
        <f ca="1">'1b. Corrected Inputs Segment'!$D$145</f>
        <v>8</v>
      </c>
      <c r="W5" s="367">
        <f>'1b. Corrected Inputs Segment'!$D$146</f>
        <v>1</v>
      </c>
      <c r="X5" s="368">
        <f>'1b. Corrected Inputs Segment'!$D$154</f>
        <v>28810.890000000003</v>
      </c>
      <c r="Y5" s="368">
        <f>'1b. Corrected Inputs Segment'!$D$151</f>
        <v>27219.464999999997</v>
      </c>
      <c r="Z5" s="369">
        <f>'1b. Corrected Inputs Segment'!$D$150</f>
        <v>0.03</v>
      </c>
      <c r="AA5" s="368">
        <f>'1b. Corrected Inputs Segment'!$D$149</f>
        <v>48</v>
      </c>
      <c r="AB5" s="370">
        <f>'1b. Corrected Inputs Segment'!$D$152</f>
        <v>0.05</v>
      </c>
      <c r="AC5" s="371">
        <f>'1b. Corrected Inputs Segment'!$D$153</f>
        <v>0.31606388888888887</v>
      </c>
      <c r="AD5" s="370">
        <f>'1b. Corrected Inputs Segment'!$D$155</f>
        <v>2.5000000000000001E-2</v>
      </c>
      <c r="AE5" s="371">
        <f>'1b. Corrected Inputs Segment'!$D$156</f>
        <v>0.30658197222222217</v>
      </c>
    </row>
    <row r="6" spans="1:31" x14ac:dyDescent="0.35">
      <c r="A6" s="364" t="s">
        <v>29</v>
      </c>
      <c r="B6" s="365">
        <f>SUM(F$2:F6)</f>
        <v>1</v>
      </c>
      <c r="C6" s="365">
        <f>SUM(G$2:G6)</f>
        <v>1</v>
      </c>
      <c r="D6" s="365">
        <f>SUM(H$2:H6)</f>
        <v>0</v>
      </c>
      <c r="E6" s="366" t="str">
        <f>'1b. Corrected Inputs Segment'!$D$163</f>
        <v>Véhicules de pool</v>
      </c>
      <c r="F6" s="365">
        <f>'1b. Corrected Inputs Segment'!$D$162</f>
        <v>0</v>
      </c>
      <c r="G6" s="366">
        <f t="shared" si="0"/>
        <v>0</v>
      </c>
      <c r="H6" s="366">
        <f t="shared" si="1"/>
        <v>0</v>
      </c>
      <c r="I6" s="365" t="str">
        <f>'1b. Corrected Inputs Segment'!$D$164</f>
        <v>Niveau régional</v>
      </c>
      <c r="J6" s="365">
        <f ca="1">'1b. Corrected Inputs Segment'!$D$165</f>
        <v>0</v>
      </c>
      <c r="K6" s="365" t="str">
        <f>'1b. Corrected Inputs Segment'!$D$168</f>
        <v>Catégorie moyenne</v>
      </c>
      <c r="L6" s="372">
        <f>'1b. Corrected Inputs Segment'!$D$171*'2d. Annahmen'!$G$2</f>
        <v>46.900000000000006</v>
      </c>
      <c r="M6" s="365">
        <f>'1b. Corrected Inputs Segment'!$D$170</f>
        <v>15.1</v>
      </c>
      <c r="N6" s="365">
        <f>'1b. Corrected Inputs Segment'!$D$169</f>
        <v>5.8</v>
      </c>
      <c r="O6" s="365" t="str">
        <f>'1b. Corrected Inputs Segment'!$D$174</f>
        <v>Exploitation pendant les jours ouvrables</v>
      </c>
      <c r="P6" s="365">
        <f>'1b. Corrected Inputs Segment'!$D$175</f>
        <v>260</v>
      </c>
      <c r="Q6" s="365">
        <f>'1b. Corrected Inputs Segment'!$D$176</f>
        <v>100</v>
      </c>
      <c r="R6" s="365">
        <f>'1b. Corrected Inputs Segment'!$D$177</f>
        <v>0</v>
      </c>
      <c r="S6" s="365">
        <f>'1b. Corrected Inputs Segment'!$D$178</f>
        <v>1</v>
      </c>
      <c r="T6" s="365">
        <f>'1b. Corrected Inputs Segment'!$D$179</f>
        <v>1</v>
      </c>
      <c r="U6" s="367">
        <f>'1b. Corrected Inputs Segment'!$D$180</f>
        <v>1</v>
      </c>
      <c r="V6" s="367">
        <f ca="1">'1b. Corrected Inputs Segment'!$D$181</f>
        <v>8</v>
      </c>
      <c r="W6" s="367">
        <f>'1b. Corrected Inputs Segment'!$D$182</f>
        <v>1</v>
      </c>
      <c r="X6" s="368">
        <f>'1b. Corrected Inputs Segment'!$D$190</f>
        <v>28810.890000000003</v>
      </c>
      <c r="Y6" s="368">
        <f>'1b. Corrected Inputs Segment'!$D$187</f>
        <v>27219.464999999997</v>
      </c>
      <c r="Z6" s="369">
        <f>'1b. Corrected Inputs Segment'!$D$186</f>
        <v>0.03</v>
      </c>
      <c r="AA6" s="368">
        <f>'1b. Corrected Inputs Segment'!$D$185</f>
        <v>48</v>
      </c>
      <c r="AB6" s="370">
        <f>'1b. Corrected Inputs Segment'!$D$188</f>
        <v>0.05</v>
      </c>
      <c r="AC6" s="371">
        <f>'1b. Corrected Inputs Segment'!$D$189</f>
        <v>0.31606388888888887</v>
      </c>
      <c r="AD6" s="370">
        <f>'1b. Corrected Inputs Segment'!$D$191</f>
        <v>2.5000000000000001E-2</v>
      </c>
      <c r="AE6" s="371">
        <f>'1b. Corrected Inputs Segment'!$D$192</f>
        <v>0.30658197222222217</v>
      </c>
    </row>
    <row r="7" spans="1:31" x14ac:dyDescent="0.35">
      <c r="A7" s="364" t="s">
        <v>30</v>
      </c>
      <c r="B7" s="365">
        <f>SUM(F$2:F7)</f>
        <v>1</v>
      </c>
      <c r="C7" s="365">
        <f>SUM(G$2:G7)</f>
        <v>1</v>
      </c>
      <c r="D7" s="365">
        <f>SUM(H$2:H7)</f>
        <v>0</v>
      </c>
      <c r="E7" s="366" t="str">
        <f>'1b. Corrected Inputs Segment'!$D$199</f>
        <v>Véhicules de pool</v>
      </c>
      <c r="F7" s="365">
        <f>'1b. Corrected Inputs Segment'!$D$198</f>
        <v>0</v>
      </c>
      <c r="G7" s="366">
        <f t="shared" si="0"/>
        <v>0</v>
      </c>
      <c r="H7" s="366">
        <f t="shared" si="1"/>
        <v>0</v>
      </c>
      <c r="I7" s="365" t="str">
        <f>'1b. Corrected Inputs Segment'!$D$200</f>
        <v>Niveau régional</v>
      </c>
      <c r="J7" s="365">
        <f ca="1">'1b. Corrected Inputs Segment'!$D$201</f>
        <v>0</v>
      </c>
      <c r="K7" s="365" t="str">
        <f>'1b. Corrected Inputs Segment'!$D$204</f>
        <v>Catégorie moyenne</v>
      </c>
      <c r="L7" s="372">
        <f>'1b. Corrected Inputs Segment'!$D$207*'2d. Annahmen'!$G$2</f>
        <v>46.900000000000006</v>
      </c>
      <c r="M7" s="365">
        <f>'1b. Corrected Inputs Segment'!$D$206</f>
        <v>15.1</v>
      </c>
      <c r="N7" s="365">
        <f>'1b. Corrected Inputs Segment'!$D$205</f>
        <v>5.8</v>
      </c>
      <c r="O7" s="365" t="str">
        <f>'1b. Corrected Inputs Segment'!$D$210</f>
        <v>Exploitation pendant les jours ouvrables</v>
      </c>
      <c r="P7" s="365">
        <f>'1b. Corrected Inputs Segment'!$D$211</f>
        <v>260</v>
      </c>
      <c r="Q7" s="365">
        <f>'1b. Corrected Inputs Segment'!$D$212</f>
        <v>100</v>
      </c>
      <c r="R7" s="365">
        <f>'1b. Corrected Inputs Segment'!$D$213</f>
        <v>0</v>
      </c>
      <c r="S7" s="365">
        <f>'1b. Corrected Inputs Segment'!$D$214</f>
        <v>1</v>
      </c>
      <c r="T7" s="365">
        <f>'1b. Corrected Inputs Segment'!$D$215</f>
        <v>1</v>
      </c>
      <c r="U7" s="367">
        <f>'1b. Corrected Inputs Segment'!$D$216</f>
        <v>1</v>
      </c>
      <c r="V7" s="367">
        <f ca="1">'1b. Corrected Inputs Segment'!$D$217</f>
        <v>8</v>
      </c>
      <c r="W7" s="367">
        <f>'1b. Corrected Inputs Segment'!$D$218</f>
        <v>1</v>
      </c>
      <c r="X7" s="368">
        <f>'1b. Corrected Inputs Segment'!$D$226</f>
        <v>28810.890000000003</v>
      </c>
      <c r="Y7" s="368">
        <f>'1b. Corrected Inputs Segment'!$D$223</f>
        <v>27219.464999999997</v>
      </c>
      <c r="Z7" s="369">
        <f>'1b. Corrected Inputs Segment'!$D$222</f>
        <v>0.03</v>
      </c>
      <c r="AA7" s="368">
        <f>'1b. Corrected Inputs Segment'!$D$221</f>
        <v>48</v>
      </c>
      <c r="AB7" s="370">
        <f>'1b. Corrected Inputs Segment'!$D$224</f>
        <v>0.05</v>
      </c>
      <c r="AC7" s="371">
        <f>'1b. Corrected Inputs Segment'!$D$225</f>
        <v>0.31606388888888887</v>
      </c>
      <c r="AD7" s="370">
        <f>'1b. Corrected Inputs Segment'!$D$227</f>
        <v>2.5000000000000001E-2</v>
      </c>
      <c r="AE7" s="371">
        <f>'1b. Corrected Inputs Segment'!$D$228</f>
        <v>0.30658197222222217</v>
      </c>
    </row>
    <row r="8" spans="1:31" x14ac:dyDescent="0.35">
      <c r="A8" s="364" t="s">
        <v>31</v>
      </c>
      <c r="B8" s="365">
        <f>SUM(F$2:F8)</f>
        <v>1</v>
      </c>
      <c r="C8" s="365">
        <f>SUM(G$2:G8)</f>
        <v>1</v>
      </c>
      <c r="D8" s="365">
        <f>SUM(H$2:H8)</f>
        <v>0</v>
      </c>
      <c r="E8" s="366" t="str">
        <f>'1b. Corrected Inputs Segment'!$D$235</f>
        <v>Véhicules de pool</v>
      </c>
      <c r="F8" s="365">
        <f>'1b. Corrected Inputs Segment'!$D$234</f>
        <v>0</v>
      </c>
      <c r="G8" s="366">
        <f t="shared" si="0"/>
        <v>0</v>
      </c>
      <c r="H8" s="366">
        <f t="shared" si="1"/>
        <v>0</v>
      </c>
      <c r="I8" s="365" t="str">
        <f>'1b. Corrected Inputs Segment'!$D$236</f>
        <v>Niveau régional</v>
      </c>
      <c r="J8" s="365">
        <f ca="1">'1b. Corrected Inputs Segment'!$D$237</f>
        <v>0</v>
      </c>
      <c r="K8" s="365" t="str">
        <f>'1b. Corrected Inputs Segment'!$D$240</f>
        <v>Catégorie moyenne</v>
      </c>
      <c r="L8" s="372">
        <f>'1b. Corrected Inputs Segment'!$D$243*'2d. Annahmen'!$G$2</f>
        <v>46.900000000000006</v>
      </c>
      <c r="M8" s="365">
        <f>'1b. Corrected Inputs Segment'!$D$242</f>
        <v>15.1</v>
      </c>
      <c r="N8" s="365">
        <f>'1b. Corrected Inputs Segment'!$D$241</f>
        <v>5.8</v>
      </c>
      <c r="O8" s="365" t="str">
        <f>'1b. Corrected Inputs Segment'!$D$246</f>
        <v>Exploitation pendant les jours ouvrables</v>
      </c>
      <c r="P8" s="365">
        <f>'1b. Corrected Inputs Segment'!$D$247</f>
        <v>260</v>
      </c>
      <c r="Q8" s="365">
        <f>'1b. Corrected Inputs Segment'!$D$248</f>
        <v>100</v>
      </c>
      <c r="R8" s="365">
        <f>'1b. Corrected Inputs Segment'!$D$249</f>
        <v>0</v>
      </c>
      <c r="S8" s="365">
        <f>'1b. Corrected Inputs Segment'!$D$250</f>
        <v>1</v>
      </c>
      <c r="T8" s="365">
        <f>'1b. Corrected Inputs Segment'!$D$251</f>
        <v>1</v>
      </c>
      <c r="U8" s="367">
        <f>'1b. Corrected Inputs Segment'!$D$252</f>
        <v>1</v>
      </c>
      <c r="V8" s="367">
        <f ca="1">'1b. Corrected Inputs Segment'!$D$253</f>
        <v>8</v>
      </c>
      <c r="W8" s="367">
        <f>'1b. Corrected Inputs Segment'!$D$254</f>
        <v>1</v>
      </c>
      <c r="X8" s="368">
        <f>'1b. Corrected Inputs Segment'!$D$262</f>
        <v>28810.890000000003</v>
      </c>
      <c r="Y8" s="368">
        <f>'1b. Corrected Inputs Segment'!$D$259</f>
        <v>27219.464999999997</v>
      </c>
      <c r="Z8" s="369">
        <f>'1b. Corrected Inputs Segment'!$D$258</f>
        <v>0.03</v>
      </c>
      <c r="AA8" s="368">
        <f>'1b. Corrected Inputs Segment'!$D$257</f>
        <v>48</v>
      </c>
      <c r="AB8" s="370">
        <f>'1b. Corrected Inputs Segment'!$D$260</f>
        <v>0.05</v>
      </c>
      <c r="AC8" s="371">
        <f>'1b. Corrected Inputs Segment'!$D$261</f>
        <v>0.31606388888888887</v>
      </c>
      <c r="AD8" s="370">
        <f>'1b. Corrected Inputs Segment'!$D$263</f>
        <v>2.5000000000000001E-2</v>
      </c>
      <c r="AE8" s="371">
        <f>'1b. Corrected Inputs Segment'!$D$264</f>
        <v>0.30658197222222217</v>
      </c>
    </row>
    <row r="9" spans="1:31" x14ac:dyDescent="0.35">
      <c r="A9" s="364" t="s">
        <v>32</v>
      </c>
      <c r="B9" s="365">
        <f>SUM(F$2:F9)</f>
        <v>1</v>
      </c>
      <c r="C9" s="365">
        <f>SUM(G$2:G9)</f>
        <v>1</v>
      </c>
      <c r="D9" s="365">
        <f>SUM(H$2:H9)</f>
        <v>0</v>
      </c>
      <c r="E9" s="366" t="str">
        <f>'1b. Corrected Inputs Segment'!$D$271</f>
        <v>Véhicules de pool</v>
      </c>
      <c r="F9" s="365">
        <f>'1b. Corrected Inputs Segment'!$D$270</f>
        <v>0</v>
      </c>
      <c r="G9" s="366">
        <f t="shared" si="0"/>
        <v>0</v>
      </c>
      <c r="H9" s="366">
        <f t="shared" si="1"/>
        <v>0</v>
      </c>
      <c r="I9" s="365" t="str">
        <f>'1b. Corrected Inputs Segment'!$D$272</f>
        <v>Niveau régional</v>
      </c>
      <c r="J9" s="365">
        <f ca="1">'1b. Corrected Inputs Segment'!$D$273</f>
        <v>0</v>
      </c>
      <c r="K9" s="365" t="str">
        <f>'1b. Corrected Inputs Segment'!$D$276</f>
        <v>Catégorie moyenne</v>
      </c>
      <c r="L9" s="372">
        <f>'1b. Corrected Inputs Segment'!$D$279*'2d. Annahmen'!$G$2</f>
        <v>46.900000000000006</v>
      </c>
      <c r="M9" s="365">
        <f>'1b. Corrected Inputs Segment'!$D$278</f>
        <v>15.1</v>
      </c>
      <c r="N9" s="365">
        <f>'1b. Corrected Inputs Segment'!$D$277</f>
        <v>5.8</v>
      </c>
      <c r="O9" s="365" t="str">
        <f>'1b. Corrected Inputs Segment'!$D$282</f>
        <v>Exploitation pendant les jours ouvrables</v>
      </c>
      <c r="P9" s="365">
        <f>'1b. Corrected Inputs Segment'!$D$283</f>
        <v>260</v>
      </c>
      <c r="Q9" s="365">
        <f>'1b. Corrected Inputs Segment'!$D$284</f>
        <v>100</v>
      </c>
      <c r="R9" s="365">
        <f>'1b. Corrected Inputs Segment'!$D$285</f>
        <v>0</v>
      </c>
      <c r="S9" s="365">
        <f>'1b. Corrected Inputs Segment'!$D$286</f>
        <v>1</v>
      </c>
      <c r="T9" s="365">
        <f>'1b. Corrected Inputs Segment'!$D$287</f>
        <v>1</v>
      </c>
      <c r="U9" s="367">
        <f>'1b. Corrected Inputs Segment'!$D$288</f>
        <v>1</v>
      </c>
      <c r="V9" s="367">
        <f ca="1">'1b. Corrected Inputs Segment'!$D$289</f>
        <v>8</v>
      </c>
      <c r="W9" s="367">
        <f>'1b. Corrected Inputs Segment'!$D$290</f>
        <v>1</v>
      </c>
      <c r="X9" s="368">
        <f>'1b. Corrected Inputs Segment'!$D$298</f>
        <v>28810.890000000003</v>
      </c>
      <c r="Y9" s="368">
        <f>'1b. Corrected Inputs Segment'!$D$295</f>
        <v>27219.464999999997</v>
      </c>
      <c r="Z9" s="369">
        <f>'1b. Corrected Inputs Segment'!$D$294</f>
        <v>0.03</v>
      </c>
      <c r="AA9" s="368">
        <f>'1b. Corrected Inputs Segment'!$D$293</f>
        <v>48</v>
      </c>
      <c r="AB9" s="370">
        <f>'1b. Corrected Inputs Segment'!$D$296</f>
        <v>0.05</v>
      </c>
      <c r="AC9" s="371">
        <f>'1b. Corrected Inputs Segment'!$D$297</f>
        <v>0.31606388888888887</v>
      </c>
      <c r="AD9" s="370">
        <f>'1b. Corrected Inputs Segment'!$D$299</f>
        <v>2.5000000000000001E-2</v>
      </c>
      <c r="AE9" s="371">
        <f>'1b. Corrected Inputs Segment'!$D$300</f>
        <v>0.30658197222222217</v>
      </c>
    </row>
    <row r="10" spans="1:31" x14ac:dyDescent="0.35">
      <c r="A10" s="364" t="s">
        <v>33</v>
      </c>
      <c r="B10" s="365">
        <f>SUM(F$2:F10)</f>
        <v>1</v>
      </c>
      <c r="C10" s="365">
        <f>SUM(G$2:G10)</f>
        <v>1</v>
      </c>
      <c r="D10" s="365">
        <f>SUM(H$2:H10)</f>
        <v>0</v>
      </c>
      <c r="E10" s="366" t="str">
        <f>'1b. Corrected Inputs Segment'!$D$307</f>
        <v>Véhicules de pool</v>
      </c>
      <c r="F10" s="365">
        <f>'1b. Corrected Inputs Segment'!$D$306</f>
        <v>0</v>
      </c>
      <c r="G10" s="366">
        <f t="shared" si="0"/>
        <v>0</v>
      </c>
      <c r="H10" s="366">
        <f t="shared" si="1"/>
        <v>0</v>
      </c>
      <c r="I10" s="365" t="str">
        <f>'1b. Corrected Inputs Segment'!$D$308</f>
        <v>Niveau régional</v>
      </c>
      <c r="J10" s="365">
        <f ca="1">'1b. Corrected Inputs Segment'!$D$309</f>
        <v>0</v>
      </c>
      <c r="K10" s="365" t="str">
        <f>'1b. Corrected Inputs Segment'!$D$312</f>
        <v>Catégorie moyenne</v>
      </c>
      <c r="L10" s="372">
        <f>'1b. Corrected Inputs Segment'!$D$315*'2d. Annahmen'!$G$2</f>
        <v>46.900000000000006</v>
      </c>
      <c r="M10" s="365">
        <f>'1b. Corrected Inputs Segment'!$D$314</f>
        <v>15.1</v>
      </c>
      <c r="N10" s="365">
        <f>'1b. Corrected Inputs Segment'!$D$313</f>
        <v>5.8</v>
      </c>
      <c r="O10" s="365" t="str">
        <f>'1b. Corrected Inputs Segment'!$D$318</f>
        <v>Exploitation pendant les jours ouvrables</v>
      </c>
      <c r="P10" s="365">
        <f>'1b. Corrected Inputs Segment'!$D$319</f>
        <v>260</v>
      </c>
      <c r="Q10" s="365">
        <f>'1b. Corrected Inputs Segment'!$D$320</f>
        <v>100</v>
      </c>
      <c r="R10" s="365">
        <f>'1b. Corrected Inputs Segment'!$D$321</f>
        <v>0</v>
      </c>
      <c r="S10" s="365">
        <f>'1b. Corrected Inputs Segment'!$D$322</f>
        <v>1</v>
      </c>
      <c r="T10" s="365">
        <f>'1b. Corrected Inputs Segment'!$D$323</f>
        <v>1</v>
      </c>
      <c r="U10" s="367">
        <f>'1b. Corrected Inputs Segment'!$D$324</f>
        <v>1</v>
      </c>
      <c r="V10" s="367">
        <f ca="1">'1b. Corrected Inputs Segment'!$D$325</f>
        <v>8</v>
      </c>
      <c r="W10" s="367">
        <f>'1b. Corrected Inputs Segment'!$D$326</f>
        <v>1</v>
      </c>
      <c r="X10" s="368">
        <f>'1b. Corrected Inputs Segment'!$D$334</f>
        <v>28810.890000000003</v>
      </c>
      <c r="Y10" s="368">
        <f>'1b. Corrected Inputs Segment'!$D$331</f>
        <v>27219.464999999997</v>
      </c>
      <c r="Z10" s="369">
        <f>'1b. Corrected Inputs Segment'!$D$330</f>
        <v>0.03</v>
      </c>
      <c r="AA10" s="368">
        <f>'1b. Corrected Inputs Segment'!$D$329</f>
        <v>48</v>
      </c>
      <c r="AB10" s="370">
        <f>'1b. Corrected Inputs Segment'!$D$332</f>
        <v>0.05</v>
      </c>
      <c r="AC10" s="371">
        <f>'1b. Corrected Inputs Segment'!$D$333</f>
        <v>0.31606388888888887</v>
      </c>
      <c r="AD10" s="370">
        <f>'1b. Corrected Inputs Segment'!$D$335</f>
        <v>2.5000000000000001E-2</v>
      </c>
      <c r="AE10" s="371">
        <f>'1b. Corrected Inputs Segment'!$D$336</f>
        <v>0.30658197222222217</v>
      </c>
    </row>
    <row r="11" spans="1:31" x14ac:dyDescent="0.35">
      <c r="A11" s="364" t="s">
        <v>34</v>
      </c>
      <c r="B11" s="365">
        <f>SUM(F$2:F11)</f>
        <v>1</v>
      </c>
      <c r="C11" s="365">
        <f>SUM(G$2:G11)</f>
        <v>1</v>
      </c>
      <c r="D11" s="365">
        <f>SUM(H$2:H11)</f>
        <v>0</v>
      </c>
      <c r="E11" s="366" t="str">
        <f>'1b. Corrected Inputs Segment'!$D$343</f>
        <v>Véhicules de pool</v>
      </c>
      <c r="F11" s="365">
        <f>'1b. Corrected Inputs Segment'!$D$342</f>
        <v>0</v>
      </c>
      <c r="G11" s="366">
        <f t="shared" si="0"/>
        <v>0</v>
      </c>
      <c r="H11" s="366">
        <f t="shared" si="1"/>
        <v>0</v>
      </c>
      <c r="I11" s="365" t="str">
        <f>'1b. Corrected Inputs Segment'!$D$344</f>
        <v>Niveau régional</v>
      </c>
      <c r="J11" s="365">
        <f ca="1">'1b. Corrected Inputs Segment'!$D$345</f>
        <v>0</v>
      </c>
      <c r="K11" s="365" t="str">
        <f>'1b. Corrected Inputs Segment'!$D$348</f>
        <v>Catégorie moyenne</v>
      </c>
      <c r="L11" s="372">
        <f>'1b. Corrected Inputs Segment'!$D$351*'2d. Annahmen'!$G$2</f>
        <v>46.900000000000006</v>
      </c>
      <c r="M11" s="365">
        <f>'1b. Corrected Inputs Segment'!$D$350</f>
        <v>15.1</v>
      </c>
      <c r="N11" s="365">
        <f>'1b. Corrected Inputs Segment'!$D$349</f>
        <v>5.8</v>
      </c>
      <c r="O11" s="365" t="str">
        <f>'1b. Corrected Inputs Segment'!$D$354</f>
        <v>Exploitation pendant les jours ouvrables</v>
      </c>
      <c r="P11" s="365">
        <f>'1b. Corrected Inputs Segment'!$D$355</f>
        <v>260</v>
      </c>
      <c r="Q11" s="365">
        <f>'1b. Corrected Inputs Segment'!$D$356</f>
        <v>100</v>
      </c>
      <c r="R11" s="365">
        <f>'1b. Corrected Inputs Segment'!$D$357</f>
        <v>0</v>
      </c>
      <c r="S11" s="365">
        <f>'1b. Corrected Inputs Segment'!$D$358</f>
        <v>1</v>
      </c>
      <c r="T11" s="365">
        <f>'1b. Corrected Inputs Segment'!$D$359</f>
        <v>1</v>
      </c>
      <c r="U11" s="367">
        <f>'1b. Corrected Inputs Segment'!$D$360</f>
        <v>1</v>
      </c>
      <c r="V11" s="367">
        <f ca="1">'1b. Corrected Inputs Segment'!$D$361</f>
        <v>8</v>
      </c>
      <c r="W11" s="367">
        <f>'1b. Corrected Inputs Segment'!$D$362</f>
        <v>1</v>
      </c>
      <c r="X11" s="368">
        <f>'1b. Corrected Inputs Segment'!$D$370</f>
        <v>28810.890000000003</v>
      </c>
      <c r="Y11" s="368">
        <f>'1b. Corrected Inputs Segment'!$D$367</f>
        <v>27219.464999999997</v>
      </c>
      <c r="Z11" s="369">
        <f>'1b. Corrected Inputs Segment'!$D$366</f>
        <v>0.03</v>
      </c>
      <c r="AA11" s="368">
        <f>'1b. Corrected Inputs Segment'!$D$365</f>
        <v>48</v>
      </c>
      <c r="AB11" s="370">
        <f>'1b. Corrected Inputs Segment'!$D$368</f>
        <v>0.05</v>
      </c>
      <c r="AC11" s="371">
        <f>'1b. Corrected Inputs Segment'!$D$369</f>
        <v>0.31606388888888887</v>
      </c>
      <c r="AD11" s="370">
        <f>'1b. Corrected Inputs Segment'!$D$371</f>
        <v>2.5000000000000001E-2</v>
      </c>
      <c r="AE11" s="371">
        <f>'1b. Corrected Inputs Segment'!$D$372</f>
        <v>0.30658197222222217</v>
      </c>
    </row>
    <row r="12" spans="1:31" x14ac:dyDescent="0.35">
      <c r="A12" s="364" t="s">
        <v>36</v>
      </c>
      <c r="B12" s="523" t="s">
        <v>81</v>
      </c>
      <c r="C12" s="523"/>
      <c r="D12" s="523"/>
      <c r="E12" s="476"/>
      <c r="F12" s="373">
        <f>SUM(F2:F11)</f>
        <v>1</v>
      </c>
      <c r="G12" s="374">
        <f>SUM(G2:G11)</f>
        <v>1</v>
      </c>
      <c r="H12" s="374">
        <f>SUM(H2:H11)</f>
        <v>0</v>
      </c>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row>
    <row r="14" spans="1:31" x14ac:dyDescent="0.35">
      <c r="A14" s="364"/>
      <c r="B14" s="364"/>
      <c r="C14" s="364"/>
      <c r="D14" s="364"/>
      <c r="E14" s="364"/>
      <c r="F14" s="364"/>
      <c r="G14" s="364"/>
      <c r="H14" s="364"/>
      <c r="I14" s="364"/>
      <c r="J14" s="364"/>
      <c r="K14" s="365"/>
      <c r="L14" s="365"/>
      <c r="M14" s="365"/>
      <c r="N14" s="365"/>
      <c r="O14" s="364"/>
      <c r="P14" s="364"/>
      <c r="Q14" s="364"/>
      <c r="R14" s="364"/>
      <c r="S14" s="364"/>
      <c r="T14" s="364"/>
      <c r="U14" s="364"/>
      <c r="V14" s="364"/>
      <c r="W14" s="364"/>
      <c r="X14" s="364"/>
      <c r="Y14" s="364"/>
      <c r="Z14" s="364"/>
      <c r="AA14" s="364"/>
      <c r="AB14" s="364"/>
      <c r="AC14" s="375"/>
      <c r="AD14" s="364"/>
      <c r="AE14" s="364"/>
    </row>
    <row r="15" spans="1:31" x14ac:dyDescent="0.35">
      <c r="A15" s="364"/>
      <c r="B15" s="364"/>
      <c r="C15" s="364"/>
      <c r="D15" s="364"/>
      <c r="E15" s="364"/>
      <c r="F15" s="364"/>
      <c r="G15" s="364"/>
      <c r="H15" s="364"/>
      <c r="I15" s="364"/>
      <c r="J15" s="364"/>
      <c r="K15" s="365"/>
      <c r="L15" s="365"/>
      <c r="M15" s="365"/>
      <c r="N15" s="365"/>
      <c r="O15" s="364"/>
      <c r="P15" s="364"/>
      <c r="Q15" s="364"/>
      <c r="R15" s="364"/>
      <c r="S15" s="364"/>
      <c r="T15" s="364"/>
      <c r="U15" s="364"/>
      <c r="V15" s="364"/>
      <c r="W15" s="364"/>
      <c r="X15" s="364"/>
      <c r="Y15" s="364"/>
      <c r="Z15" s="364"/>
      <c r="AA15" s="364"/>
      <c r="AB15" s="376"/>
      <c r="AC15" s="375"/>
      <c r="AD15" s="364"/>
      <c r="AE15" s="364"/>
    </row>
    <row r="16" spans="1:31" x14ac:dyDescent="0.35">
      <c r="A16" s="364"/>
      <c r="B16" s="364"/>
      <c r="C16" s="364"/>
      <c r="D16" s="364"/>
      <c r="E16" s="364"/>
      <c r="F16" s="364"/>
      <c r="G16" s="364"/>
      <c r="H16" s="364"/>
      <c r="I16" s="364"/>
      <c r="J16" s="364"/>
      <c r="K16" s="365"/>
      <c r="L16" s="365"/>
      <c r="M16" s="365"/>
      <c r="N16" s="365"/>
      <c r="O16" s="364"/>
      <c r="P16" s="364"/>
      <c r="Q16" s="364"/>
      <c r="R16" s="364"/>
      <c r="S16" s="364"/>
      <c r="T16" s="364"/>
      <c r="U16" s="364"/>
      <c r="V16" s="364"/>
      <c r="W16" s="364"/>
      <c r="X16" s="364"/>
      <c r="Y16" s="364"/>
      <c r="Z16" s="364"/>
      <c r="AA16" s="364"/>
      <c r="AB16" s="376"/>
      <c r="AC16" s="375"/>
      <c r="AD16" s="364"/>
      <c r="AE16" s="364"/>
    </row>
    <row r="17" spans="28:29" x14ac:dyDescent="0.35">
      <c r="AB17" s="376"/>
      <c r="AC17" s="375"/>
    </row>
    <row r="18" spans="28:29" x14ac:dyDescent="0.35">
      <c r="AB18" s="376"/>
      <c r="AC18" s="375"/>
    </row>
    <row r="19" spans="28:29" x14ac:dyDescent="0.35">
      <c r="AB19" s="376"/>
      <c r="AC19" s="375"/>
    </row>
    <row r="20" spans="28:29" x14ac:dyDescent="0.35">
      <c r="AB20" s="376"/>
      <c r="AC20" s="375"/>
    </row>
    <row r="21" spans="28:29" x14ac:dyDescent="0.35">
      <c r="AB21" s="376"/>
      <c r="AC21" s="375"/>
    </row>
    <row r="22" spans="28:29" x14ac:dyDescent="0.35">
      <c r="AB22" s="376"/>
      <c r="AC22" s="375"/>
    </row>
    <row r="23" spans="28:29" x14ac:dyDescent="0.35">
      <c r="AB23" s="376"/>
      <c r="AC23" s="375"/>
    </row>
    <row r="24" spans="28:29" x14ac:dyDescent="0.35">
      <c r="AB24" s="376"/>
      <c r="AC24" s="375"/>
    </row>
    <row r="25" spans="28:29" x14ac:dyDescent="0.35">
      <c r="AB25" s="376"/>
      <c r="AC25" s="375"/>
    </row>
  </sheetData>
  <sheetProtection algorithmName="SHA-512" hashValue="8zh0c79GI6izUw4cf218ufCc9WSH0PY3JIAGhxAqXyH4RPEgWPht5UKLH5AbQedafIGfvpqBFzeEoZR3pdBp4w==" saltValue="jbW3kRS2IQLPE7Xk6i5YrA==" spinCount="100000" sheet="1" objects="1" scenarios="1"/>
  <mergeCells count="1">
    <mergeCell ref="B12:D12"/>
  </mergeCells>
  <conditionalFormatting sqref="A2:AE11">
    <cfRule type="expression" dxfId="1" priority="1">
      <formula>$F2=0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0130-93A2-4CA6-8E51-93709F36210E}">
  <sheetPr codeName="Sheet4">
    <tabColor theme="0" tint="-0.499984740745262"/>
  </sheetPr>
  <dimension ref="A1:S40"/>
  <sheetViews>
    <sheetView workbookViewId="0">
      <selection activeCell="O31" sqref="O31"/>
    </sheetView>
  </sheetViews>
  <sheetFormatPr defaultColWidth="8.640625" defaultRowHeight="14.15" x14ac:dyDescent="0.35"/>
  <cols>
    <col min="1" max="1" width="14.7109375" style="31" bestFit="1" customWidth="1"/>
    <col min="2" max="2" width="4.140625" style="31" customWidth="1"/>
    <col min="3" max="3" width="17.7109375" style="31" bestFit="1" customWidth="1"/>
    <col min="4" max="4" width="14.35546875" style="31" customWidth="1"/>
    <col min="5" max="6" width="14.640625" style="31" customWidth="1"/>
    <col min="7" max="7" width="3.35546875" style="31" customWidth="1"/>
    <col min="8" max="8" width="18.140625" style="31" bestFit="1" customWidth="1"/>
    <col min="9" max="9" width="10.35546875" style="31" customWidth="1"/>
    <col min="10" max="16384" width="8.640625" style="31"/>
  </cols>
  <sheetData>
    <row r="1" spans="1:19" x14ac:dyDescent="0.35">
      <c r="A1" s="30" t="s">
        <v>82</v>
      </c>
      <c r="C1" s="30" t="s">
        <v>481</v>
      </c>
      <c r="D1" s="30" t="s">
        <v>83</v>
      </c>
      <c r="E1" s="30" t="s">
        <v>482</v>
      </c>
      <c r="F1" s="30" t="s">
        <v>491</v>
      </c>
      <c r="G1" s="30"/>
      <c r="H1" s="30" t="s">
        <v>486</v>
      </c>
      <c r="J1" s="30" t="s">
        <v>501</v>
      </c>
      <c r="K1" s="30"/>
      <c r="L1" s="30" t="s">
        <v>84</v>
      </c>
      <c r="O1" s="30" t="s">
        <v>477</v>
      </c>
      <c r="R1" s="30" t="s">
        <v>85</v>
      </c>
    </row>
    <row r="2" spans="1:19" x14ac:dyDescent="0.35">
      <c r="A2" s="31" t="s">
        <v>86</v>
      </c>
      <c r="C2" s="31" t="s">
        <v>509</v>
      </c>
      <c r="D2" s="31" t="s">
        <v>87</v>
      </c>
      <c r="E2" s="31" t="s">
        <v>510</v>
      </c>
      <c r="F2" s="31" t="s">
        <v>511</v>
      </c>
      <c r="H2" s="31" t="s">
        <v>547</v>
      </c>
      <c r="I2" s="31" t="s">
        <v>89</v>
      </c>
      <c r="J2" s="31">
        <v>12</v>
      </c>
      <c r="L2" s="31">
        <v>11</v>
      </c>
      <c r="M2" s="31" t="s">
        <v>625</v>
      </c>
      <c r="N2" s="32"/>
      <c r="O2" s="31">
        <v>1</v>
      </c>
      <c r="R2" s="31" t="s">
        <v>592</v>
      </c>
      <c r="S2" s="31">
        <v>1</v>
      </c>
    </row>
    <row r="3" spans="1:19" x14ac:dyDescent="0.35">
      <c r="A3" s="31" t="s">
        <v>91</v>
      </c>
      <c r="C3" s="31" t="s">
        <v>587</v>
      </c>
      <c r="D3" s="31" t="s">
        <v>92</v>
      </c>
      <c r="E3" s="31" t="s">
        <v>588</v>
      </c>
      <c r="F3" s="33" t="s">
        <v>590</v>
      </c>
      <c r="G3" s="33"/>
      <c r="H3" s="31" t="s">
        <v>512</v>
      </c>
      <c r="I3" s="31" t="s">
        <v>93</v>
      </c>
      <c r="J3" s="31">
        <v>24</v>
      </c>
      <c r="L3" s="31">
        <v>22</v>
      </c>
      <c r="M3" s="31" t="s">
        <v>625</v>
      </c>
      <c r="N3" s="32"/>
      <c r="O3" s="31">
        <v>2</v>
      </c>
      <c r="R3" s="31" t="s">
        <v>579</v>
      </c>
      <c r="S3" s="31">
        <v>0</v>
      </c>
    </row>
    <row r="4" spans="1:19" x14ac:dyDescent="0.35">
      <c r="E4" s="31" t="s">
        <v>589</v>
      </c>
      <c r="F4" s="31" t="s">
        <v>591</v>
      </c>
      <c r="H4" s="31" t="s">
        <v>548</v>
      </c>
      <c r="I4" s="31" t="s">
        <v>95</v>
      </c>
      <c r="J4" s="31">
        <v>36</v>
      </c>
      <c r="L4" s="31">
        <v>50</v>
      </c>
      <c r="M4" s="31" t="s">
        <v>626</v>
      </c>
      <c r="N4" s="32"/>
      <c r="O4" s="31">
        <v>3</v>
      </c>
    </row>
    <row r="5" spans="1:19" x14ac:dyDescent="0.35">
      <c r="H5" s="31" t="s">
        <v>97</v>
      </c>
      <c r="I5" s="31" t="s">
        <v>97</v>
      </c>
      <c r="J5" s="31">
        <v>48</v>
      </c>
      <c r="L5" s="31">
        <v>66</v>
      </c>
      <c r="M5" s="31" t="s">
        <v>626</v>
      </c>
      <c r="N5" s="32"/>
      <c r="O5" s="31">
        <v>4</v>
      </c>
    </row>
    <row r="6" spans="1:19" x14ac:dyDescent="0.35">
      <c r="J6" s="31">
        <v>60</v>
      </c>
      <c r="L6" s="31">
        <v>75</v>
      </c>
      <c r="M6" s="31" t="s">
        <v>626</v>
      </c>
      <c r="N6" s="32"/>
      <c r="O6" s="31">
        <v>5</v>
      </c>
    </row>
    <row r="7" spans="1:19" x14ac:dyDescent="0.35">
      <c r="J7" s="31">
        <v>72</v>
      </c>
      <c r="L7" s="31">
        <v>100</v>
      </c>
      <c r="M7" s="31" t="s">
        <v>626</v>
      </c>
      <c r="N7" s="32"/>
      <c r="O7" s="31">
        <v>6</v>
      </c>
    </row>
    <row r="8" spans="1:19" x14ac:dyDescent="0.35">
      <c r="L8" s="31">
        <v>120</v>
      </c>
      <c r="M8" s="31" t="s">
        <v>626</v>
      </c>
      <c r="N8" s="32"/>
      <c r="O8" s="31">
        <v>7</v>
      </c>
    </row>
    <row r="9" spans="1:19" ht="14.6" x14ac:dyDescent="0.4">
      <c r="D9" s="34"/>
      <c r="L9" s="31">
        <v>150</v>
      </c>
      <c r="M9" s="31" t="s">
        <v>626</v>
      </c>
      <c r="N9" s="32"/>
      <c r="O9" s="31">
        <v>8</v>
      </c>
    </row>
    <row r="10" spans="1:19" x14ac:dyDescent="0.35">
      <c r="E10" s="35"/>
      <c r="L10" s="31">
        <v>180</v>
      </c>
      <c r="M10" s="31" t="s">
        <v>626</v>
      </c>
      <c r="N10" s="32"/>
      <c r="O10" s="31">
        <v>9</v>
      </c>
    </row>
    <row r="11" spans="1:19" x14ac:dyDescent="0.35">
      <c r="L11" s="31">
        <v>200</v>
      </c>
      <c r="M11" s="31" t="s">
        <v>626</v>
      </c>
      <c r="N11" s="32"/>
      <c r="O11" s="31">
        <v>10</v>
      </c>
    </row>
    <row r="12" spans="1:19" x14ac:dyDescent="0.35">
      <c r="L12" s="31">
        <v>225</v>
      </c>
      <c r="M12" s="31" t="s">
        <v>626</v>
      </c>
      <c r="N12" s="32"/>
    </row>
    <row r="13" spans="1:19" x14ac:dyDescent="0.35">
      <c r="L13" s="31">
        <v>250</v>
      </c>
      <c r="M13" s="31" t="s">
        <v>626</v>
      </c>
      <c r="N13" s="32"/>
    </row>
    <row r="37" spans="2:3" x14ac:dyDescent="0.35">
      <c r="B37" s="33"/>
      <c r="C37" s="33"/>
    </row>
    <row r="38" spans="2:3" x14ac:dyDescent="0.35">
      <c r="B38" s="33"/>
      <c r="C38" s="33"/>
    </row>
    <row r="39" spans="2:3" x14ac:dyDescent="0.35">
      <c r="B39" s="33"/>
      <c r="C39" s="33"/>
    </row>
    <row r="40" spans="2:3" x14ac:dyDescent="0.35">
      <c r="B40" s="33"/>
      <c r="C40" s="33"/>
    </row>
  </sheetData>
  <sheetProtection algorithmName="SHA-512" hashValue="j4XfPW+3bykHOLD3ZYLPP8i417n04phZBV+QjSoGOLC1TIEnOmdSqeFhFk92fPJBiEJAXe5uU4MVJCOorb6v5A==" saltValue="q4xumWkm8//OatfNxSQYN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A6D3-B06A-4EB7-B73C-EB3C4BA7B94F}">
  <sheetPr codeName="Sheet14">
    <tabColor theme="0" tint="-0.499984740745262"/>
  </sheetPr>
  <dimension ref="A1:D11"/>
  <sheetViews>
    <sheetView workbookViewId="0">
      <selection activeCell="D5" sqref="D5"/>
    </sheetView>
  </sheetViews>
  <sheetFormatPr defaultColWidth="9.2109375" defaultRowHeight="14.15" x14ac:dyDescent="0.35"/>
  <cols>
    <col min="1" max="1" width="46.35546875" style="31" customWidth="1"/>
    <col min="2" max="2" width="11.640625" style="31" customWidth="1"/>
    <col min="3" max="3" width="10.35546875" style="31" customWidth="1"/>
    <col min="4" max="4" width="12.35546875" style="31" customWidth="1"/>
    <col min="5" max="16384" width="9.2109375" style="31"/>
  </cols>
  <sheetData>
    <row r="1" spans="1:4" ht="14.6" x14ac:dyDescent="0.4">
      <c r="A1" s="34" t="s">
        <v>98</v>
      </c>
    </row>
    <row r="3" spans="1:4" x14ac:dyDescent="0.35">
      <c r="A3" s="30" t="s">
        <v>8</v>
      </c>
      <c r="B3" s="31" t="str" cm="1">
        <f t="array" ref="B3:D3">TRANSPOSE(Einsatzgebiet)</f>
        <v>Niveau régional</v>
      </c>
      <c r="C3" s="31" t="str">
        <v>Niveau national</v>
      </c>
      <c r="D3" s="31" t="str">
        <v>Niveau international</v>
      </c>
    </row>
    <row r="4" spans="1:4" x14ac:dyDescent="0.35">
      <c r="A4" s="35" t="s">
        <v>99</v>
      </c>
      <c r="B4" s="31">
        <v>100</v>
      </c>
      <c r="C4" s="31">
        <v>200</v>
      </c>
      <c r="D4" s="31">
        <v>400</v>
      </c>
    </row>
    <row r="6" spans="1:4" x14ac:dyDescent="0.35">
      <c r="A6" s="30" t="s">
        <v>17</v>
      </c>
      <c r="B6" s="31" t="str" cm="1">
        <f t="array" ref="B6:D6">TRANSPOSE(Nutzungsmuster)</f>
        <v>Exploitation pendant les jours ouvrables</v>
      </c>
      <c r="C6" s="31" t="str">
        <v>Exploitation 24/7</v>
      </c>
      <c r="D6" s="31" t="str">
        <v>Travail par équipes</v>
      </c>
    </row>
    <row r="7" spans="1:4" x14ac:dyDescent="0.35">
      <c r="A7" s="35" t="s">
        <v>100</v>
      </c>
      <c r="B7" s="31">
        <f>5*52</f>
        <v>260</v>
      </c>
      <c r="C7" s="31">
        <f>360</f>
        <v>360</v>
      </c>
      <c r="D7" s="31">
        <v>260</v>
      </c>
    </row>
    <row r="8" spans="1:4" x14ac:dyDescent="0.35">
      <c r="A8" s="35" t="s">
        <v>101</v>
      </c>
      <c r="B8" s="31">
        <v>8</v>
      </c>
      <c r="C8" s="31">
        <v>0</v>
      </c>
      <c r="D8" s="31">
        <v>0</v>
      </c>
    </row>
    <row r="9" spans="1:4" x14ac:dyDescent="0.35">
      <c r="A9" s="35" t="s">
        <v>71</v>
      </c>
      <c r="B9" s="31">
        <v>1</v>
      </c>
      <c r="C9" s="31">
        <v>1</v>
      </c>
      <c r="D9" s="31">
        <v>1</v>
      </c>
    </row>
    <row r="10" spans="1:4" x14ac:dyDescent="0.35">
      <c r="A10" s="35" t="s">
        <v>102</v>
      </c>
      <c r="B10" s="31">
        <v>1</v>
      </c>
      <c r="C10" s="31">
        <v>2</v>
      </c>
      <c r="D10" s="31">
        <v>2</v>
      </c>
    </row>
    <row r="11" spans="1:4" x14ac:dyDescent="0.35">
      <c r="A11" s="35"/>
    </row>
  </sheetData>
  <sheetProtection algorithmName="SHA-512" hashValue="XgAZNZHj5cDsrdvDwNtzKh+zDSHJspFKWMfHZJ1KUuUbMbMDapAws5jk+qy/fUegw840TnOeA9lZBC70VKLCXg==" saltValue="z+zQZt43C/ONhuNTrQNmtw==" spinCount="100000" sheet="1" objects="1" scenarios="1"/>
  <dataConsolidate/>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F97C-54F1-4DE5-B2E7-5D568FB0041B}">
  <sheetPr codeName="Sheet2"/>
  <dimension ref="A1:AI504"/>
  <sheetViews>
    <sheetView zoomScale="85" zoomScaleNormal="85" workbookViewId="0">
      <pane xSplit="1" ySplit="4" topLeftCell="B5" activePane="bottomRight" state="frozen"/>
      <selection pane="topRight" activeCell="I33" sqref="I33"/>
      <selection pane="bottomLeft" activeCell="I33" sqref="I33"/>
      <selection pane="bottomRight" activeCell="K5" sqref="K5"/>
    </sheetView>
  </sheetViews>
  <sheetFormatPr defaultColWidth="8.640625" defaultRowHeight="14.15" x14ac:dyDescent="0.35"/>
  <cols>
    <col min="1" max="1" width="30.35546875" style="202" customWidth="1"/>
    <col min="2" max="3" width="10.140625" style="203" customWidth="1"/>
    <col min="4" max="4" width="12.140625" style="204" customWidth="1"/>
    <col min="5" max="6" width="12.640625" style="205" customWidth="1"/>
    <col min="7" max="7" width="12.640625" style="206" customWidth="1"/>
    <col min="8" max="8" width="12.640625" style="207" customWidth="1"/>
    <col min="9" max="9" width="12.7109375" style="208" customWidth="1"/>
    <col min="10" max="10" width="12.7109375" style="209" customWidth="1"/>
    <col min="11" max="12" width="13.7109375" style="209" customWidth="1"/>
    <col min="13" max="13" width="10.640625" style="209" customWidth="1"/>
    <col min="14" max="14" width="11.35546875" style="210" customWidth="1"/>
    <col min="15" max="15" width="10.640625" style="211" customWidth="1"/>
    <col min="16" max="17" width="14.35546875" style="209" customWidth="1"/>
    <col min="18" max="18" width="10.640625" style="209" customWidth="1"/>
    <col min="19" max="19" width="12.35546875" style="212" customWidth="1"/>
    <col min="20" max="20" width="13.140625" style="208" customWidth="1"/>
    <col min="21" max="21" width="14.640625" style="209" customWidth="1"/>
    <col min="22" max="22" width="12.140625" style="205" customWidth="1"/>
    <col min="23" max="23" width="10.640625" style="209" customWidth="1"/>
    <col min="24" max="24" width="11.640625" style="205" customWidth="1"/>
    <col min="25" max="25" width="13.640625" style="207" customWidth="1"/>
    <col min="26" max="26" width="10.640625" style="198" customWidth="1"/>
    <col min="27" max="27" width="10.640625" style="213" customWidth="1"/>
    <col min="28" max="29" width="14.35546875" style="199" customWidth="1"/>
    <col min="30" max="30" width="11.35546875" style="200" customWidth="1"/>
    <col min="31" max="32" width="11.7109375" style="200" customWidth="1"/>
    <col min="33" max="34" width="10.640625" style="199" customWidth="1"/>
    <col min="35" max="35" width="10.640625" style="201" customWidth="1"/>
    <col min="36" max="36" width="11.7109375" style="3" customWidth="1"/>
    <col min="37" max="37" width="13" style="3" customWidth="1"/>
    <col min="38" max="38" width="13.140625" style="3" customWidth="1"/>
    <col min="39" max="39" width="10.7109375" style="3" customWidth="1"/>
    <col min="40" max="40" width="14.7109375" style="3" customWidth="1"/>
    <col min="41" max="41" width="12.140625" style="3" customWidth="1"/>
    <col min="42" max="42" width="8.640625" style="3"/>
    <col min="43" max="44" width="11" style="3" customWidth="1"/>
    <col min="45" max="46" width="8.640625" style="3"/>
    <col min="47" max="47" width="11.35546875" style="3" customWidth="1"/>
    <col min="48" max="16384" width="8.640625" style="3"/>
  </cols>
  <sheetData>
    <row r="1" spans="1:35" ht="14.9" customHeight="1" x14ac:dyDescent="0.35">
      <c r="A1" s="170" t="s">
        <v>103</v>
      </c>
      <c r="B1" s="524" t="s">
        <v>104</v>
      </c>
      <c r="C1" s="525"/>
      <c r="D1" s="525"/>
      <c r="E1" s="525"/>
      <c r="F1" s="525"/>
      <c r="G1" s="525"/>
      <c r="H1" s="526"/>
      <c r="I1" s="533" t="s">
        <v>105</v>
      </c>
      <c r="J1" s="534"/>
      <c r="K1" s="534"/>
      <c r="L1" s="534"/>
      <c r="M1" s="534"/>
      <c r="N1" s="534"/>
      <c r="O1" s="534"/>
      <c r="P1" s="534"/>
      <c r="Q1" s="534"/>
      <c r="R1" s="534"/>
      <c r="S1" s="535"/>
      <c r="T1" s="530" t="s">
        <v>106</v>
      </c>
      <c r="U1" s="531"/>
      <c r="V1" s="531"/>
      <c r="W1" s="531"/>
      <c r="X1" s="531"/>
      <c r="Y1" s="532"/>
      <c r="Z1" s="527" t="s">
        <v>107</v>
      </c>
      <c r="AA1" s="528"/>
      <c r="AB1" s="528"/>
      <c r="AC1" s="528"/>
      <c r="AD1" s="528"/>
      <c r="AE1" s="528"/>
      <c r="AF1" s="528"/>
      <c r="AG1" s="528"/>
      <c r="AH1" s="528"/>
      <c r="AI1" s="529"/>
    </row>
    <row r="2" spans="1:35" x14ac:dyDescent="0.35">
      <c r="A2" s="377"/>
      <c r="B2" s="524"/>
      <c r="C2" s="525"/>
      <c r="D2" s="525"/>
      <c r="E2" s="525"/>
      <c r="F2" s="525"/>
      <c r="G2" s="525"/>
      <c r="H2" s="526"/>
      <c r="I2" s="533" t="s">
        <v>108</v>
      </c>
      <c r="J2" s="534"/>
      <c r="K2" s="534"/>
      <c r="L2" s="534"/>
      <c r="M2" s="534"/>
      <c r="N2" s="536"/>
      <c r="O2" s="537" t="s">
        <v>109</v>
      </c>
      <c r="P2" s="534"/>
      <c r="Q2" s="534"/>
      <c r="R2" s="534"/>
      <c r="S2" s="535"/>
      <c r="T2" s="530"/>
      <c r="U2" s="531"/>
      <c r="V2" s="531"/>
      <c r="W2" s="531"/>
      <c r="X2" s="531"/>
      <c r="Y2" s="532"/>
      <c r="Z2" s="527"/>
      <c r="AA2" s="528"/>
      <c r="AB2" s="528"/>
      <c r="AC2" s="528"/>
      <c r="AD2" s="528"/>
      <c r="AE2" s="528"/>
      <c r="AF2" s="528"/>
      <c r="AG2" s="528"/>
      <c r="AH2" s="528"/>
      <c r="AI2" s="529"/>
    </row>
    <row r="3" spans="1:35" s="178" customFormat="1" ht="84.9" x14ac:dyDescent="0.35">
      <c r="A3" s="378"/>
      <c r="B3" s="379" t="s">
        <v>110</v>
      </c>
      <c r="C3" s="380" t="s">
        <v>111</v>
      </c>
      <c r="D3" s="381" t="s">
        <v>112</v>
      </c>
      <c r="E3" s="382" t="s">
        <v>113</v>
      </c>
      <c r="F3" s="382" t="s">
        <v>35</v>
      </c>
      <c r="G3" s="381" t="s">
        <v>114</v>
      </c>
      <c r="H3" s="383" t="s">
        <v>22</v>
      </c>
      <c r="I3" s="384" t="s">
        <v>115</v>
      </c>
      <c r="J3" s="385" t="s">
        <v>116</v>
      </c>
      <c r="K3" s="385" t="s">
        <v>117</v>
      </c>
      <c r="L3" s="385" t="s">
        <v>118</v>
      </c>
      <c r="M3" s="385" t="s">
        <v>119</v>
      </c>
      <c r="N3" s="386" t="s">
        <v>120</v>
      </c>
      <c r="O3" s="387" t="s">
        <v>121</v>
      </c>
      <c r="P3" s="385" t="s">
        <v>117</v>
      </c>
      <c r="Q3" s="385" t="s">
        <v>118</v>
      </c>
      <c r="R3" s="385" t="s">
        <v>119</v>
      </c>
      <c r="S3" s="388" t="s">
        <v>120</v>
      </c>
      <c r="T3" s="171" t="s">
        <v>122</v>
      </c>
      <c r="U3" s="172" t="s">
        <v>123</v>
      </c>
      <c r="V3" s="172" t="s">
        <v>124</v>
      </c>
      <c r="W3" s="172" t="s">
        <v>100</v>
      </c>
      <c r="X3" s="172" t="s">
        <v>125</v>
      </c>
      <c r="Y3" s="173" t="s">
        <v>126</v>
      </c>
      <c r="Z3" s="174" t="s">
        <v>127</v>
      </c>
      <c r="AA3" s="175" t="s">
        <v>128</v>
      </c>
      <c r="AB3" s="176" t="s">
        <v>129</v>
      </c>
      <c r="AC3" s="176" t="s">
        <v>130</v>
      </c>
      <c r="AD3" s="176" t="s">
        <v>131</v>
      </c>
      <c r="AE3" s="176" t="s">
        <v>132</v>
      </c>
      <c r="AF3" s="176" t="s">
        <v>133</v>
      </c>
      <c r="AG3" s="176" t="s">
        <v>134</v>
      </c>
      <c r="AH3" s="176" t="s">
        <v>135</v>
      </c>
      <c r="AI3" s="177" t="s">
        <v>136</v>
      </c>
    </row>
    <row r="4" spans="1:35" s="8" customFormat="1" ht="14.6" thickBot="1" x14ac:dyDescent="0.4">
      <c r="A4" s="179" t="s">
        <v>137</v>
      </c>
      <c r="B4" s="180" t="s">
        <v>39</v>
      </c>
      <c r="C4" s="181" t="s">
        <v>39</v>
      </c>
      <c r="D4" s="182" t="s">
        <v>39</v>
      </c>
      <c r="E4" s="181" t="s">
        <v>39</v>
      </c>
      <c r="F4" s="181"/>
      <c r="G4" s="182"/>
      <c r="H4" s="183" t="s">
        <v>23</v>
      </c>
      <c r="I4" s="184" t="s">
        <v>15</v>
      </c>
      <c r="J4" s="185" t="s">
        <v>14</v>
      </c>
      <c r="K4" s="185" t="s">
        <v>24</v>
      </c>
      <c r="L4" s="185" t="s">
        <v>138</v>
      </c>
      <c r="M4" s="185" t="s">
        <v>24</v>
      </c>
      <c r="N4" s="186" t="s">
        <v>25</v>
      </c>
      <c r="O4" s="187" t="s">
        <v>13</v>
      </c>
      <c r="P4" s="185" t="s">
        <v>24</v>
      </c>
      <c r="Q4" s="185" t="s">
        <v>138</v>
      </c>
      <c r="R4" s="185" t="s">
        <v>24</v>
      </c>
      <c r="S4" s="188" t="s">
        <v>25</v>
      </c>
      <c r="T4" s="189" t="s">
        <v>139</v>
      </c>
      <c r="U4" s="190" t="s">
        <v>139</v>
      </c>
      <c r="V4" s="190" t="s">
        <v>139</v>
      </c>
      <c r="W4" s="191" t="s">
        <v>39</v>
      </c>
      <c r="X4" s="191" t="s">
        <v>139</v>
      </c>
      <c r="Y4" s="192" t="s">
        <v>139</v>
      </c>
      <c r="Z4" s="193" t="s">
        <v>140</v>
      </c>
      <c r="AA4" s="194"/>
      <c r="AB4" s="195" t="s">
        <v>140</v>
      </c>
      <c r="AC4" s="195"/>
      <c r="AD4" s="195" t="s">
        <v>21</v>
      </c>
      <c r="AE4" s="195" t="s">
        <v>141</v>
      </c>
      <c r="AF4" s="195" t="s">
        <v>141</v>
      </c>
      <c r="AG4" s="196" t="s">
        <v>39</v>
      </c>
      <c r="AH4" s="196" t="s">
        <v>39</v>
      </c>
      <c r="AI4" s="197" t="s">
        <v>39</v>
      </c>
    </row>
    <row r="5" spans="1:35" x14ac:dyDescent="0.35">
      <c r="A5" s="389" t="s">
        <v>142</v>
      </c>
      <c r="B5" s="390">
        <f>('1c. Inputs Segment Summary'!F2&gt;0)*1</f>
        <v>1</v>
      </c>
      <c r="C5" s="391">
        <f>'1c. Inputs Segment Summary'!F2</f>
        <v>1</v>
      </c>
      <c r="D5" s="392">
        <f>('1c. Inputs Segment Summary'!G2&gt;0)*1</f>
        <v>1</v>
      </c>
      <c r="E5" s="393">
        <f>('1c. Inputs Segment Summary'!H2&gt;0)*1</f>
        <v>0</v>
      </c>
      <c r="F5" s="393" t="str">
        <f>IF(B5,'1c. Inputs Segment Summary'!K2,"")</f>
        <v>Catégorie moyenne</v>
      </c>
      <c r="G5" s="392">
        <f t="shared" ref="G5:G14" si="0">IF(B5,_xlfn.XMATCH(F5,Grösse),0)</f>
        <v>2</v>
      </c>
      <c r="H5" s="394">
        <f>IF(B5,'1c. Inputs Segment Summary'!AA2,0)</f>
        <v>48</v>
      </c>
      <c r="I5" s="395">
        <f>IF(B5,'1c. Inputs Segment Summary'!L2,0)</f>
        <v>46.900000000000006</v>
      </c>
      <c r="J5" s="396">
        <f>IF(B5,'1c. Inputs Segment Summary'!M2,0)</f>
        <v>15.1</v>
      </c>
      <c r="K5" s="397">
        <f>IF(B5,'1c. Inputs Segment Summary'!X2,0)</f>
        <v>28810.890000000003</v>
      </c>
      <c r="L5" s="398">
        <f>IF(B5,'1c. Inputs Segment Summary'!AE2,0)</f>
        <v>0.30658197222222217</v>
      </c>
      <c r="M5" s="397">
        <f>K5*L5</f>
        <v>8832.8994776774998</v>
      </c>
      <c r="N5" s="399">
        <f>IF(B5,'1c. Inputs Segment Summary'!AD2,0)</f>
        <v>2.5000000000000001E-2</v>
      </c>
      <c r="O5" s="400">
        <f>IF(B5,'1c. Inputs Segment Summary'!N2,0)</f>
        <v>5.8</v>
      </c>
      <c r="P5" s="397">
        <f>IF(B5,'1c. Inputs Segment Summary'!Y2,0)</f>
        <v>27219.464999999997</v>
      </c>
      <c r="Q5" s="398">
        <f>IF(B5,'1c. Inputs Segment Summary'!AC2,0)</f>
        <v>0.31606388888888887</v>
      </c>
      <c r="R5" s="397">
        <f>P5*Q5</f>
        <v>8603.0899613749989</v>
      </c>
      <c r="S5" s="401">
        <f>IF(B5,'1c. Inputs Segment Summary'!AB2,0)</f>
        <v>0.05</v>
      </c>
      <c r="T5" s="395">
        <f>IF(B5,'1c. Inputs Segment Summary'!Q2,0)</f>
        <v>100</v>
      </c>
      <c r="U5" s="396">
        <f>IF(B5,'1c. Inputs Segment Summary'!R2,0)</f>
        <v>0</v>
      </c>
      <c r="V5" s="402">
        <f>SUM(T5:U5)</f>
        <v>100</v>
      </c>
      <c r="W5" s="396">
        <f>IF(B5,'1c. Inputs Segment Summary'!P2,0)</f>
        <v>260</v>
      </c>
      <c r="X5" s="403">
        <f>W5*V5</f>
        <v>26000</v>
      </c>
      <c r="Y5" s="394">
        <f t="shared" ref="Y5" si="1">X5*(H5/12)</f>
        <v>104000</v>
      </c>
      <c r="Z5" s="395">
        <f>IF(B5,'1c. Inputs Segment Summary'!S2,0)</f>
        <v>1</v>
      </c>
      <c r="AA5" s="400">
        <f>1</f>
        <v>1</v>
      </c>
      <c r="AB5" s="396">
        <f t="shared" ref="AB5:AB14" si="2">IF(B5,Z5-1,0)</f>
        <v>0</v>
      </c>
      <c r="AC5" s="404">
        <f>0</f>
        <v>0</v>
      </c>
      <c r="AD5" s="404">
        <f>IF(B5,'1c. Inputs Segment Summary'!U2,0)</f>
        <v>1</v>
      </c>
      <c r="AE5" s="404">
        <f>SUM(AA5:AC5)*AD5</f>
        <v>1</v>
      </c>
      <c r="AF5" s="404">
        <f ca="1">IF(B5,'1c. Inputs Segment Summary'!V2,0)</f>
        <v>8</v>
      </c>
      <c r="AG5" s="396">
        <f ca="1">IF(B5,$E5*'1c. Inputs Segment Summary'!J2,0)</f>
        <v>0</v>
      </c>
      <c r="AH5" s="396">
        <f>1*$D5</f>
        <v>1</v>
      </c>
      <c r="AI5" s="405">
        <f>IF(B5,'1c. Inputs Segment Summary'!W2,0)</f>
        <v>1</v>
      </c>
    </row>
    <row r="6" spans="1:35" x14ac:dyDescent="0.35">
      <c r="A6" s="406" t="s">
        <v>143</v>
      </c>
      <c r="B6" s="407">
        <f>('1c. Inputs Segment Summary'!F3&gt;0)*1</f>
        <v>0</v>
      </c>
      <c r="C6" s="408">
        <f>'1c. Inputs Segment Summary'!F3</f>
        <v>0</v>
      </c>
      <c r="D6" s="409">
        <f>('1c. Inputs Segment Summary'!G3&gt;0)*1</f>
        <v>0</v>
      </c>
      <c r="E6" s="410">
        <f>('1c. Inputs Segment Summary'!H3&gt;0)*1</f>
        <v>0</v>
      </c>
      <c r="F6" s="410" t="str">
        <f>IF(B6,'1c. Inputs Segment Summary'!K3,"")</f>
        <v/>
      </c>
      <c r="G6" s="409">
        <f t="shared" si="0"/>
        <v>0</v>
      </c>
      <c r="H6" s="411">
        <f>IF(B6,'1c. Inputs Segment Summary'!AA3,0)</f>
        <v>0</v>
      </c>
      <c r="I6" s="412">
        <f>IF(B6,'1c. Inputs Segment Summary'!L3,0)</f>
        <v>0</v>
      </c>
      <c r="J6" s="413">
        <f>IF(B6,'1c. Inputs Segment Summary'!M3,0)</f>
        <v>0</v>
      </c>
      <c r="K6" s="414">
        <f>IF(B6,'1c. Inputs Segment Summary'!X3,0)</f>
        <v>0</v>
      </c>
      <c r="L6" s="415">
        <f>IF(B6,'1c. Inputs Segment Summary'!AE3,0)</f>
        <v>0</v>
      </c>
      <c r="M6" s="414">
        <f t="shared" ref="M6:M14" si="3">K6*L6</f>
        <v>0</v>
      </c>
      <c r="N6" s="416">
        <f>IF(B6,'1c. Inputs Segment Summary'!AD3,0)</f>
        <v>0</v>
      </c>
      <c r="O6" s="417">
        <f>IF(B6,'1c. Inputs Segment Summary'!N3,0)</f>
        <v>0</v>
      </c>
      <c r="P6" s="414">
        <f>IF(B6,'1c. Inputs Segment Summary'!Y3,0)</f>
        <v>0</v>
      </c>
      <c r="Q6" s="415">
        <f>IF(B6,'1c. Inputs Segment Summary'!AC3,0)</f>
        <v>0</v>
      </c>
      <c r="R6" s="414">
        <f t="shared" ref="R6:R14" si="4">P6*Q6</f>
        <v>0</v>
      </c>
      <c r="S6" s="418">
        <f>IF(B6,'1c. Inputs Segment Summary'!AB3,0)</f>
        <v>0</v>
      </c>
      <c r="T6" s="412">
        <f>IF(B6,'1c. Inputs Segment Summary'!Q3,0)</f>
        <v>0</v>
      </c>
      <c r="U6" s="413">
        <f>IF(B6,'1c. Inputs Segment Summary'!R3,0)</f>
        <v>0</v>
      </c>
      <c r="V6" s="419">
        <f t="shared" ref="V6:V14" si="5">SUM(T6:U6)</f>
        <v>0</v>
      </c>
      <c r="W6" s="413">
        <f>IF(B6,'1c. Inputs Segment Summary'!P3,0)</f>
        <v>0</v>
      </c>
      <c r="X6" s="420">
        <f t="shared" ref="X6:X14" si="6">W6*V6</f>
        <v>0</v>
      </c>
      <c r="Y6" s="421">
        <f t="shared" ref="Y6:Y14" si="7">X6*(H6/12)</f>
        <v>0</v>
      </c>
      <c r="Z6" s="412">
        <f>IF(B6,'1c. Inputs Segment Summary'!S3,0)</f>
        <v>0</v>
      </c>
      <c r="AA6" s="417">
        <f>1</f>
        <v>1</v>
      </c>
      <c r="AB6" s="413">
        <f t="shared" si="2"/>
        <v>0</v>
      </c>
      <c r="AC6" s="422">
        <f>0</f>
        <v>0</v>
      </c>
      <c r="AD6" s="422">
        <f>IF(B6,'1c. Inputs Segment Summary'!U3,0)</f>
        <v>0</v>
      </c>
      <c r="AE6" s="422">
        <f t="shared" ref="AE6:AE14" si="8">SUM(AA6:AC6)*AD6</f>
        <v>0</v>
      </c>
      <c r="AF6" s="422">
        <f>IF(B6,'1c. Inputs Segment Summary'!V3,0)</f>
        <v>0</v>
      </c>
      <c r="AG6" s="413">
        <f>IF(B6,$E6*'1c. Inputs Segment Summary'!J3,0)</f>
        <v>0</v>
      </c>
      <c r="AH6" s="413">
        <f t="shared" ref="AH6:AH14" si="9">1*$D6</f>
        <v>0</v>
      </c>
      <c r="AI6" s="423">
        <f>IF(B6,'1c. Inputs Segment Summary'!W3,0)</f>
        <v>0</v>
      </c>
    </row>
    <row r="7" spans="1:35" x14ac:dyDescent="0.35">
      <c r="A7" s="406" t="s">
        <v>144</v>
      </c>
      <c r="B7" s="407">
        <f>('1c. Inputs Segment Summary'!F4&gt;0)*1</f>
        <v>0</v>
      </c>
      <c r="C7" s="408">
        <f>'1c. Inputs Segment Summary'!F4</f>
        <v>0</v>
      </c>
      <c r="D7" s="409">
        <f>('1c. Inputs Segment Summary'!G4&gt;0)*1</f>
        <v>0</v>
      </c>
      <c r="E7" s="410">
        <f>('1c. Inputs Segment Summary'!H4&gt;0)*1</f>
        <v>0</v>
      </c>
      <c r="F7" s="410" t="str">
        <f>IF(B7,'1c. Inputs Segment Summary'!K4,"")</f>
        <v/>
      </c>
      <c r="G7" s="409">
        <f t="shared" si="0"/>
        <v>0</v>
      </c>
      <c r="H7" s="411">
        <f>IF(B7,'1c. Inputs Segment Summary'!AA4,0)</f>
        <v>0</v>
      </c>
      <c r="I7" s="412">
        <f>IF(B7,'1c. Inputs Segment Summary'!L4,0)</f>
        <v>0</v>
      </c>
      <c r="J7" s="413">
        <f>IF(B7,'1c. Inputs Segment Summary'!M4,0)</f>
        <v>0</v>
      </c>
      <c r="K7" s="414">
        <f>IF(B7,'1c. Inputs Segment Summary'!X4,0)</f>
        <v>0</v>
      </c>
      <c r="L7" s="415">
        <f>IF(B7,'1c. Inputs Segment Summary'!AE4,0)</f>
        <v>0</v>
      </c>
      <c r="M7" s="414">
        <f t="shared" si="3"/>
        <v>0</v>
      </c>
      <c r="N7" s="416">
        <f>IF(B7,'1c. Inputs Segment Summary'!AD4,0)</f>
        <v>0</v>
      </c>
      <c r="O7" s="417">
        <f>IF(B7,'1c. Inputs Segment Summary'!N4,0)</f>
        <v>0</v>
      </c>
      <c r="P7" s="414">
        <f>IF(B7,'1c. Inputs Segment Summary'!Y4,0)</f>
        <v>0</v>
      </c>
      <c r="Q7" s="415">
        <f>IF(B7,'1c. Inputs Segment Summary'!AC4,0)</f>
        <v>0</v>
      </c>
      <c r="R7" s="414">
        <f t="shared" si="4"/>
        <v>0</v>
      </c>
      <c r="S7" s="418">
        <f>IF(B7,'1c. Inputs Segment Summary'!AB4,0)</f>
        <v>0</v>
      </c>
      <c r="T7" s="412">
        <f>IF(B7,'1c. Inputs Segment Summary'!Q4,0)</f>
        <v>0</v>
      </c>
      <c r="U7" s="413">
        <f>IF(B7,'1c. Inputs Segment Summary'!R4,0)</f>
        <v>0</v>
      </c>
      <c r="V7" s="419">
        <f t="shared" si="5"/>
        <v>0</v>
      </c>
      <c r="W7" s="413">
        <f>IF(B7,'1c. Inputs Segment Summary'!P4,0)</f>
        <v>0</v>
      </c>
      <c r="X7" s="420">
        <f t="shared" si="6"/>
        <v>0</v>
      </c>
      <c r="Y7" s="421">
        <f t="shared" si="7"/>
        <v>0</v>
      </c>
      <c r="Z7" s="412">
        <f>IF(B7,'1c. Inputs Segment Summary'!S4,0)</f>
        <v>0</v>
      </c>
      <c r="AA7" s="417">
        <f>1</f>
        <v>1</v>
      </c>
      <c r="AB7" s="413">
        <f t="shared" si="2"/>
        <v>0</v>
      </c>
      <c r="AC7" s="422">
        <f>0</f>
        <v>0</v>
      </c>
      <c r="AD7" s="422">
        <f>IF(B7,'1c. Inputs Segment Summary'!U4,0)</f>
        <v>0</v>
      </c>
      <c r="AE7" s="422">
        <f t="shared" si="8"/>
        <v>0</v>
      </c>
      <c r="AF7" s="422">
        <f>IF(B7,'1c. Inputs Segment Summary'!V4,0)</f>
        <v>0</v>
      </c>
      <c r="AG7" s="413">
        <f>IF(B7,$E7*'1c. Inputs Segment Summary'!J4,0)</f>
        <v>0</v>
      </c>
      <c r="AH7" s="413">
        <f t="shared" si="9"/>
        <v>0</v>
      </c>
      <c r="AI7" s="423">
        <f>IF(B7,'1c. Inputs Segment Summary'!W4,0)</f>
        <v>0</v>
      </c>
    </row>
    <row r="8" spans="1:35" x14ac:dyDescent="0.35">
      <c r="A8" s="406" t="s">
        <v>145</v>
      </c>
      <c r="B8" s="407">
        <f>('1c. Inputs Segment Summary'!F5&gt;0)*1</f>
        <v>0</v>
      </c>
      <c r="C8" s="408">
        <f>'1c. Inputs Segment Summary'!F5</f>
        <v>0</v>
      </c>
      <c r="D8" s="409">
        <f>('1c. Inputs Segment Summary'!G5&gt;0)*1</f>
        <v>0</v>
      </c>
      <c r="E8" s="410">
        <f>('1c. Inputs Segment Summary'!H5&gt;0)*1</f>
        <v>0</v>
      </c>
      <c r="F8" s="410" t="str">
        <f>IF(B8,'1c. Inputs Segment Summary'!K5,"")</f>
        <v/>
      </c>
      <c r="G8" s="409">
        <f t="shared" si="0"/>
        <v>0</v>
      </c>
      <c r="H8" s="411">
        <f>IF(B8,'1c. Inputs Segment Summary'!AA5,0)</f>
        <v>0</v>
      </c>
      <c r="I8" s="412">
        <f>IF(B8,'1c. Inputs Segment Summary'!L5,0)</f>
        <v>0</v>
      </c>
      <c r="J8" s="413">
        <f>IF(B8,'1c. Inputs Segment Summary'!M5,0)</f>
        <v>0</v>
      </c>
      <c r="K8" s="414">
        <f>IF(B8,'1c. Inputs Segment Summary'!X5,0)</f>
        <v>0</v>
      </c>
      <c r="L8" s="415">
        <f>IF(B8,'1c. Inputs Segment Summary'!AE5,0)</f>
        <v>0</v>
      </c>
      <c r="M8" s="414">
        <f t="shared" si="3"/>
        <v>0</v>
      </c>
      <c r="N8" s="416">
        <f>IF(B8,'1c. Inputs Segment Summary'!AD5,0)</f>
        <v>0</v>
      </c>
      <c r="O8" s="417">
        <f>IF(B8,'1c. Inputs Segment Summary'!N5,0)</f>
        <v>0</v>
      </c>
      <c r="P8" s="414">
        <f>IF(B8,'1c. Inputs Segment Summary'!Y5,0)</f>
        <v>0</v>
      </c>
      <c r="Q8" s="415">
        <f>IF(B8,'1c. Inputs Segment Summary'!AC5,0)</f>
        <v>0</v>
      </c>
      <c r="R8" s="414">
        <f t="shared" si="4"/>
        <v>0</v>
      </c>
      <c r="S8" s="418">
        <f>IF(B8,'1c. Inputs Segment Summary'!AB5,0)</f>
        <v>0</v>
      </c>
      <c r="T8" s="412">
        <f>IF(B8,'1c. Inputs Segment Summary'!Q5,0)</f>
        <v>0</v>
      </c>
      <c r="U8" s="413">
        <f>IF(B8,'1c. Inputs Segment Summary'!R5,0)</f>
        <v>0</v>
      </c>
      <c r="V8" s="419">
        <f t="shared" si="5"/>
        <v>0</v>
      </c>
      <c r="W8" s="413">
        <f>IF(B8,'1c. Inputs Segment Summary'!P5,0)</f>
        <v>0</v>
      </c>
      <c r="X8" s="420">
        <f t="shared" si="6"/>
        <v>0</v>
      </c>
      <c r="Y8" s="421">
        <f t="shared" si="7"/>
        <v>0</v>
      </c>
      <c r="Z8" s="412">
        <f>IF(B8,'1c. Inputs Segment Summary'!S5,0)</f>
        <v>0</v>
      </c>
      <c r="AA8" s="417">
        <f>1</f>
        <v>1</v>
      </c>
      <c r="AB8" s="413">
        <f t="shared" si="2"/>
        <v>0</v>
      </c>
      <c r="AC8" s="422">
        <f>0</f>
        <v>0</v>
      </c>
      <c r="AD8" s="422">
        <f>IF(B8,'1c. Inputs Segment Summary'!U5,0)</f>
        <v>0</v>
      </c>
      <c r="AE8" s="422">
        <f t="shared" si="8"/>
        <v>0</v>
      </c>
      <c r="AF8" s="422">
        <f>IF(B8,'1c. Inputs Segment Summary'!V5,0)</f>
        <v>0</v>
      </c>
      <c r="AG8" s="413">
        <f>IF(B8,$E8*'1c. Inputs Segment Summary'!J5,0)</f>
        <v>0</v>
      </c>
      <c r="AH8" s="413">
        <f t="shared" si="9"/>
        <v>0</v>
      </c>
      <c r="AI8" s="423">
        <f>IF(B8,'1c. Inputs Segment Summary'!W5,0)</f>
        <v>0</v>
      </c>
    </row>
    <row r="9" spans="1:35" x14ac:dyDescent="0.35">
      <c r="A9" s="406" t="s">
        <v>146</v>
      </c>
      <c r="B9" s="407">
        <f>('1c. Inputs Segment Summary'!F6&gt;0)*1</f>
        <v>0</v>
      </c>
      <c r="C9" s="408">
        <f>'1c. Inputs Segment Summary'!F6</f>
        <v>0</v>
      </c>
      <c r="D9" s="409">
        <f>('1c. Inputs Segment Summary'!G6&gt;0)*1</f>
        <v>0</v>
      </c>
      <c r="E9" s="410">
        <f>('1c. Inputs Segment Summary'!H6&gt;0)*1</f>
        <v>0</v>
      </c>
      <c r="F9" s="410" t="str">
        <f>IF(B9,'1c. Inputs Segment Summary'!K6,"")</f>
        <v/>
      </c>
      <c r="G9" s="409">
        <f t="shared" si="0"/>
        <v>0</v>
      </c>
      <c r="H9" s="411">
        <f>IF(B9,'1c. Inputs Segment Summary'!AA6,0)</f>
        <v>0</v>
      </c>
      <c r="I9" s="412">
        <f>IF(B9,'1c. Inputs Segment Summary'!L6,0)</f>
        <v>0</v>
      </c>
      <c r="J9" s="413">
        <f>IF(B9,'1c. Inputs Segment Summary'!M6,0)</f>
        <v>0</v>
      </c>
      <c r="K9" s="414">
        <f>IF(B9,'1c. Inputs Segment Summary'!X6,0)</f>
        <v>0</v>
      </c>
      <c r="L9" s="415">
        <f>IF(B9,'1c. Inputs Segment Summary'!AE6,0)</f>
        <v>0</v>
      </c>
      <c r="M9" s="414">
        <f t="shared" si="3"/>
        <v>0</v>
      </c>
      <c r="N9" s="416">
        <f>IF(B9,'1c. Inputs Segment Summary'!AD6,0)</f>
        <v>0</v>
      </c>
      <c r="O9" s="417">
        <f>IF(B9,'1c. Inputs Segment Summary'!N6,0)</f>
        <v>0</v>
      </c>
      <c r="P9" s="414">
        <f>IF(B9,'1c. Inputs Segment Summary'!Y6,0)</f>
        <v>0</v>
      </c>
      <c r="Q9" s="415">
        <f>IF(B9,'1c. Inputs Segment Summary'!AC6,0)</f>
        <v>0</v>
      </c>
      <c r="R9" s="414">
        <f t="shared" si="4"/>
        <v>0</v>
      </c>
      <c r="S9" s="418">
        <f>IF(B9,'1c. Inputs Segment Summary'!AB6,0)</f>
        <v>0</v>
      </c>
      <c r="T9" s="412">
        <f>IF(B9,'1c. Inputs Segment Summary'!Q6,0)</f>
        <v>0</v>
      </c>
      <c r="U9" s="413">
        <f>IF(B9,'1c. Inputs Segment Summary'!R6,0)</f>
        <v>0</v>
      </c>
      <c r="V9" s="419">
        <f t="shared" si="5"/>
        <v>0</v>
      </c>
      <c r="W9" s="413">
        <f>IF(B9,'1c. Inputs Segment Summary'!P6,0)</f>
        <v>0</v>
      </c>
      <c r="X9" s="420">
        <f t="shared" si="6"/>
        <v>0</v>
      </c>
      <c r="Y9" s="421">
        <f t="shared" si="7"/>
        <v>0</v>
      </c>
      <c r="Z9" s="412">
        <f>IF(B9,'1c. Inputs Segment Summary'!S6,0)</f>
        <v>0</v>
      </c>
      <c r="AA9" s="417">
        <f>1</f>
        <v>1</v>
      </c>
      <c r="AB9" s="413">
        <f t="shared" si="2"/>
        <v>0</v>
      </c>
      <c r="AC9" s="422">
        <f>0</f>
        <v>0</v>
      </c>
      <c r="AD9" s="422">
        <f>IF(B9,'1c. Inputs Segment Summary'!U6,0)</f>
        <v>0</v>
      </c>
      <c r="AE9" s="422">
        <f t="shared" si="8"/>
        <v>0</v>
      </c>
      <c r="AF9" s="422">
        <f>IF(B9,'1c. Inputs Segment Summary'!V6,0)</f>
        <v>0</v>
      </c>
      <c r="AG9" s="413">
        <f>IF(B9,$E9*'1c. Inputs Segment Summary'!J6,0)</f>
        <v>0</v>
      </c>
      <c r="AH9" s="413">
        <f t="shared" si="9"/>
        <v>0</v>
      </c>
      <c r="AI9" s="423">
        <f>IF(B9,'1c. Inputs Segment Summary'!W6,0)</f>
        <v>0</v>
      </c>
    </row>
    <row r="10" spans="1:35" x14ac:dyDescent="0.35">
      <c r="A10" s="406" t="s">
        <v>147</v>
      </c>
      <c r="B10" s="407">
        <f>('1c. Inputs Segment Summary'!F7&gt;0)*1</f>
        <v>0</v>
      </c>
      <c r="C10" s="408">
        <f>'1c. Inputs Segment Summary'!F7</f>
        <v>0</v>
      </c>
      <c r="D10" s="409">
        <f>('1c. Inputs Segment Summary'!G7&gt;0)*1</f>
        <v>0</v>
      </c>
      <c r="E10" s="410">
        <f>('1c. Inputs Segment Summary'!H7&gt;0)*1</f>
        <v>0</v>
      </c>
      <c r="F10" s="410" t="str">
        <f>IF(B10,'1c. Inputs Segment Summary'!K7,"")</f>
        <v/>
      </c>
      <c r="G10" s="409">
        <f t="shared" si="0"/>
        <v>0</v>
      </c>
      <c r="H10" s="411">
        <f>IF(B10,'1c. Inputs Segment Summary'!AA7,0)</f>
        <v>0</v>
      </c>
      <c r="I10" s="412">
        <f>IF(B10,'1c. Inputs Segment Summary'!L7,0)</f>
        <v>0</v>
      </c>
      <c r="J10" s="413">
        <f>IF(B10,'1c. Inputs Segment Summary'!M7,0)</f>
        <v>0</v>
      </c>
      <c r="K10" s="414">
        <f>IF(B10,'1c. Inputs Segment Summary'!X7,0)</f>
        <v>0</v>
      </c>
      <c r="L10" s="415">
        <f>IF(B10,'1c. Inputs Segment Summary'!AE7,0)</f>
        <v>0</v>
      </c>
      <c r="M10" s="414">
        <f t="shared" si="3"/>
        <v>0</v>
      </c>
      <c r="N10" s="416">
        <f>IF(B10,'1c. Inputs Segment Summary'!AD7,0)</f>
        <v>0</v>
      </c>
      <c r="O10" s="417">
        <f>IF(B10,'1c. Inputs Segment Summary'!N7,0)</f>
        <v>0</v>
      </c>
      <c r="P10" s="414">
        <f>IF(B10,'1c. Inputs Segment Summary'!Y7,0)</f>
        <v>0</v>
      </c>
      <c r="Q10" s="415">
        <f>IF(B10,'1c. Inputs Segment Summary'!AC7,0)</f>
        <v>0</v>
      </c>
      <c r="R10" s="414">
        <f t="shared" si="4"/>
        <v>0</v>
      </c>
      <c r="S10" s="418">
        <f>IF(B10,'1c. Inputs Segment Summary'!AB7,0)</f>
        <v>0</v>
      </c>
      <c r="T10" s="412">
        <f>IF(B10,'1c. Inputs Segment Summary'!Q7,0)</f>
        <v>0</v>
      </c>
      <c r="U10" s="413">
        <f>IF(B10,'1c. Inputs Segment Summary'!R7,0)</f>
        <v>0</v>
      </c>
      <c r="V10" s="419">
        <f t="shared" si="5"/>
        <v>0</v>
      </c>
      <c r="W10" s="413">
        <f>IF(B10,'1c. Inputs Segment Summary'!P7,0)</f>
        <v>0</v>
      </c>
      <c r="X10" s="420">
        <f t="shared" si="6"/>
        <v>0</v>
      </c>
      <c r="Y10" s="421">
        <f t="shared" si="7"/>
        <v>0</v>
      </c>
      <c r="Z10" s="412">
        <f>IF(B10,'1c. Inputs Segment Summary'!S7,0)</f>
        <v>0</v>
      </c>
      <c r="AA10" s="417">
        <f>1</f>
        <v>1</v>
      </c>
      <c r="AB10" s="413">
        <f t="shared" si="2"/>
        <v>0</v>
      </c>
      <c r="AC10" s="422">
        <f>0</f>
        <v>0</v>
      </c>
      <c r="AD10" s="422">
        <f>IF(B10,'1c. Inputs Segment Summary'!U7,0)</f>
        <v>0</v>
      </c>
      <c r="AE10" s="422">
        <f t="shared" si="8"/>
        <v>0</v>
      </c>
      <c r="AF10" s="422">
        <f>IF(B10,'1c. Inputs Segment Summary'!V7,0)</f>
        <v>0</v>
      </c>
      <c r="AG10" s="413">
        <f>IF(B10,$E10*'1c. Inputs Segment Summary'!J7,0)</f>
        <v>0</v>
      </c>
      <c r="AH10" s="413">
        <f t="shared" si="9"/>
        <v>0</v>
      </c>
      <c r="AI10" s="423">
        <f>IF(B10,'1c. Inputs Segment Summary'!W7,0)</f>
        <v>0</v>
      </c>
    </row>
    <row r="11" spans="1:35" x14ac:dyDescent="0.35">
      <c r="A11" s="406" t="s">
        <v>148</v>
      </c>
      <c r="B11" s="407">
        <f>('1c. Inputs Segment Summary'!F8&gt;0)*1</f>
        <v>0</v>
      </c>
      <c r="C11" s="408">
        <f>'1c. Inputs Segment Summary'!F8</f>
        <v>0</v>
      </c>
      <c r="D11" s="409">
        <f>('1c. Inputs Segment Summary'!G8&gt;0)*1</f>
        <v>0</v>
      </c>
      <c r="E11" s="410">
        <f>('1c. Inputs Segment Summary'!H8&gt;0)*1</f>
        <v>0</v>
      </c>
      <c r="F11" s="410" t="str">
        <f>IF(B11,'1c. Inputs Segment Summary'!K8,"")</f>
        <v/>
      </c>
      <c r="G11" s="409">
        <f t="shared" si="0"/>
        <v>0</v>
      </c>
      <c r="H11" s="411">
        <f>IF(B11,'1c. Inputs Segment Summary'!AA8,0)</f>
        <v>0</v>
      </c>
      <c r="I11" s="412">
        <f>IF(B11,'1c. Inputs Segment Summary'!L8,0)</f>
        <v>0</v>
      </c>
      <c r="J11" s="413">
        <f>IF(B11,'1c. Inputs Segment Summary'!M8,0)</f>
        <v>0</v>
      </c>
      <c r="K11" s="414">
        <f>IF(B11,'1c. Inputs Segment Summary'!X8,0)</f>
        <v>0</v>
      </c>
      <c r="L11" s="415">
        <f>IF(B11,'1c. Inputs Segment Summary'!AE8,0)</f>
        <v>0</v>
      </c>
      <c r="M11" s="414">
        <f t="shared" si="3"/>
        <v>0</v>
      </c>
      <c r="N11" s="416">
        <f>IF(B11,'1c. Inputs Segment Summary'!AD8,0)</f>
        <v>0</v>
      </c>
      <c r="O11" s="417">
        <f>IF(B11,'1c. Inputs Segment Summary'!N8,0)</f>
        <v>0</v>
      </c>
      <c r="P11" s="414">
        <f>IF(B11,'1c. Inputs Segment Summary'!Y8,0)</f>
        <v>0</v>
      </c>
      <c r="Q11" s="415">
        <f>IF(B11,'1c. Inputs Segment Summary'!AC8,0)</f>
        <v>0</v>
      </c>
      <c r="R11" s="414">
        <f t="shared" si="4"/>
        <v>0</v>
      </c>
      <c r="S11" s="418">
        <f>IF(B11,'1c. Inputs Segment Summary'!AB8,0)</f>
        <v>0</v>
      </c>
      <c r="T11" s="412">
        <f>IF(B11,'1c. Inputs Segment Summary'!Q8,0)</f>
        <v>0</v>
      </c>
      <c r="U11" s="413">
        <f>IF(B11,'1c. Inputs Segment Summary'!R8,0)</f>
        <v>0</v>
      </c>
      <c r="V11" s="419">
        <f t="shared" si="5"/>
        <v>0</v>
      </c>
      <c r="W11" s="413">
        <f>IF(B11,'1c. Inputs Segment Summary'!P8,0)</f>
        <v>0</v>
      </c>
      <c r="X11" s="420">
        <f t="shared" si="6"/>
        <v>0</v>
      </c>
      <c r="Y11" s="421">
        <f t="shared" si="7"/>
        <v>0</v>
      </c>
      <c r="Z11" s="412">
        <f>IF(B11,'1c. Inputs Segment Summary'!S8,0)</f>
        <v>0</v>
      </c>
      <c r="AA11" s="417">
        <f>1</f>
        <v>1</v>
      </c>
      <c r="AB11" s="413">
        <f t="shared" si="2"/>
        <v>0</v>
      </c>
      <c r="AC11" s="422">
        <f>0</f>
        <v>0</v>
      </c>
      <c r="AD11" s="422">
        <f>IF(B11,'1c. Inputs Segment Summary'!U8,0)</f>
        <v>0</v>
      </c>
      <c r="AE11" s="422">
        <f t="shared" si="8"/>
        <v>0</v>
      </c>
      <c r="AF11" s="422">
        <f>IF(B11,'1c. Inputs Segment Summary'!V8,0)</f>
        <v>0</v>
      </c>
      <c r="AG11" s="413">
        <f>IF(B11,$E11*'1c. Inputs Segment Summary'!J8,0)</f>
        <v>0</v>
      </c>
      <c r="AH11" s="413">
        <f t="shared" si="9"/>
        <v>0</v>
      </c>
      <c r="AI11" s="423">
        <f>IF(B11,'1c. Inputs Segment Summary'!W8,0)</f>
        <v>0</v>
      </c>
    </row>
    <row r="12" spans="1:35" x14ac:dyDescent="0.35">
      <c r="A12" s="406" t="s">
        <v>149</v>
      </c>
      <c r="B12" s="407">
        <f>('1c. Inputs Segment Summary'!F9&gt;0)*1</f>
        <v>0</v>
      </c>
      <c r="C12" s="408">
        <f>'1c. Inputs Segment Summary'!F9</f>
        <v>0</v>
      </c>
      <c r="D12" s="409">
        <f>('1c. Inputs Segment Summary'!G9&gt;0)*1</f>
        <v>0</v>
      </c>
      <c r="E12" s="410">
        <f>('1c. Inputs Segment Summary'!H9&gt;0)*1</f>
        <v>0</v>
      </c>
      <c r="F12" s="410" t="str">
        <f>IF(B12,'1c. Inputs Segment Summary'!K9,"")</f>
        <v/>
      </c>
      <c r="G12" s="409">
        <f t="shared" si="0"/>
        <v>0</v>
      </c>
      <c r="H12" s="411">
        <f>IF(B12,'1c. Inputs Segment Summary'!AA9,0)</f>
        <v>0</v>
      </c>
      <c r="I12" s="412">
        <f>IF(B12,'1c. Inputs Segment Summary'!L9,0)</f>
        <v>0</v>
      </c>
      <c r="J12" s="413">
        <f>IF(B12,'1c. Inputs Segment Summary'!M9,0)</f>
        <v>0</v>
      </c>
      <c r="K12" s="414">
        <f>IF(B12,'1c. Inputs Segment Summary'!X9,0)</f>
        <v>0</v>
      </c>
      <c r="L12" s="415">
        <f>IF(B12,'1c. Inputs Segment Summary'!AE9,0)</f>
        <v>0</v>
      </c>
      <c r="M12" s="414">
        <f t="shared" si="3"/>
        <v>0</v>
      </c>
      <c r="N12" s="416">
        <f>IF(B12,'1c. Inputs Segment Summary'!AD9,0)</f>
        <v>0</v>
      </c>
      <c r="O12" s="417">
        <f>IF(B12,'1c. Inputs Segment Summary'!N9,0)</f>
        <v>0</v>
      </c>
      <c r="P12" s="414">
        <f>IF(B12,'1c. Inputs Segment Summary'!Y9,0)</f>
        <v>0</v>
      </c>
      <c r="Q12" s="415">
        <f>IF(B12,'1c. Inputs Segment Summary'!AC9,0)</f>
        <v>0</v>
      </c>
      <c r="R12" s="414">
        <f t="shared" si="4"/>
        <v>0</v>
      </c>
      <c r="S12" s="418">
        <f>IF(B12,'1c. Inputs Segment Summary'!AB9,0)</f>
        <v>0</v>
      </c>
      <c r="T12" s="412">
        <f>IF(B12,'1c. Inputs Segment Summary'!Q9,0)</f>
        <v>0</v>
      </c>
      <c r="U12" s="413">
        <f>IF(B12,'1c. Inputs Segment Summary'!R9,0)</f>
        <v>0</v>
      </c>
      <c r="V12" s="419">
        <f t="shared" si="5"/>
        <v>0</v>
      </c>
      <c r="W12" s="413">
        <f>IF(B12,'1c. Inputs Segment Summary'!P9,0)</f>
        <v>0</v>
      </c>
      <c r="X12" s="420">
        <f t="shared" si="6"/>
        <v>0</v>
      </c>
      <c r="Y12" s="421">
        <f t="shared" si="7"/>
        <v>0</v>
      </c>
      <c r="Z12" s="412">
        <f>IF(B12,'1c. Inputs Segment Summary'!S9,0)</f>
        <v>0</v>
      </c>
      <c r="AA12" s="417">
        <f>1</f>
        <v>1</v>
      </c>
      <c r="AB12" s="413">
        <f t="shared" si="2"/>
        <v>0</v>
      </c>
      <c r="AC12" s="422">
        <f>0</f>
        <v>0</v>
      </c>
      <c r="AD12" s="422">
        <f>IF(B12,'1c. Inputs Segment Summary'!U9,0)</f>
        <v>0</v>
      </c>
      <c r="AE12" s="422">
        <f t="shared" si="8"/>
        <v>0</v>
      </c>
      <c r="AF12" s="422">
        <f>IF(B12,'1c. Inputs Segment Summary'!V9,0)</f>
        <v>0</v>
      </c>
      <c r="AG12" s="413">
        <f>IF(B12,$E12*'1c. Inputs Segment Summary'!J9,0)</f>
        <v>0</v>
      </c>
      <c r="AH12" s="413">
        <f t="shared" si="9"/>
        <v>0</v>
      </c>
      <c r="AI12" s="423">
        <f>IF(B12,'1c. Inputs Segment Summary'!W9,0)</f>
        <v>0</v>
      </c>
    </row>
    <row r="13" spans="1:35" x14ac:dyDescent="0.35">
      <c r="A13" s="406" t="s">
        <v>150</v>
      </c>
      <c r="B13" s="407">
        <f>('1c. Inputs Segment Summary'!F10&gt;0)*1</f>
        <v>0</v>
      </c>
      <c r="C13" s="408">
        <f>'1c. Inputs Segment Summary'!F10</f>
        <v>0</v>
      </c>
      <c r="D13" s="409">
        <f>('1c. Inputs Segment Summary'!G10&gt;0)*1</f>
        <v>0</v>
      </c>
      <c r="E13" s="410">
        <f>('1c. Inputs Segment Summary'!H10&gt;0)*1</f>
        <v>0</v>
      </c>
      <c r="F13" s="410" t="str">
        <f>IF(B13,'1c. Inputs Segment Summary'!K10,"")</f>
        <v/>
      </c>
      <c r="G13" s="409">
        <f t="shared" si="0"/>
        <v>0</v>
      </c>
      <c r="H13" s="411">
        <f>IF(B13,'1c. Inputs Segment Summary'!AA10,0)</f>
        <v>0</v>
      </c>
      <c r="I13" s="412">
        <f>IF(B13,'1c. Inputs Segment Summary'!L10,0)</f>
        <v>0</v>
      </c>
      <c r="J13" s="413">
        <f>IF(B13,'1c. Inputs Segment Summary'!M10,0)</f>
        <v>0</v>
      </c>
      <c r="K13" s="414">
        <f>IF(B13,'1c. Inputs Segment Summary'!X10,0)</f>
        <v>0</v>
      </c>
      <c r="L13" s="415">
        <f>IF(B13,'1c. Inputs Segment Summary'!AE10,0)</f>
        <v>0</v>
      </c>
      <c r="M13" s="414">
        <f t="shared" si="3"/>
        <v>0</v>
      </c>
      <c r="N13" s="416">
        <f>IF(B13,'1c. Inputs Segment Summary'!AD10,0)</f>
        <v>0</v>
      </c>
      <c r="O13" s="417">
        <f>IF(B13,'1c. Inputs Segment Summary'!N10,0)</f>
        <v>0</v>
      </c>
      <c r="P13" s="414">
        <f>IF(B13,'1c. Inputs Segment Summary'!Y10,0)</f>
        <v>0</v>
      </c>
      <c r="Q13" s="415">
        <f>IF(B13,'1c. Inputs Segment Summary'!AC10,0)</f>
        <v>0</v>
      </c>
      <c r="R13" s="414">
        <f t="shared" si="4"/>
        <v>0</v>
      </c>
      <c r="S13" s="418">
        <f>IF(B13,'1c. Inputs Segment Summary'!AB10,0)</f>
        <v>0</v>
      </c>
      <c r="T13" s="412">
        <f>IF(B13,'1c. Inputs Segment Summary'!Q10,0)</f>
        <v>0</v>
      </c>
      <c r="U13" s="413">
        <f>IF(B13,'1c. Inputs Segment Summary'!R10,0)</f>
        <v>0</v>
      </c>
      <c r="V13" s="419">
        <f t="shared" si="5"/>
        <v>0</v>
      </c>
      <c r="W13" s="413">
        <f>IF(B13,'1c. Inputs Segment Summary'!P10,0)</f>
        <v>0</v>
      </c>
      <c r="X13" s="420">
        <f t="shared" si="6"/>
        <v>0</v>
      </c>
      <c r="Y13" s="421">
        <f t="shared" si="7"/>
        <v>0</v>
      </c>
      <c r="Z13" s="412">
        <f>IF(B13,'1c. Inputs Segment Summary'!S10,0)</f>
        <v>0</v>
      </c>
      <c r="AA13" s="417">
        <f>1</f>
        <v>1</v>
      </c>
      <c r="AB13" s="413">
        <f t="shared" si="2"/>
        <v>0</v>
      </c>
      <c r="AC13" s="422">
        <f>0</f>
        <v>0</v>
      </c>
      <c r="AD13" s="422">
        <f>IF(B13,'1c. Inputs Segment Summary'!U10,0)</f>
        <v>0</v>
      </c>
      <c r="AE13" s="422">
        <f t="shared" si="8"/>
        <v>0</v>
      </c>
      <c r="AF13" s="422">
        <f>IF(B13,'1c. Inputs Segment Summary'!V10,0)</f>
        <v>0</v>
      </c>
      <c r="AG13" s="413">
        <f>IF(B13,$E13*'1c. Inputs Segment Summary'!J10,0)</f>
        <v>0</v>
      </c>
      <c r="AH13" s="413">
        <f t="shared" si="9"/>
        <v>0</v>
      </c>
      <c r="AI13" s="423">
        <f>IF(B13,'1c. Inputs Segment Summary'!W10,0)</f>
        <v>0</v>
      </c>
    </row>
    <row r="14" spans="1:35" x14ac:dyDescent="0.35">
      <c r="A14" s="406" t="s">
        <v>151</v>
      </c>
      <c r="B14" s="407">
        <f>('1c. Inputs Segment Summary'!F11&gt;0)*1</f>
        <v>0</v>
      </c>
      <c r="C14" s="408">
        <f>'1c. Inputs Segment Summary'!F11</f>
        <v>0</v>
      </c>
      <c r="D14" s="409">
        <f>('1c. Inputs Segment Summary'!G11&gt;0)*1</f>
        <v>0</v>
      </c>
      <c r="E14" s="410">
        <f>('1c. Inputs Segment Summary'!H11&gt;0)*1</f>
        <v>0</v>
      </c>
      <c r="F14" s="410" t="str">
        <f>IF(B14,'1c. Inputs Segment Summary'!K11,"")</f>
        <v/>
      </c>
      <c r="G14" s="409">
        <f t="shared" si="0"/>
        <v>0</v>
      </c>
      <c r="H14" s="411">
        <f>IF(B14,'1c. Inputs Segment Summary'!AA11,0)</f>
        <v>0</v>
      </c>
      <c r="I14" s="412">
        <f>IF(B14,'1c. Inputs Segment Summary'!L11,0)</f>
        <v>0</v>
      </c>
      <c r="J14" s="413">
        <f>IF(B14,'1c. Inputs Segment Summary'!M11,0)</f>
        <v>0</v>
      </c>
      <c r="K14" s="414">
        <f>IF(B14,'1c. Inputs Segment Summary'!X11,0)</f>
        <v>0</v>
      </c>
      <c r="L14" s="415">
        <f>IF(B14,'1c. Inputs Segment Summary'!AE11,0)</f>
        <v>0</v>
      </c>
      <c r="M14" s="414">
        <f t="shared" si="3"/>
        <v>0</v>
      </c>
      <c r="N14" s="416">
        <f>IF(B14,'1c. Inputs Segment Summary'!AD11,0)</f>
        <v>0</v>
      </c>
      <c r="O14" s="417">
        <f>IF(B14,'1c. Inputs Segment Summary'!N11,0)</f>
        <v>0</v>
      </c>
      <c r="P14" s="414">
        <f>IF(B14,'1c. Inputs Segment Summary'!Y11,0)</f>
        <v>0</v>
      </c>
      <c r="Q14" s="415">
        <f>IF(B14,'1c. Inputs Segment Summary'!AC11,0)</f>
        <v>0</v>
      </c>
      <c r="R14" s="414">
        <f t="shared" si="4"/>
        <v>0</v>
      </c>
      <c r="S14" s="418">
        <f>IF(B14,'1c. Inputs Segment Summary'!AB11,0)</f>
        <v>0</v>
      </c>
      <c r="T14" s="412">
        <f>IF(B14,'1c. Inputs Segment Summary'!Q11,0)</f>
        <v>0</v>
      </c>
      <c r="U14" s="413">
        <f>IF(B14,'1c. Inputs Segment Summary'!R11,0)</f>
        <v>0</v>
      </c>
      <c r="V14" s="419">
        <f t="shared" si="5"/>
        <v>0</v>
      </c>
      <c r="W14" s="413">
        <f>IF(B14,'1c. Inputs Segment Summary'!P11,0)</f>
        <v>0</v>
      </c>
      <c r="X14" s="420">
        <f t="shared" si="6"/>
        <v>0</v>
      </c>
      <c r="Y14" s="421">
        <f t="shared" si="7"/>
        <v>0</v>
      </c>
      <c r="Z14" s="412">
        <f>IF(B14,'1c. Inputs Segment Summary'!S11,0)</f>
        <v>0</v>
      </c>
      <c r="AA14" s="417">
        <f>1</f>
        <v>1</v>
      </c>
      <c r="AB14" s="413">
        <f t="shared" si="2"/>
        <v>0</v>
      </c>
      <c r="AC14" s="422">
        <f>0</f>
        <v>0</v>
      </c>
      <c r="AD14" s="422">
        <f>IF(B14,'1c. Inputs Segment Summary'!U11,0)</f>
        <v>0</v>
      </c>
      <c r="AE14" s="422">
        <f t="shared" si="8"/>
        <v>0</v>
      </c>
      <c r="AF14" s="422">
        <f>IF(B14,'1c. Inputs Segment Summary'!V11,0)</f>
        <v>0</v>
      </c>
      <c r="AG14" s="413">
        <f>IF(B14,$E14*'1c. Inputs Segment Summary'!J11,0)</f>
        <v>0</v>
      </c>
      <c r="AH14" s="413">
        <f t="shared" si="9"/>
        <v>0</v>
      </c>
      <c r="AI14" s="423">
        <f>IF(B14,'1c. Inputs Segment Summary'!W11,0)</f>
        <v>0</v>
      </c>
    </row>
    <row r="15" spans="1:35" x14ac:dyDescent="0.35">
      <c r="A15" s="406"/>
      <c r="B15" s="407"/>
      <c r="C15" s="408"/>
      <c r="D15" s="409"/>
      <c r="E15" s="410"/>
      <c r="F15" s="410"/>
      <c r="G15" s="409"/>
      <c r="H15" s="411"/>
      <c r="I15" s="412"/>
      <c r="J15" s="413"/>
      <c r="K15" s="414"/>
      <c r="L15" s="415"/>
      <c r="M15" s="414"/>
      <c r="N15" s="416"/>
      <c r="O15" s="417"/>
      <c r="P15" s="414"/>
      <c r="Q15" s="415"/>
      <c r="R15" s="414"/>
      <c r="S15" s="418"/>
      <c r="T15" s="412"/>
      <c r="U15" s="413"/>
      <c r="V15" s="419"/>
      <c r="W15" s="413"/>
      <c r="X15" s="420"/>
      <c r="Y15" s="421"/>
      <c r="Z15" s="412"/>
      <c r="AA15" s="417"/>
      <c r="AB15" s="413"/>
      <c r="AC15" s="422"/>
      <c r="AD15" s="422"/>
      <c r="AE15" s="422"/>
      <c r="AF15" s="422"/>
      <c r="AG15" s="413"/>
      <c r="AH15" s="413"/>
      <c r="AI15" s="423"/>
    </row>
    <row r="16" spans="1:35" x14ac:dyDescent="0.35">
      <c r="A16" s="406"/>
      <c r="B16" s="407"/>
      <c r="C16" s="408"/>
      <c r="D16" s="409"/>
      <c r="E16" s="410"/>
      <c r="F16" s="410"/>
      <c r="G16" s="409"/>
      <c r="H16" s="411"/>
      <c r="I16" s="412"/>
      <c r="J16" s="413"/>
      <c r="K16" s="414"/>
      <c r="L16" s="415"/>
      <c r="M16" s="414"/>
      <c r="N16" s="416"/>
      <c r="O16" s="417"/>
      <c r="P16" s="414"/>
      <c r="Q16" s="415"/>
      <c r="R16" s="414"/>
      <c r="S16" s="418"/>
      <c r="T16" s="412"/>
      <c r="U16" s="413"/>
      <c r="V16" s="419"/>
      <c r="W16" s="413"/>
      <c r="X16" s="420"/>
      <c r="Y16" s="421"/>
      <c r="Z16" s="412"/>
      <c r="AA16" s="417"/>
      <c r="AB16" s="413"/>
      <c r="AC16" s="422"/>
      <c r="AD16" s="422"/>
      <c r="AE16" s="422"/>
      <c r="AF16" s="422"/>
      <c r="AG16" s="413"/>
      <c r="AH16" s="413"/>
      <c r="AI16" s="423"/>
    </row>
    <row r="17" spans="1:29" x14ac:dyDescent="0.35">
      <c r="A17" s="406"/>
      <c r="B17" s="407"/>
      <c r="C17" s="408"/>
      <c r="D17" s="409"/>
      <c r="E17" s="410"/>
      <c r="F17" s="410"/>
      <c r="G17" s="409"/>
      <c r="H17" s="411"/>
      <c r="I17" s="412"/>
      <c r="J17" s="413"/>
      <c r="K17" s="414"/>
      <c r="L17" s="415"/>
      <c r="M17" s="414"/>
      <c r="N17" s="416"/>
      <c r="O17" s="417"/>
      <c r="P17" s="414"/>
      <c r="Q17" s="415"/>
      <c r="R17" s="414"/>
      <c r="S17" s="418"/>
      <c r="T17" s="412"/>
      <c r="U17" s="413"/>
      <c r="V17" s="419"/>
      <c r="W17" s="413"/>
      <c r="X17" s="420"/>
      <c r="Y17" s="421"/>
      <c r="Z17" s="412"/>
      <c r="AA17" s="417"/>
      <c r="AB17" s="413"/>
      <c r="AC17" s="422"/>
    </row>
    <row r="18" spans="1:29" x14ac:dyDescent="0.35">
      <c r="A18" s="406"/>
      <c r="B18" s="407"/>
      <c r="C18" s="408"/>
      <c r="D18" s="409"/>
      <c r="E18" s="410"/>
      <c r="F18" s="410"/>
      <c r="G18" s="409"/>
      <c r="H18" s="411"/>
      <c r="I18" s="412"/>
      <c r="J18" s="413"/>
      <c r="K18" s="414"/>
      <c r="L18" s="415"/>
      <c r="M18" s="414"/>
      <c r="N18" s="416"/>
      <c r="O18" s="417"/>
      <c r="P18" s="414"/>
      <c r="Q18" s="415"/>
      <c r="R18" s="414"/>
      <c r="S18" s="418"/>
      <c r="T18" s="412"/>
      <c r="U18" s="413"/>
      <c r="V18" s="419"/>
      <c r="W18" s="413"/>
      <c r="X18" s="420"/>
      <c r="Y18" s="421"/>
      <c r="Z18" s="412"/>
      <c r="AA18" s="417"/>
      <c r="AB18" s="413"/>
      <c r="AC18" s="422"/>
    </row>
    <row r="19" spans="1:29" x14ac:dyDescent="0.35">
      <c r="A19" s="406"/>
      <c r="B19" s="407"/>
      <c r="C19" s="408"/>
      <c r="D19" s="409"/>
      <c r="E19" s="410"/>
      <c r="F19" s="410"/>
      <c r="G19" s="409"/>
      <c r="H19" s="411"/>
      <c r="I19" s="412"/>
      <c r="J19" s="413"/>
      <c r="K19" s="414"/>
      <c r="L19" s="415"/>
      <c r="M19" s="414"/>
      <c r="N19" s="416"/>
      <c r="O19" s="417"/>
      <c r="P19" s="414"/>
      <c r="Q19" s="415"/>
      <c r="R19" s="414"/>
      <c r="S19" s="418"/>
      <c r="T19" s="412"/>
      <c r="U19" s="413"/>
      <c r="V19" s="419"/>
      <c r="W19" s="413"/>
      <c r="X19" s="420"/>
      <c r="Y19" s="421"/>
      <c r="Z19" s="412"/>
      <c r="AA19" s="417"/>
      <c r="AB19" s="413"/>
      <c r="AC19" s="422"/>
    </row>
    <row r="20" spans="1:29" x14ac:dyDescent="0.35">
      <c r="A20" s="406"/>
      <c r="B20" s="407"/>
      <c r="C20" s="408"/>
      <c r="D20" s="409"/>
      <c r="E20" s="410"/>
      <c r="F20" s="410"/>
      <c r="G20" s="409"/>
      <c r="H20" s="411"/>
      <c r="I20" s="412"/>
      <c r="J20" s="413"/>
      <c r="K20" s="414"/>
      <c r="L20" s="415"/>
      <c r="M20" s="414"/>
      <c r="N20" s="416"/>
      <c r="O20" s="417"/>
      <c r="P20" s="414"/>
      <c r="Q20" s="415"/>
      <c r="R20" s="414"/>
      <c r="S20" s="418"/>
      <c r="T20" s="412"/>
      <c r="U20" s="413"/>
      <c r="V20" s="419"/>
      <c r="W20" s="413"/>
      <c r="X20" s="420"/>
      <c r="Y20" s="421"/>
      <c r="Z20" s="412"/>
      <c r="AA20" s="417"/>
      <c r="AB20" s="413"/>
      <c r="AC20" s="422"/>
    </row>
    <row r="21" spans="1:29" x14ac:dyDescent="0.35">
      <c r="A21" s="406"/>
      <c r="B21" s="407"/>
      <c r="C21" s="408"/>
      <c r="D21" s="409"/>
      <c r="E21" s="410"/>
      <c r="F21" s="410"/>
      <c r="G21" s="409"/>
      <c r="H21" s="411"/>
      <c r="I21" s="412"/>
      <c r="J21" s="413"/>
      <c r="K21" s="414"/>
      <c r="L21" s="415"/>
      <c r="M21" s="414"/>
      <c r="N21" s="416"/>
      <c r="O21" s="417"/>
      <c r="P21" s="414"/>
      <c r="Q21" s="415"/>
      <c r="R21" s="414"/>
      <c r="S21" s="418"/>
      <c r="T21" s="412"/>
      <c r="U21" s="413"/>
      <c r="V21" s="419"/>
      <c r="W21" s="413"/>
      <c r="X21" s="420"/>
      <c r="Y21" s="421"/>
      <c r="Z21" s="412"/>
      <c r="AA21" s="417"/>
      <c r="AB21" s="413"/>
      <c r="AC21" s="422"/>
    </row>
    <row r="22" spans="1:29" x14ac:dyDescent="0.35">
      <c r="A22" s="406"/>
      <c r="B22" s="407"/>
      <c r="C22" s="408"/>
      <c r="D22" s="409"/>
      <c r="E22" s="410"/>
      <c r="F22" s="410"/>
      <c r="G22" s="409"/>
      <c r="H22" s="411"/>
      <c r="I22" s="412"/>
      <c r="J22" s="413"/>
      <c r="K22" s="414"/>
      <c r="L22" s="415"/>
      <c r="M22" s="414"/>
      <c r="N22" s="416"/>
      <c r="O22" s="417"/>
      <c r="P22" s="414"/>
      <c r="Q22" s="415"/>
      <c r="R22" s="414"/>
      <c r="S22" s="418"/>
      <c r="T22" s="412"/>
      <c r="U22" s="413"/>
      <c r="V22" s="419"/>
      <c r="W22" s="413"/>
      <c r="X22" s="420"/>
      <c r="Y22" s="421"/>
      <c r="Z22" s="412"/>
      <c r="AA22" s="417"/>
      <c r="AB22" s="413"/>
      <c r="AC22" s="422"/>
    </row>
    <row r="23" spans="1:29" x14ac:dyDescent="0.35">
      <c r="A23" s="406"/>
      <c r="B23" s="407"/>
      <c r="C23" s="408"/>
      <c r="D23" s="409"/>
      <c r="E23" s="410"/>
      <c r="F23" s="410"/>
      <c r="G23" s="409"/>
      <c r="H23" s="411"/>
      <c r="I23" s="412"/>
      <c r="J23" s="413"/>
      <c r="K23" s="414"/>
      <c r="L23" s="415"/>
      <c r="M23" s="414"/>
      <c r="N23" s="416"/>
      <c r="O23" s="417"/>
      <c r="P23" s="414"/>
      <c r="Q23" s="415"/>
      <c r="R23" s="414"/>
      <c r="S23" s="418"/>
      <c r="T23" s="412"/>
      <c r="U23" s="413"/>
      <c r="V23" s="419"/>
      <c r="W23" s="413"/>
      <c r="X23" s="420"/>
      <c r="Y23" s="421"/>
      <c r="Z23" s="412"/>
      <c r="AA23" s="417"/>
      <c r="AB23" s="413"/>
      <c r="AC23" s="422"/>
    </row>
    <row r="24" spans="1:29" x14ac:dyDescent="0.35">
      <c r="A24" s="406"/>
      <c r="B24" s="407"/>
      <c r="C24" s="408"/>
      <c r="D24" s="409"/>
      <c r="E24" s="410"/>
      <c r="F24" s="410"/>
      <c r="G24" s="409"/>
      <c r="H24" s="411"/>
      <c r="I24" s="412"/>
      <c r="J24" s="413"/>
      <c r="K24" s="414"/>
      <c r="L24" s="415"/>
      <c r="M24" s="414"/>
      <c r="N24" s="416"/>
      <c r="O24" s="417"/>
      <c r="P24" s="414"/>
      <c r="Q24" s="415"/>
      <c r="R24" s="414"/>
      <c r="S24" s="418"/>
      <c r="T24" s="412"/>
      <c r="U24" s="413"/>
      <c r="V24" s="419"/>
      <c r="W24" s="413"/>
      <c r="X24" s="420"/>
      <c r="Y24" s="421"/>
      <c r="Z24" s="412"/>
      <c r="AA24" s="417"/>
      <c r="AB24" s="413"/>
      <c r="AC24" s="422"/>
    </row>
    <row r="25" spans="1:29" x14ac:dyDescent="0.35">
      <c r="A25" s="406"/>
      <c r="B25" s="407"/>
      <c r="C25" s="408"/>
      <c r="D25" s="409"/>
      <c r="E25" s="410"/>
      <c r="F25" s="410"/>
      <c r="G25" s="409"/>
      <c r="H25" s="411"/>
      <c r="I25" s="412"/>
      <c r="J25" s="413"/>
      <c r="K25" s="414"/>
      <c r="L25" s="415"/>
      <c r="M25" s="414"/>
      <c r="N25" s="416"/>
      <c r="O25" s="417"/>
      <c r="P25" s="414"/>
      <c r="Q25" s="415"/>
      <c r="R25" s="414"/>
      <c r="S25" s="418"/>
      <c r="T25" s="412"/>
      <c r="U25" s="413"/>
      <c r="V25" s="419"/>
      <c r="W25" s="413"/>
      <c r="X25" s="420"/>
      <c r="Y25" s="421"/>
      <c r="Z25" s="412"/>
      <c r="AA25" s="417"/>
      <c r="AB25" s="413"/>
      <c r="AC25" s="422"/>
    </row>
    <row r="26" spans="1:29" x14ac:dyDescent="0.35">
      <c r="A26" s="406"/>
      <c r="B26" s="407"/>
      <c r="C26" s="408"/>
      <c r="D26" s="409"/>
      <c r="E26" s="410"/>
      <c r="F26" s="410"/>
      <c r="G26" s="409"/>
      <c r="H26" s="411"/>
      <c r="I26" s="412"/>
      <c r="J26" s="413"/>
      <c r="K26" s="414"/>
      <c r="L26" s="415"/>
      <c r="M26" s="414"/>
      <c r="N26" s="416"/>
      <c r="O26" s="417"/>
      <c r="P26" s="414"/>
      <c r="Q26" s="415"/>
      <c r="R26" s="414"/>
      <c r="S26" s="418"/>
      <c r="T26" s="412"/>
      <c r="U26" s="413"/>
      <c r="V26" s="419"/>
      <c r="W26" s="413"/>
      <c r="X26" s="420"/>
      <c r="Y26" s="421"/>
      <c r="Z26" s="412"/>
      <c r="AA26" s="417"/>
      <c r="AB26" s="413"/>
      <c r="AC26" s="422"/>
    </row>
    <row r="27" spans="1:29" x14ac:dyDescent="0.35">
      <c r="A27" s="406"/>
      <c r="B27" s="407"/>
      <c r="C27" s="408"/>
      <c r="D27" s="409"/>
      <c r="E27" s="410"/>
      <c r="F27" s="410"/>
      <c r="G27" s="409"/>
      <c r="H27" s="411"/>
      <c r="I27" s="412"/>
      <c r="J27" s="413"/>
      <c r="K27" s="414"/>
      <c r="L27" s="415"/>
      <c r="M27" s="414"/>
      <c r="N27" s="416"/>
      <c r="O27" s="417"/>
      <c r="P27" s="414"/>
      <c r="Q27" s="415"/>
      <c r="R27" s="414"/>
      <c r="S27" s="418"/>
      <c r="T27" s="412"/>
      <c r="U27" s="413"/>
      <c r="V27" s="419"/>
      <c r="W27" s="413"/>
      <c r="X27" s="420"/>
      <c r="Y27" s="421"/>
      <c r="Z27" s="412"/>
      <c r="AA27" s="417"/>
      <c r="AB27" s="413"/>
      <c r="AC27" s="422"/>
    </row>
    <row r="28" spans="1:29" x14ac:dyDescent="0.35">
      <c r="A28" s="406"/>
      <c r="B28" s="407"/>
      <c r="C28" s="408"/>
      <c r="D28" s="409"/>
      <c r="E28" s="410"/>
      <c r="F28" s="410"/>
      <c r="G28" s="409"/>
      <c r="H28" s="411"/>
      <c r="I28" s="412"/>
      <c r="J28" s="413"/>
      <c r="K28" s="414"/>
      <c r="L28" s="415"/>
      <c r="M28" s="414"/>
      <c r="N28" s="416"/>
      <c r="O28" s="417"/>
      <c r="P28" s="414"/>
      <c r="Q28" s="415"/>
      <c r="R28" s="414"/>
      <c r="S28" s="418"/>
      <c r="T28" s="412"/>
      <c r="U28" s="413"/>
      <c r="V28" s="419"/>
      <c r="W28" s="413"/>
      <c r="X28" s="420"/>
      <c r="Y28" s="421"/>
      <c r="Z28" s="412"/>
      <c r="AA28" s="417"/>
      <c r="AB28" s="413"/>
      <c r="AC28" s="422"/>
    </row>
    <row r="29" spans="1:29" x14ac:dyDescent="0.35">
      <c r="A29" s="406"/>
      <c r="B29" s="407"/>
      <c r="C29" s="408"/>
      <c r="D29" s="409"/>
      <c r="E29" s="410"/>
      <c r="F29" s="410"/>
      <c r="G29" s="409"/>
      <c r="H29" s="411"/>
      <c r="I29" s="412"/>
      <c r="J29" s="413"/>
      <c r="K29" s="414"/>
      <c r="L29" s="415"/>
      <c r="M29" s="414"/>
      <c r="N29" s="416"/>
      <c r="O29" s="417"/>
      <c r="P29" s="414"/>
      <c r="Q29" s="415"/>
      <c r="R29" s="414"/>
      <c r="S29" s="418"/>
      <c r="T29" s="412"/>
      <c r="U29" s="413"/>
      <c r="V29" s="419"/>
      <c r="W29" s="413"/>
      <c r="X29" s="420"/>
      <c r="Y29" s="421"/>
      <c r="Z29" s="412"/>
      <c r="AA29" s="417"/>
      <c r="AB29" s="413"/>
      <c r="AC29" s="422"/>
    </row>
    <row r="30" spans="1:29" x14ac:dyDescent="0.35">
      <c r="A30" s="406"/>
      <c r="B30" s="407"/>
      <c r="C30" s="408"/>
      <c r="D30" s="409"/>
      <c r="E30" s="410"/>
      <c r="F30" s="410"/>
      <c r="G30" s="409"/>
      <c r="H30" s="411"/>
      <c r="I30" s="412"/>
      <c r="J30" s="413"/>
      <c r="K30" s="414"/>
      <c r="L30" s="415"/>
      <c r="M30" s="414"/>
      <c r="N30" s="416"/>
      <c r="O30" s="417"/>
      <c r="P30" s="414"/>
      <c r="Q30" s="415"/>
      <c r="R30" s="414"/>
      <c r="S30" s="418"/>
      <c r="T30" s="412"/>
      <c r="U30" s="413"/>
      <c r="V30" s="419"/>
      <c r="W30" s="413"/>
      <c r="X30" s="420"/>
      <c r="Y30" s="421"/>
      <c r="Z30" s="412"/>
      <c r="AA30" s="417"/>
      <c r="AB30" s="413"/>
      <c r="AC30" s="422"/>
    </row>
    <row r="31" spans="1:29" x14ac:dyDescent="0.35">
      <c r="A31" s="406"/>
      <c r="B31" s="407"/>
      <c r="C31" s="408"/>
      <c r="D31" s="409"/>
      <c r="E31" s="410"/>
      <c r="F31" s="410"/>
      <c r="G31" s="409"/>
      <c r="H31" s="411"/>
      <c r="I31" s="412"/>
      <c r="J31" s="413"/>
      <c r="K31" s="414"/>
      <c r="L31" s="415"/>
      <c r="M31" s="414"/>
      <c r="N31" s="416"/>
      <c r="O31" s="417"/>
      <c r="P31" s="414"/>
      <c r="Q31" s="415"/>
      <c r="R31" s="414"/>
      <c r="S31" s="418"/>
      <c r="T31" s="412"/>
      <c r="U31" s="413"/>
      <c r="V31" s="419"/>
      <c r="W31" s="413"/>
      <c r="X31" s="420"/>
      <c r="Y31" s="421"/>
      <c r="Z31" s="412"/>
      <c r="AA31" s="417"/>
      <c r="AB31" s="413"/>
      <c r="AC31" s="422"/>
    </row>
    <row r="32" spans="1:29" x14ac:dyDescent="0.35">
      <c r="A32" s="406"/>
      <c r="B32" s="407"/>
      <c r="C32" s="408"/>
      <c r="D32" s="409"/>
      <c r="E32" s="410"/>
      <c r="F32" s="410"/>
      <c r="G32" s="409"/>
      <c r="H32" s="411"/>
      <c r="I32" s="412"/>
      <c r="J32" s="413"/>
      <c r="K32" s="414"/>
      <c r="L32" s="415"/>
      <c r="M32" s="414"/>
      <c r="N32" s="416"/>
      <c r="O32" s="417"/>
      <c r="P32" s="414"/>
      <c r="Q32" s="415"/>
      <c r="R32" s="414"/>
      <c r="S32" s="418"/>
      <c r="T32" s="412"/>
      <c r="U32" s="413"/>
      <c r="V32" s="419"/>
      <c r="W32" s="413"/>
      <c r="X32" s="420"/>
      <c r="Y32" s="421"/>
      <c r="Z32" s="412"/>
      <c r="AA32" s="417"/>
      <c r="AB32" s="413"/>
      <c r="AC32" s="422"/>
    </row>
    <row r="33" spans="1:29" x14ac:dyDescent="0.35">
      <c r="A33" s="406"/>
      <c r="B33" s="407"/>
      <c r="C33" s="408"/>
      <c r="D33" s="409"/>
      <c r="E33" s="410"/>
      <c r="F33" s="410"/>
      <c r="G33" s="409"/>
      <c r="H33" s="411"/>
      <c r="I33" s="412"/>
      <c r="J33" s="413"/>
      <c r="K33" s="414"/>
      <c r="L33" s="415"/>
      <c r="M33" s="414"/>
      <c r="N33" s="416"/>
      <c r="O33" s="417"/>
      <c r="P33" s="414"/>
      <c r="Q33" s="415"/>
      <c r="R33" s="414"/>
      <c r="S33" s="418"/>
      <c r="T33" s="412"/>
      <c r="U33" s="413"/>
      <c r="V33" s="419"/>
      <c r="W33" s="413"/>
      <c r="X33" s="420"/>
      <c r="Y33" s="421"/>
      <c r="Z33" s="412"/>
      <c r="AA33" s="417"/>
      <c r="AB33" s="413"/>
      <c r="AC33" s="422"/>
    </row>
    <row r="34" spans="1:29" x14ac:dyDescent="0.35">
      <c r="A34" s="406"/>
      <c r="B34" s="407"/>
      <c r="C34" s="408"/>
      <c r="D34" s="409"/>
      <c r="E34" s="410"/>
      <c r="F34" s="410"/>
      <c r="G34" s="409"/>
      <c r="H34" s="411"/>
      <c r="I34" s="412"/>
      <c r="J34" s="413"/>
      <c r="K34" s="414"/>
      <c r="L34" s="415"/>
      <c r="M34" s="414"/>
      <c r="N34" s="416"/>
      <c r="O34" s="417"/>
      <c r="P34" s="414"/>
      <c r="Q34" s="415"/>
      <c r="R34" s="414"/>
      <c r="S34" s="418"/>
      <c r="T34" s="412"/>
      <c r="U34" s="413"/>
      <c r="V34" s="419"/>
      <c r="W34" s="413"/>
      <c r="X34" s="420"/>
      <c r="Y34" s="421"/>
      <c r="Z34" s="412"/>
      <c r="AA34" s="417"/>
      <c r="AB34" s="413"/>
      <c r="AC34" s="422"/>
    </row>
    <row r="35" spans="1:29" x14ac:dyDescent="0.35">
      <c r="A35" s="406"/>
      <c r="B35" s="407"/>
      <c r="C35" s="408"/>
      <c r="D35" s="409"/>
      <c r="E35" s="410"/>
      <c r="F35" s="410"/>
      <c r="G35" s="409"/>
      <c r="H35" s="411"/>
      <c r="I35" s="412"/>
      <c r="J35" s="413"/>
      <c r="K35" s="414"/>
      <c r="L35" s="415"/>
      <c r="M35" s="414"/>
      <c r="N35" s="416"/>
      <c r="O35" s="417"/>
      <c r="P35" s="414"/>
      <c r="Q35" s="415"/>
      <c r="R35" s="414"/>
      <c r="S35" s="418"/>
      <c r="T35" s="412"/>
      <c r="U35" s="413"/>
      <c r="V35" s="419"/>
      <c r="W35" s="413"/>
      <c r="X35" s="420"/>
      <c r="Y35" s="421"/>
      <c r="Z35" s="412"/>
      <c r="AA35" s="417"/>
      <c r="AB35" s="413"/>
      <c r="AC35" s="422"/>
    </row>
    <row r="36" spans="1:29" x14ac:dyDescent="0.35">
      <c r="A36" s="406"/>
      <c r="B36" s="407"/>
      <c r="C36" s="408"/>
      <c r="D36" s="409"/>
      <c r="E36" s="410"/>
      <c r="F36" s="410"/>
      <c r="G36" s="409"/>
      <c r="H36" s="411"/>
      <c r="I36" s="412"/>
      <c r="J36" s="413"/>
      <c r="K36" s="414"/>
      <c r="L36" s="415"/>
      <c r="M36" s="414"/>
      <c r="N36" s="416"/>
      <c r="O36" s="417"/>
      <c r="P36" s="414"/>
      <c r="Q36" s="415"/>
      <c r="R36" s="414"/>
      <c r="S36" s="418"/>
      <c r="T36" s="412"/>
      <c r="U36" s="413"/>
      <c r="V36" s="419"/>
      <c r="W36" s="413"/>
      <c r="X36" s="420"/>
      <c r="Y36" s="421"/>
      <c r="Z36" s="412"/>
      <c r="AA36" s="417"/>
      <c r="AB36" s="413"/>
      <c r="AC36" s="422"/>
    </row>
    <row r="37" spans="1:29" x14ac:dyDescent="0.35">
      <c r="A37" s="406"/>
      <c r="B37" s="407"/>
      <c r="C37" s="408"/>
      <c r="D37" s="409"/>
      <c r="E37" s="410"/>
      <c r="F37" s="410"/>
      <c r="G37" s="409"/>
      <c r="H37" s="411"/>
      <c r="I37" s="412"/>
      <c r="J37" s="413"/>
      <c r="K37" s="414"/>
      <c r="L37" s="415"/>
      <c r="M37" s="414"/>
      <c r="N37" s="416"/>
      <c r="O37" s="417"/>
      <c r="P37" s="414"/>
      <c r="Q37" s="415"/>
      <c r="R37" s="414"/>
      <c r="S37" s="418"/>
      <c r="T37" s="412"/>
      <c r="U37" s="413"/>
      <c r="V37" s="419"/>
      <c r="W37" s="413"/>
      <c r="X37" s="420"/>
      <c r="Y37" s="421"/>
      <c r="Z37" s="412"/>
      <c r="AA37" s="417"/>
      <c r="AB37" s="413"/>
      <c r="AC37" s="422"/>
    </row>
    <row r="38" spans="1:29" x14ac:dyDescent="0.35">
      <c r="A38" s="406"/>
      <c r="B38" s="407"/>
      <c r="C38" s="408"/>
      <c r="D38" s="409"/>
      <c r="E38" s="410"/>
      <c r="F38" s="410"/>
      <c r="G38" s="409"/>
      <c r="H38" s="411"/>
      <c r="I38" s="412"/>
      <c r="J38" s="413"/>
      <c r="K38" s="414"/>
      <c r="L38" s="415"/>
      <c r="M38" s="414"/>
      <c r="N38" s="416"/>
      <c r="O38" s="417"/>
      <c r="P38" s="414"/>
      <c r="Q38" s="415"/>
      <c r="R38" s="414"/>
      <c r="S38" s="418"/>
      <c r="T38" s="412"/>
      <c r="U38" s="413"/>
      <c r="V38" s="419"/>
      <c r="W38" s="413"/>
      <c r="X38" s="420"/>
      <c r="Y38" s="421"/>
      <c r="Z38" s="412"/>
      <c r="AA38" s="417"/>
      <c r="AB38" s="413"/>
      <c r="AC38" s="422"/>
    </row>
    <row r="39" spans="1:29" x14ac:dyDescent="0.35">
      <c r="A39" s="406"/>
      <c r="B39" s="407"/>
      <c r="C39" s="408"/>
      <c r="D39" s="409"/>
      <c r="E39" s="410"/>
      <c r="F39" s="410"/>
      <c r="G39" s="409"/>
      <c r="H39" s="411"/>
      <c r="I39" s="412"/>
      <c r="J39" s="413"/>
      <c r="K39" s="414"/>
      <c r="L39" s="415"/>
      <c r="M39" s="414"/>
      <c r="N39" s="416"/>
      <c r="O39" s="417"/>
      <c r="P39" s="414"/>
      <c r="Q39" s="415"/>
      <c r="R39" s="414"/>
      <c r="S39" s="418"/>
      <c r="T39" s="412"/>
      <c r="U39" s="413"/>
      <c r="V39" s="419"/>
      <c r="W39" s="413"/>
      <c r="X39" s="420"/>
      <c r="Y39" s="421"/>
      <c r="Z39" s="412"/>
      <c r="AA39" s="417"/>
      <c r="AB39" s="413"/>
      <c r="AC39" s="422"/>
    </row>
    <row r="40" spans="1:29" x14ac:dyDescent="0.35">
      <c r="A40" s="406"/>
      <c r="B40" s="407"/>
      <c r="C40" s="408"/>
      <c r="D40" s="409"/>
      <c r="E40" s="410"/>
      <c r="F40" s="410"/>
      <c r="G40" s="409"/>
      <c r="H40" s="411"/>
      <c r="I40" s="412"/>
      <c r="J40" s="413"/>
      <c r="K40" s="414"/>
      <c r="L40" s="415"/>
      <c r="M40" s="414"/>
      <c r="N40" s="416"/>
      <c r="O40" s="417"/>
      <c r="P40" s="414"/>
      <c r="Q40" s="415"/>
      <c r="R40" s="414"/>
      <c r="S40" s="418"/>
      <c r="T40" s="412"/>
      <c r="U40" s="413"/>
      <c r="V40" s="419"/>
      <c r="W40" s="413"/>
      <c r="X40" s="420"/>
      <c r="Y40" s="421"/>
      <c r="Z40" s="412"/>
      <c r="AA40" s="417"/>
      <c r="AB40" s="413"/>
      <c r="AC40" s="422"/>
    </row>
    <row r="41" spans="1:29" x14ac:dyDescent="0.35">
      <c r="A41" s="406"/>
      <c r="B41" s="407"/>
      <c r="C41" s="408"/>
      <c r="D41" s="409"/>
      <c r="E41" s="410"/>
      <c r="F41" s="410"/>
      <c r="G41" s="409"/>
      <c r="H41" s="411"/>
      <c r="I41" s="412"/>
      <c r="J41" s="413"/>
      <c r="K41" s="414"/>
      <c r="L41" s="415"/>
      <c r="M41" s="414"/>
      <c r="N41" s="416"/>
      <c r="O41" s="417"/>
      <c r="P41" s="414"/>
      <c r="Q41" s="415"/>
      <c r="R41" s="414"/>
      <c r="S41" s="418"/>
      <c r="T41" s="412"/>
      <c r="U41" s="413"/>
      <c r="V41" s="419"/>
      <c r="W41" s="413"/>
      <c r="X41" s="420"/>
      <c r="Y41" s="421"/>
      <c r="Z41" s="412"/>
      <c r="AA41" s="417"/>
      <c r="AB41" s="413"/>
      <c r="AC41" s="422"/>
    </row>
    <row r="42" spans="1:29" x14ac:dyDescent="0.35">
      <c r="A42" s="406"/>
      <c r="B42" s="407"/>
      <c r="C42" s="408"/>
      <c r="D42" s="409"/>
      <c r="E42" s="410"/>
      <c r="F42" s="410"/>
      <c r="G42" s="409"/>
      <c r="H42" s="411"/>
      <c r="I42" s="412"/>
      <c r="J42" s="413"/>
      <c r="K42" s="414"/>
      <c r="L42" s="415"/>
      <c r="M42" s="414"/>
      <c r="N42" s="416"/>
      <c r="O42" s="417"/>
      <c r="P42" s="414"/>
      <c r="Q42" s="415"/>
      <c r="R42" s="414"/>
      <c r="S42" s="418"/>
      <c r="T42" s="412"/>
      <c r="U42" s="413"/>
      <c r="V42" s="419"/>
      <c r="W42" s="413"/>
      <c r="X42" s="420"/>
      <c r="Y42" s="421"/>
      <c r="Z42" s="412"/>
      <c r="AA42" s="417"/>
      <c r="AB42" s="413"/>
      <c r="AC42" s="422"/>
    </row>
    <row r="43" spans="1:29" x14ac:dyDescent="0.35">
      <c r="A43" s="406"/>
      <c r="B43" s="407"/>
      <c r="C43" s="408"/>
      <c r="D43" s="409"/>
      <c r="E43" s="410"/>
      <c r="F43" s="410"/>
      <c r="G43" s="409"/>
      <c r="H43" s="411"/>
      <c r="I43" s="412"/>
      <c r="J43" s="413"/>
      <c r="K43" s="414"/>
      <c r="L43" s="415"/>
      <c r="M43" s="414"/>
      <c r="N43" s="416"/>
      <c r="O43" s="417"/>
      <c r="P43" s="414"/>
      <c r="Q43" s="415"/>
      <c r="R43" s="414"/>
      <c r="S43" s="418"/>
      <c r="T43" s="412"/>
      <c r="U43" s="413"/>
      <c r="V43" s="419"/>
      <c r="W43" s="413"/>
      <c r="X43" s="420"/>
      <c r="Y43" s="421"/>
      <c r="Z43" s="412"/>
      <c r="AA43" s="417"/>
      <c r="AB43" s="413"/>
      <c r="AC43" s="422"/>
    </row>
    <row r="44" spans="1:29" x14ac:dyDescent="0.35">
      <c r="A44" s="406"/>
      <c r="B44" s="407"/>
      <c r="C44" s="408"/>
      <c r="D44" s="409"/>
      <c r="E44" s="410"/>
      <c r="F44" s="410"/>
      <c r="G44" s="409"/>
      <c r="H44" s="411"/>
      <c r="I44" s="412"/>
      <c r="J44" s="413"/>
      <c r="K44" s="414"/>
      <c r="L44" s="415"/>
      <c r="M44" s="414"/>
      <c r="N44" s="416"/>
      <c r="O44" s="417"/>
      <c r="P44" s="414"/>
      <c r="Q44" s="415"/>
      <c r="R44" s="414"/>
      <c r="S44" s="418"/>
      <c r="T44" s="412"/>
      <c r="U44" s="413"/>
      <c r="V44" s="419"/>
      <c r="W44" s="413"/>
      <c r="X44" s="420"/>
      <c r="Y44" s="421"/>
      <c r="Z44" s="412"/>
      <c r="AA44" s="417"/>
      <c r="AB44" s="413"/>
      <c r="AC44" s="422"/>
    </row>
    <row r="45" spans="1:29" x14ac:dyDescent="0.35">
      <c r="A45" s="406"/>
      <c r="B45" s="407"/>
      <c r="C45" s="408"/>
      <c r="D45" s="409"/>
      <c r="E45" s="410"/>
      <c r="F45" s="410"/>
      <c r="G45" s="409"/>
      <c r="H45" s="411"/>
      <c r="I45" s="412"/>
      <c r="J45" s="413"/>
      <c r="K45" s="414"/>
      <c r="L45" s="415"/>
      <c r="M45" s="414"/>
      <c r="N45" s="416"/>
      <c r="O45" s="417"/>
      <c r="P45" s="414"/>
      <c r="Q45" s="415"/>
      <c r="R45" s="414"/>
      <c r="S45" s="418"/>
      <c r="T45" s="412"/>
      <c r="U45" s="413"/>
      <c r="V45" s="419"/>
      <c r="W45" s="413"/>
      <c r="X45" s="420"/>
      <c r="Y45" s="421"/>
      <c r="Z45" s="412"/>
      <c r="AA45" s="417"/>
      <c r="AB45" s="413"/>
      <c r="AC45" s="422"/>
    </row>
    <row r="46" spans="1:29" x14ac:dyDescent="0.35">
      <c r="A46" s="406"/>
      <c r="B46" s="407"/>
      <c r="C46" s="408"/>
      <c r="D46" s="409"/>
      <c r="E46" s="410"/>
      <c r="F46" s="410"/>
      <c r="G46" s="409"/>
      <c r="H46" s="411"/>
      <c r="I46" s="412"/>
      <c r="J46" s="413"/>
      <c r="K46" s="414"/>
      <c r="L46" s="415"/>
      <c r="M46" s="414"/>
      <c r="N46" s="416"/>
      <c r="O46" s="417"/>
      <c r="P46" s="414"/>
      <c r="Q46" s="415"/>
      <c r="R46" s="414"/>
      <c r="S46" s="418"/>
      <c r="T46" s="412"/>
      <c r="U46" s="413"/>
      <c r="V46" s="419"/>
      <c r="W46" s="413"/>
      <c r="X46" s="420"/>
      <c r="Y46" s="421"/>
      <c r="Z46" s="412"/>
      <c r="AA46" s="417"/>
      <c r="AB46" s="413"/>
      <c r="AC46" s="422"/>
    </row>
    <row r="47" spans="1:29" x14ac:dyDescent="0.35">
      <c r="A47" s="406"/>
      <c r="B47" s="407"/>
      <c r="C47" s="408"/>
      <c r="D47" s="409"/>
      <c r="E47" s="410"/>
      <c r="F47" s="410"/>
      <c r="G47" s="409"/>
      <c r="H47" s="411"/>
      <c r="I47" s="412"/>
      <c r="J47" s="413"/>
      <c r="K47" s="414"/>
      <c r="L47" s="415"/>
      <c r="M47" s="414"/>
      <c r="N47" s="416"/>
      <c r="O47" s="417"/>
      <c r="P47" s="414"/>
      <c r="Q47" s="415"/>
      <c r="R47" s="414"/>
      <c r="S47" s="418"/>
      <c r="T47" s="412"/>
      <c r="U47" s="413"/>
      <c r="V47" s="419"/>
      <c r="W47" s="413"/>
      <c r="X47" s="420"/>
      <c r="Y47" s="421"/>
      <c r="Z47" s="412"/>
      <c r="AA47" s="417"/>
      <c r="AB47" s="413"/>
      <c r="AC47" s="422"/>
    </row>
    <row r="48" spans="1:29" x14ac:dyDescent="0.35">
      <c r="A48" s="406"/>
      <c r="B48" s="407"/>
      <c r="C48" s="408"/>
      <c r="D48" s="409"/>
      <c r="E48" s="410"/>
      <c r="F48" s="410"/>
      <c r="G48" s="409"/>
      <c r="H48" s="411"/>
      <c r="I48" s="412"/>
      <c r="J48" s="413"/>
      <c r="K48" s="414"/>
      <c r="L48" s="415"/>
      <c r="M48" s="414"/>
      <c r="N48" s="416"/>
      <c r="O48" s="417"/>
      <c r="P48" s="414"/>
      <c r="Q48" s="415"/>
      <c r="R48" s="414"/>
      <c r="S48" s="418"/>
      <c r="T48" s="412"/>
      <c r="U48" s="413"/>
      <c r="V48" s="419"/>
      <c r="W48" s="413"/>
      <c r="X48" s="420"/>
      <c r="Y48" s="421"/>
      <c r="Z48" s="412"/>
      <c r="AA48" s="417"/>
      <c r="AB48" s="413"/>
      <c r="AC48" s="422"/>
    </row>
    <row r="49" spans="1:29" x14ac:dyDescent="0.35">
      <c r="A49" s="406"/>
      <c r="B49" s="407"/>
      <c r="C49" s="408"/>
      <c r="D49" s="409"/>
      <c r="E49" s="410"/>
      <c r="F49" s="410"/>
      <c r="G49" s="409"/>
      <c r="H49" s="411"/>
      <c r="I49" s="412"/>
      <c r="J49" s="413"/>
      <c r="K49" s="414"/>
      <c r="L49" s="415"/>
      <c r="M49" s="414"/>
      <c r="N49" s="416"/>
      <c r="O49" s="417"/>
      <c r="P49" s="414"/>
      <c r="Q49" s="415"/>
      <c r="R49" s="414"/>
      <c r="S49" s="418"/>
      <c r="T49" s="412"/>
      <c r="U49" s="413"/>
      <c r="V49" s="419"/>
      <c r="W49" s="413"/>
      <c r="X49" s="420"/>
      <c r="Y49" s="421"/>
      <c r="Z49" s="412"/>
      <c r="AA49" s="417"/>
      <c r="AB49" s="413"/>
      <c r="AC49" s="422"/>
    </row>
    <row r="50" spans="1:29" x14ac:dyDescent="0.35">
      <c r="A50" s="406"/>
      <c r="B50" s="407"/>
      <c r="C50" s="408"/>
      <c r="D50" s="409"/>
      <c r="E50" s="410"/>
      <c r="F50" s="410"/>
      <c r="G50" s="409"/>
      <c r="H50" s="411"/>
      <c r="I50" s="412"/>
      <c r="J50" s="413"/>
      <c r="K50" s="414"/>
      <c r="L50" s="415"/>
      <c r="M50" s="414"/>
      <c r="N50" s="416"/>
      <c r="O50" s="417"/>
      <c r="P50" s="414"/>
      <c r="Q50" s="415"/>
      <c r="R50" s="414"/>
      <c r="S50" s="418"/>
      <c r="T50" s="412"/>
      <c r="U50" s="413"/>
      <c r="V50" s="419"/>
      <c r="W50" s="413"/>
      <c r="X50" s="420"/>
      <c r="Y50" s="421"/>
      <c r="Z50" s="412"/>
      <c r="AA50" s="417"/>
      <c r="AB50" s="413"/>
      <c r="AC50" s="422"/>
    </row>
    <row r="51" spans="1:29" x14ac:dyDescent="0.35">
      <c r="A51" s="406"/>
      <c r="B51" s="407"/>
      <c r="C51" s="408"/>
      <c r="D51" s="409"/>
      <c r="E51" s="410"/>
      <c r="F51" s="410"/>
      <c r="G51" s="409"/>
      <c r="H51" s="411"/>
      <c r="I51" s="412"/>
      <c r="J51" s="413"/>
      <c r="K51" s="414"/>
      <c r="L51" s="415"/>
      <c r="M51" s="414"/>
      <c r="N51" s="416"/>
      <c r="O51" s="417"/>
      <c r="P51" s="414"/>
      <c r="Q51" s="415"/>
      <c r="R51" s="414"/>
      <c r="S51" s="418"/>
      <c r="T51" s="412"/>
      <c r="U51" s="413"/>
      <c r="V51" s="419"/>
      <c r="W51" s="413"/>
      <c r="X51" s="420"/>
      <c r="Y51" s="421"/>
      <c r="Z51" s="412"/>
      <c r="AA51" s="417"/>
      <c r="AB51" s="413"/>
      <c r="AC51" s="422"/>
    </row>
    <row r="52" spans="1:29" x14ac:dyDescent="0.35">
      <c r="A52" s="406"/>
      <c r="B52" s="407"/>
      <c r="C52" s="408"/>
      <c r="D52" s="409"/>
      <c r="E52" s="410"/>
      <c r="F52" s="410"/>
      <c r="G52" s="409"/>
      <c r="H52" s="411"/>
      <c r="I52" s="412"/>
      <c r="J52" s="413"/>
      <c r="K52" s="414"/>
      <c r="L52" s="415"/>
      <c r="M52" s="414"/>
      <c r="N52" s="416"/>
      <c r="O52" s="417"/>
      <c r="P52" s="414"/>
      <c r="Q52" s="415"/>
      <c r="R52" s="414"/>
      <c r="S52" s="418"/>
      <c r="T52" s="412"/>
      <c r="U52" s="413"/>
      <c r="V52" s="419"/>
      <c r="W52" s="413"/>
      <c r="X52" s="420"/>
      <c r="Y52" s="421"/>
      <c r="Z52" s="412"/>
      <c r="AA52" s="417"/>
      <c r="AB52" s="413"/>
      <c r="AC52" s="422"/>
    </row>
    <row r="53" spans="1:29" x14ac:dyDescent="0.35">
      <c r="A53" s="406"/>
      <c r="B53" s="407"/>
      <c r="C53" s="408"/>
      <c r="D53" s="409"/>
      <c r="E53" s="410"/>
      <c r="F53" s="410"/>
      <c r="G53" s="409"/>
      <c r="H53" s="411"/>
      <c r="I53" s="412"/>
      <c r="J53" s="413"/>
      <c r="K53" s="414"/>
      <c r="L53" s="415"/>
      <c r="M53" s="414"/>
      <c r="N53" s="416"/>
      <c r="O53" s="417"/>
      <c r="P53" s="414"/>
      <c r="Q53" s="415"/>
      <c r="R53" s="414"/>
      <c r="S53" s="418"/>
      <c r="T53" s="412"/>
      <c r="U53" s="413"/>
      <c r="V53" s="419"/>
      <c r="W53" s="413"/>
      <c r="X53" s="420"/>
      <c r="Y53" s="421"/>
      <c r="Z53" s="412"/>
      <c r="AA53" s="417"/>
      <c r="AB53" s="413"/>
      <c r="AC53" s="422"/>
    </row>
    <row r="54" spans="1:29" x14ac:dyDescent="0.35">
      <c r="A54" s="406"/>
      <c r="B54" s="407"/>
      <c r="C54" s="408"/>
      <c r="D54" s="409"/>
      <c r="E54" s="410"/>
      <c r="F54" s="410"/>
      <c r="G54" s="409"/>
      <c r="H54" s="411"/>
      <c r="I54" s="412"/>
      <c r="J54" s="413"/>
      <c r="K54" s="414"/>
      <c r="L54" s="415"/>
      <c r="M54" s="414"/>
      <c r="N54" s="416"/>
      <c r="O54" s="417"/>
      <c r="P54" s="414"/>
      <c r="Q54" s="415"/>
      <c r="R54" s="414"/>
      <c r="S54" s="418"/>
      <c r="T54" s="412"/>
      <c r="U54" s="413"/>
      <c r="V54" s="419"/>
      <c r="W54" s="413"/>
      <c r="X54" s="420"/>
      <c r="Y54" s="421"/>
      <c r="Z54" s="412"/>
      <c r="AA54" s="417"/>
      <c r="AB54" s="413"/>
      <c r="AC54" s="422"/>
    </row>
    <row r="55" spans="1:29" x14ac:dyDescent="0.35">
      <c r="A55" s="406"/>
      <c r="B55" s="407"/>
      <c r="C55" s="408"/>
      <c r="D55" s="409"/>
      <c r="E55" s="410"/>
      <c r="F55" s="410"/>
      <c r="G55" s="409"/>
      <c r="H55" s="411"/>
      <c r="I55" s="412"/>
      <c r="J55" s="413"/>
      <c r="K55" s="414"/>
      <c r="L55" s="415"/>
      <c r="M55" s="414"/>
      <c r="N55" s="416"/>
      <c r="O55" s="417"/>
      <c r="P55" s="414"/>
      <c r="Q55" s="415"/>
      <c r="R55" s="414"/>
      <c r="S55" s="418"/>
      <c r="T55" s="412"/>
      <c r="U55" s="413"/>
      <c r="V55" s="419"/>
      <c r="W55" s="413"/>
      <c r="X55" s="420"/>
      <c r="Y55" s="421"/>
      <c r="Z55" s="412"/>
      <c r="AA55" s="417"/>
      <c r="AB55" s="413"/>
      <c r="AC55" s="422"/>
    </row>
    <row r="56" spans="1:29" x14ac:dyDescent="0.35">
      <c r="A56" s="406"/>
      <c r="B56" s="407"/>
      <c r="C56" s="408"/>
      <c r="D56" s="409"/>
      <c r="E56" s="410"/>
      <c r="F56" s="410"/>
      <c r="G56" s="409"/>
      <c r="H56" s="411"/>
      <c r="I56" s="412"/>
      <c r="J56" s="413"/>
      <c r="K56" s="414"/>
      <c r="L56" s="415"/>
      <c r="M56" s="414"/>
      <c r="N56" s="416"/>
      <c r="O56" s="417"/>
      <c r="P56" s="414"/>
      <c r="Q56" s="415"/>
      <c r="R56" s="414"/>
      <c r="S56" s="418"/>
      <c r="T56" s="412"/>
      <c r="U56" s="413"/>
      <c r="V56" s="419"/>
      <c r="W56" s="413"/>
      <c r="X56" s="420"/>
      <c r="Y56" s="421"/>
      <c r="Z56" s="412"/>
      <c r="AA56" s="417"/>
      <c r="AB56" s="413"/>
      <c r="AC56" s="422"/>
    </row>
    <row r="57" spans="1:29" x14ac:dyDescent="0.35">
      <c r="A57" s="406"/>
      <c r="B57" s="407"/>
      <c r="C57" s="408"/>
      <c r="D57" s="409"/>
      <c r="E57" s="410"/>
      <c r="F57" s="410"/>
      <c r="G57" s="409"/>
      <c r="H57" s="411"/>
      <c r="I57" s="412"/>
      <c r="J57" s="413"/>
      <c r="K57" s="414"/>
      <c r="L57" s="415"/>
      <c r="M57" s="414"/>
      <c r="N57" s="416"/>
      <c r="O57" s="417"/>
      <c r="P57" s="414"/>
      <c r="Q57" s="415"/>
      <c r="R57" s="414"/>
      <c r="S57" s="418"/>
      <c r="T57" s="412"/>
      <c r="U57" s="413"/>
      <c r="V57" s="419"/>
      <c r="W57" s="413"/>
      <c r="X57" s="420"/>
      <c r="Y57" s="421"/>
      <c r="Z57" s="412"/>
      <c r="AA57" s="417"/>
      <c r="AB57" s="413"/>
      <c r="AC57" s="422"/>
    </row>
    <row r="58" spans="1:29" x14ac:dyDescent="0.35">
      <c r="A58" s="406"/>
      <c r="B58" s="407"/>
      <c r="C58" s="408"/>
      <c r="D58" s="409"/>
      <c r="E58" s="410"/>
      <c r="F58" s="410"/>
      <c r="G58" s="409"/>
      <c r="H58" s="411"/>
      <c r="I58" s="412"/>
      <c r="J58" s="413"/>
      <c r="K58" s="414"/>
      <c r="L58" s="415"/>
      <c r="M58" s="414"/>
      <c r="N58" s="416"/>
      <c r="O58" s="417"/>
      <c r="P58" s="414"/>
      <c r="Q58" s="415"/>
      <c r="R58" s="414"/>
      <c r="S58" s="418"/>
      <c r="T58" s="412"/>
      <c r="U58" s="413"/>
      <c r="V58" s="419"/>
      <c r="W58" s="413"/>
      <c r="X58" s="420"/>
      <c r="Y58" s="421"/>
      <c r="Z58" s="412"/>
      <c r="AA58" s="417"/>
      <c r="AB58" s="413"/>
      <c r="AC58" s="422"/>
    </row>
    <row r="59" spans="1:29" x14ac:dyDescent="0.35">
      <c r="A59" s="406"/>
      <c r="B59" s="407"/>
      <c r="C59" s="408"/>
      <c r="D59" s="409"/>
      <c r="E59" s="410"/>
      <c r="F59" s="410"/>
      <c r="G59" s="409"/>
      <c r="H59" s="411"/>
      <c r="I59" s="412"/>
      <c r="J59" s="413"/>
      <c r="K59" s="414"/>
      <c r="L59" s="415"/>
      <c r="M59" s="414"/>
      <c r="N59" s="416"/>
      <c r="O59" s="417"/>
      <c r="P59" s="414"/>
      <c r="Q59" s="415"/>
      <c r="R59" s="414"/>
      <c r="S59" s="418"/>
      <c r="T59" s="412"/>
      <c r="U59" s="413"/>
      <c r="V59" s="419"/>
      <c r="W59" s="413"/>
      <c r="X59" s="420"/>
      <c r="Y59" s="421"/>
      <c r="Z59" s="412"/>
      <c r="AA59" s="417"/>
      <c r="AB59" s="413"/>
      <c r="AC59" s="422"/>
    </row>
    <row r="60" spans="1:29" x14ac:dyDescent="0.35">
      <c r="A60" s="406"/>
      <c r="B60" s="407"/>
      <c r="C60" s="408"/>
      <c r="D60" s="409"/>
      <c r="E60" s="410"/>
      <c r="F60" s="410"/>
      <c r="G60" s="409"/>
      <c r="H60" s="411"/>
      <c r="I60" s="412"/>
      <c r="J60" s="413"/>
      <c r="K60" s="414"/>
      <c r="L60" s="415"/>
      <c r="M60" s="414"/>
      <c r="N60" s="416"/>
      <c r="O60" s="417"/>
      <c r="P60" s="414"/>
      <c r="Q60" s="415"/>
      <c r="R60" s="414"/>
      <c r="S60" s="418"/>
      <c r="T60" s="412"/>
      <c r="U60" s="413"/>
      <c r="V60" s="419"/>
      <c r="W60" s="413"/>
      <c r="X60" s="420"/>
      <c r="Y60" s="421"/>
      <c r="Z60" s="412"/>
      <c r="AA60" s="417"/>
      <c r="AB60" s="413"/>
      <c r="AC60" s="422"/>
    </row>
    <row r="61" spans="1:29" x14ac:dyDescent="0.35">
      <c r="A61" s="406"/>
      <c r="B61" s="407"/>
      <c r="C61" s="408"/>
      <c r="D61" s="409"/>
      <c r="E61" s="410"/>
      <c r="F61" s="410"/>
      <c r="G61" s="409"/>
      <c r="H61" s="411"/>
      <c r="I61" s="412"/>
      <c r="J61" s="413"/>
      <c r="K61" s="414"/>
      <c r="L61" s="415"/>
      <c r="M61" s="414"/>
      <c r="N61" s="416"/>
      <c r="O61" s="417"/>
      <c r="P61" s="414"/>
      <c r="Q61" s="415"/>
      <c r="R61" s="414"/>
      <c r="S61" s="418"/>
      <c r="T61" s="412"/>
      <c r="U61" s="413"/>
      <c r="V61" s="419"/>
      <c r="W61" s="413"/>
      <c r="X61" s="420"/>
      <c r="Y61" s="421"/>
      <c r="Z61" s="412"/>
      <c r="AA61" s="417"/>
      <c r="AB61" s="413"/>
      <c r="AC61" s="422"/>
    </row>
    <row r="62" spans="1:29" x14ac:dyDescent="0.35">
      <c r="A62" s="406"/>
      <c r="B62" s="407"/>
      <c r="C62" s="408"/>
      <c r="D62" s="409"/>
      <c r="E62" s="410"/>
      <c r="F62" s="410"/>
      <c r="G62" s="409"/>
      <c r="H62" s="411"/>
      <c r="I62" s="412"/>
      <c r="J62" s="413"/>
      <c r="K62" s="414"/>
      <c r="L62" s="415"/>
      <c r="M62" s="414"/>
      <c r="N62" s="416"/>
      <c r="O62" s="417"/>
      <c r="P62" s="414"/>
      <c r="Q62" s="415"/>
      <c r="R62" s="414"/>
      <c r="S62" s="418"/>
      <c r="T62" s="412"/>
      <c r="U62" s="413"/>
      <c r="V62" s="419"/>
      <c r="W62" s="413"/>
      <c r="X62" s="420"/>
      <c r="Y62" s="421"/>
      <c r="Z62" s="412"/>
      <c r="AA62" s="417"/>
      <c r="AB62" s="413"/>
      <c r="AC62" s="422"/>
    </row>
    <row r="63" spans="1:29" x14ac:dyDescent="0.35">
      <c r="A63" s="406"/>
      <c r="B63" s="407"/>
      <c r="C63" s="408"/>
      <c r="D63" s="409"/>
      <c r="E63" s="410"/>
      <c r="F63" s="410"/>
      <c r="G63" s="409"/>
      <c r="H63" s="411"/>
      <c r="I63" s="412"/>
      <c r="J63" s="413"/>
      <c r="K63" s="414"/>
      <c r="L63" s="415"/>
      <c r="M63" s="414"/>
      <c r="N63" s="416"/>
      <c r="O63" s="417"/>
      <c r="P63" s="414"/>
      <c r="Q63" s="415"/>
      <c r="R63" s="414"/>
      <c r="S63" s="418"/>
      <c r="T63" s="412"/>
      <c r="U63" s="413"/>
      <c r="V63" s="419"/>
      <c r="W63" s="413"/>
      <c r="X63" s="420"/>
      <c r="Y63" s="421"/>
      <c r="Z63" s="412"/>
      <c r="AA63" s="417"/>
      <c r="AB63" s="413"/>
      <c r="AC63" s="422"/>
    </row>
    <row r="64" spans="1:29" x14ac:dyDescent="0.35">
      <c r="A64" s="406"/>
      <c r="B64" s="407"/>
      <c r="C64" s="408"/>
      <c r="D64" s="409"/>
      <c r="E64" s="410"/>
      <c r="F64" s="410"/>
      <c r="G64" s="409"/>
      <c r="H64" s="411"/>
      <c r="I64" s="412"/>
      <c r="J64" s="413"/>
      <c r="K64" s="414"/>
      <c r="L64" s="415"/>
      <c r="M64" s="414"/>
      <c r="N64" s="416"/>
      <c r="O64" s="417"/>
      <c r="P64" s="414"/>
      <c r="Q64" s="415"/>
      <c r="R64" s="414"/>
      <c r="S64" s="418"/>
      <c r="T64" s="412"/>
      <c r="U64" s="413"/>
      <c r="V64" s="419"/>
      <c r="W64" s="413"/>
      <c r="X64" s="420"/>
      <c r="Y64" s="421"/>
      <c r="Z64" s="412"/>
      <c r="AA64" s="417"/>
      <c r="AB64" s="413"/>
      <c r="AC64" s="422"/>
    </row>
    <row r="65" spans="1:29" x14ac:dyDescent="0.35">
      <c r="A65" s="406"/>
      <c r="B65" s="407"/>
      <c r="C65" s="408"/>
      <c r="D65" s="409"/>
      <c r="E65" s="410"/>
      <c r="F65" s="410"/>
      <c r="G65" s="409"/>
      <c r="H65" s="411"/>
      <c r="I65" s="412"/>
      <c r="J65" s="413"/>
      <c r="K65" s="414"/>
      <c r="L65" s="415"/>
      <c r="M65" s="414"/>
      <c r="N65" s="416"/>
      <c r="O65" s="417"/>
      <c r="P65" s="414"/>
      <c r="Q65" s="415"/>
      <c r="R65" s="414"/>
      <c r="S65" s="418"/>
      <c r="T65" s="412"/>
      <c r="U65" s="413"/>
      <c r="V65" s="419"/>
      <c r="W65" s="413"/>
      <c r="X65" s="420"/>
      <c r="Y65" s="421"/>
      <c r="Z65" s="412"/>
      <c r="AA65" s="417"/>
      <c r="AB65" s="413"/>
      <c r="AC65" s="422"/>
    </row>
    <row r="66" spans="1:29" x14ac:dyDescent="0.35">
      <c r="A66" s="406"/>
      <c r="B66" s="407"/>
      <c r="C66" s="408"/>
      <c r="D66" s="409"/>
      <c r="E66" s="410"/>
      <c r="F66" s="410"/>
      <c r="G66" s="409"/>
      <c r="H66" s="411"/>
      <c r="I66" s="412"/>
      <c r="J66" s="413"/>
      <c r="K66" s="414"/>
      <c r="L66" s="415"/>
      <c r="M66" s="414"/>
      <c r="N66" s="416"/>
      <c r="O66" s="417"/>
      <c r="P66" s="414"/>
      <c r="Q66" s="415"/>
      <c r="R66" s="414"/>
      <c r="S66" s="418"/>
      <c r="T66" s="412"/>
      <c r="U66" s="413"/>
      <c r="V66" s="419"/>
      <c r="W66" s="413"/>
      <c r="X66" s="420"/>
      <c r="Y66" s="421"/>
      <c r="Z66" s="412"/>
      <c r="AA66" s="417"/>
      <c r="AB66" s="413"/>
      <c r="AC66" s="422"/>
    </row>
    <row r="67" spans="1:29" x14ac:dyDescent="0.35">
      <c r="A67" s="406"/>
      <c r="B67" s="407"/>
      <c r="C67" s="408"/>
      <c r="D67" s="409"/>
      <c r="E67" s="410"/>
      <c r="F67" s="410"/>
      <c r="G67" s="409"/>
      <c r="H67" s="411"/>
      <c r="I67" s="412"/>
      <c r="J67" s="413"/>
      <c r="K67" s="414"/>
      <c r="L67" s="415"/>
      <c r="M67" s="414"/>
      <c r="N67" s="416"/>
      <c r="O67" s="417"/>
      <c r="P67" s="414"/>
      <c r="Q67" s="415"/>
      <c r="R67" s="414"/>
      <c r="S67" s="418"/>
      <c r="T67" s="412"/>
      <c r="U67" s="413"/>
      <c r="V67" s="419"/>
      <c r="W67" s="413"/>
      <c r="X67" s="420"/>
      <c r="Y67" s="421"/>
      <c r="Z67" s="412"/>
      <c r="AA67" s="417"/>
      <c r="AB67" s="413"/>
      <c r="AC67" s="422"/>
    </row>
    <row r="68" spans="1:29" x14ac:dyDescent="0.35">
      <c r="A68" s="406"/>
      <c r="B68" s="407"/>
      <c r="C68" s="408"/>
      <c r="D68" s="409"/>
      <c r="E68" s="410"/>
      <c r="F68" s="410"/>
      <c r="G68" s="409"/>
      <c r="H68" s="411"/>
      <c r="I68" s="412"/>
      <c r="J68" s="413"/>
      <c r="K68" s="414"/>
      <c r="L68" s="415"/>
      <c r="M68" s="414"/>
      <c r="N68" s="416"/>
      <c r="O68" s="417"/>
      <c r="P68" s="414"/>
      <c r="Q68" s="415"/>
      <c r="R68" s="414"/>
      <c r="S68" s="418"/>
      <c r="T68" s="412"/>
      <c r="U68" s="413"/>
      <c r="V68" s="419"/>
      <c r="W68" s="413"/>
      <c r="X68" s="420"/>
      <c r="Y68" s="421"/>
      <c r="Z68" s="412"/>
      <c r="AA68" s="417"/>
      <c r="AB68" s="413"/>
      <c r="AC68" s="422"/>
    </row>
    <row r="69" spans="1:29" x14ac:dyDescent="0.35">
      <c r="A69" s="406"/>
      <c r="B69" s="407"/>
      <c r="C69" s="408"/>
      <c r="D69" s="409"/>
      <c r="E69" s="410"/>
      <c r="F69" s="410"/>
      <c r="G69" s="409"/>
      <c r="H69" s="411"/>
      <c r="I69" s="412"/>
      <c r="J69" s="413"/>
      <c r="K69" s="414"/>
      <c r="L69" s="415"/>
      <c r="M69" s="414"/>
      <c r="N69" s="416"/>
      <c r="O69" s="417"/>
      <c r="P69" s="414"/>
      <c r="Q69" s="415"/>
      <c r="R69" s="414"/>
      <c r="S69" s="418"/>
      <c r="T69" s="412"/>
      <c r="U69" s="413"/>
      <c r="V69" s="419"/>
      <c r="W69" s="413"/>
      <c r="X69" s="420"/>
      <c r="Y69" s="421"/>
      <c r="Z69" s="412"/>
      <c r="AA69" s="417"/>
      <c r="AB69" s="413"/>
      <c r="AC69" s="422"/>
    </row>
    <row r="70" spans="1:29" x14ac:dyDescent="0.35">
      <c r="A70" s="406"/>
      <c r="B70" s="407"/>
      <c r="C70" s="408"/>
      <c r="D70" s="409"/>
      <c r="E70" s="410"/>
      <c r="F70" s="410"/>
      <c r="G70" s="409"/>
      <c r="H70" s="411"/>
      <c r="I70" s="412"/>
      <c r="J70" s="413"/>
      <c r="K70" s="414"/>
      <c r="L70" s="415"/>
      <c r="M70" s="414"/>
      <c r="N70" s="416"/>
      <c r="O70" s="417"/>
      <c r="P70" s="414"/>
      <c r="Q70" s="415"/>
      <c r="R70" s="414"/>
      <c r="S70" s="418"/>
      <c r="T70" s="412"/>
      <c r="U70" s="413"/>
      <c r="V70" s="419"/>
      <c r="W70" s="413"/>
      <c r="X70" s="420"/>
      <c r="Y70" s="421"/>
      <c r="Z70" s="412"/>
      <c r="AA70" s="417"/>
      <c r="AB70" s="413"/>
      <c r="AC70" s="422"/>
    </row>
    <row r="71" spans="1:29" x14ac:dyDescent="0.35">
      <c r="A71" s="406"/>
      <c r="B71" s="407"/>
      <c r="C71" s="408"/>
      <c r="D71" s="409"/>
      <c r="E71" s="410"/>
      <c r="F71" s="410"/>
      <c r="G71" s="409"/>
      <c r="H71" s="411"/>
      <c r="I71" s="412"/>
      <c r="J71" s="413"/>
      <c r="K71" s="414"/>
      <c r="L71" s="415"/>
      <c r="M71" s="414"/>
      <c r="N71" s="416"/>
      <c r="O71" s="417"/>
      <c r="P71" s="414"/>
      <c r="Q71" s="415"/>
      <c r="R71" s="414"/>
      <c r="S71" s="418"/>
      <c r="T71" s="412"/>
      <c r="U71" s="413"/>
      <c r="V71" s="419"/>
      <c r="W71" s="413"/>
      <c r="X71" s="420"/>
      <c r="Y71" s="421"/>
      <c r="Z71" s="412"/>
      <c r="AA71" s="417"/>
      <c r="AB71" s="413"/>
      <c r="AC71" s="422"/>
    </row>
    <row r="72" spans="1:29" x14ac:dyDescent="0.35">
      <c r="A72" s="406"/>
      <c r="B72" s="407"/>
      <c r="C72" s="408"/>
      <c r="D72" s="409"/>
      <c r="E72" s="410"/>
      <c r="F72" s="410"/>
      <c r="G72" s="409"/>
      <c r="H72" s="411"/>
      <c r="I72" s="412"/>
      <c r="J72" s="413"/>
      <c r="K72" s="414"/>
      <c r="L72" s="415"/>
      <c r="M72" s="414"/>
      <c r="N72" s="416"/>
      <c r="O72" s="417"/>
      <c r="P72" s="414"/>
      <c r="Q72" s="415"/>
      <c r="R72" s="414"/>
      <c r="S72" s="418"/>
      <c r="T72" s="412"/>
      <c r="U72" s="413"/>
      <c r="V72" s="419"/>
      <c r="W72" s="413"/>
      <c r="X72" s="420"/>
      <c r="Y72" s="421"/>
      <c r="Z72" s="412"/>
      <c r="AA72" s="417"/>
      <c r="AB72" s="413"/>
      <c r="AC72" s="422"/>
    </row>
    <row r="73" spans="1:29" x14ac:dyDescent="0.35">
      <c r="A73" s="406"/>
      <c r="B73" s="407"/>
      <c r="C73" s="408"/>
      <c r="D73" s="409"/>
      <c r="E73" s="410"/>
      <c r="F73" s="410"/>
      <c r="G73" s="409"/>
      <c r="H73" s="411"/>
      <c r="I73" s="412"/>
      <c r="J73" s="413"/>
      <c r="K73" s="414"/>
      <c r="L73" s="415"/>
      <c r="M73" s="414"/>
      <c r="N73" s="416"/>
      <c r="O73" s="417"/>
      <c r="P73" s="414"/>
      <c r="Q73" s="415"/>
      <c r="R73" s="414"/>
      <c r="S73" s="418"/>
      <c r="T73" s="412"/>
      <c r="U73" s="413"/>
      <c r="V73" s="419"/>
      <c r="W73" s="413"/>
      <c r="X73" s="420"/>
      <c r="Y73" s="421"/>
      <c r="Z73" s="412"/>
      <c r="AA73" s="417"/>
      <c r="AB73" s="413"/>
      <c r="AC73" s="422"/>
    </row>
    <row r="74" spans="1:29" x14ac:dyDescent="0.35">
      <c r="A74" s="406"/>
      <c r="B74" s="407"/>
      <c r="C74" s="408"/>
      <c r="D74" s="409"/>
      <c r="E74" s="410"/>
      <c r="F74" s="410"/>
      <c r="G74" s="409"/>
      <c r="H74" s="411"/>
      <c r="I74" s="412"/>
      <c r="J74" s="413"/>
      <c r="K74" s="414"/>
      <c r="L74" s="415"/>
      <c r="M74" s="414"/>
      <c r="N74" s="416"/>
      <c r="O74" s="417"/>
      <c r="P74" s="414"/>
      <c r="Q74" s="415"/>
      <c r="R74" s="414"/>
      <c r="S74" s="418"/>
      <c r="T74" s="412"/>
      <c r="U74" s="413"/>
      <c r="V74" s="419"/>
      <c r="W74" s="413"/>
      <c r="X74" s="420"/>
      <c r="Y74" s="421"/>
      <c r="Z74" s="412"/>
      <c r="AA74" s="417"/>
      <c r="AB74" s="413"/>
      <c r="AC74" s="422"/>
    </row>
    <row r="75" spans="1:29" x14ac:dyDescent="0.35">
      <c r="A75" s="406"/>
      <c r="B75" s="407"/>
      <c r="C75" s="408"/>
      <c r="D75" s="409"/>
      <c r="E75" s="410"/>
      <c r="F75" s="410"/>
      <c r="G75" s="409"/>
      <c r="H75" s="411"/>
      <c r="I75" s="412"/>
      <c r="J75" s="413"/>
      <c r="K75" s="414"/>
      <c r="L75" s="415"/>
      <c r="M75" s="414"/>
      <c r="N75" s="416"/>
      <c r="O75" s="417"/>
      <c r="P75" s="414"/>
      <c r="Q75" s="415"/>
      <c r="R75" s="414"/>
      <c r="S75" s="418"/>
      <c r="T75" s="412"/>
      <c r="U75" s="413"/>
      <c r="V75" s="419"/>
      <c r="W75" s="413"/>
      <c r="X75" s="420"/>
      <c r="Y75" s="421"/>
      <c r="Z75" s="412"/>
      <c r="AA75" s="417"/>
      <c r="AB75" s="413"/>
      <c r="AC75" s="422"/>
    </row>
    <row r="76" spans="1:29" x14ac:dyDescent="0.35">
      <c r="A76" s="406"/>
      <c r="B76" s="407"/>
      <c r="C76" s="408"/>
      <c r="D76" s="409"/>
      <c r="E76" s="410"/>
      <c r="F76" s="410"/>
      <c r="G76" s="409"/>
      <c r="H76" s="411"/>
      <c r="I76" s="412"/>
      <c r="J76" s="413"/>
      <c r="K76" s="414"/>
      <c r="L76" s="415"/>
      <c r="M76" s="414"/>
      <c r="N76" s="416"/>
      <c r="O76" s="417"/>
      <c r="P76" s="414"/>
      <c r="Q76" s="415"/>
      <c r="R76" s="414"/>
      <c r="S76" s="418"/>
      <c r="T76" s="412"/>
      <c r="U76" s="413"/>
      <c r="V76" s="419"/>
      <c r="W76" s="413"/>
      <c r="X76" s="420"/>
      <c r="Y76" s="421"/>
      <c r="Z76" s="412"/>
      <c r="AA76" s="417"/>
      <c r="AB76" s="413"/>
      <c r="AC76" s="422"/>
    </row>
    <row r="77" spans="1:29" x14ac:dyDescent="0.35">
      <c r="A77" s="406"/>
      <c r="B77" s="407"/>
      <c r="C77" s="408"/>
      <c r="D77" s="409"/>
      <c r="E77" s="410"/>
      <c r="F77" s="410"/>
      <c r="G77" s="409"/>
      <c r="H77" s="411"/>
      <c r="I77" s="412"/>
      <c r="J77" s="413"/>
      <c r="K77" s="414"/>
      <c r="L77" s="415"/>
      <c r="M77" s="414"/>
      <c r="N77" s="416"/>
      <c r="O77" s="417"/>
      <c r="P77" s="414"/>
      <c r="Q77" s="415"/>
      <c r="R77" s="414"/>
      <c r="S77" s="418"/>
      <c r="T77" s="412"/>
      <c r="U77" s="413"/>
      <c r="V77" s="419"/>
      <c r="W77" s="413"/>
      <c r="X77" s="420"/>
      <c r="Y77" s="421"/>
      <c r="Z77" s="412"/>
      <c r="AA77" s="417"/>
      <c r="AB77" s="413"/>
      <c r="AC77" s="422"/>
    </row>
    <row r="78" spans="1:29" x14ac:dyDescent="0.35">
      <c r="A78" s="406"/>
      <c r="B78" s="407"/>
      <c r="C78" s="408"/>
      <c r="D78" s="409"/>
      <c r="E78" s="410"/>
      <c r="F78" s="410"/>
      <c r="G78" s="409"/>
      <c r="H78" s="411"/>
      <c r="I78" s="412"/>
      <c r="J78" s="413"/>
      <c r="K78" s="414"/>
      <c r="L78" s="415"/>
      <c r="M78" s="414"/>
      <c r="N78" s="416"/>
      <c r="O78" s="417"/>
      <c r="P78" s="414"/>
      <c r="Q78" s="415"/>
      <c r="R78" s="414"/>
      <c r="S78" s="418"/>
      <c r="T78" s="412"/>
      <c r="U78" s="413"/>
      <c r="V78" s="419"/>
      <c r="W78" s="413"/>
      <c r="X78" s="420"/>
      <c r="Y78" s="421"/>
      <c r="Z78" s="412"/>
      <c r="AA78" s="417"/>
      <c r="AB78" s="413"/>
      <c r="AC78" s="422"/>
    </row>
    <row r="79" spans="1:29" x14ac:dyDescent="0.35">
      <c r="A79" s="406"/>
      <c r="B79" s="407"/>
      <c r="C79" s="408"/>
      <c r="D79" s="409"/>
      <c r="E79" s="410"/>
      <c r="F79" s="410"/>
      <c r="G79" s="409"/>
      <c r="H79" s="411"/>
      <c r="I79" s="412"/>
      <c r="J79" s="413"/>
      <c r="K79" s="414"/>
      <c r="L79" s="415"/>
      <c r="M79" s="414"/>
      <c r="N79" s="416"/>
      <c r="O79" s="417"/>
      <c r="P79" s="414"/>
      <c r="Q79" s="415"/>
      <c r="R79" s="414"/>
      <c r="S79" s="418"/>
      <c r="T79" s="412"/>
      <c r="U79" s="413"/>
      <c r="V79" s="419"/>
      <c r="W79" s="413"/>
      <c r="X79" s="420"/>
      <c r="Y79" s="421"/>
      <c r="Z79" s="412"/>
      <c r="AA79" s="417"/>
      <c r="AB79" s="413"/>
      <c r="AC79" s="422"/>
    </row>
    <row r="80" spans="1:29" x14ac:dyDescent="0.35">
      <c r="A80" s="406"/>
      <c r="B80" s="407"/>
      <c r="C80" s="408"/>
      <c r="D80" s="409"/>
      <c r="E80" s="410"/>
      <c r="F80" s="410"/>
      <c r="G80" s="409"/>
      <c r="H80" s="411"/>
      <c r="I80" s="412"/>
      <c r="J80" s="413"/>
      <c r="K80" s="414"/>
      <c r="L80" s="415"/>
      <c r="M80" s="414"/>
      <c r="N80" s="416"/>
      <c r="O80" s="417"/>
      <c r="P80" s="414"/>
      <c r="Q80" s="415"/>
      <c r="R80" s="414"/>
      <c r="S80" s="418"/>
      <c r="T80" s="412"/>
      <c r="U80" s="413"/>
      <c r="V80" s="419"/>
      <c r="W80" s="413"/>
      <c r="X80" s="420"/>
      <c r="Y80" s="421"/>
      <c r="Z80" s="412"/>
      <c r="AA80" s="417"/>
      <c r="AB80" s="413"/>
      <c r="AC80" s="422"/>
    </row>
    <row r="81" spans="1:29" x14ac:dyDescent="0.35">
      <c r="A81" s="406"/>
      <c r="B81" s="407"/>
      <c r="C81" s="408"/>
      <c r="D81" s="409"/>
      <c r="E81" s="410"/>
      <c r="F81" s="410"/>
      <c r="G81" s="409"/>
      <c r="H81" s="411"/>
      <c r="I81" s="412"/>
      <c r="J81" s="413"/>
      <c r="K81" s="414"/>
      <c r="L81" s="415"/>
      <c r="M81" s="414"/>
      <c r="N81" s="416"/>
      <c r="O81" s="417"/>
      <c r="P81" s="414"/>
      <c r="Q81" s="415"/>
      <c r="R81" s="414"/>
      <c r="S81" s="418"/>
      <c r="T81" s="412"/>
      <c r="U81" s="413"/>
      <c r="V81" s="419"/>
      <c r="W81" s="413"/>
      <c r="X81" s="420"/>
      <c r="Y81" s="421"/>
      <c r="Z81" s="412"/>
      <c r="AA81" s="417"/>
      <c r="AB81" s="413"/>
      <c r="AC81" s="422"/>
    </row>
    <row r="82" spans="1:29" x14ac:dyDescent="0.35">
      <c r="A82" s="406"/>
      <c r="B82" s="407"/>
      <c r="C82" s="408"/>
      <c r="D82" s="409"/>
      <c r="E82" s="410"/>
      <c r="F82" s="410"/>
      <c r="G82" s="409"/>
      <c r="H82" s="411"/>
      <c r="I82" s="412"/>
      <c r="J82" s="413"/>
      <c r="K82" s="414"/>
      <c r="L82" s="415"/>
      <c r="M82" s="414"/>
      <c r="N82" s="416"/>
      <c r="O82" s="417"/>
      <c r="P82" s="414"/>
      <c r="Q82" s="415"/>
      <c r="R82" s="414"/>
      <c r="S82" s="418"/>
      <c r="T82" s="412"/>
      <c r="U82" s="413"/>
      <c r="V82" s="419"/>
      <c r="W82" s="413"/>
      <c r="X82" s="420"/>
      <c r="Y82" s="421"/>
      <c r="Z82" s="412"/>
      <c r="AA82" s="417"/>
      <c r="AB82" s="413"/>
      <c r="AC82" s="422"/>
    </row>
    <row r="83" spans="1:29" x14ac:dyDescent="0.35">
      <c r="A83" s="406"/>
      <c r="B83" s="407"/>
      <c r="C83" s="408"/>
      <c r="D83" s="409"/>
      <c r="E83" s="410"/>
      <c r="F83" s="410"/>
      <c r="G83" s="409"/>
      <c r="H83" s="411"/>
      <c r="I83" s="412"/>
      <c r="J83" s="413"/>
      <c r="K83" s="414"/>
      <c r="L83" s="415"/>
      <c r="M83" s="414"/>
      <c r="N83" s="416"/>
      <c r="O83" s="417"/>
      <c r="P83" s="414"/>
      <c r="Q83" s="415"/>
      <c r="R83" s="414"/>
      <c r="S83" s="418"/>
      <c r="T83" s="412"/>
      <c r="U83" s="413"/>
      <c r="V83" s="419"/>
      <c r="W83" s="413"/>
      <c r="X83" s="420"/>
      <c r="Y83" s="421"/>
      <c r="Z83" s="412"/>
      <c r="AA83" s="417"/>
      <c r="AB83" s="413"/>
      <c r="AC83" s="422"/>
    </row>
    <row r="84" spans="1:29" x14ac:dyDescent="0.35">
      <c r="A84" s="406"/>
      <c r="B84" s="407"/>
      <c r="C84" s="408"/>
      <c r="D84" s="409"/>
      <c r="E84" s="410"/>
      <c r="F84" s="410"/>
      <c r="G84" s="409"/>
      <c r="H84" s="411"/>
      <c r="I84" s="412"/>
      <c r="J84" s="413"/>
      <c r="K84" s="414"/>
      <c r="L84" s="415"/>
      <c r="M84" s="414"/>
      <c r="N84" s="416"/>
      <c r="O84" s="417"/>
      <c r="P84" s="414"/>
      <c r="Q84" s="415"/>
      <c r="R84" s="414"/>
      <c r="S84" s="418"/>
      <c r="T84" s="412"/>
      <c r="U84" s="413"/>
      <c r="V84" s="419"/>
      <c r="W84" s="413"/>
      <c r="X84" s="420"/>
      <c r="Y84" s="421"/>
      <c r="Z84" s="412"/>
      <c r="AA84" s="417"/>
      <c r="AB84" s="413"/>
      <c r="AC84" s="422"/>
    </row>
    <row r="85" spans="1:29" x14ac:dyDescent="0.35">
      <c r="A85" s="406"/>
      <c r="B85" s="407"/>
      <c r="C85" s="408"/>
      <c r="D85" s="409"/>
      <c r="E85" s="410"/>
      <c r="F85" s="410"/>
      <c r="G85" s="409"/>
      <c r="H85" s="411"/>
      <c r="I85" s="412"/>
      <c r="J85" s="413"/>
      <c r="K85" s="414"/>
      <c r="L85" s="415"/>
      <c r="M85" s="414"/>
      <c r="N85" s="416"/>
      <c r="O85" s="417"/>
      <c r="P85" s="414"/>
      <c r="Q85" s="415"/>
      <c r="R85" s="414"/>
      <c r="S85" s="418"/>
      <c r="T85" s="412"/>
      <c r="U85" s="413"/>
      <c r="V85" s="419"/>
      <c r="W85" s="413"/>
      <c r="X85" s="420"/>
      <c r="Y85" s="421"/>
      <c r="Z85" s="412"/>
      <c r="AA85" s="417"/>
      <c r="AB85" s="413"/>
      <c r="AC85" s="422"/>
    </row>
    <row r="86" spans="1:29" x14ac:dyDescent="0.35">
      <c r="A86" s="406"/>
      <c r="B86" s="407"/>
      <c r="C86" s="408"/>
      <c r="D86" s="409"/>
      <c r="E86" s="410"/>
      <c r="F86" s="410"/>
      <c r="G86" s="409"/>
      <c r="H86" s="411"/>
      <c r="I86" s="412"/>
      <c r="J86" s="413"/>
      <c r="K86" s="414"/>
      <c r="L86" s="415"/>
      <c r="M86" s="414"/>
      <c r="N86" s="416"/>
      <c r="O86" s="417"/>
      <c r="P86" s="414"/>
      <c r="Q86" s="415"/>
      <c r="R86" s="414"/>
      <c r="S86" s="418"/>
      <c r="T86" s="412"/>
      <c r="U86" s="413"/>
      <c r="V86" s="419"/>
      <c r="W86" s="413"/>
      <c r="X86" s="420"/>
      <c r="Y86" s="421"/>
      <c r="Z86" s="412"/>
      <c r="AA86" s="417"/>
      <c r="AB86" s="413"/>
      <c r="AC86" s="422"/>
    </row>
    <row r="87" spans="1:29" x14ac:dyDescent="0.35">
      <c r="A87" s="406"/>
      <c r="B87" s="407"/>
      <c r="C87" s="408"/>
      <c r="D87" s="409"/>
      <c r="E87" s="410"/>
      <c r="F87" s="410"/>
      <c r="G87" s="409"/>
      <c r="H87" s="411"/>
      <c r="I87" s="412"/>
      <c r="J87" s="413"/>
      <c r="K87" s="414"/>
      <c r="L87" s="415"/>
      <c r="M87" s="414"/>
      <c r="N87" s="416"/>
      <c r="O87" s="417"/>
      <c r="P87" s="414"/>
      <c r="Q87" s="415"/>
      <c r="R87" s="414"/>
      <c r="S87" s="418"/>
      <c r="T87" s="412"/>
      <c r="U87" s="413"/>
      <c r="V87" s="419"/>
      <c r="W87" s="413"/>
      <c r="X87" s="420"/>
      <c r="Y87" s="421"/>
      <c r="Z87" s="412"/>
      <c r="AA87" s="417"/>
      <c r="AB87" s="413"/>
      <c r="AC87" s="422"/>
    </row>
    <row r="88" spans="1:29" x14ac:dyDescent="0.35">
      <c r="A88" s="406"/>
      <c r="B88" s="407"/>
      <c r="C88" s="408"/>
      <c r="D88" s="409"/>
      <c r="E88" s="410"/>
      <c r="F88" s="410"/>
      <c r="G88" s="409"/>
      <c r="H88" s="411"/>
      <c r="I88" s="412"/>
      <c r="J88" s="413"/>
      <c r="K88" s="414"/>
      <c r="L88" s="415"/>
      <c r="M88" s="414"/>
      <c r="N88" s="416"/>
      <c r="O88" s="417"/>
      <c r="P88" s="414"/>
      <c r="Q88" s="415"/>
      <c r="R88" s="414"/>
      <c r="S88" s="418"/>
      <c r="T88" s="412"/>
      <c r="U88" s="413"/>
      <c r="V88" s="419"/>
      <c r="W88" s="413"/>
      <c r="X88" s="420"/>
      <c r="Y88" s="421"/>
      <c r="Z88" s="412"/>
      <c r="AA88" s="417"/>
      <c r="AB88" s="413"/>
      <c r="AC88" s="422"/>
    </row>
    <row r="89" spans="1:29" x14ac:dyDescent="0.35">
      <c r="A89" s="406"/>
      <c r="B89" s="407"/>
      <c r="C89" s="408"/>
      <c r="D89" s="409"/>
      <c r="E89" s="410"/>
      <c r="F89" s="410"/>
      <c r="G89" s="409"/>
      <c r="H89" s="411"/>
      <c r="I89" s="412"/>
      <c r="J89" s="413"/>
      <c r="K89" s="414"/>
      <c r="L89" s="415"/>
      <c r="M89" s="414"/>
      <c r="N89" s="416"/>
      <c r="O89" s="417"/>
      <c r="P89" s="414"/>
      <c r="Q89" s="415"/>
      <c r="R89" s="414"/>
      <c r="S89" s="418"/>
      <c r="T89" s="412"/>
      <c r="U89" s="413"/>
      <c r="V89" s="419"/>
      <c r="W89" s="413"/>
      <c r="X89" s="420"/>
      <c r="Y89" s="421"/>
      <c r="Z89" s="412"/>
      <c r="AA89" s="417"/>
      <c r="AB89" s="413"/>
      <c r="AC89" s="422"/>
    </row>
    <row r="90" spans="1:29" x14ac:dyDescent="0.35">
      <c r="A90" s="406"/>
      <c r="B90" s="407"/>
      <c r="C90" s="408"/>
      <c r="D90" s="409"/>
      <c r="E90" s="410"/>
      <c r="F90" s="410"/>
      <c r="G90" s="409"/>
      <c r="H90" s="411"/>
      <c r="I90" s="412"/>
      <c r="J90" s="413"/>
      <c r="K90" s="414"/>
      <c r="L90" s="415"/>
      <c r="M90" s="414"/>
      <c r="N90" s="416"/>
      <c r="O90" s="417"/>
      <c r="P90" s="414"/>
      <c r="Q90" s="415"/>
      <c r="R90" s="414"/>
      <c r="S90" s="418"/>
      <c r="T90" s="412"/>
      <c r="U90" s="413"/>
      <c r="V90" s="419"/>
      <c r="W90" s="413"/>
      <c r="X90" s="420"/>
      <c r="Y90" s="421"/>
      <c r="Z90" s="412"/>
      <c r="AA90" s="417"/>
      <c r="AB90" s="413"/>
      <c r="AC90" s="422"/>
    </row>
    <row r="91" spans="1:29" x14ac:dyDescent="0.35">
      <c r="A91" s="406"/>
      <c r="B91" s="407"/>
      <c r="C91" s="408"/>
      <c r="D91" s="409"/>
      <c r="E91" s="410"/>
      <c r="F91" s="410"/>
      <c r="G91" s="409"/>
      <c r="H91" s="411"/>
      <c r="I91" s="412"/>
      <c r="J91" s="413"/>
      <c r="K91" s="414"/>
      <c r="L91" s="415"/>
      <c r="M91" s="414"/>
      <c r="N91" s="416"/>
      <c r="O91" s="417"/>
      <c r="P91" s="414"/>
      <c r="Q91" s="415"/>
      <c r="R91" s="414"/>
      <c r="S91" s="418"/>
      <c r="T91" s="412"/>
      <c r="U91" s="413"/>
      <c r="V91" s="419"/>
      <c r="W91" s="413"/>
      <c r="X91" s="420"/>
      <c r="Y91" s="421"/>
      <c r="Z91" s="412"/>
      <c r="AA91" s="417"/>
      <c r="AB91" s="413"/>
      <c r="AC91" s="422"/>
    </row>
    <row r="92" spans="1:29" x14ac:dyDescent="0.35">
      <c r="A92" s="406"/>
      <c r="B92" s="407"/>
      <c r="C92" s="408"/>
      <c r="D92" s="409"/>
      <c r="E92" s="410"/>
      <c r="F92" s="410"/>
      <c r="G92" s="409"/>
      <c r="H92" s="411"/>
      <c r="I92" s="412"/>
      <c r="J92" s="413"/>
      <c r="K92" s="414"/>
      <c r="L92" s="415"/>
      <c r="M92" s="414"/>
      <c r="N92" s="416"/>
      <c r="O92" s="417"/>
      <c r="P92" s="414"/>
      <c r="Q92" s="415"/>
      <c r="R92" s="414"/>
      <c r="S92" s="418"/>
      <c r="T92" s="412"/>
      <c r="U92" s="413"/>
      <c r="V92" s="419"/>
      <c r="W92" s="413"/>
      <c r="X92" s="420"/>
      <c r="Y92" s="421"/>
      <c r="Z92" s="412"/>
      <c r="AA92" s="417"/>
      <c r="AB92" s="413"/>
      <c r="AC92" s="422"/>
    </row>
    <row r="93" spans="1:29" x14ac:dyDescent="0.35">
      <c r="A93" s="406"/>
      <c r="B93" s="407"/>
      <c r="C93" s="408"/>
      <c r="D93" s="409"/>
      <c r="E93" s="410"/>
      <c r="F93" s="410"/>
      <c r="G93" s="409"/>
      <c r="H93" s="411"/>
      <c r="I93" s="412"/>
      <c r="J93" s="413"/>
      <c r="K93" s="414"/>
      <c r="L93" s="415"/>
      <c r="M93" s="414"/>
      <c r="N93" s="416"/>
      <c r="O93" s="417"/>
      <c r="P93" s="414"/>
      <c r="Q93" s="415"/>
      <c r="R93" s="414"/>
      <c r="S93" s="418"/>
      <c r="T93" s="412"/>
      <c r="U93" s="413"/>
      <c r="V93" s="419"/>
      <c r="W93" s="413"/>
      <c r="X93" s="420"/>
      <c r="Y93" s="421"/>
      <c r="Z93" s="412"/>
      <c r="AA93" s="417"/>
      <c r="AB93" s="413"/>
      <c r="AC93" s="422"/>
    </row>
    <row r="94" spans="1:29" x14ac:dyDescent="0.35">
      <c r="A94" s="406"/>
      <c r="B94" s="407"/>
      <c r="C94" s="408"/>
      <c r="D94" s="409"/>
      <c r="E94" s="410"/>
      <c r="F94" s="410"/>
      <c r="G94" s="409"/>
      <c r="H94" s="411"/>
      <c r="I94" s="412"/>
      <c r="J94" s="413"/>
      <c r="K94" s="414"/>
      <c r="L94" s="415"/>
      <c r="M94" s="414"/>
      <c r="N94" s="416"/>
      <c r="O94" s="417"/>
      <c r="P94" s="414"/>
      <c r="Q94" s="415"/>
      <c r="R94" s="414"/>
      <c r="S94" s="418"/>
      <c r="T94" s="412"/>
      <c r="U94" s="413"/>
      <c r="V94" s="419"/>
      <c r="W94" s="413"/>
      <c r="X94" s="420"/>
      <c r="Y94" s="421"/>
      <c r="Z94" s="412"/>
      <c r="AA94" s="417"/>
      <c r="AB94" s="413"/>
      <c r="AC94" s="422"/>
    </row>
    <row r="95" spans="1:29" x14ac:dyDescent="0.35">
      <c r="A95" s="406"/>
      <c r="B95" s="407"/>
      <c r="C95" s="408"/>
      <c r="D95" s="409"/>
      <c r="E95" s="410"/>
      <c r="F95" s="410"/>
      <c r="G95" s="409"/>
      <c r="H95" s="411"/>
      <c r="I95" s="412"/>
      <c r="J95" s="413"/>
      <c r="K95" s="414"/>
      <c r="L95" s="415"/>
      <c r="M95" s="414"/>
      <c r="N95" s="416"/>
      <c r="O95" s="417"/>
      <c r="P95" s="414"/>
      <c r="Q95" s="415"/>
      <c r="R95" s="414"/>
      <c r="S95" s="418"/>
      <c r="T95" s="412"/>
      <c r="U95" s="413"/>
      <c r="V95" s="419"/>
      <c r="W95" s="413"/>
      <c r="X95" s="420"/>
      <c r="Y95" s="421"/>
      <c r="Z95" s="412"/>
      <c r="AA95" s="417"/>
      <c r="AB95" s="413"/>
      <c r="AC95" s="422"/>
    </row>
    <row r="96" spans="1:29" x14ac:dyDescent="0.35">
      <c r="A96" s="406"/>
      <c r="B96" s="407"/>
      <c r="C96" s="408"/>
      <c r="D96" s="409"/>
      <c r="E96" s="410"/>
      <c r="F96" s="410"/>
      <c r="G96" s="409"/>
      <c r="H96" s="411"/>
      <c r="I96" s="412"/>
      <c r="J96" s="413"/>
      <c r="K96" s="414"/>
      <c r="L96" s="415"/>
      <c r="M96" s="414"/>
      <c r="N96" s="416"/>
      <c r="O96" s="417"/>
      <c r="P96" s="414"/>
      <c r="Q96" s="415"/>
      <c r="R96" s="414"/>
      <c r="S96" s="418"/>
      <c r="T96" s="412"/>
      <c r="U96" s="413"/>
      <c r="V96" s="419"/>
      <c r="W96" s="413"/>
      <c r="X96" s="420"/>
      <c r="Y96" s="421"/>
      <c r="Z96" s="412"/>
      <c r="AA96" s="417"/>
      <c r="AB96" s="413"/>
      <c r="AC96" s="422"/>
    </row>
    <row r="97" spans="1:29" x14ac:dyDescent="0.35">
      <c r="A97" s="406"/>
      <c r="B97" s="407"/>
      <c r="C97" s="408"/>
      <c r="D97" s="409"/>
      <c r="E97" s="410"/>
      <c r="F97" s="410"/>
      <c r="G97" s="409"/>
      <c r="H97" s="411"/>
      <c r="I97" s="412"/>
      <c r="J97" s="413"/>
      <c r="K97" s="414"/>
      <c r="L97" s="415"/>
      <c r="M97" s="414"/>
      <c r="N97" s="416"/>
      <c r="O97" s="417"/>
      <c r="P97" s="414"/>
      <c r="Q97" s="415"/>
      <c r="R97" s="414"/>
      <c r="S97" s="418"/>
      <c r="T97" s="412"/>
      <c r="U97" s="413"/>
      <c r="V97" s="419"/>
      <c r="W97" s="413"/>
      <c r="X97" s="420"/>
      <c r="Y97" s="421"/>
      <c r="Z97" s="412"/>
      <c r="AA97" s="417"/>
      <c r="AB97" s="413"/>
      <c r="AC97" s="422"/>
    </row>
    <row r="98" spans="1:29" x14ac:dyDescent="0.35">
      <c r="A98" s="406"/>
      <c r="B98" s="407"/>
      <c r="C98" s="408"/>
      <c r="D98" s="409"/>
      <c r="E98" s="410"/>
      <c r="F98" s="410"/>
      <c r="G98" s="409"/>
      <c r="H98" s="411"/>
      <c r="I98" s="412"/>
      <c r="J98" s="413"/>
      <c r="K98" s="414"/>
      <c r="L98" s="415"/>
      <c r="M98" s="414"/>
      <c r="N98" s="416"/>
      <c r="O98" s="417"/>
      <c r="P98" s="414"/>
      <c r="Q98" s="415"/>
      <c r="R98" s="414"/>
      <c r="S98" s="418"/>
      <c r="T98" s="412"/>
      <c r="U98" s="413"/>
      <c r="V98" s="419"/>
      <c r="W98" s="413"/>
      <c r="X98" s="420"/>
      <c r="Y98" s="421"/>
      <c r="Z98" s="412"/>
      <c r="AA98" s="417"/>
      <c r="AB98" s="413"/>
      <c r="AC98" s="422"/>
    </row>
    <row r="99" spans="1:29" x14ac:dyDescent="0.35">
      <c r="A99" s="406"/>
      <c r="B99" s="407"/>
      <c r="C99" s="408"/>
      <c r="D99" s="409"/>
      <c r="E99" s="410"/>
      <c r="F99" s="410"/>
      <c r="G99" s="409"/>
      <c r="H99" s="411"/>
      <c r="I99" s="412"/>
      <c r="J99" s="413"/>
      <c r="K99" s="414"/>
      <c r="L99" s="415"/>
      <c r="M99" s="414"/>
      <c r="N99" s="416"/>
      <c r="O99" s="417"/>
      <c r="P99" s="414"/>
      <c r="Q99" s="415"/>
      <c r="R99" s="414"/>
      <c r="S99" s="418"/>
      <c r="T99" s="412"/>
      <c r="U99" s="413"/>
      <c r="V99" s="419"/>
      <c r="W99" s="413"/>
      <c r="X99" s="420"/>
      <c r="Y99" s="421"/>
      <c r="Z99" s="412"/>
      <c r="AA99" s="417"/>
      <c r="AB99" s="413"/>
      <c r="AC99" s="422"/>
    </row>
    <row r="100" spans="1:29" x14ac:dyDescent="0.35">
      <c r="A100" s="406"/>
      <c r="B100" s="407"/>
      <c r="C100" s="408"/>
      <c r="D100" s="409"/>
      <c r="E100" s="410"/>
      <c r="F100" s="410"/>
      <c r="G100" s="409"/>
      <c r="H100" s="411"/>
      <c r="I100" s="412"/>
      <c r="J100" s="413"/>
      <c r="K100" s="414"/>
      <c r="L100" s="415"/>
      <c r="M100" s="414"/>
      <c r="N100" s="416"/>
      <c r="O100" s="417"/>
      <c r="P100" s="414"/>
      <c r="Q100" s="415"/>
      <c r="R100" s="414"/>
      <c r="S100" s="418"/>
      <c r="T100" s="412"/>
      <c r="U100" s="413"/>
      <c r="V100" s="419"/>
      <c r="W100" s="413"/>
      <c r="X100" s="420"/>
      <c r="Y100" s="421"/>
      <c r="Z100" s="412"/>
      <c r="AA100" s="417"/>
      <c r="AB100" s="413"/>
      <c r="AC100" s="422"/>
    </row>
    <row r="101" spans="1:29" x14ac:dyDescent="0.35">
      <c r="A101" s="406"/>
      <c r="B101" s="407"/>
      <c r="C101" s="408"/>
      <c r="D101" s="409"/>
      <c r="E101" s="410"/>
      <c r="F101" s="410"/>
      <c r="G101" s="409"/>
      <c r="H101" s="411"/>
      <c r="I101" s="412"/>
      <c r="J101" s="413"/>
      <c r="K101" s="414"/>
      <c r="L101" s="415"/>
      <c r="M101" s="414"/>
      <c r="N101" s="416"/>
      <c r="O101" s="417"/>
      <c r="P101" s="414"/>
      <c r="Q101" s="415"/>
      <c r="R101" s="414"/>
      <c r="S101" s="418"/>
      <c r="T101" s="412"/>
      <c r="U101" s="413"/>
      <c r="V101" s="419"/>
      <c r="W101" s="413"/>
      <c r="X101" s="420"/>
      <c r="Y101" s="421"/>
      <c r="Z101" s="412"/>
      <c r="AA101" s="417"/>
      <c r="AB101" s="413"/>
      <c r="AC101" s="422"/>
    </row>
    <row r="102" spans="1:29" x14ac:dyDescent="0.35">
      <c r="A102" s="406"/>
      <c r="B102" s="407"/>
      <c r="C102" s="408"/>
      <c r="D102" s="409"/>
      <c r="E102" s="410"/>
      <c r="F102" s="410"/>
      <c r="G102" s="409"/>
      <c r="H102" s="411"/>
      <c r="I102" s="412"/>
      <c r="J102" s="413"/>
      <c r="K102" s="414"/>
      <c r="L102" s="415"/>
      <c r="M102" s="414"/>
      <c r="N102" s="416"/>
      <c r="O102" s="417"/>
      <c r="P102" s="414"/>
      <c r="Q102" s="415"/>
      <c r="R102" s="414"/>
      <c r="S102" s="418"/>
      <c r="T102" s="412"/>
      <c r="U102" s="413"/>
      <c r="V102" s="419"/>
      <c r="W102" s="413"/>
      <c r="X102" s="420"/>
      <c r="Y102" s="421"/>
      <c r="Z102" s="412"/>
      <c r="AA102" s="417"/>
      <c r="AB102" s="413"/>
      <c r="AC102" s="422"/>
    </row>
    <row r="103" spans="1:29" x14ac:dyDescent="0.35">
      <c r="A103" s="406"/>
      <c r="B103" s="407"/>
      <c r="C103" s="408"/>
      <c r="D103" s="409"/>
      <c r="E103" s="410"/>
      <c r="F103" s="410"/>
      <c r="G103" s="409"/>
      <c r="H103" s="411"/>
      <c r="I103" s="412"/>
      <c r="J103" s="413"/>
      <c r="K103" s="414"/>
      <c r="L103" s="415"/>
      <c r="M103" s="414"/>
      <c r="N103" s="416"/>
      <c r="O103" s="417"/>
      <c r="P103" s="414"/>
      <c r="Q103" s="415"/>
      <c r="R103" s="414"/>
      <c r="S103" s="418"/>
      <c r="T103" s="412"/>
      <c r="U103" s="413"/>
      <c r="V103" s="419"/>
      <c r="W103" s="413"/>
      <c r="X103" s="420"/>
      <c r="Y103" s="421"/>
      <c r="Z103" s="412"/>
      <c r="AA103" s="417"/>
      <c r="AB103" s="413"/>
      <c r="AC103" s="422"/>
    </row>
    <row r="104" spans="1:29" x14ac:dyDescent="0.35">
      <c r="A104" s="406"/>
      <c r="B104" s="407"/>
      <c r="C104" s="408"/>
      <c r="D104" s="409"/>
      <c r="E104" s="410"/>
      <c r="F104" s="410"/>
      <c r="G104" s="409"/>
      <c r="H104" s="411"/>
      <c r="I104" s="412"/>
      <c r="J104" s="413"/>
      <c r="K104" s="414"/>
      <c r="L104" s="415"/>
      <c r="M104" s="414"/>
      <c r="N104" s="416"/>
      <c r="O104" s="417"/>
      <c r="P104" s="414"/>
      <c r="Q104" s="415"/>
      <c r="R104" s="414"/>
      <c r="S104" s="418"/>
      <c r="T104" s="412"/>
      <c r="U104" s="413"/>
      <c r="V104" s="419"/>
      <c r="W104" s="413"/>
      <c r="X104" s="420"/>
      <c r="Y104" s="421"/>
      <c r="Z104" s="412"/>
      <c r="AA104" s="417"/>
      <c r="AB104" s="413"/>
      <c r="AC104" s="422"/>
    </row>
    <row r="105" spans="1:29" x14ac:dyDescent="0.35">
      <c r="A105" s="406"/>
      <c r="B105" s="407"/>
      <c r="C105" s="408"/>
      <c r="D105" s="409"/>
      <c r="E105" s="410"/>
      <c r="F105" s="410"/>
      <c r="G105" s="409"/>
      <c r="H105" s="411"/>
      <c r="I105" s="412"/>
      <c r="J105" s="413"/>
      <c r="K105" s="414"/>
      <c r="L105" s="415"/>
      <c r="M105" s="414"/>
      <c r="N105" s="416"/>
      <c r="O105" s="417"/>
      <c r="P105" s="414"/>
      <c r="Q105" s="415"/>
      <c r="R105" s="414"/>
      <c r="S105" s="418"/>
      <c r="T105" s="412"/>
      <c r="U105" s="413"/>
      <c r="V105" s="419"/>
      <c r="W105" s="413"/>
      <c r="X105" s="420"/>
      <c r="Y105" s="421"/>
      <c r="Z105" s="412"/>
      <c r="AA105" s="417"/>
      <c r="AB105" s="413"/>
      <c r="AC105" s="422"/>
    </row>
    <row r="106" spans="1:29" x14ac:dyDescent="0.35">
      <c r="A106" s="406"/>
      <c r="B106" s="407"/>
      <c r="C106" s="408"/>
      <c r="D106" s="409"/>
      <c r="E106" s="410"/>
      <c r="F106" s="410"/>
      <c r="G106" s="409"/>
      <c r="H106" s="411"/>
      <c r="I106" s="412"/>
      <c r="J106" s="413"/>
      <c r="K106" s="414"/>
      <c r="L106" s="415"/>
      <c r="M106" s="414"/>
      <c r="N106" s="416"/>
      <c r="O106" s="417"/>
      <c r="P106" s="414"/>
      <c r="Q106" s="415"/>
      <c r="R106" s="414"/>
      <c r="S106" s="418"/>
      <c r="T106" s="412"/>
      <c r="U106" s="413"/>
      <c r="V106" s="419"/>
      <c r="W106" s="413"/>
      <c r="X106" s="420"/>
      <c r="Y106" s="421"/>
      <c r="Z106" s="412"/>
      <c r="AA106" s="417"/>
      <c r="AB106" s="413"/>
      <c r="AC106" s="422"/>
    </row>
    <row r="107" spans="1:29" x14ac:dyDescent="0.35">
      <c r="A107" s="406"/>
      <c r="B107" s="407"/>
      <c r="C107" s="408"/>
      <c r="D107" s="409"/>
      <c r="E107" s="410"/>
      <c r="F107" s="410"/>
      <c r="G107" s="409"/>
      <c r="H107" s="411"/>
      <c r="I107" s="412"/>
      <c r="J107" s="413"/>
      <c r="K107" s="414"/>
      <c r="L107" s="415"/>
      <c r="M107" s="414"/>
      <c r="N107" s="416"/>
      <c r="O107" s="417"/>
      <c r="P107" s="414"/>
      <c r="Q107" s="415"/>
      <c r="R107" s="414"/>
      <c r="S107" s="418"/>
      <c r="T107" s="412"/>
      <c r="U107" s="413"/>
      <c r="V107" s="419"/>
      <c r="W107" s="413"/>
      <c r="X107" s="420"/>
      <c r="Y107" s="421"/>
      <c r="Z107" s="412"/>
      <c r="AA107" s="417"/>
      <c r="AB107" s="413"/>
      <c r="AC107" s="422"/>
    </row>
    <row r="108" spans="1:29" x14ac:dyDescent="0.35">
      <c r="A108" s="406"/>
      <c r="B108" s="407"/>
      <c r="C108" s="408"/>
      <c r="D108" s="409"/>
      <c r="E108" s="410"/>
      <c r="F108" s="410"/>
      <c r="G108" s="409"/>
      <c r="H108" s="411"/>
      <c r="I108" s="412"/>
      <c r="J108" s="413"/>
      <c r="K108" s="414"/>
      <c r="L108" s="415"/>
      <c r="M108" s="414"/>
      <c r="N108" s="416"/>
      <c r="O108" s="417"/>
      <c r="P108" s="414"/>
      <c r="Q108" s="415"/>
      <c r="R108" s="414"/>
      <c r="S108" s="418"/>
      <c r="T108" s="412"/>
      <c r="U108" s="413"/>
      <c r="V108" s="419"/>
      <c r="W108" s="413"/>
      <c r="X108" s="420"/>
      <c r="Y108" s="421"/>
      <c r="Z108" s="412"/>
      <c r="AA108" s="417"/>
      <c r="AB108" s="413"/>
      <c r="AC108" s="422"/>
    </row>
    <row r="109" spans="1:29" x14ac:dyDescent="0.35">
      <c r="A109" s="406"/>
      <c r="B109" s="407"/>
      <c r="C109" s="408"/>
      <c r="D109" s="409"/>
      <c r="E109" s="410"/>
      <c r="F109" s="410"/>
      <c r="G109" s="409"/>
      <c r="H109" s="411"/>
      <c r="I109" s="412"/>
      <c r="J109" s="413"/>
      <c r="K109" s="414"/>
      <c r="L109" s="415"/>
      <c r="M109" s="414"/>
      <c r="N109" s="416"/>
      <c r="O109" s="417"/>
      <c r="P109" s="414"/>
      <c r="Q109" s="415"/>
      <c r="R109" s="414"/>
      <c r="S109" s="418"/>
      <c r="T109" s="412"/>
      <c r="U109" s="413"/>
      <c r="V109" s="419"/>
      <c r="W109" s="413"/>
      <c r="X109" s="420"/>
      <c r="Y109" s="421"/>
      <c r="Z109" s="412"/>
      <c r="AA109" s="417"/>
      <c r="AB109" s="413"/>
      <c r="AC109" s="422"/>
    </row>
    <row r="110" spans="1:29" x14ac:dyDescent="0.35">
      <c r="A110" s="406"/>
      <c r="B110" s="407"/>
      <c r="C110" s="408"/>
      <c r="D110" s="409"/>
      <c r="E110" s="410"/>
      <c r="F110" s="410"/>
      <c r="G110" s="409"/>
      <c r="H110" s="411"/>
      <c r="I110" s="412"/>
      <c r="J110" s="413"/>
      <c r="K110" s="414"/>
      <c r="L110" s="415"/>
      <c r="M110" s="414"/>
      <c r="N110" s="416"/>
      <c r="O110" s="417"/>
      <c r="P110" s="414"/>
      <c r="Q110" s="415"/>
      <c r="R110" s="414"/>
      <c r="S110" s="418"/>
      <c r="T110" s="412"/>
      <c r="U110" s="413"/>
      <c r="V110" s="419"/>
      <c r="W110" s="413"/>
      <c r="X110" s="420"/>
      <c r="Y110" s="421"/>
      <c r="Z110" s="412"/>
      <c r="AA110" s="417"/>
      <c r="AB110" s="413"/>
      <c r="AC110" s="422"/>
    </row>
    <row r="111" spans="1:29" x14ac:dyDescent="0.35">
      <c r="A111" s="406"/>
      <c r="B111" s="407"/>
      <c r="C111" s="408"/>
      <c r="D111" s="409"/>
      <c r="E111" s="410"/>
      <c r="F111" s="410"/>
      <c r="G111" s="409"/>
      <c r="H111" s="411"/>
      <c r="I111" s="412"/>
      <c r="J111" s="413"/>
      <c r="K111" s="414"/>
      <c r="L111" s="415"/>
      <c r="M111" s="414"/>
      <c r="N111" s="416"/>
      <c r="O111" s="417"/>
      <c r="P111" s="414"/>
      <c r="Q111" s="415"/>
      <c r="R111" s="414"/>
      <c r="S111" s="418"/>
      <c r="T111" s="412"/>
      <c r="U111" s="413"/>
      <c r="V111" s="419"/>
      <c r="W111" s="413"/>
      <c r="X111" s="420"/>
      <c r="Y111" s="421"/>
      <c r="Z111" s="412"/>
      <c r="AA111" s="417"/>
      <c r="AB111" s="413"/>
      <c r="AC111" s="422"/>
    </row>
    <row r="112" spans="1:29" x14ac:dyDescent="0.35">
      <c r="A112" s="406"/>
      <c r="B112" s="407"/>
      <c r="C112" s="408"/>
      <c r="D112" s="409"/>
      <c r="E112" s="410"/>
      <c r="F112" s="410"/>
      <c r="G112" s="409"/>
      <c r="H112" s="411"/>
      <c r="I112" s="412"/>
      <c r="J112" s="413"/>
      <c r="K112" s="414"/>
      <c r="L112" s="415"/>
      <c r="M112" s="414"/>
      <c r="N112" s="416"/>
      <c r="O112" s="417"/>
      <c r="P112" s="414"/>
      <c r="Q112" s="415"/>
      <c r="R112" s="414"/>
      <c r="S112" s="418"/>
      <c r="T112" s="412"/>
      <c r="U112" s="413"/>
      <c r="V112" s="419"/>
      <c r="W112" s="413"/>
      <c r="X112" s="420"/>
      <c r="Y112" s="421"/>
      <c r="Z112" s="412"/>
      <c r="AA112" s="417"/>
      <c r="AB112" s="413"/>
      <c r="AC112" s="422"/>
    </row>
    <row r="113" spans="1:29" x14ac:dyDescent="0.35">
      <c r="A113" s="406"/>
      <c r="B113" s="407"/>
      <c r="C113" s="408"/>
      <c r="D113" s="409"/>
      <c r="E113" s="410"/>
      <c r="F113" s="410"/>
      <c r="G113" s="409"/>
      <c r="H113" s="411"/>
      <c r="I113" s="412"/>
      <c r="J113" s="413"/>
      <c r="K113" s="414"/>
      <c r="L113" s="415"/>
      <c r="M113" s="414"/>
      <c r="N113" s="416"/>
      <c r="O113" s="417"/>
      <c r="P113" s="414"/>
      <c r="Q113" s="415"/>
      <c r="R113" s="414"/>
      <c r="S113" s="418"/>
      <c r="T113" s="412"/>
      <c r="U113" s="413"/>
      <c r="V113" s="419"/>
      <c r="W113" s="413"/>
      <c r="X113" s="420"/>
      <c r="Y113" s="421"/>
      <c r="Z113" s="412"/>
      <c r="AA113" s="417"/>
      <c r="AB113" s="413"/>
      <c r="AC113" s="422"/>
    </row>
    <row r="114" spans="1:29" x14ac:dyDescent="0.35">
      <c r="A114" s="406"/>
      <c r="B114" s="407"/>
      <c r="C114" s="408"/>
      <c r="D114" s="409"/>
      <c r="E114" s="410"/>
      <c r="F114" s="410"/>
      <c r="G114" s="409"/>
      <c r="H114" s="411"/>
      <c r="I114" s="412"/>
      <c r="J114" s="413"/>
      <c r="K114" s="414"/>
      <c r="L114" s="415"/>
      <c r="M114" s="414"/>
      <c r="N114" s="416"/>
      <c r="O114" s="417"/>
      <c r="P114" s="414"/>
      <c r="Q114" s="415"/>
      <c r="R114" s="414"/>
      <c r="S114" s="418"/>
      <c r="T114" s="412"/>
      <c r="U114" s="413"/>
      <c r="V114" s="419"/>
      <c r="W114" s="413"/>
      <c r="X114" s="420"/>
      <c r="Y114" s="421"/>
      <c r="Z114" s="412"/>
      <c r="AA114" s="417"/>
      <c r="AB114" s="413"/>
      <c r="AC114" s="422"/>
    </row>
    <row r="115" spans="1:29" x14ac:dyDescent="0.35">
      <c r="A115" s="406"/>
      <c r="B115" s="407"/>
      <c r="C115" s="408"/>
      <c r="D115" s="409"/>
      <c r="E115" s="410"/>
      <c r="F115" s="410"/>
      <c r="G115" s="409"/>
      <c r="H115" s="411"/>
      <c r="I115" s="412"/>
      <c r="J115" s="413"/>
      <c r="K115" s="414"/>
      <c r="L115" s="415"/>
      <c r="M115" s="414"/>
      <c r="N115" s="416"/>
      <c r="O115" s="417"/>
      <c r="P115" s="414"/>
      <c r="Q115" s="415"/>
      <c r="R115" s="414"/>
      <c r="S115" s="418"/>
      <c r="T115" s="412"/>
      <c r="U115" s="413"/>
      <c r="V115" s="419"/>
      <c r="W115" s="413"/>
      <c r="X115" s="420"/>
      <c r="Y115" s="421"/>
      <c r="Z115" s="412"/>
      <c r="AA115" s="417"/>
      <c r="AB115" s="413"/>
      <c r="AC115" s="422"/>
    </row>
    <row r="116" spans="1:29" x14ac:dyDescent="0.35">
      <c r="A116" s="406"/>
      <c r="B116" s="407"/>
      <c r="C116" s="408"/>
      <c r="D116" s="409"/>
      <c r="E116" s="410"/>
      <c r="F116" s="410"/>
      <c r="G116" s="409"/>
      <c r="H116" s="411"/>
      <c r="I116" s="412"/>
      <c r="J116" s="413"/>
      <c r="K116" s="414"/>
      <c r="L116" s="415"/>
      <c r="M116" s="414"/>
      <c r="N116" s="416"/>
      <c r="O116" s="417"/>
      <c r="P116" s="414"/>
      <c r="Q116" s="415"/>
      <c r="R116" s="414"/>
      <c r="S116" s="418"/>
      <c r="T116" s="412"/>
      <c r="U116" s="413"/>
      <c r="V116" s="419"/>
      <c r="W116" s="413"/>
      <c r="X116" s="420"/>
      <c r="Y116" s="421"/>
      <c r="Z116" s="412"/>
      <c r="AA116" s="417"/>
      <c r="AB116" s="413"/>
      <c r="AC116" s="422"/>
    </row>
    <row r="117" spans="1:29" x14ac:dyDescent="0.35">
      <c r="A117" s="406"/>
      <c r="B117" s="407"/>
      <c r="C117" s="408"/>
      <c r="D117" s="409"/>
      <c r="E117" s="410"/>
      <c r="F117" s="410"/>
      <c r="G117" s="409"/>
      <c r="H117" s="411"/>
      <c r="I117" s="412"/>
      <c r="J117" s="413"/>
      <c r="K117" s="414"/>
      <c r="L117" s="415"/>
      <c r="M117" s="414"/>
      <c r="N117" s="416"/>
      <c r="O117" s="417"/>
      <c r="P117" s="414"/>
      <c r="Q117" s="415"/>
      <c r="R117" s="414"/>
      <c r="S117" s="418"/>
      <c r="T117" s="412"/>
      <c r="U117" s="413"/>
      <c r="V117" s="419"/>
      <c r="W117" s="413"/>
      <c r="X117" s="420"/>
      <c r="Y117" s="421"/>
      <c r="Z117" s="412"/>
      <c r="AA117" s="417"/>
      <c r="AB117" s="413"/>
      <c r="AC117" s="422"/>
    </row>
    <row r="118" spans="1:29" x14ac:dyDescent="0.35">
      <c r="A118" s="406"/>
      <c r="B118" s="407"/>
      <c r="C118" s="408"/>
      <c r="D118" s="409"/>
      <c r="E118" s="410"/>
      <c r="F118" s="410"/>
      <c r="G118" s="409"/>
      <c r="H118" s="411"/>
      <c r="I118" s="412"/>
      <c r="J118" s="413"/>
      <c r="K118" s="414"/>
      <c r="L118" s="415"/>
      <c r="M118" s="414"/>
      <c r="N118" s="416"/>
      <c r="O118" s="417"/>
      <c r="P118" s="414"/>
      <c r="Q118" s="415"/>
      <c r="R118" s="414"/>
      <c r="S118" s="418"/>
      <c r="T118" s="412"/>
      <c r="U118" s="413"/>
      <c r="V118" s="419"/>
      <c r="W118" s="413"/>
      <c r="X118" s="420"/>
      <c r="Y118" s="421"/>
      <c r="Z118" s="412"/>
      <c r="AA118" s="417"/>
      <c r="AB118" s="413"/>
      <c r="AC118" s="422"/>
    </row>
    <row r="119" spans="1:29" x14ac:dyDescent="0.35">
      <c r="A119" s="406"/>
      <c r="B119" s="407"/>
      <c r="C119" s="408"/>
      <c r="D119" s="409"/>
      <c r="E119" s="410"/>
      <c r="F119" s="410"/>
      <c r="G119" s="409"/>
      <c r="H119" s="411"/>
      <c r="I119" s="412"/>
      <c r="J119" s="413"/>
      <c r="K119" s="414"/>
      <c r="L119" s="415"/>
      <c r="M119" s="414"/>
      <c r="N119" s="416"/>
      <c r="O119" s="417"/>
      <c r="P119" s="414"/>
      <c r="Q119" s="415"/>
      <c r="R119" s="414"/>
      <c r="S119" s="418"/>
      <c r="T119" s="412"/>
      <c r="U119" s="413"/>
      <c r="V119" s="419"/>
      <c r="W119" s="413"/>
      <c r="X119" s="420"/>
      <c r="Y119" s="421"/>
      <c r="Z119" s="412"/>
      <c r="AA119" s="417"/>
      <c r="AB119" s="413"/>
      <c r="AC119" s="422"/>
    </row>
    <row r="120" spans="1:29" x14ac:dyDescent="0.35">
      <c r="A120" s="406"/>
      <c r="B120" s="407"/>
      <c r="C120" s="408"/>
      <c r="D120" s="409"/>
      <c r="E120" s="410"/>
      <c r="F120" s="410"/>
      <c r="G120" s="409"/>
      <c r="H120" s="411"/>
      <c r="I120" s="412"/>
      <c r="J120" s="413"/>
      <c r="K120" s="414"/>
      <c r="L120" s="415"/>
      <c r="M120" s="414"/>
      <c r="N120" s="416"/>
      <c r="O120" s="417"/>
      <c r="P120" s="414"/>
      <c r="Q120" s="415"/>
      <c r="R120" s="414"/>
      <c r="S120" s="418"/>
      <c r="T120" s="412"/>
      <c r="U120" s="413"/>
      <c r="V120" s="419"/>
      <c r="W120" s="413"/>
      <c r="X120" s="420"/>
      <c r="Y120" s="421"/>
      <c r="Z120" s="412"/>
      <c r="AA120" s="417"/>
      <c r="AB120" s="413"/>
      <c r="AC120" s="422"/>
    </row>
    <row r="121" spans="1:29" x14ac:dyDescent="0.35">
      <c r="A121" s="406"/>
      <c r="B121" s="407"/>
      <c r="C121" s="408"/>
      <c r="D121" s="409"/>
      <c r="E121" s="410"/>
      <c r="F121" s="410"/>
      <c r="G121" s="409"/>
      <c r="H121" s="411"/>
      <c r="I121" s="412"/>
      <c r="J121" s="413"/>
      <c r="K121" s="414"/>
      <c r="L121" s="415"/>
      <c r="M121" s="414"/>
      <c r="N121" s="416"/>
      <c r="O121" s="417"/>
      <c r="P121" s="414"/>
      <c r="Q121" s="415"/>
      <c r="R121" s="414"/>
      <c r="S121" s="418"/>
      <c r="T121" s="412"/>
      <c r="U121" s="413"/>
      <c r="V121" s="419"/>
      <c r="W121" s="413"/>
      <c r="X121" s="420"/>
      <c r="Y121" s="421"/>
      <c r="Z121" s="412"/>
      <c r="AA121" s="417"/>
      <c r="AB121" s="413"/>
      <c r="AC121" s="422"/>
    </row>
    <row r="122" spans="1:29" x14ac:dyDescent="0.35">
      <c r="A122" s="406"/>
      <c r="B122" s="407"/>
      <c r="C122" s="408"/>
      <c r="D122" s="409"/>
      <c r="E122" s="410"/>
      <c r="F122" s="410"/>
      <c r="G122" s="409"/>
      <c r="H122" s="411"/>
      <c r="I122" s="412"/>
      <c r="J122" s="413"/>
      <c r="K122" s="414"/>
      <c r="L122" s="415"/>
      <c r="M122" s="414"/>
      <c r="N122" s="416"/>
      <c r="O122" s="417"/>
      <c r="P122" s="414"/>
      <c r="Q122" s="415"/>
      <c r="R122" s="414"/>
      <c r="S122" s="418"/>
      <c r="T122" s="412"/>
      <c r="U122" s="413"/>
      <c r="V122" s="419"/>
      <c r="W122" s="413"/>
      <c r="X122" s="420"/>
      <c r="Y122" s="421"/>
      <c r="Z122" s="412"/>
      <c r="AA122" s="417"/>
      <c r="AB122" s="413"/>
      <c r="AC122" s="422"/>
    </row>
    <row r="123" spans="1:29" x14ac:dyDescent="0.35">
      <c r="A123" s="406"/>
      <c r="B123" s="407"/>
      <c r="C123" s="408"/>
      <c r="D123" s="409"/>
      <c r="E123" s="410"/>
      <c r="F123" s="410"/>
      <c r="G123" s="409"/>
      <c r="H123" s="411"/>
      <c r="I123" s="412"/>
      <c r="J123" s="413"/>
      <c r="K123" s="414"/>
      <c r="L123" s="415"/>
      <c r="M123" s="414"/>
      <c r="N123" s="416"/>
      <c r="O123" s="417"/>
      <c r="P123" s="414"/>
      <c r="Q123" s="415"/>
      <c r="R123" s="414"/>
      <c r="S123" s="418"/>
      <c r="T123" s="412"/>
      <c r="U123" s="413"/>
      <c r="V123" s="419"/>
      <c r="W123" s="413"/>
      <c r="X123" s="420"/>
      <c r="Y123" s="421"/>
      <c r="Z123" s="412"/>
      <c r="AA123" s="417"/>
      <c r="AB123" s="413"/>
      <c r="AC123" s="422"/>
    </row>
    <row r="124" spans="1:29" x14ac:dyDescent="0.35">
      <c r="A124" s="406"/>
      <c r="B124" s="407"/>
      <c r="C124" s="408"/>
      <c r="D124" s="409"/>
      <c r="E124" s="410"/>
      <c r="F124" s="410"/>
      <c r="G124" s="409"/>
      <c r="H124" s="411"/>
      <c r="I124" s="412"/>
      <c r="J124" s="413"/>
      <c r="K124" s="414"/>
      <c r="L124" s="415"/>
      <c r="M124" s="414"/>
      <c r="N124" s="416"/>
      <c r="O124" s="417"/>
      <c r="P124" s="414"/>
      <c r="Q124" s="415"/>
      <c r="R124" s="414"/>
      <c r="S124" s="418"/>
      <c r="T124" s="412"/>
      <c r="U124" s="413"/>
      <c r="V124" s="419"/>
      <c r="W124" s="413"/>
      <c r="X124" s="420"/>
      <c r="Y124" s="421"/>
      <c r="Z124" s="412"/>
      <c r="AA124" s="417"/>
      <c r="AB124" s="413"/>
      <c r="AC124" s="422"/>
    </row>
    <row r="125" spans="1:29" x14ac:dyDescent="0.35">
      <c r="A125" s="406"/>
      <c r="B125" s="407"/>
      <c r="C125" s="408"/>
      <c r="D125" s="409"/>
      <c r="E125" s="410"/>
      <c r="F125" s="410"/>
      <c r="G125" s="409"/>
      <c r="H125" s="411"/>
      <c r="I125" s="412"/>
      <c r="J125" s="413"/>
      <c r="K125" s="414"/>
      <c r="L125" s="415"/>
      <c r="M125" s="414"/>
      <c r="N125" s="416"/>
      <c r="O125" s="417"/>
      <c r="P125" s="414"/>
      <c r="Q125" s="415"/>
      <c r="R125" s="414"/>
      <c r="S125" s="418"/>
      <c r="T125" s="412"/>
      <c r="U125" s="413"/>
      <c r="V125" s="419"/>
      <c r="W125" s="413"/>
      <c r="X125" s="420"/>
      <c r="Y125" s="421"/>
      <c r="Z125" s="412"/>
      <c r="AA125" s="417"/>
      <c r="AB125" s="413"/>
      <c r="AC125" s="422"/>
    </row>
    <row r="126" spans="1:29" x14ac:dyDescent="0.35">
      <c r="A126" s="406"/>
      <c r="B126" s="407"/>
      <c r="C126" s="408"/>
      <c r="D126" s="409"/>
      <c r="E126" s="410"/>
      <c r="F126" s="410"/>
      <c r="G126" s="409"/>
      <c r="H126" s="411"/>
      <c r="I126" s="412"/>
      <c r="J126" s="413"/>
      <c r="K126" s="414"/>
      <c r="L126" s="415"/>
      <c r="M126" s="414"/>
      <c r="N126" s="416"/>
      <c r="O126" s="417"/>
      <c r="P126" s="414"/>
      <c r="Q126" s="415"/>
      <c r="R126" s="414"/>
      <c r="S126" s="418"/>
      <c r="T126" s="412"/>
      <c r="U126" s="413"/>
      <c r="V126" s="419"/>
      <c r="W126" s="413"/>
      <c r="X126" s="420"/>
      <c r="Y126" s="421"/>
      <c r="Z126" s="412"/>
      <c r="AA126" s="417"/>
      <c r="AB126" s="413"/>
      <c r="AC126" s="422"/>
    </row>
    <row r="127" spans="1:29" x14ac:dyDescent="0.35">
      <c r="A127" s="406"/>
      <c r="B127" s="407"/>
      <c r="C127" s="408"/>
      <c r="D127" s="409"/>
      <c r="E127" s="410"/>
      <c r="F127" s="410"/>
      <c r="G127" s="409"/>
      <c r="H127" s="411"/>
      <c r="I127" s="412"/>
      <c r="J127" s="413"/>
      <c r="K127" s="414"/>
      <c r="L127" s="415"/>
      <c r="M127" s="414"/>
      <c r="N127" s="416"/>
      <c r="O127" s="417"/>
      <c r="P127" s="414"/>
      <c r="Q127" s="415"/>
      <c r="R127" s="414"/>
      <c r="S127" s="418"/>
      <c r="T127" s="412"/>
      <c r="U127" s="413"/>
      <c r="V127" s="419"/>
      <c r="W127" s="413"/>
      <c r="X127" s="420"/>
      <c r="Y127" s="421"/>
      <c r="Z127" s="412"/>
      <c r="AA127" s="417"/>
      <c r="AB127" s="413"/>
      <c r="AC127" s="422"/>
    </row>
    <row r="128" spans="1:29" x14ac:dyDescent="0.35">
      <c r="A128" s="406"/>
      <c r="B128" s="407"/>
      <c r="C128" s="408"/>
      <c r="D128" s="409"/>
      <c r="E128" s="410"/>
      <c r="F128" s="410"/>
      <c r="G128" s="409"/>
      <c r="H128" s="411"/>
      <c r="I128" s="412"/>
      <c r="J128" s="413"/>
      <c r="K128" s="414"/>
      <c r="L128" s="415"/>
      <c r="M128" s="414"/>
      <c r="N128" s="416"/>
      <c r="O128" s="417"/>
      <c r="P128" s="414"/>
      <c r="Q128" s="415"/>
      <c r="R128" s="414"/>
      <c r="S128" s="418"/>
      <c r="T128" s="412"/>
      <c r="U128" s="413"/>
      <c r="V128" s="419"/>
      <c r="W128" s="413"/>
      <c r="X128" s="420"/>
      <c r="Y128" s="421"/>
      <c r="Z128" s="412"/>
      <c r="AA128" s="417"/>
      <c r="AB128" s="413"/>
      <c r="AC128" s="422"/>
    </row>
    <row r="129" spans="1:29" x14ac:dyDescent="0.35">
      <c r="A129" s="406"/>
      <c r="B129" s="407"/>
      <c r="C129" s="408"/>
      <c r="D129" s="409"/>
      <c r="E129" s="410"/>
      <c r="F129" s="410"/>
      <c r="G129" s="409"/>
      <c r="H129" s="411"/>
      <c r="I129" s="412"/>
      <c r="J129" s="413"/>
      <c r="K129" s="414"/>
      <c r="L129" s="415"/>
      <c r="M129" s="414"/>
      <c r="N129" s="416"/>
      <c r="O129" s="417"/>
      <c r="P129" s="414"/>
      <c r="Q129" s="415"/>
      <c r="R129" s="414"/>
      <c r="S129" s="418"/>
      <c r="T129" s="412"/>
      <c r="U129" s="413"/>
      <c r="V129" s="419"/>
      <c r="W129" s="413"/>
      <c r="X129" s="420"/>
      <c r="Y129" s="421"/>
      <c r="Z129" s="412"/>
      <c r="AA129" s="417"/>
      <c r="AB129" s="413"/>
      <c r="AC129" s="422"/>
    </row>
    <row r="130" spans="1:29" x14ac:dyDescent="0.35">
      <c r="A130" s="406"/>
      <c r="B130" s="407"/>
      <c r="C130" s="408"/>
      <c r="D130" s="409"/>
      <c r="E130" s="410"/>
      <c r="F130" s="410"/>
      <c r="G130" s="409"/>
      <c r="H130" s="411"/>
      <c r="I130" s="412"/>
      <c r="J130" s="413"/>
      <c r="K130" s="414"/>
      <c r="L130" s="415"/>
      <c r="M130" s="414"/>
      <c r="N130" s="416"/>
      <c r="O130" s="417"/>
      <c r="P130" s="414"/>
      <c r="Q130" s="415"/>
      <c r="R130" s="414"/>
      <c r="S130" s="418"/>
      <c r="T130" s="412"/>
      <c r="U130" s="413"/>
      <c r="V130" s="419"/>
      <c r="W130" s="413"/>
      <c r="X130" s="420"/>
      <c r="Y130" s="421"/>
      <c r="Z130" s="412"/>
      <c r="AA130" s="417"/>
      <c r="AB130" s="413"/>
      <c r="AC130" s="422"/>
    </row>
    <row r="131" spans="1:29" x14ac:dyDescent="0.35">
      <c r="A131" s="406"/>
      <c r="B131" s="407"/>
      <c r="C131" s="408"/>
      <c r="D131" s="409"/>
      <c r="E131" s="410"/>
      <c r="F131" s="410"/>
      <c r="G131" s="409"/>
      <c r="H131" s="411"/>
      <c r="I131" s="412"/>
      <c r="J131" s="413"/>
      <c r="K131" s="414"/>
      <c r="L131" s="415"/>
      <c r="M131" s="414"/>
      <c r="N131" s="416"/>
      <c r="O131" s="417"/>
      <c r="P131" s="414"/>
      <c r="Q131" s="415"/>
      <c r="R131" s="414"/>
      <c r="S131" s="418"/>
      <c r="T131" s="412"/>
      <c r="U131" s="413"/>
      <c r="V131" s="419"/>
      <c r="W131" s="413"/>
      <c r="X131" s="420"/>
      <c r="Y131" s="421"/>
      <c r="Z131" s="412"/>
      <c r="AA131" s="417"/>
      <c r="AB131" s="413"/>
      <c r="AC131" s="422"/>
    </row>
    <row r="132" spans="1:29" x14ac:dyDescent="0.35">
      <c r="A132" s="406"/>
      <c r="B132" s="407"/>
      <c r="C132" s="408"/>
      <c r="D132" s="409"/>
      <c r="E132" s="410"/>
      <c r="F132" s="410"/>
      <c r="G132" s="409"/>
      <c r="H132" s="411"/>
      <c r="I132" s="412"/>
      <c r="J132" s="413"/>
      <c r="K132" s="414"/>
      <c r="L132" s="415"/>
      <c r="M132" s="414"/>
      <c r="N132" s="416"/>
      <c r="O132" s="417"/>
      <c r="P132" s="414"/>
      <c r="Q132" s="415"/>
      <c r="R132" s="414"/>
      <c r="S132" s="418"/>
      <c r="T132" s="412"/>
      <c r="U132" s="413"/>
      <c r="V132" s="419"/>
      <c r="W132" s="413"/>
      <c r="X132" s="420"/>
      <c r="Y132" s="421"/>
      <c r="Z132" s="412"/>
      <c r="AA132" s="417"/>
      <c r="AB132" s="413"/>
      <c r="AC132" s="422"/>
    </row>
    <row r="133" spans="1:29" x14ac:dyDescent="0.35">
      <c r="A133" s="406"/>
      <c r="B133" s="407"/>
      <c r="C133" s="408"/>
      <c r="D133" s="409"/>
      <c r="E133" s="410"/>
      <c r="F133" s="410"/>
      <c r="G133" s="409"/>
      <c r="H133" s="411"/>
      <c r="I133" s="412"/>
      <c r="J133" s="413"/>
      <c r="K133" s="414"/>
      <c r="L133" s="415"/>
      <c r="M133" s="414"/>
      <c r="N133" s="416"/>
      <c r="O133" s="417"/>
      <c r="P133" s="414"/>
      <c r="Q133" s="415"/>
      <c r="R133" s="414"/>
      <c r="S133" s="418"/>
      <c r="T133" s="412"/>
      <c r="U133" s="413"/>
      <c r="V133" s="419"/>
      <c r="W133" s="413"/>
      <c r="X133" s="420"/>
      <c r="Y133" s="421"/>
      <c r="Z133" s="412"/>
      <c r="AA133" s="417"/>
      <c r="AB133" s="413"/>
      <c r="AC133" s="422"/>
    </row>
    <row r="134" spans="1:29" x14ac:dyDescent="0.35">
      <c r="A134" s="406"/>
      <c r="B134" s="407"/>
      <c r="C134" s="408"/>
      <c r="D134" s="409"/>
      <c r="E134" s="410"/>
      <c r="F134" s="410"/>
      <c r="G134" s="409"/>
      <c r="H134" s="411"/>
      <c r="I134" s="412"/>
      <c r="J134" s="413"/>
      <c r="K134" s="414"/>
      <c r="L134" s="415"/>
      <c r="M134" s="414"/>
      <c r="N134" s="416"/>
      <c r="O134" s="417"/>
      <c r="P134" s="414"/>
      <c r="Q134" s="415"/>
      <c r="R134" s="414"/>
      <c r="S134" s="418"/>
      <c r="T134" s="412"/>
      <c r="U134" s="413"/>
      <c r="V134" s="419"/>
      <c r="W134" s="413"/>
      <c r="X134" s="420"/>
      <c r="Y134" s="421"/>
      <c r="Z134" s="412"/>
      <c r="AA134" s="417"/>
      <c r="AB134" s="413"/>
      <c r="AC134" s="422"/>
    </row>
    <row r="135" spans="1:29" x14ac:dyDescent="0.35">
      <c r="A135" s="406"/>
      <c r="B135" s="407"/>
      <c r="C135" s="408"/>
      <c r="D135" s="409"/>
      <c r="E135" s="410"/>
      <c r="F135" s="410"/>
      <c r="G135" s="409"/>
      <c r="H135" s="411"/>
      <c r="I135" s="412"/>
      <c r="J135" s="413"/>
      <c r="K135" s="414"/>
      <c r="L135" s="415"/>
      <c r="M135" s="414"/>
      <c r="N135" s="416"/>
      <c r="O135" s="417"/>
      <c r="P135" s="414"/>
      <c r="Q135" s="415"/>
      <c r="R135" s="414"/>
      <c r="S135" s="418"/>
      <c r="T135" s="412"/>
      <c r="U135" s="413"/>
      <c r="V135" s="419"/>
      <c r="W135" s="413"/>
      <c r="X135" s="420"/>
      <c r="Y135" s="421"/>
      <c r="Z135" s="412"/>
      <c r="AA135" s="417"/>
      <c r="AB135" s="413"/>
      <c r="AC135" s="422"/>
    </row>
    <row r="136" spans="1:29" x14ac:dyDescent="0.35">
      <c r="A136" s="406"/>
      <c r="B136" s="407"/>
      <c r="C136" s="408"/>
      <c r="D136" s="409"/>
      <c r="E136" s="410"/>
      <c r="F136" s="410"/>
      <c r="G136" s="409"/>
      <c r="H136" s="411"/>
      <c r="I136" s="412"/>
      <c r="J136" s="413"/>
      <c r="K136" s="414"/>
      <c r="L136" s="415"/>
      <c r="M136" s="414"/>
      <c r="N136" s="416"/>
      <c r="O136" s="417"/>
      <c r="P136" s="414"/>
      <c r="Q136" s="415"/>
      <c r="R136" s="414"/>
      <c r="S136" s="418"/>
      <c r="T136" s="412"/>
      <c r="U136" s="413"/>
      <c r="V136" s="419"/>
      <c r="W136" s="413"/>
      <c r="X136" s="420"/>
      <c r="Y136" s="421"/>
      <c r="Z136" s="412"/>
      <c r="AA136" s="417"/>
      <c r="AB136" s="413"/>
      <c r="AC136" s="422"/>
    </row>
    <row r="137" spans="1:29" x14ac:dyDescent="0.35">
      <c r="A137" s="406"/>
      <c r="B137" s="407"/>
      <c r="C137" s="408"/>
      <c r="D137" s="409"/>
      <c r="E137" s="410"/>
      <c r="F137" s="410"/>
      <c r="G137" s="409"/>
      <c r="H137" s="411"/>
      <c r="I137" s="412"/>
      <c r="J137" s="413"/>
      <c r="K137" s="414"/>
      <c r="L137" s="415"/>
      <c r="M137" s="414"/>
      <c r="N137" s="416"/>
      <c r="O137" s="417"/>
      <c r="P137" s="414"/>
      <c r="Q137" s="415"/>
      <c r="R137" s="414"/>
      <c r="S137" s="418"/>
      <c r="T137" s="412"/>
      <c r="U137" s="413"/>
      <c r="V137" s="419"/>
      <c r="W137" s="413"/>
      <c r="X137" s="420"/>
      <c r="Y137" s="421"/>
      <c r="Z137" s="412"/>
      <c r="AA137" s="417"/>
      <c r="AB137" s="413"/>
      <c r="AC137" s="422"/>
    </row>
    <row r="138" spans="1:29" x14ac:dyDescent="0.35">
      <c r="A138" s="406"/>
      <c r="B138" s="407"/>
      <c r="C138" s="408"/>
      <c r="D138" s="409"/>
      <c r="E138" s="410"/>
      <c r="F138" s="410"/>
      <c r="G138" s="409"/>
      <c r="H138" s="411"/>
      <c r="I138" s="412"/>
      <c r="J138" s="413"/>
      <c r="K138" s="414"/>
      <c r="L138" s="415"/>
      <c r="M138" s="414"/>
      <c r="N138" s="416"/>
      <c r="O138" s="417"/>
      <c r="P138" s="414"/>
      <c r="Q138" s="415"/>
      <c r="R138" s="414"/>
      <c r="S138" s="418"/>
      <c r="T138" s="412"/>
      <c r="U138" s="413"/>
      <c r="V138" s="419"/>
      <c r="W138" s="413"/>
      <c r="X138" s="420"/>
      <c r="Y138" s="421"/>
      <c r="Z138" s="412"/>
      <c r="AA138" s="417"/>
      <c r="AB138" s="413"/>
      <c r="AC138" s="422"/>
    </row>
    <row r="139" spans="1:29" x14ac:dyDescent="0.35">
      <c r="A139" s="406"/>
      <c r="B139" s="407"/>
      <c r="C139" s="408"/>
      <c r="D139" s="409"/>
      <c r="E139" s="410"/>
      <c r="F139" s="410"/>
      <c r="G139" s="409"/>
      <c r="H139" s="411"/>
      <c r="I139" s="412"/>
      <c r="J139" s="413"/>
      <c r="K139" s="414"/>
      <c r="L139" s="415"/>
      <c r="M139" s="414"/>
      <c r="N139" s="416"/>
      <c r="O139" s="417"/>
      <c r="P139" s="414"/>
      <c r="Q139" s="415"/>
      <c r="R139" s="414"/>
      <c r="S139" s="418"/>
      <c r="T139" s="412"/>
      <c r="U139" s="413"/>
      <c r="V139" s="419"/>
      <c r="W139" s="413"/>
      <c r="X139" s="420"/>
      <c r="Y139" s="421"/>
      <c r="Z139" s="412"/>
      <c r="AA139" s="417"/>
      <c r="AB139" s="413"/>
      <c r="AC139" s="422"/>
    </row>
    <row r="140" spans="1:29" x14ac:dyDescent="0.35">
      <c r="A140" s="406"/>
      <c r="B140" s="407"/>
      <c r="C140" s="408"/>
      <c r="D140" s="409"/>
      <c r="E140" s="410"/>
      <c r="F140" s="410"/>
      <c r="G140" s="409"/>
      <c r="H140" s="411"/>
      <c r="I140" s="412"/>
      <c r="J140" s="413"/>
      <c r="K140" s="414"/>
      <c r="L140" s="415"/>
      <c r="M140" s="414"/>
      <c r="N140" s="416"/>
      <c r="O140" s="417"/>
      <c r="P140" s="414"/>
      <c r="Q140" s="415"/>
      <c r="R140" s="414"/>
      <c r="S140" s="418"/>
      <c r="T140" s="412"/>
      <c r="U140" s="413"/>
      <c r="V140" s="419"/>
      <c r="W140" s="413"/>
      <c r="X140" s="420"/>
      <c r="Y140" s="421"/>
      <c r="Z140" s="412"/>
      <c r="AA140" s="417"/>
      <c r="AB140" s="413"/>
      <c r="AC140" s="422"/>
    </row>
    <row r="141" spans="1:29" x14ac:dyDescent="0.35">
      <c r="A141" s="406"/>
      <c r="B141" s="407"/>
      <c r="C141" s="408"/>
      <c r="D141" s="409"/>
      <c r="E141" s="410"/>
      <c r="F141" s="410"/>
      <c r="G141" s="409"/>
      <c r="H141" s="411"/>
      <c r="I141" s="412"/>
      <c r="J141" s="413"/>
      <c r="K141" s="414"/>
      <c r="L141" s="415"/>
      <c r="M141" s="414"/>
      <c r="N141" s="416"/>
      <c r="O141" s="417"/>
      <c r="P141" s="414"/>
      <c r="Q141" s="415"/>
      <c r="R141" s="414"/>
      <c r="S141" s="418"/>
      <c r="T141" s="412"/>
      <c r="U141" s="413"/>
      <c r="V141" s="419"/>
      <c r="W141" s="413"/>
      <c r="X141" s="420"/>
      <c r="Y141" s="421"/>
      <c r="Z141" s="412"/>
      <c r="AA141" s="417"/>
      <c r="AB141" s="413"/>
      <c r="AC141" s="422"/>
    </row>
    <row r="142" spans="1:29" x14ac:dyDescent="0.35">
      <c r="A142" s="406"/>
      <c r="B142" s="407"/>
      <c r="C142" s="408"/>
      <c r="D142" s="409"/>
      <c r="E142" s="410"/>
      <c r="F142" s="410"/>
      <c r="G142" s="409"/>
      <c r="H142" s="411"/>
      <c r="I142" s="412"/>
      <c r="J142" s="413"/>
      <c r="K142" s="414"/>
      <c r="L142" s="415"/>
      <c r="M142" s="414"/>
      <c r="N142" s="416"/>
      <c r="O142" s="417"/>
      <c r="P142" s="414"/>
      <c r="Q142" s="415"/>
      <c r="R142" s="414"/>
      <c r="S142" s="418"/>
      <c r="T142" s="412"/>
      <c r="U142" s="413"/>
      <c r="V142" s="419"/>
      <c r="W142" s="413"/>
      <c r="X142" s="420"/>
      <c r="Y142" s="421"/>
      <c r="Z142" s="412"/>
      <c r="AA142" s="417"/>
      <c r="AB142" s="413"/>
      <c r="AC142" s="422"/>
    </row>
    <row r="143" spans="1:29" x14ac:dyDescent="0.35">
      <c r="A143" s="406"/>
      <c r="B143" s="407"/>
      <c r="C143" s="408"/>
      <c r="D143" s="409"/>
      <c r="E143" s="410"/>
      <c r="F143" s="410"/>
      <c r="G143" s="409"/>
      <c r="H143" s="411"/>
      <c r="I143" s="412"/>
      <c r="J143" s="413"/>
      <c r="K143" s="414"/>
      <c r="L143" s="415"/>
      <c r="M143" s="414"/>
      <c r="N143" s="416"/>
      <c r="O143" s="417"/>
      <c r="P143" s="414"/>
      <c r="Q143" s="415"/>
      <c r="R143" s="414"/>
      <c r="S143" s="418"/>
      <c r="T143" s="412"/>
      <c r="U143" s="413"/>
      <c r="V143" s="419"/>
      <c r="W143" s="413"/>
      <c r="X143" s="420"/>
      <c r="Y143" s="421"/>
      <c r="Z143" s="412"/>
      <c r="AA143" s="417"/>
      <c r="AB143" s="413"/>
      <c r="AC143" s="422"/>
    </row>
    <row r="144" spans="1:29" x14ac:dyDescent="0.35">
      <c r="A144" s="406"/>
      <c r="B144" s="407"/>
      <c r="C144" s="408"/>
      <c r="D144" s="409"/>
      <c r="E144" s="410"/>
      <c r="F144" s="410"/>
      <c r="G144" s="409"/>
      <c r="H144" s="411"/>
      <c r="I144" s="412"/>
      <c r="J144" s="413"/>
      <c r="K144" s="414"/>
      <c r="L144" s="415"/>
      <c r="M144" s="414"/>
      <c r="N144" s="416"/>
      <c r="O144" s="417"/>
      <c r="P144" s="414"/>
      <c r="Q144" s="415"/>
      <c r="R144" s="414"/>
      <c r="S144" s="418"/>
      <c r="T144" s="412"/>
      <c r="U144" s="413"/>
      <c r="V144" s="419"/>
      <c r="W144" s="413"/>
      <c r="X144" s="420"/>
      <c r="Y144" s="421"/>
      <c r="Z144" s="412"/>
      <c r="AA144" s="417"/>
      <c r="AB144" s="413"/>
      <c r="AC144" s="422"/>
    </row>
    <row r="145" spans="1:29" x14ac:dyDescent="0.35">
      <c r="A145" s="406"/>
      <c r="B145" s="407"/>
      <c r="C145" s="408"/>
      <c r="D145" s="409"/>
      <c r="E145" s="410"/>
      <c r="F145" s="410"/>
      <c r="G145" s="409"/>
      <c r="H145" s="411"/>
      <c r="I145" s="412"/>
      <c r="J145" s="413"/>
      <c r="K145" s="414"/>
      <c r="L145" s="415"/>
      <c r="M145" s="414"/>
      <c r="N145" s="416"/>
      <c r="O145" s="417"/>
      <c r="P145" s="414"/>
      <c r="Q145" s="415"/>
      <c r="R145" s="414"/>
      <c r="S145" s="418"/>
      <c r="T145" s="412"/>
      <c r="U145" s="413"/>
      <c r="V145" s="419"/>
      <c r="W145" s="413"/>
      <c r="X145" s="420"/>
      <c r="Y145" s="421"/>
      <c r="Z145" s="412"/>
      <c r="AA145" s="417"/>
      <c r="AB145" s="413"/>
      <c r="AC145" s="422"/>
    </row>
    <row r="146" spans="1:29" x14ac:dyDescent="0.35">
      <c r="A146" s="406"/>
      <c r="B146" s="407"/>
      <c r="C146" s="408"/>
      <c r="D146" s="409"/>
      <c r="E146" s="410"/>
      <c r="F146" s="410"/>
      <c r="G146" s="409"/>
      <c r="H146" s="411"/>
      <c r="I146" s="412"/>
      <c r="J146" s="413"/>
      <c r="K146" s="414"/>
      <c r="L146" s="415"/>
      <c r="M146" s="414"/>
      <c r="N146" s="416"/>
      <c r="O146" s="417"/>
      <c r="P146" s="414"/>
      <c r="Q146" s="415"/>
      <c r="R146" s="414"/>
      <c r="S146" s="418"/>
      <c r="T146" s="412"/>
      <c r="U146" s="413"/>
      <c r="V146" s="419"/>
      <c r="W146" s="413"/>
      <c r="X146" s="420"/>
      <c r="Y146" s="421"/>
      <c r="Z146" s="412"/>
      <c r="AA146" s="417"/>
      <c r="AB146" s="413"/>
      <c r="AC146" s="422"/>
    </row>
    <row r="147" spans="1:29" x14ac:dyDescent="0.35">
      <c r="A147" s="406"/>
      <c r="B147" s="407"/>
      <c r="C147" s="408"/>
      <c r="D147" s="409"/>
      <c r="E147" s="410"/>
      <c r="F147" s="410"/>
      <c r="G147" s="409"/>
      <c r="H147" s="411"/>
      <c r="I147" s="412"/>
      <c r="J147" s="413"/>
      <c r="K147" s="414"/>
      <c r="L147" s="415"/>
      <c r="M147" s="414"/>
      <c r="N147" s="416"/>
      <c r="O147" s="417"/>
      <c r="P147" s="414"/>
      <c r="Q147" s="415"/>
      <c r="R147" s="414"/>
      <c r="S147" s="418"/>
      <c r="T147" s="412"/>
      <c r="U147" s="413"/>
      <c r="V147" s="419"/>
      <c r="W147" s="413"/>
      <c r="X147" s="420"/>
      <c r="Y147" s="421"/>
      <c r="Z147" s="412"/>
      <c r="AA147" s="417"/>
      <c r="AB147" s="413"/>
      <c r="AC147" s="422"/>
    </row>
    <row r="148" spans="1:29" x14ac:dyDescent="0.35">
      <c r="A148" s="406"/>
      <c r="B148" s="407"/>
      <c r="C148" s="408"/>
      <c r="D148" s="409"/>
      <c r="E148" s="410"/>
      <c r="F148" s="410"/>
      <c r="G148" s="409"/>
      <c r="H148" s="411"/>
      <c r="I148" s="412"/>
      <c r="J148" s="413"/>
      <c r="K148" s="414"/>
      <c r="L148" s="415"/>
      <c r="M148" s="414"/>
      <c r="N148" s="416"/>
      <c r="O148" s="417"/>
      <c r="P148" s="414"/>
      <c r="Q148" s="415"/>
      <c r="R148" s="414"/>
      <c r="S148" s="418"/>
      <c r="T148" s="412"/>
      <c r="U148" s="413"/>
      <c r="V148" s="419"/>
      <c r="W148" s="413"/>
      <c r="X148" s="420"/>
      <c r="Y148" s="421"/>
      <c r="Z148" s="412"/>
      <c r="AA148" s="417"/>
      <c r="AB148" s="413"/>
      <c r="AC148" s="422"/>
    </row>
    <row r="149" spans="1:29" x14ac:dyDescent="0.35">
      <c r="A149" s="406"/>
      <c r="B149" s="407"/>
      <c r="C149" s="408"/>
      <c r="D149" s="409"/>
      <c r="E149" s="410"/>
      <c r="F149" s="410"/>
      <c r="G149" s="409"/>
      <c r="H149" s="411"/>
      <c r="I149" s="412"/>
      <c r="J149" s="413"/>
      <c r="K149" s="414"/>
      <c r="L149" s="415"/>
      <c r="M149" s="414"/>
      <c r="N149" s="416"/>
      <c r="O149" s="417"/>
      <c r="P149" s="414"/>
      <c r="Q149" s="415"/>
      <c r="R149" s="414"/>
      <c r="S149" s="418"/>
      <c r="T149" s="412"/>
      <c r="U149" s="413"/>
      <c r="V149" s="419"/>
      <c r="W149" s="413"/>
      <c r="X149" s="420"/>
      <c r="Y149" s="421"/>
      <c r="Z149" s="412"/>
      <c r="AA149" s="417"/>
      <c r="AB149" s="413"/>
      <c r="AC149" s="422"/>
    </row>
    <row r="150" spans="1:29" x14ac:dyDescent="0.35">
      <c r="A150" s="406"/>
      <c r="B150" s="407"/>
      <c r="C150" s="408"/>
      <c r="D150" s="409"/>
      <c r="E150" s="410"/>
      <c r="F150" s="410"/>
      <c r="G150" s="409"/>
      <c r="H150" s="411"/>
      <c r="I150" s="412"/>
      <c r="J150" s="413"/>
      <c r="K150" s="414"/>
      <c r="L150" s="415"/>
      <c r="M150" s="414"/>
      <c r="N150" s="416"/>
      <c r="O150" s="417"/>
      <c r="P150" s="414"/>
      <c r="Q150" s="415"/>
      <c r="R150" s="414"/>
      <c r="S150" s="418"/>
      <c r="T150" s="412"/>
      <c r="U150" s="413"/>
      <c r="V150" s="419"/>
      <c r="W150" s="413"/>
      <c r="X150" s="420"/>
      <c r="Y150" s="421"/>
      <c r="Z150" s="412"/>
      <c r="AA150" s="417"/>
      <c r="AB150" s="413"/>
      <c r="AC150" s="422"/>
    </row>
    <row r="151" spans="1:29" x14ac:dyDescent="0.35">
      <c r="A151" s="406"/>
      <c r="B151" s="407"/>
      <c r="C151" s="408"/>
      <c r="D151" s="409"/>
      <c r="E151" s="410"/>
      <c r="F151" s="410"/>
      <c r="G151" s="409"/>
      <c r="H151" s="411"/>
      <c r="I151" s="412"/>
      <c r="J151" s="413"/>
      <c r="K151" s="414"/>
      <c r="L151" s="415"/>
      <c r="M151" s="414"/>
      <c r="N151" s="416"/>
      <c r="O151" s="417"/>
      <c r="P151" s="414"/>
      <c r="Q151" s="415"/>
      <c r="R151" s="414"/>
      <c r="S151" s="418"/>
      <c r="T151" s="412"/>
      <c r="U151" s="413"/>
      <c r="V151" s="419"/>
      <c r="W151" s="413"/>
      <c r="X151" s="420"/>
      <c r="Y151" s="421"/>
      <c r="Z151" s="412"/>
      <c r="AA151" s="417"/>
      <c r="AB151" s="413"/>
      <c r="AC151" s="422"/>
    </row>
    <row r="152" spans="1:29" x14ac:dyDescent="0.35">
      <c r="A152" s="406"/>
      <c r="B152" s="407"/>
      <c r="C152" s="408"/>
      <c r="D152" s="409"/>
      <c r="E152" s="410"/>
      <c r="F152" s="410"/>
      <c r="G152" s="409"/>
      <c r="H152" s="411"/>
      <c r="I152" s="412"/>
      <c r="J152" s="413"/>
      <c r="K152" s="414"/>
      <c r="L152" s="415"/>
      <c r="M152" s="414"/>
      <c r="N152" s="416"/>
      <c r="O152" s="417"/>
      <c r="P152" s="414"/>
      <c r="Q152" s="415"/>
      <c r="R152" s="414"/>
      <c r="S152" s="418"/>
      <c r="T152" s="412"/>
      <c r="U152" s="413"/>
      <c r="V152" s="419"/>
      <c r="W152" s="413"/>
      <c r="X152" s="420"/>
      <c r="Y152" s="421"/>
      <c r="Z152" s="412"/>
      <c r="AA152" s="417"/>
      <c r="AB152" s="413"/>
      <c r="AC152" s="422"/>
    </row>
    <row r="153" spans="1:29" x14ac:dyDescent="0.35">
      <c r="A153" s="406"/>
      <c r="B153" s="407"/>
      <c r="C153" s="408"/>
      <c r="D153" s="409"/>
      <c r="E153" s="410"/>
      <c r="F153" s="410"/>
      <c r="G153" s="409"/>
      <c r="H153" s="411"/>
      <c r="I153" s="412"/>
      <c r="J153" s="413"/>
      <c r="K153" s="414"/>
      <c r="L153" s="415"/>
      <c r="M153" s="414"/>
      <c r="N153" s="416"/>
      <c r="O153" s="417"/>
      <c r="P153" s="414"/>
      <c r="Q153" s="415"/>
      <c r="R153" s="414"/>
      <c r="S153" s="418"/>
      <c r="T153" s="412"/>
      <c r="U153" s="413"/>
      <c r="V153" s="419"/>
      <c r="W153" s="413"/>
      <c r="X153" s="420"/>
      <c r="Y153" s="421"/>
      <c r="Z153" s="412"/>
      <c r="AA153" s="417"/>
      <c r="AB153" s="413"/>
      <c r="AC153" s="422"/>
    </row>
    <row r="154" spans="1:29" x14ac:dyDescent="0.35">
      <c r="A154" s="406"/>
      <c r="B154" s="407"/>
      <c r="C154" s="408"/>
      <c r="D154" s="409"/>
      <c r="E154" s="410"/>
      <c r="F154" s="410"/>
      <c r="G154" s="409"/>
      <c r="H154" s="411"/>
      <c r="I154" s="412"/>
      <c r="J154" s="413"/>
      <c r="K154" s="414"/>
      <c r="L154" s="415"/>
      <c r="M154" s="414"/>
      <c r="N154" s="416"/>
      <c r="O154" s="417"/>
      <c r="P154" s="414"/>
      <c r="Q154" s="415"/>
      <c r="R154" s="414"/>
      <c r="S154" s="418"/>
      <c r="T154" s="412"/>
      <c r="U154" s="413"/>
      <c r="V154" s="419"/>
      <c r="W154" s="413"/>
      <c r="X154" s="420"/>
      <c r="Y154" s="421"/>
      <c r="Z154" s="412"/>
      <c r="AA154" s="417"/>
      <c r="AB154" s="413"/>
      <c r="AC154" s="422"/>
    </row>
    <row r="155" spans="1:29" x14ac:dyDescent="0.35">
      <c r="A155" s="406"/>
      <c r="B155" s="407"/>
      <c r="C155" s="408"/>
      <c r="D155" s="409"/>
      <c r="E155" s="410"/>
      <c r="F155" s="410"/>
      <c r="G155" s="409"/>
      <c r="H155" s="411"/>
      <c r="I155" s="412"/>
      <c r="J155" s="413"/>
      <c r="K155" s="414"/>
      <c r="L155" s="415"/>
      <c r="M155" s="414"/>
      <c r="N155" s="416"/>
      <c r="O155" s="417"/>
      <c r="P155" s="414"/>
      <c r="Q155" s="415"/>
      <c r="R155" s="414"/>
      <c r="S155" s="418"/>
      <c r="T155" s="412"/>
      <c r="U155" s="413"/>
      <c r="V155" s="419"/>
      <c r="W155" s="413"/>
      <c r="X155" s="420"/>
      <c r="Y155" s="421"/>
      <c r="Z155" s="412"/>
      <c r="AA155" s="417"/>
      <c r="AB155" s="413"/>
      <c r="AC155" s="422"/>
    </row>
    <row r="156" spans="1:29" x14ac:dyDescent="0.35">
      <c r="A156" s="406"/>
      <c r="B156" s="407"/>
      <c r="C156" s="408"/>
      <c r="D156" s="409"/>
      <c r="E156" s="410"/>
      <c r="F156" s="410"/>
      <c r="G156" s="409"/>
      <c r="H156" s="411"/>
      <c r="I156" s="412"/>
      <c r="J156" s="413"/>
      <c r="K156" s="414"/>
      <c r="L156" s="415"/>
      <c r="M156" s="414"/>
      <c r="N156" s="416"/>
      <c r="O156" s="417"/>
      <c r="P156" s="414"/>
      <c r="Q156" s="415"/>
      <c r="R156" s="414"/>
      <c r="S156" s="418"/>
      <c r="T156" s="412"/>
      <c r="U156" s="413"/>
      <c r="V156" s="419"/>
      <c r="W156" s="413"/>
      <c r="X156" s="420"/>
      <c r="Y156" s="421"/>
      <c r="Z156" s="412"/>
      <c r="AA156" s="417"/>
      <c r="AB156" s="413"/>
      <c r="AC156" s="422"/>
    </row>
    <row r="157" spans="1:29" x14ac:dyDescent="0.35">
      <c r="A157" s="406"/>
      <c r="B157" s="407"/>
      <c r="C157" s="408"/>
      <c r="D157" s="409"/>
      <c r="E157" s="410"/>
      <c r="F157" s="410"/>
      <c r="G157" s="409"/>
      <c r="H157" s="411"/>
      <c r="I157" s="412"/>
      <c r="J157" s="413"/>
      <c r="K157" s="414"/>
      <c r="L157" s="415"/>
      <c r="M157" s="414"/>
      <c r="N157" s="416"/>
      <c r="O157" s="417"/>
      <c r="P157" s="414"/>
      <c r="Q157" s="415"/>
      <c r="R157" s="414"/>
      <c r="S157" s="418"/>
      <c r="T157" s="412"/>
      <c r="U157" s="413"/>
      <c r="V157" s="419"/>
      <c r="W157" s="413"/>
      <c r="X157" s="420"/>
      <c r="Y157" s="421"/>
      <c r="Z157" s="412"/>
      <c r="AA157" s="417"/>
      <c r="AB157" s="413"/>
      <c r="AC157" s="422"/>
    </row>
    <row r="158" spans="1:29" x14ac:dyDescent="0.35">
      <c r="A158" s="406"/>
      <c r="B158" s="407"/>
      <c r="C158" s="408"/>
      <c r="D158" s="409"/>
      <c r="E158" s="410"/>
      <c r="F158" s="410"/>
      <c r="G158" s="409"/>
      <c r="H158" s="411"/>
      <c r="I158" s="412"/>
      <c r="J158" s="413"/>
      <c r="K158" s="414"/>
      <c r="L158" s="415"/>
      <c r="M158" s="414"/>
      <c r="N158" s="416"/>
      <c r="O158" s="417"/>
      <c r="P158" s="414"/>
      <c r="Q158" s="415"/>
      <c r="R158" s="414"/>
      <c r="S158" s="418"/>
      <c r="T158" s="412"/>
      <c r="U158" s="413"/>
      <c r="V158" s="419"/>
      <c r="W158" s="413"/>
      <c r="X158" s="420"/>
      <c r="Y158" s="421"/>
      <c r="Z158" s="412"/>
      <c r="AA158" s="417"/>
      <c r="AB158" s="413"/>
      <c r="AC158" s="422"/>
    </row>
    <row r="159" spans="1:29" x14ac:dyDescent="0.35">
      <c r="A159" s="406"/>
      <c r="B159" s="407"/>
      <c r="C159" s="408"/>
      <c r="D159" s="409"/>
      <c r="E159" s="410"/>
      <c r="F159" s="410"/>
      <c r="G159" s="409"/>
      <c r="H159" s="411"/>
      <c r="I159" s="412"/>
      <c r="J159" s="413"/>
      <c r="K159" s="414"/>
      <c r="L159" s="415"/>
      <c r="M159" s="414"/>
      <c r="N159" s="416"/>
      <c r="O159" s="417"/>
      <c r="P159" s="414"/>
      <c r="Q159" s="415"/>
      <c r="R159" s="414"/>
      <c r="S159" s="418"/>
      <c r="T159" s="412"/>
      <c r="U159" s="413"/>
      <c r="V159" s="419"/>
      <c r="W159" s="413"/>
      <c r="X159" s="420"/>
      <c r="Y159" s="421"/>
      <c r="Z159" s="412"/>
      <c r="AA159" s="417"/>
      <c r="AB159" s="413"/>
      <c r="AC159" s="422"/>
    </row>
    <row r="160" spans="1:29" x14ac:dyDescent="0.35">
      <c r="A160" s="406"/>
      <c r="B160" s="407"/>
      <c r="C160" s="408"/>
      <c r="D160" s="409"/>
      <c r="E160" s="410"/>
      <c r="F160" s="410"/>
      <c r="G160" s="409"/>
      <c r="H160" s="411"/>
      <c r="I160" s="412"/>
      <c r="J160" s="413"/>
      <c r="K160" s="414"/>
      <c r="L160" s="415"/>
      <c r="M160" s="414"/>
      <c r="N160" s="416"/>
      <c r="O160" s="417"/>
      <c r="P160" s="414"/>
      <c r="Q160" s="415"/>
      <c r="R160" s="414"/>
      <c r="S160" s="418"/>
      <c r="T160" s="412"/>
      <c r="U160" s="413"/>
      <c r="V160" s="419"/>
      <c r="W160" s="413"/>
      <c r="X160" s="420"/>
      <c r="Y160" s="421"/>
      <c r="Z160" s="412"/>
      <c r="AA160" s="417"/>
      <c r="AB160" s="413"/>
      <c r="AC160" s="422"/>
    </row>
    <row r="161" spans="1:29" x14ac:dyDescent="0.35">
      <c r="A161" s="406"/>
      <c r="B161" s="407"/>
      <c r="C161" s="408"/>
      <c r="D161" s="409"/>
      <c r="E161" s="410"/>
      <c r="F161" s="410"/>
      <c r="G161" s="409"/>
      <c r="H161" s="411"/>
      <c r="I161" s="412"/>
      <c r="J161" s="413"/>
      <c r="K161" s="414"/>
      <c r="L161" s="415"/>
      <c r="M161" s="414"/>
      <c r="N161" s="416"/>
      <c r="O161" s="417"/>
      <c r="P161" s="414"/>
      <c r="Q161" s="415"/>
      <c r="R161" s="414"/>
      <c r="S161" s="418"/>
      <c r="T161" s="412"/>
      <c r="U161" s="413"/>
      <c r="V161" s="419"/>
      <c r="W161" s="413"/>
      <c r="X161" s="420"/>
      <c r="Y161" s="421"/>
      <c r="Z161" s="412"/>
      <c r="AA161" s="417"/>
      <c r="AB161" s="413"/>
      <c r="AC161" s="422"/>
    </row>
    <row r="162" spans="1:29" x14ac:dyDescent="0.35">
      <c r="A162" s="406"/>
      <c r="B162" s="407"/>
      <c r="C162" s="408"/>
      <c r="D162" s="409"/>
      <c r="E162" s="410"/>
      <c r="F162" s="410"/>
      <c r="G162" s="409"/>
      <c r="H162" s="411"/>
      <c r="I162" s="412"/>
      <c r="J162" s="413"/>
      <c r="K162" s="414"/>
      <c r="L162" s="415"/>
      <c r="M162" s="414"/>
      <c r="N162" s="416"/>
      <c r="O162" s="417"/>
      <c r="P162" s="414"/>
      <c r="Q162" s="415"/>
      <c r="R162" s="414"/>
      <c r="S162" s="418"/>
      <c r="T162" s="412"/>
      <c r="U162" s="413"/>
      <c r="V162" s="419"/>
      <c r="W162" s="413"/>
      <c r="X162" s="420"/>
      <c r="Y162" s="421"/>
      <c r="Z162" s="412"/>
      <c r="AA162" s="417"/>
      <c r="AB162" s="413"/>
      <c r="AC162" s="422"/>
    </row>
    <row r="163" spans="1:29" x14ac:dyDescent="0.35">
      <c r="A163" s="406"/>
      <c r="B163" s="407"/>
      <c r="C163" s="408"/>
      <c r="D163" s="409"/>
      <c r="E163" s="410"/>
      <c r="F163" s="410"/>
      <c r="G163" s="409"/>
      <c r="H163" s="411"/>
      <c r="I163" s="412"/>
      <c r="J163" s="413"/>
      <c r="K163" s="414"/>
      <c r="L163" s="415"/>
      <c r="M163" s="414"/>
      <c r="N163" s="416"/>
      <c r="O163" s="417"/>
      <c r="P163" s="414"/>
      <c r="Q163" s="415"/>
      <c r="R163" s="414"/>
      <c r="S163" s="418"/>
      <c r="T163" s="412"/>
      <c r="U163" s="413"/>
      <c r="V163" s="419"/>
      <c r="W163" s="413"/>
      <c r="X163" s="420"/>
      <c r="Y163" s="421"/>
      <c r="Z163" s="412"/>
      <c r="AA163" s="417"/>
      <c r="AB163" s="413"/>
      <c r="AC163" s="422"/>
    </row>
    <row r="164" spans="1:29" x14ac:dyDescent="0.35">
      <c r="A164" s="406"/>
      <c r="B164" s="407"/>
      <c r="C164" s="408"/>
      <c r="D164" s="409"/>
      <c r="E164" s="410"/>
      <c r="F164" s="410"/>
      <c r="G164" s="409"/>
      <c r="H164" s="411"/>
      <c r="I164" s="412"/>
      <c r="J164" s="413"/>
      <c r="K164" s="414"/>
      <c r="L164" s="415"/>
      <c r="M164" s="414"/>
      <c r="N164" s="416"/>
      <c r="O164" s="417"/>
      <c r="P164" s="414"/>
      <c r="Q164" s="415"/>
      <c r="R164" s="414"/>
      <c r="S164" s="418"/>
      <c r="T164" s="412"/>
      <c r="U164" s="413"/>
      <c r="V164" s="419"/>
      <c r="W164" s="413"/>
      <c r="X164" s="420"/>
      <c r="Y164" s="421"/>
      <c r="Z164" s="412"/>
      <c r="AA164" s="417"/>
      <c r="AB164" s="413"/>
      <c r="AC164" s="422"/>
    </row>
    <row r="165" spans="1:29" x14ac:dyDescent="0.35">
      <c r="A165" s="406"/>
      <c r="B165" s="407"/>
      <c r="C165" s="408"/>
      <c r="D165" s="409"/>
      <c r="E165" s="410"/>
      <c r="F165" s="410"/>
      <c r="G165" s="409"/>
      <c r="H165" s="411"/>
      <c r="I165" s="412"/>
      <c r="J165" s="413"/>
      <c r="K165" s="414"/>
      <c r="L165" s="415"/>
      <c r="M165" s="414"/>
      <c r="N165" s="416"/>
      <c r="O165" s="417"/>
      <c r="P165" s="414"/>
      <c r="Q165" s="415"/>
      <c r="R165" s="414"/>
      <c r="S165" s="418"/>
      <c r="T165" s="412"/>
      <c r="U165" s="413"/>
      <c r="V165" s="419"/>
      <c r="W165" s="413"/>
      <c r="X165" s="420"/>
      <c r="Y165" s="421"/>
      <c r="Z165" s="412"/>
      <c r="AA165" s="417"/>
      <c r="AB165" s="413"/>
      <c r="AC165" s="422"/>
    </row>
    <row r="166" spans="1:29" x14ac:dyDescent="0.35">
      <c r="A166" s="406"/>
      <c r="B166" s="407"/>
      <c r="C166" s="408"/>
      <c r="D166" s="409"/>
      <c r="E166" s="410"/>
      <c r="F166" s="410"/>
      <c r="G166" s="409"/>
      <c r="H166" s="411"/>
      <c r="I166" s="412"/>
      <c r="J166" s="413"/>
      <c r="K166" s="414"/>
      <c r="L166" s="415"/>
      <c r="M166" s="414"/>
      <c r="N166" s="416"/>
      <c r="O166" s="417"/>
      <c r="P166" s="414"/>
      <c r="Q166" s="415"/>
      <c r="R166" s="414"/>
      <c r="S166" s="418"/>
      <c r="T166" s="412"/>
      <c r="U166" s="413"/>
      <c r="V166" s="419"/>
      <c r="W166" s="413"/>
      <c r="X166" s="420"/>
      <c r="Y166" s="421"/>
      <c r="Z166" s="412"/>
      <c r="AA166" s="417"/>
      <c r="AB166" s="413"/>
      <c r="AC166" s="422"/>
    </row>
    <row r="167" spans="1:29" x14ac:dyDescent="0.35">
      <c r="A167" s="406"/>
      <c r="B167" s="407"/>
      <c r="C167" s="408"/>
      <c r="D167" s="409"/>
      <c r="E167" s="410"/>
      <c r="F167" s="410"/>
      <c r="G167" s="409"/>
      <c r="H167" s="411"/>
      <c r="I167" s="412"/>
      <c r="J167" s="413"/>
      <c r="K167" s="414"/>
      <c r="L167" s="415"/>
      <c r="M167" s="414"/>
      <c r="N167" s="416"/>
      <c r="O167" s="417"/>
      <c r="P167" s="414"/>
      <c r="Q167" s="415"/>
      <c r="R167" s="414"/>
      <c r="S167" s="418"/>
      <c r="T167" s="412"/>
      <c r="U167" s="413"/>
      <c r="V167" s="419"/>
      <c r="W167" s="413"/>
      <c r="X167" s="420"/>
      <c r="Y167" s="421"/>
      <c r="Z167" s="412"/>
      <c r="AA167" s="417"/>
      <c r="AB167" s="413"/>
      <c r="AC167" s="422"/>
    </row>
    <row r="168" spans="1:29" x14ac:dyDescent="0.35">
      <c r="A168" s="406"/>
      <c r="B168" s="407"/>
      <c r="C168" s="408"/>
      <c r="D168" s="409"/>
      <c r="E168" s="410"/>
      <c r="F168" s="410"/>
      <c r="G168" s="409"/>
      <c r="H168" s="411"/>
      <c r="I168" s="412"/>
      <c r="J168" s="413"/>
      <c r="K168" s="414"/>
      <c r="L168" s="415"/>
      <c r="M168" s="414"/>
      <c r="N168" s="416"/>
      <c r="O168" s="417"/>
      <c r="P168" s="414"/>
      <c r="Q168" s="415"/>
      <c r="R168" s="414"/>
      <c r="S168" s="418"/>
      <c r="T168" s="412"/>
      <c r="U168" s="413"/>
      <c r="V168" s="419"/>
      <c r="W168" s="413"/>
      <c r="X168" s="420"/>
      <c r="Y168" s="421"/>
      <c r="Z168" s="412"/>
      <c r="AA168" s="417"/>
      <c r="AB168" s="413"/>
      <c r="AC168" s="422"/>
    </row>
    <row r="169" spans="1:29" x14ac:dyDescent="0.35">
      <c r="A169" s="406"/>
      <c r="B169" s="407"/>
      <c r="C169" s="408"/>
      <c r="D169" s="409"/>
      <c r="E169" s="410"/>
      <c r="F169" s="410"/>
      <c r="G169" s="409"/>
      <c r="H169" s="411"/>
      <c r="I169" s="412"/>
      <c r="J169" s="413"/>
      <c r="K169" s="414"/>
      <c r="L169" s="415"/>
      <c r="M169" s="414"/>
      <c r="N169" s="416"/>
      <c r="O169" s="417"/>
      <c r="P169" s="414"/>
      <c r="Q169" s="415"/>
      <c r="R169" s="414"/>
      <c r="S169" s="418"/>
      <c r="T169" s="412"/>
      <c r="U169" s="413"/>
      <c r="V169" s="419"/>
      <c r="W169" s="413"/>
      <c r="X169" s="420"/>
      <c r="Y169" s="421"/>
      <c r="Z169" s="412"/>
      <c r="AA169" s="417"/>
      <c r="AB169" s="413"/>
      <c r="AC169" s="422"/>
    </row>
    <row r="170" spans="1:29" x14ac:dyDescent="0.35">
      <c r="A170" s="406"/>
      <c r="B170" s="407"/>
      <c r="C170" s="408"/>
      <c r="D170" s="409"/>
      <c r="E170" s="410"/>
      <c r="F170" s="410"/>
      <c r="G170" s="409"/>
      <c r="H170" s="411"/>
      <c r="I170" s="412"/>
      <c r="J170" s="413"/>
      <c r="K170" s="414"/>
      <c r="L170" s="415"/>
      <c r="M170" s="414"/>
      <c r="N170" s="416"/>
      <c r="O170" s="417"/>
      <c r="P170" s="414"/>
      <c r="Q170" s="415"/>
      <c r="R170" s="414"/>
      <c r="S170" s="418"/>
      <c r="T170" s="412"/>
      <c r="U170" s="413"/>
      <c r="V170" s="419"/>
      <c r="W170" s="413"/>
      <c r="X170" s="420"/>
      <c r="Y170" s="421"/>
      <c r="Z170" s="412"/>
      <c r="AA170" s="417"/>
      <c r="AB170" s="413"/>
      <c r="AC170" s="422"/>
    </row>
    <row r="171" spans="1:29" x14ac:dyDescent="0.35">
      <c r="A171" s="406"/>
      <c r="B171" s="407"/>
      <c r="C171" s="408"/>
      <c r="D171" s="409"/>
      <c r="E171" s="410"/>
      <c r="F171" s="410"/>
      <c r="G171" s="409"/>
      <c r="H171" s="411"/>
      <c r="I171" s="412"/>
      <c r="J171" s="413"/>
      <c r="K171" s="414"/>
      <c r="L171" s="415"/>
      <c r="M171" s="414"/>
      <c r="N171" s="416"/>
      <c r="O171" s="417"/>
      <c r="P171" s="414"/>
      <c r="Q171" s="415"/>
      <c r="R171" s="414"/>
      <c r="S171" s="418"/>
      <c r="T171" s="412"/>
      <c r="U171" s="413"/>
      <c r="V171" s="419"/>
      <c r="W171" s="413"/>
      <c r="X171" s="420"/>
      <c r="Y171" s="421"/>
      <c r="Z171" s="412"/>
      <c r="AA171" s="417"/>
      <c r="AB171" s="413"/>
      <c r="AC171" s="422"/>
    </row>
    <row r="172" spans="1:29" x14ac:dyDescent="0.35">
      <c r="A172" s="406"/>
      <c r="B172" s="407"/>
      <c r="C172" s="408"/>
      <c r="D172" s="409"/>
      <c r="E172" s="410"/>
      <c r="F172" s="410"/>
      <c r="G172" s="409"/>
      <c r="H172" s="411"/>
      <c r="I172" s="412"/>
      <c r="J172" s="413"/>
      <c r="K172" s="414"/>
      <c r="L172" s="415"/>
      <c r="M172" s="414"/>
      <c r="N172" s="416"/>
      <c r="O172" s="417"/>
      <c r="P172" s="414"/>
      <c r="Q172" s="415"/>
      <c r="R172" s="414"/>
      <c r="S172" s="418"/>
      <c r="T172" s="412"/>
      <c r="U172" s="413"/>
      <c r="V172" s="419"/>
      <c r="W172" s="413"/>
      <c r="X172" s="420"/>
      <c r="Y172" s="421"/>
      <c r="Z172" s="412"/>
      <c r="AA172" s="417"/>
      <c r="AB172" s="413"/>
      <c r="AC172" s="422"/>
    </row>
    <row r="173" spans="1:29" x14ac:dyDescent="0.35">
      <c r="A173" s="406"/>
      <c r="B173" s="407"/>
      <c r="C173" s="408"/>
      <c r="D173" s="409"/>
      <c r="E173" s="410"/>
      <c r="F173" s="410"/>
      <c r="G173" s="409"/>
      <c r="H173" s="411"/>
      <c r="I173" s="412"/>
      <c r="J173" s="413"/>
      <c r="K173" s="414"/>
      <c r="L173" s="415"/>
      <c r="M173" s="414"/>
      <c r="N173" s="416"/>
      <c r="O173" s="417"/>
      <c r="P173" s="414"/>
      <c r="Q173" s="415"/>
      <c r="R173" s="414"/>
      <c r="S173" s="418"/>
      <c r="T173" s="412"/>
      <c r="U173" s="413"/>
      <c r="V173" s="419"/>
      <c r="W173" s="413"/>
      <c r="X173" s="420"/>
      <c r="Y173" s="421"/>
      <c r="Z173" s="412"/>
      <c r="AA173" s="417"/>
      <c r="AB173" s="413"/>
      <c r="AC173" s="422"/>
    </row>
    <row r="174" spans="1:29" x14ac:dyDescent="0.35">
      <c r="A174" s="406"/>
      <c r="B174" s="407"/>
      <c r="C174" s="408"/>
      <c r="D174" s="409"/>
      <c r="E174" s="410"/>
      <c r="F174" s="410"/>
      <c r="G174" s="409"/>
      <c r="H174" s="411"/>
      <c r="I174" s="412"/>
      <c r="J174" s="413"/>
      <c r="K174" s="414"/>
      <c r="L174" s="415"/>
      <c r="M174" s="414"/>
      <c r="N174" s="416"/>
      <c r="O174" s="417"/>
      <c r="P174" s="414"/>
      <c r="Q174" s="415"/>
      <c r="R174" s="414"/>
      <c r="S174" s="418"/>
      <c r="T174" s="412"/>
      <c r="U174" s="413"/>
      <c r="V174" s="419"/>
      <c r="W174" s="413"/>
      <c r="X174" s="420"/>
      <c r="Y174" s="421"/>
      <c r="Z174" s="412"/>
      <c r="AA174" s="417"/>
      <c r="AB174" s="413"/>
      <c r="AC174" s="422"/>
    </row>
    <row r="175" spans="1:29" x14ac:dyDescent="0.35">
      <c r="A175" s="406"/>
      <c r="B175" s="407"/>
      <c r="C175" s="408"/>
      <c r="D175" s="409"/>
      <c r="E175" s="410"/>
      <c r="F175" s="410"/>
      <c r="G175" s="409"/>
      <c r="H175" s="411"/>
      <c r="I175" s="412"/>
      <c r="J175" s="413"/>
      <c r="K175" s="414"/>
      <c r="L175" s="415"/>
      <c r="M175" s="414"/>
      <c r="N175" s="416"/>
      <c r="O175" s="417"/>
      <c r="P175" s="414"/>
      <c r="Q175" s="415"/>
      <c r="R175" s="414"/>
      <c r="S175" s="418"/>
      <c r="T175" s="412"/>
      <c r="U175" s="413"/>
      <c r="V175" s="419"/>
      <c r="W175" s="413"/>
      <c r="X175" s="420"/>
      <c r="Y175" s="421"/>
      <c r="Z175" s="412"/>
      <c r="AA175" s="417"/>
      <c r="AB175" s="413"/>
      <c r="AC175" s="422"/>
    </row>
    <row r="176" spans="1:29" x14ac:dyDescent="0.35">
      <c r="A176" s="406"/>
      <c r="B176" s="407"/>
      <c r="C176" s="408"/>
      <c r="D176" s="409"/>
      <c r="E176" s="410"/>
      <c r="F176" s="410"/>
      <c r="G176" s="409"/>
      <c r="H176" s="411"/>
      <c r="I176" s="412"/>
      <c r="J176" s="413"/>
      <c r="K176" s="414"/>
      <c r="L176" s="415"/>
      <c r="M176" s="414"/>
      <c r="N176" s="416"/>
      <c r="O176" s="417"/>
      <c r="P176" s="414"/>
      <c r="Q176" s="415"/>
      <c r="R176" s="414"/>
      <c r="S176" s="418"/>
      <c r="T176" s="412"/>
      <c r="U176" s="413"/>
      <c r="V176" s="419"/>
      <c r="W176" s="413"/>
      <c r="X176" s="420"/>
      <c r="Y176" s="421"/>
      <c r="Z176" s="412"/>
      <c r="AA176" s="417"/>
      <c r="AB176" s="413"/>
      <c r="AC176" s="422"/>
    </row>
    <row r="177" spans="1:29" x14ac:dyDescent="0.35">
      <c r="A177" s="406"/>
      <c r="B177" s="407"/>
      <c r="C177" s="408"/>
      <c r="D177" s="409"/>
      <c r="E177" s="410"/>
      <c r="F177" s="410"/>
      <c r="G177" s="409"/>
      <c r="H177" s="411"/>
      <c r="I177" s="412"/>
      <c r="J177" s="413"/>
      <c r="K177" s="414"/>
      <c r="L177" s="415"/>
      <c r="M177" s="414"/>
      <c r="N177" s="416"/>
      <c r="O177" s="417"/>
      <c r="P177" s="414"/>
      <c r="Q177" s="415"/>
      <c r="R177" s="414"/>
      <c r="S177" s="418"/>
      <c r="T177" s="412"/>
      <c r="U177" s="413"/>
      <c r="V177" s="419"/>
      <c r="W177" s="413"/>
      <c r="X177" s="420"/>
      <c r="Y177" s="421"/>
      <c r="Z177" s="412"/>
      <c r="AA177" s="417"/>
      <c r="AB177" s="413"/>
      <c r="AC177" s="422"/>
    </row>
    <row r="178" spans="1:29" x14ac:dyDescent="0.35">
      <c r="A178" s="406"/>
      <c r="B178" s="407"/>
      <c r="C178" s="408"/>
      <c r="D178" s="409"/>
      <c r="E178" s="410"/>
      <c r="F178" s="410"/>
      <c r="G178" s="409"/>
      <c r="H178" s="411"/>
      <c r="I178" s="412"/>
      <c r="J178" s="413"/>
      <c r="K178" s="414"/>
      <c r="L178" s="415"/>
      <c r="M178" s="414"/>
      <c r="N178" s="416"/>
      <c r="O178" s="417"/>
      <c r="P178" s="414"/>
      <c r="Q178" s="415"/>
      <c r="R178" s="414"/>
      <c r="S178" s="418"/>
      <c r="T178" s="412"/>
      <c r="U178" s="413"/>
      <c r="V178" s="419"/>
      <c r="W178" s="413"/>
      <c r="X178" s="420"/>
      <c r="Y178" s="421"/>
      <c r="Z178" s="412"/>
      <c r="AA178" s="417"/>
      <c r="AB178" s="413"/>
      <c r="AC178" s="422"/>
    </row>
    <row r="179" spans="1:29" x14ac:dyDescent="0.35">
      <c r="A179" s="406"/>
      <c r="B179" s="407"/>
      <c r="C179" s="408"/>
      <c r="D179" s="409"/>
      <c r="E179" s="410"/>
      <c r="F179" s="410"/>
      <c r="G179" s="409"/>
      <c r="H179" s="411"/>
      <c r="I179" s="412"/>
      <c r="J179" s="413"/>
      <c r="K179" s="414"/>
      <c r="L179" s="415"/>
      <c r="M179" s="414"/>
      <c r="N179" s="416"/>
      <c r="O179" s="417"/>
      <c r="P179" s="414"/>
      <c r="Q179" s="415"/>
      <c r="R179" s="414"/>
      <c r="S179" s="418"/>
      <c r="T179" s="412"/>
      <c r="U179" s="413"/>
      <c r="V179" s="419"/>
      <c r="W179" s="413"/>
      <c r="X179" s="420"/>
      <c r="Y179" s="421"/>
      <c r="Z179" s="412"/>
      <c r="AA179" s="417"/>
      <c r="AB179" s="413"/>
      <c r="AC179" s="422"/>
    </row>
    <row r="180" spans="1:29" x14ac:dyDescent="0.35">
      <c r="A180" s="406"/>
      <c r="B180" s="407"/>
      <c r="C180" s="408"/>
      <c r="D180" s="409"/>
      <c r="E180" s="410"/>
      <c r="F180" s="410"/>
      <c r="G180" s="409"/>
      <c r="H180" s="411"/>
      <c r="I180" s="412"/>
      <c r="J180" s="413"/>
      <c r="K180" s="414"/>
      <c r="L180" s="415"/>
      <c r="M180" s="414"/>
      <c r="N180" s="416"/>
      <c r="O180" s="417"/>
      <c r="P180" s="414"/>
      <c r="Q180" s="415"/>
      <c r="R180" s="414"/>
      <c r="S180" s="418"/>
      <c r="T180" s="412"/>
      <c r="U180" s="413"/>
      <c r="V180" s="419"/>
      <c r="W180" s="413"/>
      <c r="X180" s="420"/>
      <c r="Y180" s="421"/>
      <c r="Z180" s="412"/>
      <c r="AA180" s="417"/>
      <c r="AB180" s="413"/>
      <c r="AC180" s="422"/>
    </row>
    <row r="181" spans="1:29" x14ac:dyDescent="0.35">
      <c r="A181" s="406"/>
      <c r="B181" s="407"/>
      <c r="C181" s="408"/>
      <c r="D181" s="409"/>
      <c r="E181" s="410"/>
      <c r="F181" s="410"/>
      <c r="G181" s="409"/>
      <c r="H181" s="411"/>
      <c r="I181" s="412"/>
      <c r="J181" s="413"/>
      <c r="K181" s="414"/>
      <c r="L181" s="415"/>
      <c r="M181" s="414"/>
      <c r="N181" s="416"/>
      <c r="O181" s="417"/>
      <c r="P181" s="414"/>
      <c r="Q181" s="415"/>
      <c r="R181" s="414"/>
      <c r="S181" s="418"/>
      <c r="T181" s="412"/>
      <c r="U181" s="413"/>
      <c r="V181" s="419"/>
      <c r="W181" s="413"/>
      <c r="X181" s="420"/>
      <c r="Y181" s="421"/>
      <c r="Z181" s="412"/>
      <c r="AA181" s="417"/>
      <c r="AB181" s="413"/>
      <c r="AC181" s="422"/>
    </row>
    <row r="182" spans="1:29" x14ac:dyDescent="0.35">
      <c r="A182" s="406"/>
      <c r="B182" s="407"/>
      <c r="C182" s="408"/>
      <c r="D182" s="409"/>
      <c r="E182" s="410"/>
      <c r="F182" s="410"/>
      <c r="G182" s="409"/>
      <c r="H182" s="411"/>
      <c r="I182" s="412"/>
      <c r="J182" s="413"/>
      <c r="K182" s="414"/>
      <c r="L182" s="415"/>
      <c r="M182" s="414"/>
      <c r="N182" s="416"/>
      <c r="O182" s="417"/>
      <c r="P182" s="414"/>
      <c r="Q182" s="415"/>
      <c r="R182" s="414"/>
      <c r="S182" s="418"/>
      <c r="T182" s="412"/>
      <c r="U182" s="413"/>
      <c r="V182" s="419"/>
      <c r="W182" s="413"/>
      <c r="X182" s="420"/>
      <c r="Y182" s="421"/>
      <c r="Z182" s="412"/>
      <c r="AA182" s="417"/>
      <c r="AB182" s="413"/>
      <c r="AC182" s="422"/>
    </row>
    <row r="183" spans="1:29" x14ac:dyDescent="0.35">
      <c r="A183" s="406"/>
      <c r="B183" s="407"/>
      <c r="C183" s="408"/>
      <c r="D183" s="409"/>
      <c r="E183" s="410"/>
      <c r="F183" s="410"/>
      <c r="G183" s="409"/>
      <c r="H183" s="411"/>
      <c r="I183" s="412"/>
      <c r="J183" s="413"/>
      <c r="K183" s="414"/>
      <c r="L183" s="415"/>
      <c r="M183" s="414"/>
      <c r="N183" s="416"/>
      <c r="O183" s="417"/>
      <c r="P183" s="414"/>
      <c r="Q183" s="415"/>
      <c r="R183" s="414"/>
      <c r="S183" s="418"/>
      <c r="T183" s="412"/>
      <c r="U183" s="413"/>
      <c r="V183" s="419"/>
      <c r="W183" s="413"/>
      <c r="X183" s="420"/>
      <c r="Y183" s="421"/>
      <c r="Z183" s="412"/>
      <c r="AA183" s="417"/>
      <c r="AB183" s="413"/>
      <c r="AC183" s="422"/>
    </row>
    <row r="184" spans="1:29" x14ac:dyDescent="0.35">
      <c r="A184" s="406"/>
      <c r="B184" s="407"/>
      <c r="C184" s="408"/>
      <c r="D184" s="409"/>
      <c r="E184" s="410"/>
      <c r="F184" s="410"/>
      <c r="G184" s="409"/>
      <c r="H184" s="411"/>
      <c r="I184" s="412"/>
      <c r="J184" s="413"/>
      <c r="K184" s="414"/>
      <c r="L184" s="415"/>
      <c r="M184" s="414"/>
      <c r="N184" s="416"/>
      <c r="O184" s="417"/>
      <c r="P184" s="414"/>
      <c r="Q184" s="415"/>
      <c r="R184" s="414"/>
      <c r="S184" s="418"/>
      <c r="T184" s="412"/>
      <c r="U184" s="413"/>
      <c r="V184" s="419"/>
      <c r="W184" s="413"/>
      <c r="X184" s="420"/>
      <c r="Y184" s="421"/>
      <c r="Z184" s="412"/>
      <c r="AA184" s="417"/>
      <c r="AB184" s="413"/>
      <c r="AC184" s="422"/>
    </row>
    <row r="185" spans="1:29" x14ac:dyDescent="0.35">
      <c r="A185" s="406"/>
      <c r="B185" s="407"/>
      <c r="C185" s="408"/>
      <c r="D185" s="409"/>
      <c r="E185" s="410"/>
      <c r="F185" s="410"/>
      <c r="G185" s="409"/>
      <c r="H185" s="411"/>
      <c r="I185" s="412"/>
      <c r="J185" s="413"/>
      <c r="K185" s="414"/>
      <c r="L185" s="415"/>
      <c r="M185" s="414"/>
      <c r="N185" s="416"/>
      <c r="O185" s="417"/>
      <c r="P185" s="414"/>
      <c r="Q185" s="415"/>
      <c r="R185" s="414"/>
      <c r="S185" s="418"/>
      <c r="T185" s="412"/>
      <c r="U185" s="413"/>
      <c r="V185" s="419"/>
      <c r="W185" s="413"/>
      <c r="X185" s="420"/>
      <c r="Y185" s="421"/>
      <c r="Z185" s="412"/>
      <c r="AA185" s="417"/>
      <c r="AB185" s="413"/>
      <c r="AC185" s="422"/>
    </row>
    <row r="186" spans="1:29" x14ac:dyDescent="0.35">
      <c r="A186" s="406"/>
      <c r="B186" s="407"/>
      <c r="C186" s="408"/>
      <c r="D186" s="409"/>
      <c r="E186" s="410"/>
      <c r="F186" s="410"/>
      <c r="G186" s="409"/>
      <c r="H186" s="411"/>
      <c r="I186" s="412"/>
      <c r="J186" s="413"/>
      <c r="K186" s="414"/>
      <c r="L186" s="415"/>
      <c r="M186" s="414"/>
      <c r="N186" s="416"/>
      <c r="O186" s="417"/>
      <c r="P186" s="414"/>
      <c r="Q186" s="415"/>
      <c r="R186" s="414"/>
      <c r="S186" s="418"/>
      <c r="T186" s="412"/>
      <c r="U186" s="413"/>
      <c r="V186" s="419"/>
      <c r="W186" s="413"/>
      <c r="X186" s="420"/>
      <c r="Y186" s="421"/>
      <c r="Z186" s="412"/>
      <c r="AA186" s="417"/>
      <c r="AB186" s="413"/>
      <c r="AC186" s="422"/>
    </row>
    <row r="187" spans="1:29" x14ac:dyDescent="0.35">
      <c r="A187" s="406"/>
      <c r="B187" s="407"/>
      <c r="C187" s="408"/>
      <c r="D187" s="409"/>
      <c r="E187" s="410"/>
      <c r="F187" s="410"/>
      <c r="G187" s="409"/>
      <c r="H187" s="411"/>
      <c r="I187" s="412"/>
      <c r="J187" s="413"/>
      <c r="K187" s="414"/>
      <c r="L187" s="415"/>
      <c r="M187" s="414"/>
      <c r="N187" s="416"/>
      <c r="O187" s="417"/>
      <c r="P187" s="414"/>
      <c r="Q187" s="415"/>
      <c r="R187" s="414"/>
      <c r="S187" s="418"/>
      <c r="T187" s="412"/>
      <c r="U187" s="413"/>
      <c r="V187" s="419"/>
      <c r="W187" s="413"/>
      <c r="X187" s="420"/>
      <c r="Y187" s="421"/>
      <c r="Z187" s="412"/>
      <c r="AA187" s="417"/>
      <c r="AB187" s="413"/>
      <c r="AC187" s="422"/>
    </row>
    <row r="188" spans="1:29" x14ac:dyDescent="0.35">
      <c r="A188" s="406"/>
      <c r="B188" s="407"/>
      <c r="C188" s="408"/>
      <c r="D188" s="409"/>
      <c r="E188" s="410"/>
      <c r="F188" s="410"/>
      <c r="G188" s="409"/>
      <c r="H188" s="411"/>
      <c r="I188" s="412"/>
      <c r="J188" s="413"/>
      <c r="K188" s="414"/>
      <c r="L188" s="415"/>
      <c r="M188" s="414"/>
      <c r="N188" s="416"/>
      <c r="O188" s="417"/>
      <c r="P188" s="414"/>
      <c r="Q188" s="415"/>
      <c r="R188" s="414"/>
      <c r="S188" s="418"/>
      <c r="T188" s="412"/>
      <c r="U188" s="413"/>
      <c r="V188" s="419"/>
      <c r="W188" s="413"/>
      <c r="X188" s="420"/>
      <c r="Y188" s="421"/>
      <c r="Z188" s="412"/>
      <c r="AA188" s="417"/>
      <c r="AB188" s="413"/>
      <c r="AC188" s="422"/>
    </row>
    <row r="189" spans="1:29" x14ac:dyDescent="0.35">
      <c r="A189" s="406"/>
      <c r="B189" s="407"/>
      <c r="C189" s="408"/>
      <c r="D189" s="409"/>
      <c r="E189" s="410"/>
      <c r="F189" s="410"/>
      <c r="G189" s="409"/>
      <c r="H189" s="411"/>
      <c r="I189" s="412"/>
      <c r="J189" s="413"/>
      <c r="K189" s="414"/>
      <c r="L189" s="415"/>
      <c r="M189" s="414"/>
      <c r="N189" s="416"/>
      <c r="O189" s="417"/>
      <c r="P189" s="414"/>
      <c r="Q189" s="415"/>
      <c r="R189" s="414"/>
      <c r="S189" s="418"/>
      <c r="T189" s="412"/>
      <c r="U189" s="413"/>
      <c r="V189" s="419"/>
      <c r="W189" s="413"/>
      <c r="X189" s="420"/>
      <c r="Y189" s="421"/>
      <c r="Z189" s="412"/>
      <c r="AA189" s="417"/>
      <c r="AB189" s="413"/>
      <c r="AC189" s="422"/>
    </row>
    <row r="190" spans="1:29" x14ac:dyDescent="0.35">
      <c r="A190" s="406"/>
      <c r="B190" s="407"/>
      <c r="C190" s="408"/>
      <c r="D190" s="409"/>
      <c r="E190" s="410"/>
      <c r="F190" s="410"/>
      <c r="G190" s="409"/>
      <c r="H190" s="411"/>
      <c r="I190" s="412"/>
      <c r="J190" s="413"/>
      <c r="K190" s="414"/>
      <c r="L190" s="415"/>
      <c r="M190" s="414"/>
      <c r="N190" s="416"/>
      <c r="O190" s="417"/>
      <c r="P190" s="414"/>
      <c r="Q190" s="415"/>
      <c r="R190" s="414"/>
      <c r="S190" s="418"/>
      <c r="T190" s="412"/>
      <c r="U190" s="413"/>
      <c r="V190" s="419"/>
      <c r="W190" s="413"/>
      <c r="X190" s="420"/>
      <c r="Y190" s="421"/>
      <c r="Z190" s="412"/>
      <c r="AA190" s="417"/>
      <c r="AB190" s="413"/>
      <c r="AC190" s="422"/>
    </row>
    <row r="191" spans="1:29" x14ac:dyDescent="0.35">
      <c r="A191" s="406"/>
      <c r="B191" s="407"/>
      <c r="C191" s="408"/>
      <c r="D191" s="409"/>
      <c r="E191" s="410"/>
      <c r="F191" s="410"/>
      <c r="G191" s="409"/>
      <c r="H191" s="411"/>
      <c r="I191" s="412"/>
      <c r="J191" s="413"/>
      <c r="K191" s="414"/>
      <c r="L191" s="415"/>
      <c r="M191" s="414"/>
      <c r="N191" s="416"/>
      <c r="O191" s="417"/>
      <c r="P191" s="414"/>
      <c r="Q191" s="415"/>
      <c r="R191" s="414"/>
      <c r="S191" s="418"/>
      <c r="T191" s="412"/>
      <c r="U191" s="413"/>
      <c r="V191" s="419"/>
      <c r="W191" s="413"/>
      <c r="X191" s="420"/>
      <c r="Y191" s="421"/>
      <c r="Z191" s="412"/>
      <c r="AA191" s="417"/>
      <c r="AB191" s="413"/>
      <c r="AC191" s="422"/>
    </row>
    <row r="192" spans="1:29" x14ac:dyDescent="0.35">
      <c r="A192" s="406"/>
      <c r="B192" s="407"/>
      <c r="C192" s="408"/>
      <c r="D192" s="409"/>
      <c r="E192" s="410"/>
      <c r="F192" s="410"/>
      <c r="G192" s="409"/>
      <c r="H192" s="411"/>
      <c r="I192" s="412"/>
      <c r="J192" s="413"/>
      <c r="K192" s="414"/>
      <c r="L192" s="415"/>
      <c r="M192" s="414"/>
      <c r="N192" s="416"/>
      <c r="O192" s="417"/>
      <c r="P192" s="414"/>
      <c r="Q192" s="415"/>
      <c r="R192" s="414"/>
      <c r="S192" s="418"/>
      <c r="T192" s="412"/>
      <c r="U192" s="413"/>
      <c r="V192" s="419"/>
      <c r="W192" s="413"/>
      <c r="X192" s="420"/>
      <c r="Y192" s="421"/>
      <c r="Z192" s="412"/>
      <c r="AA192" s="417"/>
      <c r="AB192" s="413"/>
      <c r="AC192" s="422"/>
    </row>
    <row r="193" spans="1:29" x14ac:dyDescent="0.35">
      <c r="A193" s="406"/>
      <c r="B193" s="407"/>
      <c r="C193" s="408"/>
      <c r="D193" s="409"/>
      <c r="E193" s="410"/>
      <c r="F193" s="410"/>
      <c r="G193" s="409"/>
      <c r="H193" s="411"/>
      <c r="I193" s="412"/>
      <c r="J193" s="413"/>
      <c r="K193" s="414"/>
      <c r="L193" s="415"/>
      <c r="M193" s="414"/>
      <c r="N193" s="416"/>
      <c r="O193" s="417"/>
      <c r="P193" s="414"/>
      <c r="Q193" s="415"/>
      <c r="R193" s="414"/>
      <c r="S193" s="418"/>
      <c r="T193" s="412"/>
      <c r="U193" s="413"/>
      <c r="V193" s="419"/>
      <c r="W193" s="413"/>
      <c r="X193" s="420"/>
      <c r="Y193" s="421"/>
      <c r="Z193" s="412"/>
      <c r="AA193" s="417"/>
      <c r="AB193" s="413"/>
      <c r="AC193" s="422"/>
    </row>
    <row r="194" spans="1:29" x14ac:dyDescent="0.35">
      <c r="A194" s="406"/>
      <c r="B194" s="407"/>
      <c r="C194" s="408"/>
      <c r="D194" s="409"/>
      <c r="E194" s="410"/>
      <c r="F194" s="410"/>
      <c r="G194" s="409"/>
      <c r="H194" s="411"/>
      <c r="I194" s="412"/>
      <c r="J194" s="413"/>
      <c r="K194" s="414"/>
      <c r="L194" s="415"/>
      <c r="M194" s="414"/>
      <c r="N194" s="416"/>
      <c r="O194" s="417"/>
      <c r="P194" s="414"/>
      <c r="Q194" s="415"/>
      <c r="R194" s="414"/>
      <c r="S194" s="418"/>
      <c r="T194" s="412"/>
      <c r="U194" s="413"/>
      <c r="V194" s="419"/>
      <c r="W194" s="413"/>
      <c r="X194" s="420"/>
      <c r="Y194" s="421"/>
      <c r="Z194" s="412"/>
      <c r="AA194" s="417"/>
      <c r="AB194" s="413"/>
      <c r="AC194" s="422"/>
    </row>
    <row r="195" spans="1:29" x14ac:dyDescent="0.35">
      <c r="A195" s="406"/>
      <c r="B195" s="407"/>
      <c r="C195" s="408"/>
      <c r="D195" s="409"/>
      <c r="E195" s="410"/>
      <c r="F195" s="410"/>
      <c r="G195" s="409"/>
      <c r="H195" s="411"/>
      <c r="I195" s="412"/>
      <c r="J195" s="413"/>
      <c r="K195" s="414"/>
      <c r="L195" s="415"/>
      <c r="M195" s="414"/>
      <c r="N195" s="416"/>
      <c r="O195" s="417"/>
      <c r="P195" s="414"/>
      <c r="Q195" s="415"/>
      <c r="R195" s="414"/>
      <c r="S195" s="418"/>
      <c r="T195" s="412"/>
      <c r="U195" s="413"/>
      <c r="V195" s="419"/>
      <c r="W195" s="413"/>
      <c r="X195" s="420"/>
      <c r="Y195" s="421"/>
      <c r="Z195" s="412"/>
      <c r="AA195" s="417"/>
      <c r="AB195" s="413"/>
      <c r="AC195" s="422"/>
    </row>
    <row r="196" spans="1:29" x14ac:dyDescent="0.35">
      <c r="A196" s="406"/>
      <c r="B196" s="407"/>
      <c r="C196" s="408"/>
      <c r="D196" s="409"/>
      <c r="E196" s="410"/>
      <c r="F196" s="410"/>
      <c r="G196" s="409"/>
      <c r="H196" s="411"/>
      <c r="I196" s="412"/>
      <c r="J196" s="413"/>
      <c r="K196" s="414"/>
      <c r="L196" s="415"/>
      <c r="M196" s="414"/>
      <c r="N196" s="416"/>
      <c r="O196" s="417"/>
      <c r="P196" s="414"/>
      <c r="Q196" s="415"/>
      <c r="R196" s="414"/>
      <c r="S196" s="418"/>
      <c r="T196" s="412"/>
      <c r="U196" s="413"/>
      <c r="V196" s="419"/>
      <c r="W196" s="413"/>
      <c r="X196" s="420"/>
      <c r="Y196" s="421"/>
      <c r="Z196" s="412"/>
      <c r="AA196" s="417"/>
      <c r="AB196" s="413"/>
      <c r="AC196" s="422"/>
    </row>
    <row r="197" spans="1:29" x14ac:dyDescent="0.35">
      <c r="A197" s="406"/>
      <c r="B197" s="407"/>
      <c r="C197" s="408"/>
      <c r="D197" s="409"/>
      <c r="E197" s="410"/>
      <c r="F197" s="410"/>
      <c r="G197" s="409"/>
      <c r="H197" s="411"/>
      <c r="I197" s="412"/>
      <c r="J197" s="413"/>
      <c r="K197" s="414"/>
      <c r="L197" s="415"/>
      <c r="M197" s="414"/>
      <c r="N197" s="416"/>
      <c r="O197" s="417"/>
      <c r="P197" s="414"/>
      <c r="Q197" s="415"/>
      <c r="R197" s="414"/>
      <c r="S197" s="418"/>
      <c r="T197" s="412"/>
      <c r="U197" s="413"/>
      <c r="V197" s="419"/>
      <c r="W197" s="413"/>
      <c r="X197" s="420"/>
      <c r="Y197" s="421"/>
      <c r="Z197" s="412"/>
      <c r="AA197" s="417"/>
      <c r="AB197" s="413"/>
      <c r="AC197" s="422"/>
    </row>
    <row r="198" spans="1:29" x14ac:dyDescent="0.35">
      <c r="A198" s="406"/>
      <c r="B198" s="407"/>
      <c r="C198" s="408"/>
      <c r="D198" s="409"/>
      <c r="E198" s="410"/>
      <c r="F198" s="410"/>
      <c r="G198" s="409"/>
      <c r="H198" s="411"/>
      <c r="I198" s="412"/>
      <c r="J198" s="413"/>
      <c r="K198" s="414"/>
      <c r="L198" s="415"/>
      <c r="M198" s="414"/>
      <c r="N198" s="416"/>
      <c r="O198" s="417"/>
      <c r="P198" s="414"/>
      <c r="Q198" s="415"/>
      <c r="R198" s="414"/>
      <c r="S198" s="418"/>
      <c r="T198" s="412"/>
      <c r="U198" s="413"/>
      <c r="V198" s="419"/>
      <c r="W198" s="413"/>
      <c r="X198" s="420"/>
      <c r="Y198" s="421"/>
      <c r="Z198" s="412"/>
      <c r="AA198" s="417"/>
      <c r="AB198" s="413"/>
      <c r="AC198" s="422"/>
    </row>
    <row r="199" spans="1:29" x14ac:dyDescent="0.35">
      <c r="A199" s="406"/>
      <c r="B199" s="407"/>
      <c r="C199" s="408"/>
      <c r="D199" s="409"/>
      <c r="E199" s="410"/>
      <c r="F199" s="410"/>
      <c r="G199" s="409"/>
      <c r="H199" s="411"/>
      <c r="I199" s="412"/>
      <c r="J199" s="413"/>
      <c r="K199" s="414"/>
      <c r="L199" s="415"/>
      <c r="M199" s="414"/>
      <c r="N199" s="416"/>
      <c r="O199" s="417"/>
      <c r="P199" s="414"/>
      <c r="Q199" s="415"/>
      <c r="R199" s="414"/>
      <c r="S199" s="418"/>
      <c r="T199" s="412"/>
      <c r="U199" s="413"/>
      <c r="V199" s="419"/>
      <c r="W199" s="413"/>
      <c r="X199" s="420"/>
      <c r="Y199" s="421"/>
      <c r="Z199" s="412"/>
      <c r="AA199" s="417"/>
      <c r="AB199" s="413"/>
      <c r="AC199" s="422"/>
    </row>
    <row r="200" spans="1:29" x14ac:dyDescent="0.35">
      <c r="A200" s="406"/>
      <c r="B200" s="407"/>
      <c r="C200" s="408"/>
      <c r="D200" s="409"/>
      <c r="E200" s="410"/>
      <c r="F200" s="410"/>
      <c r="G200" s="409"/>
      <c r="H200" s="411"/>
      <c r="I200" s="412"/>
      <c r="J200" s="413"/>
      <c r="K200" s="414"/>
      <c r="L200" s="415"/>
      <c r="M200" s="414"/>
      <c r="N200" s="416"/>
      <c r="O200" s="417"/>
      <c r="P200" s="414"/>
      <c r="Q200" s="415"/>
      <c r="R200" s="414"/>
      <c r="S200" s="418"/>
      <c r="T200" s="412"/>
      <c r="U200" s="413"/>
      <c r="V200" s="419"/>
      <c r="W200" s="413"/>
      <c r="X200" s="420"/>
      <c r="Y200" s="421"/>
      <c r="Z200" s="412"/>
      <c r="AA200" s="417"/>
      <c r="AB200" s="413"/>
      <c r="AC200" s="422"/>
    </row>
    <row r="201" spans="1:29" x14ac:dyDescent="0.35">
      <c r="A201" s="406"/>
      <c r="B201" s="407"/>
      <c r="C201" s="408"/>
      <c r="D201" s="409"/>
      <c r="E201" s="410"/>
      <c r="F201" s="410"/>
      <c r="G201" s="409"/>
      <c r="H201" s="411"/>
      <c r="I201" s="412"/>
      <c r="J201" s="413"/>
      <c r="K201" s="414"/>
      <c r="L201" s="415"/>
      <c r="M201" s="414"/>
      <c r="N201" s="416"/>
      <c r="O201" s="417"/>
      <c r="P201" s="414"/>
      <c r="Q201" s="415"/>
      <c r="R201" s="414"/>
      <c r="S201" s="418"/>
      <c r="T201" s="412"/>
      <c r="U201" s="413"/>
      <c r="V201" s="419"/>
      <c r="W201" s="413"/>
      <c r="X201" s="420"/>
      <c r="Y201" s="421"/>
      <c r="Z201" s="412"/>
      <c r="AA201" s="417"/>
      <c r="AB201" s="413"/>
      <c r="AC201" s="422"/>
    </row>
    <row r="202" spans="1:29" x14ac:dyDescent="0.35">
      <c r="A202" s="406"/>
      <c r="B202" s="407"/>
      <c r="C202" s="408"/>
      <c r="D202" s="409"/>
      <c r="E202" s="410"/>
      <c r="F202" s="410"/>
      <c r="G202" s="409"/>
      <c r="H202" s="411"/>
      <c r="I202" s="412"/>
      <c r="J202" s="413"/>
      <c r="K202" s="414"/>
      <c r="L202" s="415"/>
      <c r="M202" s="414"/>
      <c r="N202" s="416"/>
      <c r="O202" s="417"/>
      <c r="P202" s="414"/>
      <c r="Q202" s="415"/>
      <c r="R202" s="414"/>
      <c r="S202" s="418"/>
      <c r="T202" s="412"/>
      <c r="U202" s="413"/>
      <c r="V202" s="419"/>
      <c r="W202" s="413"/>
      <c r="X202" s="420"/>
      <c r="Y202" s="421"/>
      <c r="Z202" s="412"/>
      <c r="AA202" s="417"/>
      <c r="AB202" s="413"/>
      <c r="AC202" s="422"/>
    </row>
    <row r="203" spans="1:29" x14ac:dyDescent="0.35">
      <c r="A203" s="406"/>
      <c r="B203" s="407"/>
      <c r="C203" s="408"/>
      <c r="D203" s="409"/>
      <c r="E203" s="410"/>
      <c r="F203" s="410"/>
      <c r="G203" s="409"/>
      <c r="H203" s="411"/>
      <c r="I203" s="412"/>
      <c r="J203" s="413"/>
      <c r="K203" s="414"/>
      <c r="L203" s="415"/>
      <c r="M203" s="414"/>
      <c r="N203" s="416"/>
      <c r="O203" s="417"/>
      <c r="P203" s="414"/>
      <c r="Q203" s="415"/>
      <c r="R203" s="414"/>
      <c r="S203" s="418"/>
      <c r="T203" s="412"/>
      <c r="U203" s="413"/>
      <c r="V203" s="419"/>
      <c r="W203" s="413"/>
      <c r="X203" s="420"/>
      <c r="Y203" s="421"/>
      <c r="Z203" s="412"/>
      <c r="AA203" s="417"/>
      <c r="AB203" s="413"/>
      <c r="AC203" s="422"/>
    </row>
    <row r="204" spans="1:29" x14ac:dyDescent="0.35">
      <c r="A204" s="406"/>
      <c r="B204" s="407"/>
      <c r="C204" s="408"/>
      <c r="D204" s="409"/>
      <c r="E204" s="410"/>
      <c r="F204" s="410"/>
      <c r="G204" s="409"/>
      <c r="H204" s="411"/>
      <c r="I204" s="412"/>
      <c r="J204" s="413"/>
      <c r="K204" s="414"/>
      <c r="L204" s="415"/>
      <c r="M204" s="414"/>
      <c r="N204" s="416"/>
      <c r="O204" s="417"/>
      <c r="P204" s="414"/>
      <c r="Q204" s="415"/>
      <c r="R204" s="414"/>
      <c r="S204" s="418"/>
      <c r="T204" s="412"/>
      <c r="U204" s="413"/>
      <c r="V204" s="419"/>
      <c r="W204" s="413"/>
      <c r="X204" s="420"/>
      <c r="Y204" s="421"/>
      <c r="Z204" s="412"/>
      <c r="AA204" s="417"/>
      <c r="AB204" s="413"/>
      <c r="AC204" s="422"/>
    </row>
    <row r="205" spans="1:29" x14ac:dyDescent="0.35">
      <c r="A205" s="406"/>
      <c r="B205" s="407"/>
      <c r="C205" s="408"/>
      <c r="D205" s="409"/>
      <c r="E205" s="410"/>
      <c r="F205" s="410"/>
      <c r="G205" s="409"/>
      <c r="H205" s="411"/>
      <c r="I205" s="412"/>
      <c r="J205" s="413"/>
      <c r="K205" s="414"/>
      <c r="L205" s="415"/>
      <c r="M205" s="414"/>
      <c r="N205" s="416"/>
      <c r="O205" s="417"/>
      <c r="P205" s="414"/>
      <c r="Q205" s="415"/>
      <c r="R205" s="414"/>
      <c r="S205" s="418"/>
      <c r="T205" s="412"/>
      <c r="U205" s="413"/>
      <c r="V205" s="419"/>
      <c r="W205" s="413"/>
      <c r="X205" s="420"/>
      <c r="Y205" s="421"/>
      <c r="Z205" s="412"/>
      <c r="AA205" s="417"/>
      <c r="AB205" s="413"/>
      <c r="AC205" s="422"/>
    </row>
    <row r="206" spans="1:29" x14ac:dyDescent="0.35">
      <c r="A206" s="406"/>
      <c r="B206" s="407"/>
      <c r="C206" s="408"/>
      <c r="D206" s="409"/>
      <c r="E206" s="410"/>
      <c r="F206" s="410"/>
      <c r="G206" s="409"/>
      <c r="H206" s="411"/>
      <c r="I206" s="412"/>
      <c r="J206" s="413"/>
      <c r="K206" s="414"/>
      <c r="L206" s="415"/>
      <c r="M206" s="414"/>
      <c r="N206" s="416"/>
      <c r="O206" s="417"/>
      <c r="P206" s="414"/>
      <c r="Q206" s="415"/>
      <c r="R206" s="414"/>
      <c r="S206" s="418"/>
      <c r="T206" s="412"/>
      <c r="U206" s="413"/>
      <c r="V206" s="419"/>
      <c r="W206" s="413"/>
      <c r="X206" s="420"/>
      <c r="Y206" s="421"/>
      <c r="Z206" s="412"/>
      <c r="AA206" s="417"/>
      <c r="AB206" s="413"/>
      <c r="AC206" s="422"/>
    </row>
    <row r="207" spans="1:29" x14ac:dyDescent="0.35">
      <c r="A207" s="406"/>
      <c r="B207" s="407"/>
      <c r="C207" s="408"/>
      <c r="D207" s="409"/>
      <c r="E207" s="410"/>
      <c r="F207" s="410"/>
      <c r="G207" s="409"/>
      <c r="H207" s="411"/>
      <c r="I207" s="412"/>
      <c r="J207" s="413"/>
      <c r="K207" s="414"/>
      <c r="L207" s="415"/>
      <c r="M207" s="414"/>
      <c r="N207" s="416"/>
      <c r="O207" s="417"/>
      <c r="P207" s="414"/>
      <c r="Q207" s="415"/>
      <c r="R207" s="414"/>
      <c r="S207" s="418"/>
      <c r="T207" s="412"/>
      <c r="U207" s="413"/>
      <c r="V207" s="419"/>
      <c r="W207" s="413"/>
      <c r="X207" s="420"/>
      <c r="Y207" s="421"/>
      <c r="Z207" s="412"/>
      <c r="AA207" s="417"/>
      <c r="AB207" s="413"/>
      <c r="AC207" s="422"/>
    </row>
    <row r="208" spans="1:29" x14ac:dyDescent="0.35">
      <c r="A208" s="406"/>
      <c r="B208" s="407"/>
      <c r="C208" s="408"/>
      <c r="D208" s="409"/>
      <c r="E208" s="410"/>
      <c r="F208" s="410"/>
      <c r="G208" s="409"/>
      <c r="H208" s="411"/>
      <c r="I208" s="412"/>
      <c r="J208" s="413"/>
      <c r="K208" s="414"/>
      <c r="L208" s="415"/>
      <c r="M208" s="414"/>
      <c r="N208" s="416"/>
      <c r="O208" s="417"/>
      <c r="P208" s="414"/>
      <c r="Q208" s="415"/>
      <c r="R208" s="414"/>
      <c r="S208" s="418"/>
      <c r="T208" s="412"/>
      <c r="U208" s="413"/>
      <c r="V208" s="419"/>
      <c r="W208" s="413"/>
      <c r="X208" s="420"/>
      <c r="Y208" s="421"/>
      <c r="Z208" s="412"/>
      <c r="AA208" s="417"/>
      <c r="AB208" s="413"/>
      <c r="AC208" s="422"/>
    </row>
    <row r="209" spans="1:29" x14ac:dyDescent="0.35">
      <c r="A209" s="406"/>
      <c r="B209" s="407"/>
      <c r="C209" s="408"/>
      <c r="D209" s="409"/>
      <c r="E209" s="410"/>
      <c r="F209" s="410"/>
      <c r="G209" s="409"/>
      <c r="H209" s="411"/>
      <c r="I209" s="412"/>
      <c r="J209" s="413"/>
      <c r="K209" s="414"/>
      <c r="L209" s="415"/>
      <c r="M209" s="414"/>
      <c r="N209" s="416"/>
      <c r="O209" s="417"/>
      <c r="P209" s="414"/>
      <c r="Q209" s="415"/>
      <c r="R209" s="414"/>
      <c r="S209" s="418"/>
      <c r="T209" s="412"/>
      <c r="U209" s="413"/>
      <c r="V209" s="419"/>
      <c r="W209" s="413"/>
      <c r="X209" s="420"/>
      <c r="Y209" s="421"/>
      <c r="Z209" s="412"/>
      <c r="AA209" s="417"/>
      <c r="AB209" s="413"/>
      <c r="AC209" s="422"/>
    </row>
    <row r="210" spans="1:29" x14ac:dyDescent="0.35">
      <c r="A210" s="406"/>
      <c r="B210" s="407"/>
      <c r="C210" s="408"/>
      <c r="D210" s="409"/>
      <c r="E210" s="410"/>
      <c r="F210" s="410"/>
      <c r="G210" s="409"/>
      <c r="H210" s="411"/>
      <c r="I210" s="412"/>
      <c r="J210" s="413"/>
      <c r="K210" s="414"/>
      <c r="L210" s="415"/>
      <c r="M210" s="414"/>
      <c r="N210" s="416"/>
      <c r="O210" s="417"/>
      <c r="P210" s="414"/>
      <c r="Q210" s="415"/>
      <c r="R210" s="414"/>
      <c r="S210" s="418"/>
      <c r="T210" s="412"/>
      <c r="U210" s="413"/>
      <c r="V210" s="419"/>
      <c r="W210" s="413"/>
      <c r="X210" s="420"/>
      <c r="Y210" s="421"/>
      <c r="Z210" s="412"/>
      <c r="AA210" s="417"/>
      <c r="AB210" s="413"/>
      <c r="AC210" s="422"/>
    </row>
    <row r="211" spans="1:29" x14ac:dyDescent="0.35">
      <c r="A211" s="406"/>
      <c r="B211" s="407"/>
      <c r="C211" s="408"/>
      <c r="D211" s="409"/>
      <c r="E211" s="410"/>
      <c r="F211" s="410"/>
      <c r="G211" s="409"/>
      <c r="H211" s="411"/>
      <c r="I211" s="412"/>
      <c r="J211" s="413"/>
      <c r="K211" s="414"/>
      <c r="L211" s="415"/>
      <c r="M211" s="414"/>
      <c r="N211" s="416"/>
      <c r="O211" s="417"/>
      <c r="P211" s="414"/>
      <c r="Q211" s="415"/>
      <c r="R211" s="414"/>
      <c r="S211" s="418"/>
      <c r="T211" s="412"/>
      <c r="U211" s="413"/>
      <c r="V211" s="419"/>
      <c r="W211" s="413"/>
      <c r="X211" s="420"/>
      <c r="Y211" s="421"/>
      <c r="Z211" s="412"/>
      <c r="AA211" s="417"/>
      <c r="AB211" s="413"/>
      <c r="AC211" s="422"/>
    </row>
    <row r="212" spans="1:29" x14ac:dyDescent="0.35">
      <c r="A212" s="406"/>
      <c r="B212" s="407"/>
      <c r="C212" s="408"/>
      <c r="D212" s="409"/>
      <c r="E212" s="410"/>
      <c r="F212" s="410"/>
      <c r="G212" s="409"/>
      <c r="H212" s="411"/>
      <c r="I212" s="412"/>
      <c r="J212" s="413"/>
      <c r="K212" s="414"/>
      <c r="L212" s="415"/>
      <c r="M212" s="414"/>
      <c r="N212" s="416"/>
      <c r="O212" s="417"/>
      <c r="P212" s="414"/>
      <c r="Q212" s="415"/>
      <c r="R212" s="414"/>
      <c r="S212" s="418"/>
      <c r="T212" s="412"/>
      <c r="U212" s="413"/>
      <c r="V212" s="419"/>
      <c r="W212" s="413"/>
      <c r="X212" s="420"/>
      <c r="Y212" s="421"/>
      <c r="Z212" s="412"/>
      <c r="AA212" s="417"/>
      <c r="AB212" s="413"/>
      <c r="AC212" s="422"/>
    </row>
    <row r="213" spans="1:29" x14ac:dyDescent="0.35">
      <c r="A213" s="406"/>
      <c r="B213" s="407"/>
      <c r="C213" s="408"/>
      <c r="D213" s="409"/>
      <c r="E213" s="410"/>
      <c r="F213" s="410"/>
      <c r="G213" s="409"/>
      <c r="H213" s="411"/>
      <c r="I213" s="412"/>
      <c r="J213" s="413"/>
      <c r="K213" s="414"/>
      <c r="L213" s="415"/>
      <c r="M213" s="414"/>
      <c r="N213" s="416"/>
      <c r="O213" s="417"/>
      <c r="P213" s="414"/>
      <c r="Q213" s="415"/>
      <c r="R213" s="414"/>
      <c r="S213" s="418"/>
      <c r="T213" s="412"/>
      <c r="U213" s="413"/>
      <c r="V213" s="419"/>
      <c r="W213" s="413"/>
      <c r="X213" s="420"/>
      <c r="Y213" s="421"/>
      <c r="Z213" s="412"/>
      <c r="AA213" s="417"/>
      <c r="AB213" s="413"/>
      <c r="AC213" s="422"/>
    </row>
    <row r="214" spans="1:29" x14ac:dyDescent="0.35">
      <c r="A214" s="406"/>
      <c r="B214" s="407"/>
      <c r="C214" s="408"/>
      <c r="D214" s="409"/>
      <c r="E214" s="410"/>
      <c r="F214" s="410"/>
      <c r="G214" s="409"/>
      <c r="H214" s="411"/>
      <c r="I214" s="412"/>
      <c r="J214" s="413"/>
      <c r="K214" s="414"/>
      <c r="L214" s="415"/>
      <c r="M214" s="414"/>
      <c r="N214" s="416"/>
      <c r="O214" s="417"/>
      <c r="P214" s="414"/>
      <c r="Q214" s="415"/>
      <c r="R214" s="414"/>
      <c r="S214" s="418"/>
      <c r="T214" s="412"/>
      <c r="U214" s="413"/>
      <c r="V214" s="419"/>
      <c r="W214" s="413"/>
      <c r="X214" s="420"/>
      <c r="Y214" s="421"/>
      <c r="Z214" s="412"/>
      <c r="AA214" s="417"/>
      <c r="AB214" s="413"/>
      <c r="AC214" s="422"/>
    </row>
    <row r="215" spans="1:29" x14ac:dyDescent="0.35">
      <c r="A215" s="406"/>
      <c r="B215" s="407"/>
      <c r="C215" s="408"/>
      <c r="D215" s="409"/>
      <c r="E215" s="410"/>
      <c r="F215" s="410"/>
      <c r="G215" s="409"/>
      <c r="H215" s="411"/>
      <c r="I215" s="412"/>
      <c r="J215" s="413"/>
      <c r="K215" s="414"/>
      <c r="L215" s="415"/>
      <c r="M215" s="414"/>
      <c r="N215" s="416"/>
      <c r="O215" s="417"/>
      <c r="P215" s="414"/>
      <c r="Q215" s="415"/>
      <c r="R215" s="414"/>
      <c r="S215" s="418"/>
      <c r="T215" s="412"/>
      <c r="U215" s="413"/>
      <c r="V215" s="419"/>
      <c r="W215" s="413"/>
      <c r="X215" s="420"/>
      <c r="Y215" s="421"/>
      <c r="Z215" s="412"/>
      <c r="AA215" s="417"/>
      <c r="AB215" s="413"/>
      <c r="AC215" s="422"/>
    </row>
    <row r="216" spans="1:29" x14ac:dyDescent="0.35">
      <c r="A216" s="406"/>
      <c r="B216" s="407"/>
      <c r="C216" s="408"/>
      <c r="D216" s="409"/>
      <c r="E216" s="410"/>
      <c r="F216" s="410"/>
      <c r="G216" s="409"/>
      <c r="H216" s="411"/>
      <c r="I216" s="412"/>
      <c r="J216" s="413"/>
      <c r="K216" s="414"/>
      <c r="L216" s="415"/>
      <c r="M216" s="414"/>
      <c r="N216" s="416"/>
      <c r="O216" s="417"/>
      <c r="P216" s="414"/>
      <c r="Q216" s="415"/>
      <c r="R216" s="414"/>
      <c r="S216" s="418"/>
      <c r="T216" s="412"/>
      <c r="U216" s="413"/>
      <c r="V216" s="419"/>
      <c r="W216" s="413"/>
      <c r="X216" s="420"/>
      <c r="Y216" s="421"/>
      <c r="Z216" s="412"/>
      <c r="AA216" s="417"/>
      <c r="AB216" s="413"/>
      <c r="AC216" s="422"/>
    </row>
    <row r="217" spans="1:29" x14ac:dyDescent="0.35">
      <c r="A217" s="406"/>
      <c r="B217" s="407"/>
      <c r="C217" s="408"/>
      <c r="D217" s="409"/>
      <c r="E217" s="410"/>
      <c r="F217" s="410"/>
      <c r="G217" s="409"/>
      <c r="H217" s="411"/>
      <c r="I217" s="412"/>
      <c r="J217" s="413"/>
      <c r="K217" s="414"/>
      <c r="L217" s="415"/>
      <c r="M217" s="414"/>
      <c r="N217" s="416"/>
      <c r="O217" s="417"/>
      <c r="P217" s="414"/>
      <c r="Q217" s="415"/>
      <c r="R217" s="414"/>
      <c r="S217" s="418"/>
      <c r="T217" s="412"/>
      <c r="U217" s="413"/>
      <c r="V217" s="419"/>
      <c r="W217" s="413"/>
      <c r="X217" s="420"/>
      <c r="Y217" s="421"/>
      <c r="Z217" s="412"/>
      <c r="AA217" s="417"/>
      <c r="AB217" s="413"/>
      <c r="AC217" s="422"/>
    </row>
    <row r="218" spans="1:29" x14ac:dyDescent="0.35">
      <c r="A218" s="406"/>
      <c r="B218" s="407"/>
      <c r="C218" s="408"/>
      <c r="D218" s="409"/>
      <c r="E218" s="410"/>
      <c r="F218" s="410"/>
      <c r="G218" s="409"/>
      <c r="H218" s="411"/>
      <c r="I218" s="412"/>
      <c r="J218" s="413"/>
      <c r="K218" s="414"/>
      <c r="L218" s="415"/>
      <c r="M218" s="414"/>
      <c r="N218" s="416"/>
      <c r="O218" s="417"/>
      <c r="P218" s="414"/>
      <c r="Q218" s="415"/>
      <c r="R218" s="414"/>
      <c r="S218" s="418"/>
      <c r="T218" s="412"/>
      <c r="U218" s="413"/>
      <c r="V218" s="419"/>
      <c r="W218" s="413"/>
      <c r="X218" s="420"/>
      <c r="Y218" s="421"/>
      <c r="Z218" s="412"/>
      <c r="AA218" s="417"/>
      <c r="AB218" s="413"/>
      <c r="AC218" s="422"/>
    </row>
    <row r="219" spans="1:29" x14ac:dyDescent="0.35">
      <c r="A219" s="406"/>
      <c r="B219" s="407"/>
      <c r="C219" s="408"/>
      <c r="D219" s="409"/>
      <c r="E219" s="410"/>
      <c r="F219" s="410"/>
      <c r="G219" s="409"/>
      <c r="H219" s="411"/>
      <c r="I219" s="412"/>
      <c r="J219" s="413"/>
      <c r="K219" s="414"/>
      <c r="L219" s="415"/>
      <c r="M219" s="414"/>
      <c r="N219" s="416"/>
      <c r="O219" s="417"/>
      <c r="P219" s="414"/>
      <c r="Q219" s="415"/>
      <c r="R219" s="414"/>
      <c r="S219" s="418"/>
      <c r="T219" s="412"/>
      <c r="U219" s="413"/>
      <c r="V219" s="419"/>
      <c r="W219" s="413"/>
      <c r="X219" s="420"/>
      <c r="Y219" s="421"/>
      <c r="Z219" s="412"/>
      <c r="AA219" s="417"/>
      <c r="AB219" s="413"/>
      <c r="AC219" s="422"/>
    </row>
    <row r="220" spans="1:29" x14ac:dyDescent="0.35">
      <c r="A220" s="406"/>
      <c r="B220" s="407"/>
      <c r="C220" s="408"/>
      <c r="D220" s="409"/>
      <c r="E220" s="410"/>
      <c r="F220" s="410"/>
      <c r="G220" s="409"/>
      <c r="H220" s="411"/>
      <c r="I220" s="412"/>
      <c r="J220" s="413"/>
      <c r="K220" s="414"/>
      <c r="L220" s="415"/>
      <c r="M220" s="414"/>
      <c r="N220" s="416"/>
      <c r="O220" s="417"/>
      <c r="P220" s="414"/>
      <c r="Q220" s="415"/>
      <c r="R220" s="414"/>
      <c r="S220" s="418"/>
      <c r="T220" s="412"/>
      <c r="U220" s="413"/>
      <c r="V220" s="419"/>
      <c r="W220" s="413"/>
      <c r="X220" s="420"/>
      <c r="Y220" s="421"/>
      <c r="Z220" s="412"/>
      <c r="AA220" s="417"/>
      <c r="AB220" s="413"/>
      <c r="AC220" s="422"/>
    </row>
    <row r="221" spans="1:29" x14ac:dyDescent="0.35">
      <c r="A221" s="406"/>
      <c r="B221" s="407"/>
      <c r="C221" s="408"/>
      <c r="D221" s="409"/>
      <c r="E221" s="410"/>
      <c r="F221" s="410"/>
      <c r="G221" s="409"/>
      <c r="H221" s="411"/>
      <c r="I221" s="412"/>
      <c r="J221" s="413"/>
      <c r="K221" s="414"/>
      <c r="L221" s="415"/>
      <c r="M221" s="414"/>
      <c r="N221" s="416"/>
      <c r="O221" s="417"/>
      <c r="P221" s="414"/>
      <c r="Q221" s="415"/>
      <c r="R221" s="414"/>
      <c r="S221" s="418"/>
      <c r="T221" s="412"/>
      <c r="U221" s="413"/>
      <c r="V221" s="419"/>
      <c r="W221" s="413"/>
      <c r="X221" s="420"/>
      <c r="Y221" s="421"/>
      <c r="Z221" s="412"/>
      <c r="AA221" s="417"/>
      <c r="AB221" s="413"/>
      <c r="AC221" s="422"/>
    </row>
    <row r="222" spans="1:29" x14ac:dyDescent="0.35">
      <c r="A222" s="406"/>
      <c r="B222" s="407"/>
      <c r="C222" s="408"/>
      <c r="D222" s="409"/>
      <c r="E222" s="410"/>
      <c r="F222" s="410"/>
      <c r="G222" s="409"/>
      <c r="H222" s="411"/>
      <c r="I222" s="412"/>
      <c r="J222" s="413"/>
      <c r="K222" s="414"/>
      <c r="L222" s="415"/>
      <c r="M222" s="414"/>
      <c r="N222" s="416"/>
      <c r="O222" s="417"/>
      <c r="P222" s="414"/>
      <c r="Q222" s="415"/>
      <c r="R222" s="414"/>
      <c r="S222" s="418"/>
      <c r="T222" s="412"/>
      <c r="U222" s="413"/>
      <c r="V222" s="419"/>
      <c r="W222" s="413"/>
      <c r="X222" s="420"/>
      <c r="Y222" s="421"/>
      <c r="Z222" s="412"/>
      <c r="AA222" s="417"/>
      <c r="AB222" s="413"/>
      <c r="AC222" s="422"/>
    </row>
    <row r="223" spans="1:29" x14ac:dyDescent="0.35">
      <c r="A223" s="406"/>
      <c r="B223" s="407"/>
      <c r="C223" s="408"/>
      <c r="D223" s="409"/>
      <c r="E223" s="410"/>
      <c r="F223" s="410"/>
      <c r="G223" s="409"/>
      <c r="H223" s="411"/>
      <c r="I223" s="412"/>
      <c r="J223" s="413"/>
      <c r="K223" s="414"/>
      <c r="L223" s="415"/>
      <c r="M223" s="414"/>
      <c r="N223" s="416"/>
      <c r="O223" s="417"/>
      <c r="P223" s="414"/>
      <c r="Q223" s="415"/>
      <c r="R223" s="414"/>
      <c r="S223" s="418"/>
      <c r="T223" s="412"/>
      <c r="U223" s="413"/>
      <c r="V223" s="419"/>
      <c r="W223" s="413"/>
      <c r="X223" s="420"/>
      <c r="Y223" s="421"/>
      <c r="Z223" s="412"/>
      <c r="AA223" s="417"/>
      <c r="AB223" s="413"/>
      <c r="AC223" s="422"/>
    </row>
    <row r="224" spans="1:29" x14ac:dyDescent="0.35">
      <c r="A224" s="406"/>
      <c r="B224" s="407"/>
      <c r="C224" s="408"/>
      <c r="D224" s="409"/>
      <c r="E224" s="410"/>
      <c r="F224" s="410"/>
      <c r="G224" s="409"/>
      <c r="H224" s="411"/>
      <c r="I224" s="412"/>
      <c r="J224" s="413"/>
      <c r="K224" s="414"/>
      <c r="L224" s="415"/>
      <c r="M224" s="414"/>
      <c r="N224" s="416"/>
      <c r="O224" s="417"/>
      <c r="P224" s="414"/>
      <c r="Q224" s="415"/>
      <c r="R224" s="414"/>
      <c r="S224" s="418"/>
      <c r="T224" s="412"/>
      <c r="U224" s="413"/>
      <c r="V224" s="419"/>
      <c r="W224" s="413"/>
      <c r="X224" s="420"/>
      <c r="Y224" s="421"/>
      <c r="Z224" s="412"/>
      <c r="AA224" s="417"/>
      <c r="AB224" s="413"/>
      <c r="AC224" s="422"/>
    </row>
    <row r="225" spans="1:29" x14ac:dyDescent="0.35">
      <c r="A225" s="406"/>
      <c r="B225" s="407"/>
      <c r="C225" s="408"/>
      <c r="D225" s="409"/>
      <c r="E225" s="410"/>
      <c r="F225" s="410"/>
      <c r="G225" s="409"/>
      <c r="H225" s="411"/>
      <c r="I225" s="412"/>
      <c r="J225" s="413"/>
      <c r="K225" s="414"/>
      <c r="L225" s="415"/>
      <c r="M225" s="414"/>
      <c r="N225" s="416"/>
      <c r="O225" s="417"/>
      <c r="P225" s="414"/>
      <c r="Q225" s="415"/>
      <c r="R225" s="414"/>
      <c r="S225" s="418"/>
      <c r="T225" s="412"/>
      <c r="U225" s="413"/>
      <c r="V225" s="419"/>
      <c r="W225" s="413"/>
      <c r="X225" s="420"/>
      <c r="Y225" s="421"/>
      <c r="Z225" s="412"/>
      <c r="AA225" s="417"/>
      <c r="AB225" s="413"/>
      <c r="AC225" s="422"/>
    </row>
    <row r="226" spans="1:29" x14ac:dyDescent="0.35">
      <c r="A226" s="406"/>
      <c r="B226" s="407"/>
      <c r="C226" s="408"/>
      <c r="D226" s="409"/>
      <c r="E226" s="410"/>
      <c r="F226" s="410"/>
      <c r="G226" s="409"/>
      <c r="H226" s="411"/>
      <c r="I226" s="412"/>
      <c r="J226" s="413"/>
      <c r="K226" s="414"/>
      <c r="L226" s="415"/>
      <c r="M226" s="414"/>
      <c r="N226" s="416"/>
      <c r="O226" s="417"/>
      <c r="P226" s="414"/>
      <c r="Q226" s="415"/>
      <c r="R226" s="414"/>
      <c r="S226" s="418"/>
      <c r="T226" s="412"/>
      <c r="U226" s="413"/>
      <c r="V226" s="419"/>
      <c r="W226" s="413"/>
      <c r="X226" s="420"/>
      <c r="Y226" s="421"/>
      <c r="Z226" s="412"/>
      <c r="AA226" s="417"/>
      <c r="AB226" s="413"/>
      <c r="AC226" s="422"/>
    </row>
    <row r="227" spans="1:29" x14ac:dyDescent="0.35">
      <c r="A227" s="406"/>
      <c r="B227" s="407"/>
      <c r="C227" s="408"/>
      <c r="D227" s="409"/>
      <c r="E227" s="410"/>
      <c r="F227" s="410"/>
      <c r="G227" s="409"/>
      <c r="H227" s="411"/>
      <c r="I227" s="412"/>
      <c r="J227" s="413"/>
      <c r="K227" s="414"/>
      <c r="L227" s="415"/>
      <c r="M227" s="414"/>
      <c r="N227" s="416"/>
      <c r="O227" s="417"/>
      <c r="P227" s="414"/>
      <c r="Q227" s="415"/>
      <c r="R227" s="414"/>
      <c r="S227" s="418"/>
      <c r="T227" s="412"/>
      <c r="U227" s="413"/>
      <c r="V227" s="419"/>
      <c r="W227" s="413"/>
      <c r="X227" s="420"/>
      <c r="Y227" s="421"/>
      <c r="Z227" s="412"/>
      <c r="AA227" s="417"/>
      <c r="AB227" s="413"/>
      <c r="AC227" s="422"/>
    </row>
    <row r="228" spans="1:29" x14ac:dyDescent="0.35">
      <c r="A228" s="406"/>
      <c r="B228" s="407"/>
      <c r="C228" s="408"/>
      <c r="D228" s="409"/>
      <c r="E228" s="410"/>
      <c r="F228" s="410"/>
      <c r="G228" s="409"/>
      <c r="H228" s="411"/>
      <c r="I228" s="412"/>
      <c r="J228" s="413"/>
      <c r="K228" s="414"/>
      <c r="L228" s="415"/>
      <c r="M228" s="414"/>
      <c r="N228" s="416"/>
      <c r="O228" s="417"/>
      <c r="P228" s="414"/>
      <c r="Q228" s="415"/>
      <c r="R228" s="414"/>
      <c r="S228" s="418"/>
      <c r="T228" s="412"/>
      <c r="U228" s="413"/>
      <c r="V228" s="419"/>
      <c r="W228" s="413"/>
      <c r="X228" s="420"/>
      <c r="Y228" s="421"/>
      <c r="Z228" s="412"/>
      <c r="AA228" s="417"/>
      <c r="AB228" s="413"/>
      <c r="AC228" s="422"/>
    </row>
    <row r="229" spans="1:29" x14ac:dyDescent="0.35">
      <c r="A229" s="406"/>
      <c r="B229" s="407"/>
      <c r="C229" s="408"/>
      <c r="D229" s="409"/>
      <c r="E229" s="410"/>
      <c r="F229" s="410"/>
      <c r="G229" s="409"/>
      <c r="H229" s="411"/>
      <c r="I229" s="412"/>
      <c r="J229" s="413"/>
      <c r="K229" s="414"/>
      <c r="L229" s="415"/>
      <c r="M229" s="414"/>
      <c r="N229" s="416"/>
      <c r="O229" s="417"/>
      <c r="P229" s="414"/>
      <c r="Q229" s="415"/>
      <c r="R229" s="414"/>
      <c r="S229" s="418"/>
      <c r="T229" s="412"/>
      <c r="U229" s="413"/>
      <c r="V229" s="419"/>
      <c r="W229" s="413"/>
      <c r="X229" s="420"/>
      <c r="Y229" s="421"/>
      <c r="Z229" s="412"/>
      <c r="AA229" s="417"/>
      <c r="AB229" s="413"/>
      <c r="AC229" s="422"/>
    </row>
    <row r="230" spans="1:29" x14ac:dyDescent="0.35">
      <c r="A230" s="406"/>
      <c r="B230" s="407"/>
      <c r="C230" s="408"/>
      <c r="D230" s="409"/>
      <c r="E230" s="410"/>
      <c r="F230" s="410"/>
      <c r="G230" s="409"/>
      <c r="H230" s="411"/>
      <c r="I230" s="412"/>
      <c r="J230" s="413"/>
      <c r="K230" s="414"/>
      <c r="L230" s="415"/>
      <c r="M230" s="414"/>
      <c r="N230" s="416"/>
      <c r="O230" s="417"/>
      <c r="P230" s="414"/>
      <c r="Q230" s="415"/>
      <c r="R230" s="414"/>
      <c r="S230" s="418"/>
      <c r="T230" s="412"/>
      <c r="U230" s="413"/>
      <c r="V230" s="419"/>
      <c r="W230" s="413"/>
      <c r="X230" s="420"/>
      <c r="Y230" s="421"/>
      <c r="Z230" s="412"/>
      <c r="AA230" s="417"/>
      <c r="AB230" s="413"/>
      <c r="AC230" s="422"/>
    </row>
    <row r="231" spans="1:29" x14ac:dyDescent="0.35">
      <c r="A231" s="406"/>
      <c r="B231" s="407"/>
      <c r="C231" s="408"/>
      <c r="D231" s="409"/>
      <c r="E231" s="410"/>
      <c r="F231" s="410"/>
      <c r="G231" s="409"/>
      <c r="H231" s="411"/>
      <c r="I231" s="412"/>
      <c r="J231" s="413"/>
      <c r="K231" s="414"/>
      <c r="L231" s="415"/>
      <c r="M231" s="414"/>
      <c r="N231" s="416"/>
      <c r="O231" s="417"/>
      <c r="P231" s="414"/>
      <c r="Q231" s="415"/>
      <c r="R231" s="414"/>
      <c r="S231" s="418"/>
      <c r="T231" s="412"/>
      <c r="U231" s="413"/>
      <c r="V231" s="419"/>
      <c r="W231" s="413"/>
      <c r="X231" s="420"/>
      <c r="Y231" s="421"/>
      <c r="Z231" s="412"/>
      <c r="AA231" s="417"/>
      <c r="AB231" s="413"/>
      <c r="AC231" s="422"/>
    </row>
    <row r="232" spans="1:29" x14ac:dyDescent="0.35">
      <c r="A232" s="406"/>
      <c r="B232" s="407"/>
      <c r="C232" s="408"/>
      <c r="D232" s="409"/>
      <c r="E232" s="410"/>
      <c r="F232" s="410"/>
      <c r="G232" s="409"/>
      <c r="H232" s="411"/>
      <c r="I232" s="412"/>
      <c r="J232" s="413"/>
      <c r="K232" s="414"/>
      <c r="L232" s="415"/>
      <c r="M232" s="414"/>
      <c r="N232" s="416"/>
      <c r="O232" s="417"/>
      <c r="P232" s="414"/>
      <c r="Q232" s="415"/>
      <c r="R232" s="414"/>
      <c r="S232" s="418"/>
      <c r="T232" s="412"/>
      <c r="U232" s="413"/>
      <c r="V232" s="419"/>
      <c r="W232" s="413"/>
      <c r="X232" s="420"/>
      <c r="Y232" s="421"/>
      <c r="Z232" s="412"/>
      <c r="AA232" s="417"/>
      <c r="AB232" s="413"/>
      <c r="AC232" s="422"/>
    </row>
    <row r="233" spans="1:29" x14ac:dyDescent="0.35">
      <c r="A233" s="406"/>
      <c r="B233" s="407"/>
      <c r="C233" s="408"/>
      <c r="D233" s="409"/>
      <c r="E233" s="410"/>
      <c r="F233" s="410"/>
      <c r="G233" s="409"/>
      <c r="H233" s="411"/>
      <c r="I233" s="412"/>
      <c r="J233" s="413"/>
      <c r="K233" s="414"/>
      <c r="L233" s="415"/>
      <c r="M233" s="414"/>
      <c r="N233" s="416"/>
      <c r="O233" s="417"/>
      <c r="P233" s="414"/>
      <c r="Q233" s="415"/>
      <c r="R233" s="414"/>
      <c r="S233" s="418"/>
      <c r="T233" s="412"/>
      <c r="U233" s="413"/>
      <c r="V233" s="419"/>
      <c r="W233" s="413"/>
      <c r="X233" s="420"/>
      <c r="Y233" s="421"/>
      <c r="Z233" s="412"/>
      <c r="AA233" s="417"/>
      <c r="AB233" s="413"/>
      <c r="AC233" s="422"/>
    </row>
    <row r="234" spans="1:29" x14ac:dyDescent="0.35">
      <c r="A234" s="406"/>
      <c r="B234" s="407"/>
      <c r="C234" s="408"/>
      <c r="D234" s="409"/>
      <c r="E234" s="410"/>
      <c r="F234" s="410"/>
      <c r="G234" s="409"/>
      <c r="H234" s="411"/>
      <c r="I234" s="412"/>
      <c r="J234" s="413"/>
      <c r="K234" s="414"/>
      <c r="L234" s="415"/>
      <c r="M234" s="414"/>
      <c r="N234" s="416"/>
      <c r="O234" s="417"/>
      <c r="P234" s="414"/>
      <c r="Q234" s="415"/>
      <c r="R234" s="414"/>
      <c r="S234" s="418"/>
      <c r="T234" s="412"/>
      <c r="U234" s="413"/>
      <c r="V234" s="419"/>
      <c r="W234" s="413"/>
      <c r="X234" s="420"/>
      <c r="Y234" s="421"/>
      <c r="Z234" s="412"/>
      <c r="AA234" s="417"/>
      <c r="AB234" s="413"/>
      <c r="AC234" s="422"/>
    </row>
    <row r="235" spans="1:29" x14ac:dyDescent="0.35">
      <c r="A235" s="406"/>
      <c r="B235" s="407"/>
      <c r="C235" s="408"/>
      <c r="D235" s="409"/>
      <c r="E235" s="410"/>
      <c r="F235" s="410"/>
      <c r="G235" s="409"/>
      <c r="H235" s="411"/>
      <c r="I235" s="412"/>
      <c r="J235" s="413"/>
      <c r="K235" s="414"/>
      <c r="L235" s="415"/>
      <c r="M235" s="414"/>
      <c r="N235" s="416"/>
      <c r="O235" s="417"/>
      <c r="P235" s="414"/>
      <c r="Q235" s="415"/>
      <c r="R235" s="414"/>
      <c r="S235" s="418"/>
      <c r="T235" s="412"/>
      <c r="U235" s="413"/>
      <c r="V235" s="419"/>
      <c r="W235" s="413"/>
      <c r="X235" s="420"/>
      <c r="Y235" s="421"/>
      <c r="Z235" s="412"/>
      <c r="AA235" s="417"/>
      <c r="AB235" s="413"/>
      <c r="AC235" s="422"/>
    </row>
    <row r="236" spans="1:29" x14ac:dyDescent="0.35">
      <c r="A236" s="406"/>
      <c r="B236" s="407"/>
      <c r="C236" s="408"/>
      <c r="D236" s="409"/>
      <c r="E236" s="410"/>
      <c r="F236" s="410"/>
      <c r="G236" s="409"/>
      <c r="H236" s="411"/>
      <c r="I236" s="412"/>
      <c r="J236" s="413"/>
      <c r="K236" s="414"/>
      <c r="L236" s="415"/>
      <c r="M236" s="414"/>
      <c r="N236" s="416"/>
      <c r="O236" s="417"/>
      <c r="P236" s="414"/>
      <c r="Q236" s="415"/>
      <c r="R236" s="414"/>
      <c r="S236" s="418"/>
      <c r="T236" s="412"/>
      <c r="U236" s="413"/>
      <c r="V236" s="419"/>
      <c r="W236" s="413"/>
      <c r="X236" s="420"/>
      <c r="Y236" s="421"/>
      <c r="Z236" s="412"/>
      <c r="AA236" s="417"/>
      <c r="AB236" s="413"/>
      <c r="AC236" s="422"/>
    </row>
    <row r="237" spans="1:29" x14ac:dyDescent="0.35">
      <c r="A237" s="406"/>
      <c r="B237" s="407"/>
      <c r="C237" s="408"/>
      <c r="D237" s="409"/>
      <c r="E237" s="410"/>
      <c r="F237" s="410"/>
      <c r="G237" s="409"/>
      <c r="H237" s="411"/>
      <c r="I237" s="412"/>
      <c r="J237" s="413"/>
      <c r="K237" s="414"/>
      <c r="L237" s="415"/>
      <c r="M237" s="414"/>
      <c r="N237" s="416"/>
      <c r="O237" s="417"/>
      <c r="P237" s="414"/>
      <c r="Q237" s="415"/>
      <c r="R237" s="414"/>
      <c r="S237" s="418"/>
      <c r="T237" s="412"/>
      <c r="U237" s="413"/>
      <c r="V237" s="419"/>
      <c r="W237" s="413"/>
      <c r="X237" s="420"/>
      <c r="Y237" s="421"/>
      <c r="Z237" s="412"/>
      <c r="AA237" s="417"/>
      <c r="AB237" s="413"/>
      <c r="AC237" s="422"/>
    </row>
    <row r="238" spans="1:29" x14ac:dyDescent="0.35">
      <c r="A238" s="406"/>
      <c r="B238" s="407"/>
      <c r="C238" s="408"/>
      <c r="D238" s="409"/>
      <c r="E238" s="410"/>
      <c r="F238" s="410"/>
      <c r="G238" s="409"/>
      <c r="H238" s="411"/>
      <c r="I238" s="412"/>
      <c r="J238" s="413"/>
      <c r="K238" s="414"/>
      <c r="L238" s="415"/>
      <c r="M238" s="414"/>
      <c r="N238" s="416"/>
      <c r="O238" s="417"/>
      <c r="P238" s="414"/>
      <c r="Q238" s="415"/>
      <c r="R238" s="414"/>
      <c r="S238" s="418"/>
      <c r="T238" s="412"/>
      <c r="U238" s="413"/>
      <c r="V238" s="419"/>
      <c r="W238" s="413"/>
      <c r="X238" s="420"/>
      <c r="Y238" s="421"/>
      <c r="Z238" s="412"/>
      <c r="AA238" s="417"/>
      <c r="AB238" s="413"/>
      <c r="AC238" s="422"/>
    </row>
    <row r="239" spans="1:29" x14ac:dyDescent="0.35">
      <c r="A239" s="406"/>
      <c r="B239" s="407"/>
      <c r="C239" s="408"/>
      <c r="D239" s="409"/>
      <c r="E239" s="410"/>
      <c r="F239" s="410"/>
      <c r="G239" s="409"/>
      <c r="H239" s="411"/>
      <c r="I239" s="412"/>
      <c r="J239" s="413"/>
      <c r="K239" s="414"/>
      <c r="L239" s="415"/>
      <c r="M239" s="414"/>
      <c r="N239" s="416"/>
      <c r="O239" s="417"/>
      <c r="P239" s="414"/>
      <c r="Q239" s="415"/>
      <c r="R239" s="414"/>
      <c r="S239" s="418"/>
      <c r="T239" s="412"/>
      <c r="U239" s="413"/>
      <c r="V239" s="419"/>
      <c r="W239" s="413"/>
      <c r="X239" s="420"/>
      <c r="Y239" s="421"/>
      <c r="Z239" s="412"/>
      <c r="AA239" s="417"/>
      <c r="AB239" s="413"/>
      <c r="AC239" s="422"/>
    </row>
    <row r="240" spans="1:29" x14ac:dyDescent="0.35">
      <c r="A240" s="406"/>
      <c r="B240" s="407"/>
      <c r="C240" s="408"/>
      <c r="D240" s="409"/>
      <c r="E240" s="410"/>
      <c r="F240" s="410"/>
      <c r="G240" s="409"/>
      <c r="H240" s="411"/>
      <c r="I240" s="412"/>
      <c r="J240" s="413"/>
      <c r="K240" s="414"/>
      <c r="L240" s="415"/>
      <c r="M240" s="414"/>
      <c r="N240" s="416"/>
      <c r="O240" s="417"/>
      <c r="P240" s="414"/>
      <c r="Q240" s="415"/>
      <c r="R240" s="414"/>
      <c r="S240" s="418"/>
      <c r="T240" s="412"/>
      <c r="U240" s="413"/>
      <c r="V240" s="419"/>
      <c r="W240" s="413"/>
      <c r="X240" s="420"/>
      <c r="Y240" s="421"/>
      <c r="Z240" s="412"/>
      <c r="AA240" s="417"/>
      <c r="AB240" s="413"/>
      <c r="AC240" s="422"/>
    </row>
    <row r="241" spans="1:29" x14ac:dyDescent="0.35">
      <c r="A241" s="406"/>
      <c r="B241" s="407"/>
      <c r="C241" s="408"/>
      <c r="D241" s="409"/>
      <c r="E241" s="410"/>
      <c r="F241" s="410"/>
      <c r="G241" s="409"/>
      <c r="H241" s="411"/>
      <c r="I241" s="412"/>
      <c r="J241" s="413"/>
      <c r="K241" s="414"/>
      <c r="L241" s="415"/>
      <c r="M241" s="414"/>
      <c r="N241" s="416"/>
      <c r="O241" s="417"/>
      <c r="P241" s="414"/>
      <c r="Q241" s="415"/>
      <c r="R241" s="414"/>
      <c r="S241" s="418"/>
      <c r="T241" s="412"/>
      <c r="U241" s="413"/>
      <c r="V241" s="419"/>
      <c r="W241" s="413"/>
      <c r="X241" s="420"/>
      <c r="Y241" s="421"/>
      <c r="Z241" s="412"/>
      <c r="AA241" s="417"/>
      <c r="AB241" s="413"/>
      <c r="AC241" s="422"/>
    </row>
    <row r="242" spans="1:29" x14ac:dyDescent="0.35">
      <c r="A242" s="406"/>
      <c r="B242" s="407"/>
      <c r="C242" s="408"/>
      <c r="D242" s="409"/>
      <c r="E242" s="410"/>
      <c r="F242" s="410"/>
      <c r="G242" s="409"/>
      <c r="H242" s="411"/>
      <c r="I242" s="412"/>
      <c r="J242" s="413"/>
      <c r="K242" s="414"/>
      <c r="L242" s="415"/>
      <c r="M242" s="414"/>
      <c r="N242" s="416"/>
      <c r="O242" s="417"/>
      <c r="P242" s="414"/>
      <c r="Q242" s="415"/>
      <c r="R242" s="414"/>
      <c r="S242" s="418"/>
      <c r="T242" s="412"/>
      <c r="U242" s="413"/>
      <c r="V242" s="419"/>
      <c r="W242" s="413"/>
      <c r="X242" s="420"/>
      <c r="Y242" s="421"/>
      <c r="Z242" s="412"/>
      <c r="AA242" s="417"/>
      <c r="AB242" s="413"/>
      <c r="AC242" s="422"/>
    </row>
    <row r="243" spans="1:29" x14ac:dyDescent="0.35">
      <c r="A243" s="406"/>
      <c r="B243" s="407"/>
      <c r="C243" s="408"/>
      <c r="D243" s="409"/>
      <c r="E243" s="410"/>
      <c r="F243" s="410"/>
      <c r="G243" s="409"/>
      <c r="H243" s="411"/>
      <c r="I243" s="412"/>
      <c r="J243" s="413"/>
      <c r="K243" s="414"/>
      <c r="L243" s="415"/>
      <c r="M243" s="414"/>
      <c r="N243" s="416"/>
      <c r="O243" s="417"/>
      <c r="P243" s="414"/>
      <c r="Q243" s="415"/>
      <c r="R243" s="414"/>
      <c r="S243" s="418"/>
      <c r="T243" s="412"/>
      <c r="U243" s="413"/>
      <c r="V243" s="419"/>
      <c r="W243" s="413"/>
      <c r="X243" s="420"/>
      <c r="Y243" s="421"/>
      <c r="Z243" s="412"/>
      <c r="AA243" s="417"/>
      <c r="AB243" s="413"/>
      <c r="AC243" s="422"/>
    </row>
    <row r="244" spans="1:29" x14ac:dyDescent="0.35">
      <c r="A244" s="406"/>
      <c r="B244" s="407"/>
      <c r="C244" s="408"/>
      <c r="D244" s="409"/>
      <c r="E244" s="410"/>
      <c r="F244" s="410"/>
      <c r="G244" s="409"/>
      <c r="H244" s="411"/>
      <c r="I244" s="412"/>
      <c r="J244" s="413"/>
      <c r="K244" s="414"/>
      <c r="L244" s="415"/>
      <c r="M244" s="414"/>
      <c r="N244" s="416"/>
      <c r="O244" s="417"/>
      <c r="P244" s="414"/>
      <c r="Q244" s="415"/>
      <c r="R244" s="414"/>
      <c r="S244" s="418"/>
      <c r="T244" s="412"/>
      <c r="U244" s="413"/>
      <c r="V244" s="419"/>
      <c r="W244" s="413"/>
      <c r="X244" s="420"/>
      <c r="Y244" s="421"/>
      <c r="Z244" s="412"/>
      <c r="AA244" s="417"/>
      <c r="AB244" s="413"/>
      <c r="AC244" s="422"/>
    </row>
    <row r="245" spans="1:29" x14ac:dyDescent="0.35">
      <c r="A245" s="406"/>
      <c r="B245" s="407"/>
      <c r="C245" s="408"/>
      <c r="D245" s="409"/>
      <c r="E245" s="410"/>
      <c r="F245" s="410"/>
      <c r="G245" s="409"/>
      <c r="H245" s="411"/>
      <c r="I245" s="412"/>
      <c r="J245" s="413"/>
      <c r="K245" s="414"/>
      <c r="L245" s="415"/>
      <c r="M245" s="414"/>
      <c r="N245" s="416"/>
      <c r="O245" s="417"/>
      <c r="P245" s="414"/>
      <c r="Q245" s="415"/>
      <c r="R245" s="414"/>
      <c r="S245" s="418"/>
      <c r="T245" s="412"/>
      <c r="U245" s="413"/>
      <c r="V245" s="419"/>
      <c r="W245" s="413"/>
      <c r="X245" s="420"/>
      <c r="Y245" s="421"/>
      <c r="Z245" s="412"/>
      <c r="AA245" s="417"/>
      <c r="AB245" s="413"/>
      <c r="AC245" s="422"/>
    </row>
    <row r="246" spans="1:29" x14ac:dyDescent="0.35">
      <c r="A246" s="406"/>
      <c r="B246" s="407"/>
      <c r="C246" s="408"/>
      <c r="D246" s="409"/>
      <c r="E246" s="410"/>
      <c r="F246" s="410"/>
      <c r="G246" s="409"/>
      <c r="H246" s="411"/>
      <c r="I246" s="412"/>
      <c r="J246" s="413"/>
      <c r="K246" s="414"/>
      <c r="L246" s="415"/>
      <c r="M246" s="414"/>
      <c r="N246" s="416"/>
      <c r="O246" s="417"/>
      <c r="P246" s="414"/>
      <c r="Q246" s="415"/>
      <c r="R246" s="414"/>
      <c r="S246" s="418"/>
      <c r="T246" s="412"/>
      <c r="U246" s="413"/>
      <c r="V246" s="419"/>
      <c r="W246" s="413"/>
      <c r="X246" s="420"/>
      <c r="Y246" s="421"/>
      <c r="Z246" s="412"/>
      <c r="AA246" s="417"/>
      <c r="AB246" s="413"/>
      <c r="AC246" s="422"/>
    </row>
    <row r="247" spans="1:29" x14ac:dyDescent="0.35">
      <c r="A247" s="406"/>
      <c r="B247" s="407"/>
      <c r="C247" s="408"/>
      <c r="D247" s="409"/>
      <c r="E247" s="410"/>
      <c r="F247" s="410"/>
      <c r="G247" s="409"/>
      <c r="H247" s="411"/>
      <c r="I247" s="412"/>
      <c r="J247" s="413"/>
      <c r="K247" s="414"/>
      <c r="L247" s="415"/>
      <c r="M247" s="414"/>
      <c r="N247" s="416"/>
      <c r="O247" s="417"/>
      <c r="P247" s="414"/>
      <c r="Q247" s="415"/>
      <c r="R247" s="414"/>
      <c r="S247" s="418"/>
      <c r="T247" s="412"/>
      <c r="U247" s="413"/>
      <c r="V247" s="419"/>
      <c r="W247" s="413"/>
      <c r="X247" s="420"/>
      <c r="Y247" s="421"/>
      <c r="Z247" s="412"/>
      <c r="AA247" s="417"/>
      <c r="AB247" s="413"/>
      <c r="AC247" s="422"/>
    </row>
    <row r="248" spans="1:29" x14ac:dyDescent="0.35">
      <c r="A248" s="406"/>
      <c r="B248" s="407"/>
      <c r="C248" s="408"/>
      <c r="D248" s="409"/>
      <c r="E248" s="410"/>
      <c r="F248" s="410"/>
      <c r="G248" s="409"/>
      <c r="H248" s="411"/>
      <c r="I248" s="412"/>
      <c r="J248" s="413"/>
      <c r="K248" s="414"/>
      <c r="L248" s="415"/>
      <c r="M248" s="414"/>
      <c r="N248" s="416"/>
      <c r="O248" s="417"/>
      <c r="P248" s="414"/>
      <c r="Q248" s="415"/>
      <c r="R248" s="414"/>
      <c r="S248" s="418"/>
      <c r="T248" s="412"/>
      <c r="U248" s="413"/>
      <c r="V248" s="419"/>
      <c r="W248" s="413"/>
      <c r="X248" s="420"/>
      <c r="Y248" s="421"/>
      <c r="Z248" s="412"/>
      <c r="AA248" s="417"/>
      <c r="AB248" s="413"/>
      <c r="AC248" s="422"/>
    </row>
    <row r="249" spans="1:29" x14ac:dyDescent="0.35">
      <c r="A249" s="406"/>
      <c r="B249" s="407"/>
      <c r="C249" s="408"/>
      <c r="D249" s="409"/>
      <c r="E249" s="410"/>
      <c r="F249" s="410"/>
      <c r="G249" s="409"/>
      <c r="H249" s="411"/>
      <c r="I249" s="412"/>
      <c r="J249" s="413"/>
      <c r="K249" s="414"/>
      <c r="L249" s="415"/>
      <c r="M249" s="414"/>
      <c r="N249" s="416"/>
      <c r="O249" s="417"/>
      <c r="P249" s="414"/>
      <c r="Q249" s="415"/>
      <c r="R249" s="414"/>
      <c r="S249" s="418"/>
      <c r="T249" s="412"/>
      <c r="U249" s="413"/>
      <c r="V249" s="419"/>
      <c r="W249" s="413"/>
      <c r="X249" s="420"/>
      <c r="Y249" s="421"/>
      <c r="Z249" s="412"/>
      <c r="AA249" s="417"/>
      <c r="AB249" s="413"/>
      <c r="AC249" s="422"/>
    </row>
    <row r="250" spans="1:29" x14ac:dyDescent="0.35">
      <c r="A250" s="406"/>
      <c r="B250" s="407"/>
      <c r="C250" s="408"/>
      <c r="D250" s="409"/>
      <c r="E250" s="410"/>
      <c r="F250" s="410"/>
      <c r="G250" s="409"/>
      <c r="H250" s="411"/>
      <c r="I250" s="412"/>
      <c r="J250" s="413"/>
      <c r="K250" s="414"/>
      <c r="L250" s="415"/>
      <c r="M250" s="414"/>
      <c r="N250" s="416"/>
      <c r="O250" s="417"/>
      <c r="P250" s="414"/>
      <c r="Q250" s="415"/>
      <c r="R250" s="414"/>
      <c r="S250" s="418"/>
      <c r="T250" s="412"/>
      <c r="U250" s="413"/>
      <c r="V250" s="419"/>
      <c r="W250" s="413"/>
      <c r="X250" s="420"/>
      <c r="Y250" s="421"/>
      <c r="Z250" s="412"/>
      <c r="AA250" s="417"/>
      <c r="AB250" s="413"/>
      <c r="AC250" s="422"/>
    </row>
    <row r="251" spans="1:29" x14ac:dyDescent="0.35">
      <c r="A251" s="406"/>
      <c r="B251" s="407"/>
      <c r="C251" s="408"/>
      <c r="D251" s="409"/>
      <c r="E251" s="410"/>
      <c r="F251" s="410"/>
      <c r="G251" s="409"/>
      <c r="H251" s="411"/>
      <c r="I251" s="412"/>
      <c r="J251" s="413"/>
      <c r="K251" s="414"/>
      <c r="L251" s="415"/>
      <c r="M251" s="414"/>
      <c r="N251" s="416"/>
      <c r="O251" s="417"/>
      <c r="P251" s="414"/>
      <c r="Q251" s="415"/>
      <c r="R251" s="414"/>
      <c r="S251" s="418"/>
      <c r="T251" s="412"/>
      <c r="U251" s="413"/>
      <c r="V251" s="419"/>
      <c r="W251" s="413"/>
      <c r="X251" s="420"/>
      <c r="Y251" s="421"/>
      <c r="Z251" s="412"/>
      <c r="AA251" s="417"/>
      <c r="AB251" s="413"/>
      <c r="AC251" s="422"/>
    </row>
    <row r="252" spans="1:29" x14ac:dyDescent="0.35">
      <c r="A252" s="406"/>
      <c r="B252" s="407"/>
      <c r="C252" s="408"/>
      <c r="D252" s="409"/>
      <c r="E252" s="410"/>
      <c r="F252" s="410"/>
      <c r="G252" s="409"/>
      <c r="H252" s="411"/>
      <c r="I252" s="412"/>
      <c r="J252" s="413"/>
      <c r="K252" s="414"/>
      <c r="L252" s="415"/>
      <c r="M252" s="414"/>
      <c r="N252" s="416"/>
      <c r="O252" s="417"/>
      <c r="P252" s="414"/>
      <c r="Q252" s="415"/>
      <c r="R252" s="414"/>
      <c r="S252" s="418"/>
      <c r="T252" s="412"/>
      <c r="U252" s="413"/>
      <c r="V252" s="419"/>
      <c r="W252" s="413"/>
      <c r="X252" s="420"/>
      <c r="Y252" s="421"/>
      <c r="Z252" s="412"/>
      <c r="AA252" s="417"/>
      <c r="AB252" s="413"/>
      <c r="AC252" s="422"/>
    </row>
    <row r="253" spans="1:29" x14ac:dyDescent="0.35">
      <c r="A253" s="406"/>
      <c r="B253" s="407"/>
      <c r="C253" s="408"/>
      <c r="D253" s="409"/>
      <c r="E253" s="410"/>
      <c r="F253" s="410"/>
      <c r="G253" s="409"/>
      <c r="H253" s="411"/>
      <c r="I253" s="412"/>
      <c r="J253" s="413"/>
      <c r="K253" s="414"/>
      <c r="L253" s="415"/>
      <c r="M253" s="414"/>
      <c r="N253" s="416"/>
      <c r="O253" s="417"/>
      <c r="P253" s="414"/>
      <c r="Q253" s="415"/>
      <c r="R253" s="414"/>
      <c r="S253" s="418"/>
      <c r="T253" s="412"/>
      <c r="U253" s="413"/>
      <c r="V253" s="419"/>
      <c r="W253" s="413"/>
      <c r="X253" s="420"/>
      <c r="Y253" s="421"/>
      <c r="Z253" s="412"/>
      <c r="AA253" s="417"/>
      <c r="AB253" s="413"/>
      <c r="AC253" s="422"/>
    </row>
    <row r="254" spans="1:29" x14ac:dyDescent="0.35">
      <c r="A254" s="406"/>
      <c r="B254" s="407"/>
      <c r="C254" s="408"/>
      <c r="D254" s="409"/>
      <c r="E254" s="410"/>
      <c r="F254" s="410"/>
      <c r="G254" s="409"/>
      <c r="H254" s="411"/>
      <c r="I254" s="412"/>
      <c r="J254" s="413"/>
      <c r="K254" s="414"/>
      <c r="L254" s="415"/>
      <c r="M254" s="414"/>
      <c r="N254" s="416"/>
      <c r="O254" s="417"/>
      <c r="P254" s="414"/>
      <c r="Q254" s="415"/>
      <c r="R254" s="414"/>
      <c r="S254" s="418"/>
      <c r="T254" s="412"/>
      <c r="U254" s="413"/>
      <c r="V254" s="419"/>
      <c r="W254" s="413"/>
      <c r="X254" s="420"/>
      <c r="Y254" s="421"/>
      <c r="Z254" s="412"/>
      <c r="AA254" s="417"/>
      <c r="AB254" s="413"/>
      <c r="AC254" s="422"/>
    </row>
    <row r="255" spans="1:29" x14ac:dyDescent="0.35">
      <c r="A255" s="406"/>
      <c r="B255" s="407"/>
      <c r="C255" s="408"/>
      <c r="D255" s="409"/>
      <c r="E255" s="410"/>
      <c r="F255" s="410"/>
      <c r="G255" s="409"/>
      <c r="H255" s="411"/>
      <c r="I255" s="412"/>
      <c r="J255" s="413"/>
      <c r="K255" s="414"/>
      <c r="L255" s="415"/>
      <c r="M255" s="414"/>
      <c r="N255" s="416"/>
      <c r="O255" s="417"/>
      <c r="P255" s="414"/>
      <c r="Q255" s="415"/>
      <c r="R255" s="414"/>
      <c r="S255" s="418"/>
      <c r="T255" s="412"/>
      <c r="U255" s="413"/>
      <c r="V255" s="419"/>
      <c r="W255" s="413"/>
      <c r="X255" s="420"/>
      <c r="Y255" s="421"/>
      <c r="Z255" s="412"/>
      <c r="AA255" s="417"/>
      <c r="AB255" s="413"/>
      <c r="AC255" s="422"/>
    </row>
    <row r="256" spans="1:29" x14ac:dyDescent="0.35">
      <c r="A256" s="406"/>
      <c r="B256" s="407"/>
      <c r="C256" s="408"/>
      <c r="D256" s="409"/>
      <c r="E256" s="410"/>
      <c r="F256" s="410"/>
      <c r="G256" s="409"/>
      <c r="H256" s="411"/>
      <c r="I256" s="412"/>
      <c r="J256" s="413"/>
      <c r="K256" s="414"/>
      <c r="L256" s="415"/>
      <c r="M256" s="414"/>
      <c r="N256" s="416"/>
      <c r="O256" s="417"/>
      <c r="P256" s="414"/>
      <c r="Q256" s="415"/>
      <c r="R256" s="414"/>
      <c r="S256" s="418"/>
      <c r="T256" s="412"/>
      <c r="U256" s="413"/>
      <c r="V256" s="419"/>
      <c r="W256" s="413"/>
      <c r="X256" s="420"/>
      <c r="Y256" s="421"/>
      <c r="Z256" s="412"/>
      <c r="AA256" s="417"/>
      <c r="AB256" s="413"/>
      <c r="AC256" s="422"/>
    </row>
    <row r="257" spans="1:29" x14ac:dyDescent="0.35">
      <c r="A257" s="406"/>
      <c r="B257" s="407"/>
      <c r="C257" s="408"/>
      <c r="D257" s="409"/>
      <c r="E257" s="410"/>
      <c r="F257" s="410"/>
      <c r="G257" s="409"/>
      <c r="H257" s="411"/>
      <c r="I257" s="412"/>
      <c r="J257" s="413"/>
      <c r="K257" s="414"/>
      <c r="L257" s="415"/>
      <c r="M257" s="414"/>
      <c r="N257" s="416"/>
      <c r="O257" s="417"/>
      <c r="P257" s="414"/>
      <c r="Q257" s="415"/>
      <c r="R257" s="414"/>
      <c r="S257" s="418"/>
      <c r="T257" s="412"/>
      <c r="U257" s="413"/>
      <c r="V257" s="419"/>
      <c r="W257" s="413"/>
      <c r="X257" s="420"/>
      <c r="Y257" s="421"/>
      <c r="Z257" s="412"/>
      <c r="AA257" s="417"/>
      <c r="AB257" s="413"/>
      <c r="AC257" s="422"/>
    </row>
    <row r="258" spans="1:29" x14ac:dyDescent="0.35">
      <c r="A258" s="406"/>
      <c r="B258" s="407"/>
      <c r="C258" s="408"/>
      <c r="D258" s="409"/>
      <c r="E258" s="410"/>
      <c r="F258" s="410"/>
      <c r="G258" s="409"/>
      <c r="H258" s="411"/>
      <c r="I258" s="412"/>
      <c r="J258" s="413"/>
      <c r="K258" s="414"/>
      <c r="L258" s="415"/>
      <c r="M258" s="414"/>
      <c r="N258" s="416"/>
      <c r="O258" s="417"/>
      <c r="P258" s="414"/>
      <c r="Q258" s="415"/>
      <c r="R258" s="414"/>
      <c r="S258" s="418"/>
      <c r="T258" s="412"/>
      <c r="U258" s="413"/>
      <c r="V258" s="419"/>
      <c r="W258" s="413"/>
      <c r="X258" s="420"/>
      <c r="Y258" s="421"/>
      <c r="Z258" s="412"/>
      <c r="AA258" s="417"/>
      <c r="AB258" s="413"/>
      <c r="AC258" s="422"/>
    </row>
    <row r="259" spans="1:29" x14ac:dyDescent="0.35">
      <c r="A259" s="406"/>
      <c r="B259" s="407"/>
      <c r="C259" s="408"/>
      <c r="D259" s="409"/>
      <c r="E259" s="410"/>
      <c r="F259" s="410"/>
      <c r="G259" s="409"/>
      <c r="H259" s="411"/>
      <c r="I259" s="412"/>
      <c r="J259" s="413"/>
      <c r="K259" s="414"/>
      <c r="L259" s="415"/>
      <c r="M259" s="414"/>
      <c r="N259" s="416"/>
      <c r="O259" s="417"/>
      <c r="P259" s="414"/>
      <c r="Q259" s="415"/>
      <c r="R259" s="414"/>
      <c r="S259" s="418"/>
      <c r="T259" s="412"/>
      <c r="U259" s="413"/>
      <c r="V259" s="419"/>
      <c r="W259" s="413"/>
      <c r="X259" s="420"/>
      <c r="Y259" s="421"/>
      <c r="Z259" s="412"/>
      <c r="AA259" s="417"/>
      <c r="AB259" s="413"/>
      <c r="AC259" s="422"/>
    </row>
    <row r="260" spans="1:29" x14ac:dyDescent="0.35">
      <c r="A260" s="406"/>
      <c r="B260" s="407"/>
      <c r="C260" s="408"/>
      <c r="D260" s="409"/>
      <c r="E260" s="410"/>
      <c r="F260" s="410"/>
      <c r="G260" s="409"/>
      <c r="H260" s="411"/>
      <c r="I260" s="412"/>
      <c r="J260" s="413"/>
      <c r="K260" s="414"/>
      <c r="L260" s="415"/>
      <c r="M260" s="414"/>
      <c r="N260" s="416"/>
      <c r="O260" s="417"/>
      <c r="P260" s="414"/>
      <c r="Q260" s="415"/>
      <c r="R260" s="414"/>
      <c r="S260" s="418"/>
      <c r="T260" s="412"/>
      <c r="U260" s="413"/>
      <c r="V260" s="419"/>
      <c r="W260" s="413"/>
      <c r="X260" s="420"/>
      <c r="Y260" s="421"/>
      <c r="Z260" s="412"/>
      <c r="AA260" s="417"/>
      <c r="AB260" s="413"/>
      <c r="AC260" s="422"/>
    </row>
    <row r="261" spans="1:29" x14ac:dyDescent="0.35">
      <c r="A261" s="406"/>
      <c r="B261" s="407"/>
      <c r="C261" s="408"/>
      <c r="D261" s="409"/>
      <c r="E261" s="410"/>
      <c r="F261" s="410"/>
      <c r="G261" s="409"/>
      <c r="H261" s="411"/>
      <c r="I261" s="412"/>
      <c r="J261" s="413"/>
      <c r="K261" s="414"/>
      <c r="L261" s="415"/>
      <c r="M261" s="414"/>
      <c r="N261" s="416"/>
      <c r="O261" s="417"/>
      <c r="P261" s="414"/>
      <c r="Q261" s="415"/>
      <c r="R261" s="414"/>
      <c r="S261" s="418"/>
      <c r="T261" s="412"/>
      <c r="U261" s="413"/>
      <c r="V261" s="419"/>
      <c r="W261" s="413"/>
      <c r="X261" s="420"/>
      <c r="Y261" s="421"/>
      <c r="Z261" s="412"/>
      <c r="AA261" s="417"/>
      <c r="AB261" s="413"/>
      <c r="AC261" s="422"/>
    </row>
    <row r="262" spans="1:29" x14ac:dyDescent="0.35">
      <c r="A262" s="406"/>
      <c r="B262" s="407"/>
      <c r="C262" s="408"/>
      <c r="D262" s="409"/>
      <c r="E262" s="410"/>
      <c r="F262" s="410"/>
      <c r="G262" s="409"/>
      <c r="H262" s="411"/>
      <c r="I262" s="412"/>
      <c r="J262" s="413"/>
      <c r="K262" s="414"/>
      <c r="L262" s="415"/>
      <c r="M262" s="414"/>
      <c r="N262" s="416"/>
      <c r="O262" s="417"/>
      <c r="P262" s="414"/>
      <c r="Q262" s="415"/>
      <c r="R262" s="414"/>
      <c r="S262" s="418"/>
      <c r="T262" s="412"/>
      <c r="U262" s="413"/>
      <c r="V262" s="419"/>
      <c r="W262" s="413"/>
      <c r="X262" s="420"/>
      <c r="Y262" s="421"/>
      <c r="Z262" s="412"/>
      <c r="AA262" s="417"/>
      <c r="AB262" s="413"/>
      <c r="AC262" s="422"/>
    </row>
    <row r="263" spans="1:29" x14ac:dyDescent="0.35">
      <c r="A263" s="406"/>
      <c r="B263" s="407"/>
      <c r="C263" s="408"/>
      <c r="D263" s="409"/>
      <c r="E263" s="410"/>
      <c r="F263" s="410"/>
      <c r="G263" s="409"/>
      <c r="H263" s="411"/>
      <c r="I263" s="412"/>
      <c r="J263" s="413"/>
      <c r="K263" s="414"/>
      <c r="L263" s="415"/>
      <c r="M263" s="414"/>
      <c r="N263" s="416"/>
      <c r="O263" s="417"/>
      <c r="P263" s="414"/>
      <c r="Q263" s="415"/>
      <c r="R263" s="414"/>
      <c r="S263" s="418"/>
      <c r="T263" s="412"/>
      <c r="U263" s="413"/>
      <c r="V263" s="419"/>
      <c r="W263" s="413"/>
      <c r="X263" s="420"/>
      <c r="Y263" s="421"/>
      <c r="Z263" s="412"/>
      <c r="AA263" s="417"/>
      <c r="AB263" s="413"/>
      <c r="AC263" s="422"/>
    </row>
    <row r="264" spans="1:29" x14ac:dyDescent="0.35">
      <c r="A264" s="406"/>
      <c r="B264" s="407"/>
      <c r="C264" s="408"/>
      <c r="D264" s="409"/>
      <c r="E264" s="410"/>
      <c r="F264" s="410"/>
      <c r="G264" s="409"/>
      <c r="H264" s="411"/>
      <c r="I264" s="412"/>
      <c r="J264" s="413"/>
      <c r="K264" s="414"/>
      <c r="L264" s="415"/>
      <c r="M264" s="414"/>
      <c r="N264" s="416"/>
      <c r="O264" s="417"/>
      <c r="P264" s="414"/>
      <c r="Q264" s="415"/>
      <c r="R264" s="414"/>
      <c r="S264" s="418"/>
      <c r="T264" s="412"/>
      <c r="U264" s="413"/>
      <c r="V264" s="419"/>
      <c r="W264" s="413"/>
      <c r="X264" s="420"/>
      <c r="Y264" s="421"/>
      <c r="Z264" s="412"/>
      <c r="AA264" s="417"/>
      <c r="AB264" s="413"/>
      <c r="AC264" s="422"/>
    </row>
    <row r="265" spans="1:29" x14ac:dyDescent="0.35">
      <c r="A265" s="406"/>
      <c r="B265" s="407"/>
      <c r="C265" s="408"/>
      <c r="D265" s="409"/>
      <c r="E265" s="410"/>
      <c r="F265" s="410"/>
      <c r="G265" s="409"/>
      <c r="H265" s="411"/>
      <c r="I265" s="412"/>
      <c r="J265" s="413"/>
      <c r="K265" s="414"/>
      <c r="L265" s="415"/>
      <c r="M265" s="414"/>
      <c r="N265" s="416"/>
      <c r="O265" s="417"/>
      <c r="P265" s="414"/>
      <c r="Q265" s="415"/>
      <c r="R265" s="414"/>
      <c r="S265" s="418"/>
      <c r="T265" s="412"/>
      <c r="U265" s="413"/>
      <c r="V265" s="419"/>
      <c r="W265" s="413"/>
      <c r="X265" s="420"/>
      <c r="Y265" s="421"/>
      <c r="Z265" s="412"/>
      <c r="AA265" s="417"/>
      <c r="AB265" s="413"/>
      <c r="AC265" s="422"/>
    </row>
    <row r="266" spans="1:29" x14ac:dyDescent="0.35">
      <c r="A266" s="406"/>
      <c r="B266" s="407"/>
      <c r="C266" s="408"/>
      <c r="D266" s="409"/>
      <c r="E266" s="410"/>
      <c r="F266" s="410"/>
      <c r="G266" s="409"/>
      <c r="H266" s="411"/>
      <c r="I266" s="412"/>
      <c r="J266" s="413"/>
      <c r="K266" s="414"/>
      <c r="L266" s="415"/>
      <c r="M266" s="414"/>
      <c r="N266" s="416"/>
      <c r="O266" s="417"/>
      <c r="P266" s="414"/>
      <c r="Q266" s="415"/>
      <c r="R266" s="414"/>
      <c r="S266" s="418"/>
      <c r="T266" s="412"/>
      <c r="U266" s="413"/>
      <c r="V266" s="419"/>
      <c r="W266" s="413"/>
      <c r="X266" s="420"/>
      <c r="Y266" s="421"/>
      <c r="Z266" s="412"/>
      <c r="AA266" s="417"/>
      <c r="AB266" s="413"/>
      <c r="AC266" s="422"/>
    </row>
    <row r="267" spans="1:29" x14ac:dyDescent="0.35">
      <c r="A267" s="406"/>
      <c r="B267" s="407"/>
      <c r="C267" s="408"/>
      <c r="D267" s="409"/>
      <c r="E267" s="410"/>
      <c r="F267" s="410"/>
      <c r="G267" s="409"/>
      <c r="H267" s="411"/>
      <c r="I267" s="412"/>
      <c r="J267" s="413"/>
      <c r="K267" s="414"/>
      <c r="L267" s="415"/>
      <c r="M267" s="414"/>
      <c r="N267" s="416"/>
      <c r="O267" s="417"/>
      <c r="P267" s="414"/>
      <c r="Q267" s="415"/>
      <c r="R267" s="414"/>
      <c r="S267" s="418"/>
      <c r="T267" s="412"/>
      <c r="U267" s="413"/>
      <c r="V267" s="419"/>
      <c r="W267" s="413"/>
      <c r="X267" s="420"/>
      <c r="Y267" s="421"/>
      <c r="Z267" s="412"/>
      <c r="AA267" s="417"/>
      <c r="AB267" s="413"/>
      <c r="AC267" s="422"/>
    </row>
    <row r="268" spans="1:29" x14ac:dyDescent="0.35">
      <c r="A268" s="406"/>
      <c r="B268" s="407"/>
      <c r="C268" s="408"/>
      <c r="D268" s="409"/>
      <c r="E268" s="410"/>
      <c r="F268" s="410"/>
      <c r="G268" s="409"/>
      <c r="H268" s="411"/>
      <c r="I268" s="412"/>
      <c r="J268" s="413"/>
      <c r="K268" s="414"/>
      <c r="L268" s="415"/>
      <c r="M268" s="414"/>
      <c r="N268" s="416"/>
      <c r="O268" s="417"/>
      <c r="P268" s="414"/>
      <c r="Q268" s="415"/>
      <c r="R268" s="414"/>
      <c r="S268" s="418"/>
      <c r="T268" s="412"/>
      <c r="U268" s="413"/>
      <c r="V268" s="419"/>
      <c r="W268" s="413"/>
      <c r="X268" s="420"/>
      <c r="Y268" s="421"/>
      <c r="Z268" s="412"/>
      <c r="AA268" s="417"/>
      <c r="AB268" s="413"/>
      <c r="AC268" s="422"/>
    </row>
    <row r="269" spans="1:29" x14ac:dyDescent="0.35">
      <c r="A269" s="406"/>
      <c r="B269" s="407"/>
      <c r="C269" s="408"/>
      <c r="D269" s="409"/>
      <c r="E269" s="410"/>
      <c r="F269" s="410"/>
      <c r="G269" s="409"/>
      <c r="H269" s="411"/>
      <c r="I269" s="412"/>
      <c r="J269" s="413"/>
      <c r="K269" s="414"/>
      <c r="L269" s="415"/>
      <c r="M269" s="414"/>
      <c r="N269" s="416"/>
      <c r="O269" s="417"/>
      <c r="P269" s="414"/>
      <c r="Q269" s="415"/>
      <c r="R269" s="414"/>
      <c r="S269" s="418"/>
      <c r="T269" s="412"/>
      <c r="U269" s="413"/>
      <c r="V269" s="419"/>
      <c r="W269" s="413"/>
      <c r="X269" s="420"/>
      <c r="Y269" s="421"/>
      <c r="Z269" s="412"/>
      <c r="AA269" s="417"/>
      <c r="AB269" s="413"/>
      <c r="AC269" s="422"/>
    </row>
    <row r="270" spans="1:29" x14ac:dyDescent="0.35">
      <c r="A270" s="406"/>
      <c r="B270" s="407"/>
      <c r="C270" s="408"/>
      <c r="D270" s="409"/>
      <c r="E270" s="410"/>
      <c r="F270" s="410"/>
      <c r="G270" s="409"/>
      <c r="H270" s="411"/>
      <c r="I270" s="412"/>
      <c r="J270" s="413"/>
      <c r="K270" s="414"/>
      <c r="L270" s="415"/>
      <c r="M270" s="414"/>
      <c r="N270" s="416"/>
      <c r="O270" s="417"/>
      <c r="P270" s="414"/>
      <c r="Q270" s="415"/>
      <c r="R270" s="414"/>
      <c r="S270" s="418"/>
      <c r="T270" s="412"/>
      <c r="U270" s="413"/>
      <c r="V270" s="419"/>
      <c r="W270" s="413"/>
      <c r="X270" s="420"/>
      <c r="Y270" s="421"/>
      <c r="Z270" s="412"/>
      <c r="AA270" s="417"/>
      <c r="AB270" s="413"/>
      <c r="AC270" s="422"/>
    </row>
    <row r="271" spans="1:29" x14ac:dyDescent="0.35">
      <c r="A271" s="406"/>
      <c r="B271" s="407"/>
      <c r="C271" s="408"/>
      <c r="D271" s="409"/>
      <c r="E271" s="410"/>
      <c r="F271" s="410"/>
      <c r="G271" s="409"/>
      <c r="H271" s="411"/>
      <c r="I271" s="412"/>
      <c r="J271" s="413"/>
      <c r="K271" s="414"/>
      <c r="L271" s="415"/>
      <c r="M271" s="414"/>
      <c r="N271" s="416"/>
      <c r="O271" s="417"/>
      <c r="P271" s="414"/>
      <c r="Q271" s="415"/>
      <c r="R271" s="414"/>
      <c r="S271" s="418"/>
      <c r="T271" s="412"/>
      <c r="U271" s="413"/>
      <c r="V271" s="419"/>
      <c r="W271" s="413"/>
      <c r="X271" s="420"/>
      <c r="Y271" s="421"/>
      <c r="Z271" s="412"/>
      <c r="AA271" s="417"/>
      <c r="AB271" s="413"/>
      <c r="AC271" s="422"/>
    </row>
    <row r="272" spans="1:29" x14ac:dyDescent="0.35">
      <c r="A272" s="406"/>
      <c r="B272" s="407"/>
      <c r="C272" s="408"/>
      <c r="D272" s="409"/>
      <c r="E272" s="410"/>
      <c r="F272" s="410"/>
      <c r="G272" s="409"/>
      <c r="H272" s="411"/>
      <c r="I272" s="412"/>
      <c r="J272" s="413"/>
      <c r="K272" s="414"/>
      <c r="L272" s="415"/>
      <c r="M272" s="414"/>
      <c r="N272" s="416"/>
      <c r="O272" s="417"/>
      <c r="P272" s="414"/>
      <c r="Q272" s="415"/>
      <c r="R272" s="414"/>
      <c r="S272" s="418"/>
      <c r="T272" s="412"/>
      <c r="U272" s="413"/>
      <c r="V272" s="419"/>
      <c r="W272" s="413"/>
      <c r="X272" s="420"/>
      <c r="Y272" s="421"/>
      <c r="Z272" s="412"/>
      <c r="AA272" s="417"/>
      <c r="AB272" s="413"/>
      <c r="AC272" s="422"/>
    </row>
    <row r="273" spans="1:29" x14ac:dyDescent="0.35">
      <c r="A273" s="406"/>
      <c r="B273" s="407"/>
      <c r="C273" s="408"/>
      <c r="D273" s="409"/>
      <c r="E273" s="410"/>
      <c r="F273" s="410"/>
      <c r="G273" s="409"/>
      <c r="H273" s="411"/>
      <c r="I273" s="412"/>
      <c r="J273" s="413"/>
      <c r="K273" s="414"/>
      <c r="L273" s="415"/>
      <c r="M273" s="414"/>
      <c r="N273" s="416"/>
      <c r="O273" s="417"/>
      <c r="P273" s="414"/>
      <c r="Q273" s="415"/>
      <c r="R273" s="414"/>
      <c r="S273" s="418"/>
      <c r="T273" s="412"/>
      <c r="U273" s="413"/>
      <c r="V273" s="419"/>
      <c r="W273" s="413"/>
      <c r="X273" s="420"/>
      <c r="Y273" s="421"/>
      <c r="Z273" s="412"/>
      <c r="AA273" s="417"/>
      <c r="AB273" s="413"/>
      <c r="AC273" s="422"/>
    </row>
    <row r="274" spans="1:29" x14ac:dyDescent="0.35">
      <c r="A274" s="406"/>
      <c r="B274" s="407"/>
      <c r="C274" s="408"/>
      <c r="D274" s="409"/>
      <c r="E274" s="410"/>
      <c r="F274" s="410"/>
      <c r="G274" s="409"/>
      <c r="H274" s="411"/>
      <c r="I274" s="412"/>
      <c r="J274" s="413"/>
      <c r="K274" s="414"/>
      <c r="L274" s="415"/>
      <c r="M274" s="414"/>
      <c r="N274" s="416"/>
      <c r="O274" s="417"/>
      <c r="P274" s="414"/>
      <c r="Q274" s="415"/>
      <c r="R274" s="414"/>
      <c r="S274" s="418"/>
      <c r="T274" s="412"/>
      <c r="U274" s="413"/>
      <c r="V274" s="419"/>
      <c r="W274" s="413"/>
      <c r="X274" s="420"/>
      <c r="Y274" s="421"/>
      <c r="Z274" s="412"/>
      <c r="AA274" s="417"/>
      <c r="AB274" s="413"/>
      <c r="AC274" s="422"/>
    </row>
    <row r="275" spans="1:29" x14ac:dyDescent="0.35">
      <c r="A275" s="406"/>
      <c r="B275" s="407"/>
      <c r="C275" s="408"/>
      <c r="D275" s="409"/>
      <c r="E275" s="410"/>
      <c r="F275" s="410"/>
      <c r="G275" s="409"/>
      <c r="H275" s="411"/>
      <c r="I275" s="412"/>
      <c r="J275" s="413"/>
      <c r="K275" s="414"/>
      <c r="L275" s="415"/>
      <c r="M275" s="414"/>
      <c r="N275" s="416"/>
      <c r="O275" s="417"/>
      <c r="P275" s="414"/>
      <c r="Q275" s="415"/>
      <c r="R275" s="414"/>
      <c r="S275" s="418"/>
      <c r="T275" s="412"/>
      <c r="U275" s="413"/>
      <c r="V275" s="419"/>
      <c r="W275" s="413"/>
      <c r="X275" s="420"/>
      <c r="Y275" s="421"/>
      <c r="Z275" s="412"/>
      <c r="AA275" s="417"/>
      <c r="AB275" s="413"/>
      <c r="AC275" s="422"/>
    </row>
    <row r="276" spans="1:29" x14ac:dyDescent="0.35">
      <c r="A276" s="406"/>
      <c r="B276" s="407"/>
      <c r="C276" s="408"/>
      <c r="D276" s="409"/>
      <c r="E276" s="410"/>
      <c r="F276" s="410"/>
      <c r="G276" s="409"/>
      <c r="H276" s="411"/>
      <c r="I276" s="412"/>
      <c r="J276" s="413"/>
      <c r="K276" s="414"/>
      <c r="L276" s="415"/>
      <c r="M276" s="414"/>
      <c r="N276" s="416"/>
      <c r="O276" s="417"/>
      <c r="P276" s="414"/>
      <c r="Q276" s="415"/>
      <c r="R276" s="414"/>
      <c r="S276" s="418"/>
      <c r="T276" s="412"/>
      <c r="U276" s="413"/>
      <c r="V276" s="419"/>
      <c r="W276" s="413"/>
      <c r="X276" s="420"/>
      <c r="Y276" s="421"/>
      <c r="Z276" s="412"/>
      <c r="AA276" s="417"/>
      <c r="AB276" s="413"/>
      <c r="AC276" s="422"/>
    </row>
    <row r="277" spans="1:29" x14ac:dyDescent="0.35">
      <c r="A277" s="406"/>
      <c r="B277" s="407"/>
      <c r="C277" s="408"/>
      <c r="D277" s="409"/>
      <c r="E277" s="410"/>
      <c r="F277" s="410"/>
      <c r="G277" s="409"/>
      <c r="H277" s="411"/>
      <c r="I277" s="412"/>
      <c r="J277" s="413"/>
      <c r="K277" s="414"/>
      <c r="L277" s="415"/>
      <c r="M277" s="414"/>
      <c r="N277" s="416"/>
      <c r="O277" s="417"/>
      <c r="P277" s="414"/>
      <c r="Q277" s="415"/>
      <c r="R277" s="414"/>
      <c r="S277" s="418"/>
      <c r="T277" s="412"/>
      <c r="U277" s="413"/>
      <c r="V277" s="419"/>
      <c r="W277" s="413"/>
      <c r="X277" s="420"/>
      <c r="Y277" s="421"/>
      <c r="Z277" s="412"/>
      <c r="AA277" s="417"/>
      <c r="AB277" s="413"/>
      <c r="AC277" s="422"/>
    </row>
    <row r="278" spans="1:29" x14ac:dyDescent="0.35">
      <c r="A278" s="406"/>
      <c r="B278" s="407"/>
      <c r="C278" s="408"/>
      <c r="D278" s="409"/>
      <c r="E278" s="410"/>
      <c r="F278" s="410"/>
      <c r="G278" s="409"/>
      <c r="H278" s="411"/>
      <c r="I278" s="412"/>
      <c r="J278" s="413"/>
      <c r="K278" s="414"/>
      <c r="L278" s="415"/>
      <c r="M278" s="414"/>
      <c r="N278" s="416"/>
      <c r="O278" s="417"/>
      <c r="P278" s="414"/>
      <c r="Q278" s="415"/>
      <c r="R278" s="414"/>
      <c r="S278" s="418"/>
      <c r="T278" s="412"/>
      <c r="U278" s="413"/>
      <c r="V278" s="419"/>
      <c r="W278" s="413"/>
      <c r="X278" s="420"/>
      <c r="Y278" s="421"/>
      <c r="Z278" s="412"/>
      <c r="AA278" s="417"/>
      <c r="AB278" s="413"/>
      <c r="AC278" s="422"/>
    </row>
    <row r="279" spans="1:29" x14ac:dyDescent="0.35">
      <c r="A279" s="406"/>
      <c r="B279" s="407"/>
      <c r="C279" s="408"/>
      <c r="D279" s="409"/>
      <c r="E279" s="410"/>
      <c r="F279" s="410"/>
      <c r="G279" s="409"/>
      <c r="H279" s="411"/>
      <c r="I279" s="412"/>
      <c r="J279" s="413"/>
      <c r="K279" s="414"/>
      <c r="L279" s="415"/>
      <c r="M279" s="414"/>
      <c r="N279" s="416"/>
      <c r="O279" s="417"/>
      <c r="P279" s="414"/>
      <c r="Q279" s="415"/>
      <c r="R279" s="414"/>
      <c r="S279" s="418"/>
      <c r="T279" s="412"/>
      <c r="U279" s="413"/>
      <c r="V279" s="419"/>
      <c r="W279" s="413"/>
      <c r="X279" s="420"/>
      <c r="Y279" s="421"/>
      <c r="Z279" s="412"/>
      <c r="AA279" s="417"/>
      <c r="AB279" s="413"/>
      <c r="AC279" s="422"/>
    </row>
    <row r="280" spans="1:29" x14ac:dyDescent="0.35">
      <c r="A280" s="406"/>
      <c r="B280" s="407"/>
      <c r="C280" s="408"/>
      <c r="D280" s="409"/>
      <c r="E280" s="410"/>
      <c r="F280" s="410"/>
      <c r="G280" s="409"/>
      <c r="H280" s="411"/>
      <c r="I280" s="412"/>
      <c r="J280" s="413"/>
      <c r="K280" s="414"/>
      <c r="L280" s="415"/>
      <c r="M280" s="414"/>
      <c r="N280" s="416"/>
      <c r="O280" s="417"/>
      <c r="P280" s="414"/>
      <c r="Q280" s="415"/>
      <c r="R280" s="414"/>
      <c r="S280" s="418"/>
      <c r="T280" s="412"/>
      <c r="U280" s="413"/>
      <c r="V280" s="419"/>
      <c r="W280" s="413"/>
      <c r="X280" s="420"/>
      <c r="Y280" s="421"/>
      <c r="Z280" s="412"/>
      <c r="AA280" s="417"/>
      <c r="AB280" s="413"/>
      <c r="AC280" s="422"/>
    </row>
    <row r="281" spans="1:29" x14ac:dyDescent="0.35">
      <c r="A281" s="406"/>
      <c r="B281" s="407"/>
      <c r="C281" s="408"/>
      <c r="D281" s="409"/>
      <c r="E281" s="410"/>
      <c r="F281" s="410"/>
      <c r="G281" s="409"/>
      <c r="H281" s="411"/>
      <c r="I281" s="412"/>
      <c r="J281" s="413"/>
      <c r="K281" s="414"/>
      <c r="L281" s="415"/>
      <c r="M281" s="414"/>
      <c r="N281" s="416"/>
      <c r="O281" s="417"/>
      <c r="P281" s="414"/>
      <c r="Q281" s="415"/>
      <c r="R281" s="414"/>
      <c r="S281" s="418"/>
      <c r="T281" s="412"/>
      <c r="U281" s="413"/>
      <c r="V281" s="419"/>
      <c r="W281" s="413"/>
      <c r="X281" s="420"/>
      <c r="Y281" s="421"/>
      <c r="Z281" s="412"/>
      <c r="AA281" s="417"/>
      <c r="AB281" s="413"/>
      <c r="AC281" s="422"/>
    </row>
    <row r="282" spans="1:29" x14ac:dyDescent="0.35">
      <c r="A282" s="406"/>
      <c r="B282" s="407"/>
      <c r="C282" s="408"/>
      <c r="D282" s="409"/>
      <c r="E282" s="410"/>
      <c r="F282" s="410"/>
      <c r="G282" s="409"/>
      <c r="H282" s="411"/>
      <c r="I282" s="412"/>
      <c r="J282" s="413"/>
      <c r="K282" s="414"/>
      <c r="L282" s="415"/>
      <c r="M282" s="414"/>
      <c r="N282" s="416"/>
      <c r="O282" s="417"/>
      <c r="P282" s="414"/>
      <c r="Q282" s="415"/>
      <c r="R282" s="414"/>
      <c r="S282" s="418"/>
      <c r="T282" s="412"/>
      <c r="U282" s="413"/>
      <c r="V282" s="419"/>
      <c r="W282" s="413"/>
      <c r="X282" s="420"/>
      <c r="Y282" s="421"/>
      <c r="Z282" s="412"/>
      <c r="AA282" s="417"/>
      <c r="AB282" s="413"/>
      <c r="AC282" s="422"/>
    </row>
    <row r="283" spans="1:29" x14ac:dyDescent="0.35">
      <c r="A283" s="406"/>
      <c r="B283" s="407"/>
      <c r="C283" s="408"/>
      <c r="D283" s="409"/>
      <c r="E283" s="410"/>
      <c r="F283" s="410"/>
      <c r="G283" s="409"/>
      <c r="H283" s="411"/>
      <c r="I283" s="412"/>
      <c r="J283" s="413"/>
      <c r="K283" s="414"/>
      <c r="L283" s="415"/>
      <c r="M283" s="414"/>
      <c r="N283" s="416"/>
      <c r="O283" s="417"/>
      <c r="P283" s="414"/>
      <c r="Q283" s="415"/>
      <c r="R283" s="414"/>
      <c r="S283" s="418"/>
      <c r="T283" s="412"/>
      <c r="U283" s="413"/>
      <c r="V283" s="419"/>
      <c r="W283" s="413"/>
      <c r="X283" s="420"/>
      <c r="Y283" s="421"/>
      <c r="Z283" s="412"/>
      <c r="AA283" s="417"/>
      <c r="AB283" s="413"/>
      <c r="AC283" s="422"/>
    </row>
    <row r="284" spans="1:29" x14ac:dyDescent="0.35">
      <c r="A284" s="406"/>
      <c r="B284" s="407"/>
      <c r="C284" s="408"/>
      <c r="D284" s="409"/>
      <c r="E284" s="410"/>
      <c r="F284" s="410"/>
      <c r="G284" s="409"/>
      <c r="H284" s="411"/>
      <c r="I284" s="412"/>
      <c r="J284" s="413"/>
      <c r="K284" s="414"/>
      <c r="L284" s="415"/>
      <c r="M284" s="414"/>
      <c r="N284" s="416"/>
      <c r="O284" s="417"/>
      <c r="P284" s="414"/>
      <c r="Q284" s="415"/>
      <c r="R284" s="414"/>
      <c r="S284" s="418"/>
      <c r="T284" s="412"/>
      <c r="U284" s="413"/>
      <c r="V284" s="419"/>
      <c r="W284" s="413"/>
      <c r="X284" s="420"/>
      <c r="Y284" s="421"/>
      <c r="Z284" s="412"/>
      <c r="AA284" s="417"/>
      <c r="AB284" s="413"/>
      <c r="AC284" s="422"/>
    </row>
    <row r="285" spans="1:29" x14ac:dyDescent="0.35">
      <c r="A285" s="406"/>
      <c r="B285" s="407"/>
      <c r="C285" s="408"/>
      <c r="D285" s="409"/>
      <c r="E285" s="410"/>
      <c r="F285" s="410"/>
      <c r="G285" s="409"/>
      <c r="H285" s="411"/>
      <c r="I285" s="412"/>
      <c r="J285" s="413"/>
      <c r="K285" s="414"/>
      <c r="L285" s="415"/>
      <c r="M285" s="414"/>
      <c r="N285" s="416"/>
      <c r="O285" s="417"/>
      <c r="P285" s="414"/>
      <c r="Q285" s="415"/>
      <c r="R285" s="414"/>
      <c r="S285" s="418"/>
      <c r="T285" s="412"/>
      <c r="U285" s="413"/>
      <c r="V285" s="419"/>
      <c r="W285" s="413"/>
      <c r="X285" s="420"/>
      <c r="Y285" s="421"/>
      <c r="Z285" s="412"/>
      <c r="AA285" s="417"/>
      <c r="AB285" s="413"/>
      <c r="AC285" s="422"/>
    </row>
    <row r="286" spans="1:29" x14ac:dyDescent="0.35">
      <c r="A286" s="406"/>
      <c r="B286" s="407"/>
      <c r="C286" s="408"/>
      <c r="D286" s="409"/>
      <c r="E286" s="410"/>
      <c r="F286" s="410"/>
      <c r="G286" s="409"/>
      <c r="H286" s="411"/>
      <c r="I286" s="412"/>
      <c r="J286" s="413"/>
      <c r="K286" s="414"/>
      <c r="L286" s="415"/>
      <c r="M286" s="414"/>
      <c r="N286" s="416"/>
      <c r="O286" s="417"/>
      <c r="P286" s="414"/>
      <c r="Q286" s="415"/>
      <c r="R286" s="414"/>
      <c r="S286" s="418"/>
      <c r="T286" s="412"/>
      <c r="U286" s="413"/>
      <c r="V286" s="419"/>
      <c r="W286" s="413"/>
      <c r="X286" s="420"/>
      <c r="Y286" s="421"/>
      <c r="Z286" s="412"/>
      <c r="AA286" s="417"/>
      <c r="AB286" s="413"/>
      <c r="AC286" s="422"/>
    </row>
    <row r="287" spans="1:29" x14ac:dyDescent="0.35">
      <c r="A287" s="406"/>
      <c r="B287" s="407"/>
      <c r="C287" s="408"/>
      <c r="D287" s="409"/>
      <c r="E287" s="410"/>
      <c r="F287" s="410"/>
      <c r="G287" s="409"/>
      <c r="H287" s="411"/>
      <c r="I287" s="412"/>
      <c r="J287" s="413"/>
      <c r="K287" s="414"/>
      <c r="L287" s="415"/>
      <c r="M287" s="414"/>
      <c r="N287" s="416"/>
      <c r="O287" s="417"/>
      <c r="P287" s="414"/>
      <c r="Q287" s="415"/>
      <c r="R287" s="414"/>
      <c r="S287" s="418"/>
      <c r="T287" s="412"/>
      <c r="U287" s="413"/>
      <c r="V287" s="419"/>
      <c r="W287" s="413"/>
      <c r="X287" s="420"/>
      <c r="Y287" s="421"/>
      <c r="Z287" s="412"/>
      <c r="AA287" s="417"/>
      <c r="AB287" s="413"/>
      <c r="AC287" s="422"/>
    </row>
    <row r="288" spans="1:29" x14ac:dyDescent="0.35">
      <c r="A288" s="406"/>
      <c r="B288" s="407"/>
      <c r="C288" s="408"/>
      <c r="D288" s="409"/>
      <c r="E288" s="410"/>
      <c r="F288" s="410"/>
      <c r="G288" s="409"/>
      <c r="H288" s="411"/>
      <c r="I288" s="412"/>
      <c r="J288" s="413"/>
      <c r="K288" s="414"/>
      <c r="L288" s="415"/>
      <c r="M288" s="414"/>
      <c r="N288" s="416"/>
      <c r="O288" s="417"/>
      <c r="P288" s="414"/>
      <c r="Q288" s="415"/>
      <c r="R288" s="414"/>
      <c r="S288" s="418"/>
      <c r="T288" s="412"/>
      <c r="U288" s="413"/>
      <c r="V288" s="419"/>
      <c r="W288" s="413"/>
      <c r="X288" s="420"/>
      <c r="Y288" s="421"/>
      <c r="Z288" s="412"/>
      <c r="AA288" s="417"/>
      <c r="AB288" s="413"/>
      <c r="AC288" s="422"/>
    </row>
    <row r="289" spans="1:29" x14ac:dyDescent="0.35">
      <c r="A289" s="406"/>
      <c r="B289" s="407"/>
      <c r="C289" s="408"/>
      <c r="D289" s="409"/>
      <c r="E289" s="410"/>
      <c r="F289" s="410"/>
      <c r="G289" s="409"/>
      <c r="H289" s="411"/>
      <c r="I289" s="412"/>
      <c r="J289" s="413"/>
      <c r="K289" s="414"/>
      <c r="L289" s="415"/>
      <c r="M289" s="414"/>
      <c r="N289" s="416"/>
      <c r="O289" s="417"/>
      <c r="P289" s="414"/>
      <c r="Q289" s="415"/>
      <c r="R289" s="414"/>
      <c r="S289" s="418"/>
      <c r="T289" s="412"/>
      <c r="U289" s="413"/>
      <c r="V289" s="419"/>
      <c r="W289" s="413"/>
      <c r="X289" s="420"/>
      <c r="Y289" s="421"/>
      <c r="Z289" s="412"/>
      <c r="AA289" s="417"/>
      <c r="AB289" s="413"/>
      <c r="AC289" s="422"/>
    </row>
    <row r="290" spans="1:29" x14ac:dyDescent="0.35">
      <c r="A290" s="406"/>
      <c r="B290" s="407"/>
      <c r="C290" s="408"/>
      <c r="D290" s="409"/>
      <c r="E290" s="410"/>
      <c r="F290" s="410"/>
      <c r="G290" s="409"/>
      <c r="H290" s="411"/>
      <c r="I290" s="412"/>
      <c r="J290" s="413"/>
      <c r="K290" s="414"/>
      <c r="L290" s="415"/>
      <c r="M290" s="414"/>
      <c r="N290" s="416"/>
      <c r="O290" s="417"/>
      <c r="P290" s="414"/>
      <c r="Q290" s="415"/>
      <c r="R290" s="414"/>
      <c r="S290" s="418"/>
      <c r="T290" s="412"/>
      <c r="U290" s="413"/>
      <c r="V290" s="419"/>
      <c r="W290" s="413"/>
      <c r="X290" s="420"/>
      <c r="Y290" s="421"/>
      <c r="Z290" s="412"/>
      <c r="AA290" s="417"/>
      <c r="AB290" s="413"/>
      <c r="AC290" s="422"/>
    </row>
    <row r="291" spans="1:29" x14ac:dyDescent="0.35">
      <c r="A291" s="406"/>
      <c r="B291" s="407"/>
      <c r="C291" s="408"/>
      <c r="D291" s="409"/>
      <c r="E291" s="410"/>
      <c r="F291" s="410"/>
      <c r="G291" s="409"/>
      <c r="H291" s="411"/>
      <c r="I291" s="412"/>
      <c r="J291" s="413"/>
      <c r="K291" s="414"/>
      <c r="L291" s="415"/>
      <c r="M291" s="414"/>
      <c r="N291" s="416"/>
      <c r="O291" s="417"/>
      <c r="P291" s="414"/>
      <c r="Q291" s="415"/>
      <c r="R291" s="414"/>
      <c r="S291" s="418"/>
      <c r="T291" s="412"/>
      <c r="U291" s="413"/>
      <c r="V291" s="419"/>
      <c r="W291" s="413"/>
      <c r="X291" s="420"/>
      <c r="Y291" s="421"/>
      <c r="Z291" s="412"/>
      <c r="AA291" s="417"/>
      <c r="AB291" s="413"/>
      <c r="AC291" s="422"/>
    </row>
    <row r="292" spans="1:29" x14ac:dyDescent="0.35">
      <c r="A292" s="406"/>
      <c r="B292" s="407"/>
      <c r="C292" s="408"/>
      <c r="D292" s="409"/>
      <c r="E292" s="410"/>
      <c r="F292" s="410"/>
      <c r="G292" s="409"/>
      <c r="H292" s="411"/>
      <c r="I292" s="412"/>
      <c r="J292" s="413"/>
      <c r="K292" s="414"/>
      <c r="L292" s="415"/>
      <c r="M292" s="414"/>
      <c r="N292" s="416"/>
      <c r="O292" s="417"/>
      <c r="P292" s="414"/>
      <c r="Q292" s="415"/>
      <c r="R292" s="414"/>
      <c r="S292" s="418"/>
      <c r="T292" s="412"/>
      <c r="U292" s="413"/>
      <c r="V292" s="419"/>
      <c r="W292" s="413"/>
      <c r="X292" s="420"/>
      <c r="Y292" s="421"/>
      <c r="Z292" s="412"/>
      <c r="AA292" s="417"/>
      <c r="AB292" s="413"/>
      <c r="AC292" s="422"/>
    </row>
    <row r="293" spans="1:29" x14ac:dyDescent="0.35">
      <c r="A293" s="406"/>
      <c r="B293" s="407"/>
      <c r="C293" s="408"/>
      <c r="D293" s="409"/>
      <c r="E293" s="410"/>
      <c r="F293" s="410"/>
      <c r="G293" s="409"/>
      <c r="H293" s="411"/>
      <c r="I293" s="412"/>
      <c r="J293" s="413"/>
      <c r="K293" s="414"/>
      <c r="L293" s="415"/>
      <c r="M293" s="414"/>
      <c r="N293" s="416"/>
      <c r="O293" s="417"/>
      <c r="P293" s="414"/>
      <c r="Q293" s="415"/>
      <c r="R293" s="414"/>
      <c r="S293" s="418"/>
      <c r="T293" s="412"/>
      <c r="U293" s="413"/>
      <c r="V293" s="419"/>
      <c r="W293" s="413"/>
      <c r="X293" s="420"/>
      <c r="Y293" s="421"/>
      <c r="Z293" s="412"/>
      <c r="AA293" s="417"/>
      <c r="AB293" s="413"/>
      <c r="AC293" s="422"/>
    </row>
    <row r="294" spans="1:29" x14ac:dyDescent="0.35">
      <c r="A294" s="406"/>
      <c r="B294" s="407"/>
      <c r="C294" s="408"/>
      <c r="D294" s="409"/>
      <c r="E294" s="410"/>
      <c r="F294" s="410"/>
      <c r="G294" s="409"/>
      <c r="H294" s="411"/>
      <c r="I294" s="412"/>
      <c r="J294" s="413"/>
      <c r="K294" s="414"/>
      <c r="L294" s="415"/>
      <c r="M294" s="414"/>
      <c r="N294" s="416"/>
      <c r="O294" s="417"/>
      <c r="P294" s="414"/>
      <c r="Q294" s="415"/>
      <c r="R294" s="414"/>
      <c r="S294" s="418"/>
      <c r="T294" s="412"/>
      <c r="U294" s="413"/>
      <c r="V294" s="419"/>
      <c r="W294" s="413"/>
      <c r="X294" s="420"/>
      <c r="Y294" s="421"/>
      <c r="Z294" s="412"/>
      <c r="AA294" s="417"/>
      <c r="AB294" s="413"/>
      <c r="AC294" s="422"/>
    </row>
    <row r="295" spans="1:29" x14ac:dyDescent="0.35">
      <c r="A295" s="406"/>
      <c r="B295" s="407"/>
      <c r="C295" s="408"/>
      <c r="D295" s="409"/>
      <c r="E295" s="410"/>
      <c r="F295" s="410"/>
      <c r="G295" s="409"/>
      <c r="H295" s="411"/>
      <c r="I295" s="412"/>
      <c r="J295" s="413"/>
      <c r="K295" s="414"/>
      <c r="L295" s="415"/>
      <c r="M295" s="414"/>
      <c r="N295" s="416"/>
      <c r="O295" s="417"/>
      <c r="P295" s="414"/>
      <c r="Q295" s="415"/>
      <c r="R295" s="414"/>
      <c r="S295" s="418"/>
      <c r="T295" s="412"/>
      <c r="U295" s="413"/>
      <c r="V295" s="419"/>
      <c r="W295" s="413"/>
      <c r="X295" s="420"/>
      <c r="Y295" s="421"/>
      <c r="Z295" s="412"/>
      <c r="AA295" s="417"/>
      <c r="AB295" s="413"/>
      <c r="AC295" s="422"/>
    </row>
    <row r="296" spans="1:29" x14ac:dyDescent="0.35">
      <c r="A296" s="406"/>
      <c r="B296" s="407"/>
      <c r="C296" s="408"/>
      <c r="D296" s="409"/>
      <c r="E296" s="410"/>
      <c r="F296" s="410"/>
      <c r="G296" s="409"/>
      <c r="H296" s="411"/>
      <c r="I296" s="412"/>
      <c r="J296" s="413"/>
      <c r="K296" s="414"/>
      <c r="L296" s="415"/>
      <c r="M296" s="414"/>
      <c r="N296" s="416"/>
      <c r="O296" s="417"/>
      <c r="P296" s="414"/>
      <c r="Q296" s="415"/>
      <c r="R296" s="414"/>
      <c r="S296" s="418"/>
      <c r="T296" s="412"/>
      <c r="U296" s="413"/>
      <c r="V296" s="419"/>
      <c r="W296" s="413"/>
      <c r="X296" s="420"/>
      <c r="Y296" s="421"/>
      <c r="Z296" s="412"/>
      <c r="AA296" s="417"/>
      <c r="AB296" s="413"/>
      <c r="AC296" s="422"/>
    </row>
    <row r="297" spans="1:29" x14ac:dyDescent="0.35">
      <c r="A297" s="406"/>
      <c r="B297" s="407"/>
      <c r="C297" s="408"/>
      <c r="D297" s="409"/>
      <c r="E297" s="410"/>
      <c r="F297" s="410"/>
      <c r="G297" s="409"/>
      <c r="H297" s="411"/>
      <c r="I297" s="412"/>
      <c r="J297" s="413"/>
      <c r="K297" s="414"/>
      <c r="L297" s="415"/>
      <c r="M297" s="414"/>
      <c r="N297" s="416"/>
      <c r="O297" s="417"/>
      <c r="P297" s="414"/>
      <c r="Q297" s="415"/>
      <c r="R297" s="414"/>
      <c r="S297" s="418"/>
      <c r="T297" s="412"/>
      <c r="U297" s="413"/>
      <c r="V297" s="419"/>
      <c r="W297" s="413"/>
      <c r="X297" s="420"/>
      <c r="Y297" s="421"/>
      <c r="Z297" s="412"/>
      <c r="AA297" s="417"/>
      <c r="AB297" s="413"/>
      <c r="AC297" s="422"/>
    </row>
    <row r="298" spans="1:29" x14ac:dyDescent="0.35">
      <c r="A298" s="406"/>
      <c r="B298" s="407"/>
      <c r="C298" s="408"/>
      <c r="D298" s="409"/>
      <c r="E298" s="410"/>
      <c r="F298" s="410"/>
      <c r="G298" s="409"/>
      <c r="H298" s="411"/>
      <c r="I298" s="412"/>
      <c r="J298" s="413"/>
      <c r="K298" s="414"/>
      <c r="L298" s="415"/>
      <c r="M298" s="414"/>
      <c r="N298" s="416"/>
      <c r="O298" s="417"/>
      <c r="P298" s="414"/>
      <c r="Q298" s="415"/>
      <c r="R298" s="414"/>
      <c r="S298" s="418"/>
      <c r="T298" s="412"/>
      <c r="U298" s="413"/>
      <c r="V298" s="419"/>
      <c r="W298" s="413"/>
      <c r="X298" s="420"/>
      <c r="Y298" s="421"/>
      <c r="Z298" s="412"/>
      <c r="AA298" s="417"/>
      <c r="AB298" s="413"/>
      <c r="AC298" s="422"/>
    </row>
    <row r="299" spans="1:29" x14ac:dyDescent="0.35">
      <c r="A299" s="406"/>
      <c r="B299" s="407"/>
      <c r="C299" s="408"/>
      <c r="D299" s="409"/>
      <c r="E299" s="410"/>
      <c r="F299" s="410"/>
      <c r="G299" s="409"/>
      <c r="H299" s="411"/>
      <c r="I299" s="412"/>
      <c r="J299" s="413"/>
      <c r="K299" s="414"/>
      <c r="L299" s="415"/>
      <c r="M299" s="414"/>
      <c r="N299" s="416"/>
      <c r="O299" s="417"/>
      <c r="P299" s="414"/>
      <c r="Q299" s="415"/>
      <c r="R299" s="414"/>
      <c r="S299" s="418"/>
      <c r="T299" s="412"/>
      <c r="U299" s="413"/>
      <c r="V299" s="419"/>
      <c r="W299" s="413"/>
      <c r="X299" s="420"/>
      <c r="Y299" s="421"/>
      <c r="Z299" s="412"/>
      <c r="AA299" s="417"/>
      <c r="AB299" s="413"/>
      <c r="AC299" s="422"/>
    </row>
    <row r="300" spans="1:29" x14ac:dyDescent="0.35">
      <c r="A300" s="406"/>
      <c r="B300" s="407"/>
      <c r="C300" s="408"/>
      <c r="D300" s="409"/>
      <c r="E300" s="410"/>
      <c r="F300" s="410"/>
      <c r="G300" s="409"/>
      <c r="H300" s="411"/>
      <c r="I300" s="412"/>
      <c r="J300" s="413"/>
      <c r="K300" s="414"/>
      <c r="L300" s="415"/>
      <c r="M300" s="414"/>
      <c r="N300" s="416"/>
      <c r="O300" s="417"/>
      <c r="P300" s="414"/>
      <c r="Q300" s="415"/>
      <c r="R300" s="414"/>
      <c r="S300" s="418"/>
      <c r="T300" s="412"/>
      <c r="U300" s="413"/>
      <c r="V300" s="419"/>
      <c r="W300" s="413"/>
      <c r="X300" s="420"/>
      <c r="Y300" s="421"/>
      <c r="Z300" s="412"/>
      <c r="AA300" s="417"/>
      <c r="AB300" s="413"/>
      <c r="AC300" s="422"/>
    </row>
    <row r="301" spans="1:29" x14ac:dyDescent="0.35">
      <c r="A301" s="406"/>
      <c r="B301" s="407"/>
      <c r="C301" s="408"/>
      <c r="D301" s="409"/>
      <c r="E301" s="410"/>
      <c r="F301" s="410"/>
      <c r="G301" s="409"/>
      <c r="H301" s="411"/>
      <c r="I301" s="412"/>
      <c r="J301" s="413"/>
      <c r="K301" s="414"/>
      <c r="L301" s="415"/>
      <c r="M301" s="414"/>
      <c r="N301" s="416"/>
      <c r="O301" s="417"/>
      <c r="P301" s="414"/>
      <c r="Q301" s="415"/>
      <c r="R301" s="414"/>
      <c r="S301" s="418"/>
      <c r="T301" s="412"/>
      <c r="U301" s="413"/>
      <c r="V301" s="419"/>
      <c r="W301" s="413"/>
      <c r="X301" s="420"/>
      <c r="Y301" s="421"/>
      <c r="Z301" s="412"/>
      <c r="AA301" s="417"/>
      <c r="AB301" s="413"/>
      <c r="AC301" s="422"/>
    </row>
    <row r="302" spans="1:29" x14ac:dyDescent="0.35">
      <c r="A302" s="406"/>
      <c r="B302" s="407"/>
      <c r="C302" s="408"/>
      <c r="D302" s="409"/>
      <c r="E302" s="410"/>
      <c r="F302" s="410"/>
      <c r="G302" s="409"/>
      <c r="H302" s="411"/>
      <c r="I302" s="412"/>
      <c r="J302" s="413"/>
      <c r="K302" s="414"/>
      <c r="L302" s="415"/>
      <c r="M302" s="414"/>
      <c r="N302" s="416"/>
      <c r="O302" s="417"/>
      <c r="P302" s="414"/>
      <c r="Q302" s="415"/>
      <c r="R302" s="414"/>
      <c r="S302" s="418"/>
      <c r="T302" s="412"/>
      <c r="U302" s="413"/>
      <c r="V302" s="419"/>
      <c r="W302" s="413"/>
      <c r="X302" s="420"/>
      <c r="Y302" s="421"/>
      <c r="Z302" s="412"/>
      <c r="AA302" s="417"/>
      <c r="AB302" s="413"/>
      <c r="AC302" s="422"/>
    </row>
    <row r="303" spans="1:29" x14ac:dyDescent="0.35">
      <c r="A303" s="406"/>
      <c r="B303" s="407"/>
      <c r="C303" s="408"/>
      <c r="D303" s="409"/>
      <c r="E303" s="410"/>
      <c r="F303" s="410"/>
      <c r="G303" s="409"/>
      <c r="H303" s="411"/>
      <c r="I303" s="412"/>
      <c r="J303" s="413"/>
      <c r="K303" s="414"/>
      <c r="L303" s="415"/>
      <c r="M303" s="414"/>
      <c r="N303" s="416"/>
      <c r="O303" s="417"/>
      <c r="P303" s="414"/>
      <c r="Q303" s="415"/>
      <c r="R303" s="414"/>
      <c r="S303" s="418"/>
      <c r="T303" s="412"/>
      <c r="U303" s="413"/>
      <c r="V303" s="419"/>
      <c r="W303" s="413"/>
      <c r="X303" s="420"/>
      <c r="Y303" s="421"/>
      <c r="Z303" s="412"/>
      <c r="AA303" s="417"/>
      <c r="AB303" s="413"/>
      <c r="AC303" s="422"/>
    </row>
    <row r="304" spans="1:29" x14ac:dyDescent="0.35">
      <c r="A304" s="406"/>
      <c r="B304" s="407"/>
      <c r="C304" s="408"/>
      <c r="D304" s="409"/>
      <c r="E304" s="410"/>
      <c r="F304" s="410"/>
      <c r="G304" s="409"/>
      <c r="H304" s="411"/>
      <c r="I304" s="412"/>
      <c r="J304" s="413"/>
      <c r="K304" s="414"/>
      <c r="L304" s="415"/>
      <c r="M304" s="414"/>
      <c r="N304" s="416"/>
      <c r="O304" s="417"/>
      <c r="P304" s="414"/>
      <c r="Q304" s="415"/>
      <c r="R304" s="414"/>
      <c r="S304" s="418"/>
      <c r="T304" s="412"/>
      <c r="U304" s="413"/>
      <c r="V304" s="419"/>
      <c r="W304" s="413"/>
      <c r="X304" s="420"/>
      <c r="Y304" s="421"/>
      <c r="Z304" s="412"/>
      <c r="AA304" s="417"/>
      <c r="AB304" s="413"/>
      <c r="AC304" s="422"/>
    </row>
    <row r="305" spans="1:29" x14ac:dyDescent="0.35">
      <c r="A305" s="406"/>
      <c r="B305" s="407"/>
      <c r="C305" s="408"/>
      <c r="D305" s="409"/>
      <c r="E305" s="410"/>
      <c r="F305" s="410"/>
      <c r="G305" s="409"/>
      <c r="H305" s="411"/>
      <c r="I305" s="412"/>
      <c r="J305" s="413"/>
      <c r="K305" s="414"/>
      <c r="L305" s="415"/>
      <c r="M305" s="414"/>
      <c r="N305" s="416"/>
      <c r="O305" s="417"/>
      <c r="P305" s="414"/>
      <c r="Q305" s="415"/>
      <c r="R305" s="414"/>
      <c r="S305" s="418"/>
      <c r="T305" s="412"/>
      <c r="U305" s="413"/>
      <c r="V305" s="419"/>
      <c r="W305" s="413"/>
      <c r="X305" s="420"/>
      <c r="Y305" s="421"/>
      <c r="Z305" s="412"/>
      <c r="AA305" s="417"/>
      <c r="AB305" s="413"/>
      <c r="AC305" s="422"/>
    </row>
    <row r="306" spans="1:29" x14ac:dyDescent="0.35">
      <c r="A306" s="406"/>
      <c r="B306" s="407"/>
      <c r="C306" s="408"/>
      <c r="D306" s="409"/>
      <c r="E306" s="410"/>
      <c r="F306" s="410"/>
      <c r="G306" s="409"/>
      <c r="H306" s="411"/>
      <c r="I306" s="412"/>
      <c r="J306" s="413"/>
      <c r="K306" s="414"/>
      <c r="L306" s="415"/>
      <c r="M306" s="414"/>
      <c r="N306" s="416"/>
      <c r="O306" s="417"/>
      <c r="P306" s="414"/>
      <c r="Q306" s="415"/>
      <c r="R306" s="414"/>
      <c r="S306" s="418"/>
      <c r="T306" s="412"/>
      <c r="U306" s="413"/>
      <c r="V306" s="419"/>
      <c r="W306" s="413"/>
      <c r="X306" s="420"/>
      <c r="Y306" s="421"/>
      <c r="Z306" s="412"/>
      <c r="AA306" s="417"/>
      <c r="AB306" s="413"/>
      <c r="AC306" s="422"/>
    </row>
    <row r="307" spans="1:29" x14ac:dyDescent="0.35">
      <c r="A307" s="406"/>
      <c r="B307" s="407"/>
      <c r="C307" s="408"/>
      <c r="D307" s="409"/>
      <c r="E307" s="410"/>
      <c r="F307" s="410"/>
      <c r="G307" s="409"/>
      <c r="H307" s="411"/>
      <c r="I307" s="412"/>
      <c r="J307" s="413"/>
      <c r="K307" s="414"/>
      <c r="L307" s="415"/>
      <c r="M307" s="414"/>
      <c r="N307" s="416"/>
      <c r="O307" s="417"/>
      <c r="P307" s="414"/>
      <c r="Q307" s="415"/>
      <c r="R307" s="414"/>
      <c r="S307" s="418"/>
      <c r="T307" s="412"/>
      <c r="U307" s="413"/>
      <c r="V307" s="419"/>
      <c r="W307" s="413"/>
      <c r="X307" s="420"/>
      <c r="Y307" s="421"/>
      <c r="Z307" s="412"/>
      <c r="AA307" s="417"/>
      <c r="AB307" s="413"/>
      <c r="AC307" s="422"/>
    </row>
    <row r="308" spans="1:29" x14ac:dyDescent="0.35">
      <c r="A308" s="406"/>
      <c r="B308" s="407"/>
      <c r="C308" s="408"/>
      <c r="D308" s="409"/>
      <c r="E308" s="410"/>
      <c r="F308" s="410"/>
      <c r="G308" s="409"/>
      <c r="H308" s="411"/>
      <c r="I308" s="412"/>
      <c r="J308" s="413"/>
      <c r="K308" s="414"/>
      <c r="L308" s="415"/>
      <c r="M308" s="414"/>
      <c r="N308" s="416"/>
      <c r="O308" s="417"/>
      <c r="P308" s="414"/>
      <c r="Q308" s="415"/>
      <c r="R308" s="414"/>
      <c r="S308" s="418"/>
      <c r="T308" s="412"/>
      <c r="U308" s="413"/>
      <c r="V308" s="419"/>
      <c r="W308" s="413"/>
      <c r="X308" s="420"/>
      <c r="Y308" s="421"/>
      <c r="Z308" s="412"/>
      <c r="AA308" s="417"/>
      <c r="AB308" s="413"/>
      <c r="AC308" s="422"/>
    </row>
    <row r="309" spans="1:29" x14ac:dyDescent="0.35">
      <c r="A309" s="406"/>
      <c r="B309" s="407"/>
      <c r="C309" s="408"/>
      <c r="D309" s="409"/>
      <c r="E309" s="410"/>
      <c r="F309" s="410"/>
      <c r="G309" s="409"/>
      <c r="H309" s="411"/>
      <c r="I309" s="412"/>
      <c r="J309" s="413"/>
      <c r="K309" s="414"/>
      <c r="L309" s="415"/>
      <c r="M309" s="414"/>
      <c r="N309" s="416"/>
      <c r="O309" s="417"/>
      <c r="P309" s="414"/>
      <c r="Q309" s="415"/>
      <c r="R309" s="414"/>
      <c r="S309" s="418"/>
      <c r="T309" s="412"/>
      <c r="U309" s="413"/>
      <c r="V309" s="419"/>
      <c r="W309" s="413"/>
      <c r="X309" s="420"/>
      <c r="Y309" s="421"/>
      <c r="Z309" s="412"/>
      <c r="AA309" s="417"/>
      <c r="AB309" s="413"/>
      <c r="AC309" s="422"/>
    </row>
    <row r="310" spans="1:29" x14ac:dyDescent="0.35">
      <c r="A310" s="406"/>
      <c r="B310" s="407"/>
      <c r="C310" s="408"/>
      <c r="D310" s="409"/>
      <c r="E310" s="410"/>
      <c r="F310" s="410"/>
      <c r="G310" s="409"/>
      <c r="H310" s="411"/>
      <c r="I310" s="412"/>
      <c r="J310" s="413"/>
      <c r="K310" s="414"/>
      <c r="L310" s="415"/>
      <c r="M310" s="414"/>
      <c r="N310" s="416"/>
      <c r="O310" s="417"/>
      <c r="P310" s="414"/>
      <c r="Q310" s="415"/>
      <c r="R310" s="414"/>
      <c r="S310" s="418"/>
      <c r="T310" s="412"/>
      <c r="U310" s="413"/>
      <c r="V310" s="419"/>
      <c r="W310" s="413"/>
      <c r="X310" s="420"/>
      <c r="Y310" s="421"/>
      <c r="Z310" s="412"/>
      <c r="AA310" s="417"/>
      <c r="AB310" s="413"/>
      <c r="AC310" s="422"/>
    </row>
    <row r="311" spans="1:29" x14ac:dyDescent="0.35">
      <c r="A311" s="406"/>
      <c r="B311" s="407"/>
      <c r="C311" s="408"/>
      <c r="D311" s="409"/>
      <c r="E311" s="410"/>
      <c r="F311" s="410"/>
      <c r="G311" s="409"/>
      <c r="H311" s="411"/>
      <c r="I311" s="412"/>
      <c r="J311" s="413"/>
      <c r="K311" s="414"/>
      <c r="L311" s="415"/>
      <c r="M311" s="414"/>
      <c r="N311" s="416"/>
      <c r="O311" s="417"/>
      <c r="P311" s="414"/>
      <c r="Q311" s="415"/>
      <c r="R311" s="414"/>
      <c r="S311" s="418"/>
      <c r="T311" s="412"/>
      <c r="U311" s="413"/>
      <c r="V311" s="419"/>
      <c r="W311" s="413"/>
      <c r="X311" s="420"/>
      <c r="Y311" s="421"/>
      <c r="Z311" s="412"/>
      <c r="AA311" s="417"/>
      <c r="AB311" s="413"/>
      <c r="AC311" s="422"/>
    </row>
    <row r="312" spans="1:29" x14ac:dyDescent="0.35">
      <c r="A312" s="406"/>
      <c r="B312" s="407"/>
      <c r="C312" s="408"/>
      <c r="D312" s="409"/>
      <c r="E312" s="410"/>
      <c r="F312" s="410"/>
      <c r="G312" s="409"/>
      <c r="H312" s="411"/>
      <c r="I312" s="412"/>
      <c r="J312" s="413"/>
      <c r="K312" s="414"/>
      <c r="L312" s="415"/>
      <c r="M312" s="414"/>
      <c r="N312" s="416"/>
      <c r="O312" s="417"/>
      <c r="P312" s="414"/>
      <c r="Q312" s="415"/>
      <c r="R312" s="414"/>
      <c r="S312" s="418"/>
      <c r="T312" s="412"/>
      <c r="U312" s="413"/>
      <c r="V312" s="419"/>
      <c r="W312" s="413"/>
      <c r="X312" s="420"/>
      <c r="Y312" s="421"/>
      <c r="Z312" s="412"/>
      <c r="AA312" s="417"/>
      <c r="AB312" s="413"/>
      <c r="AC312" s="422"/>
    </row>
    <row r="313" spans="1:29" x14ac:dyDescent="0.35">
      <c r="A313" s="406"/>
      <c r="B313" s="407"/>
      <c r="C313" s="408"/>
      <c r="D313" s="409"/>
      <c r="E313" s="410"/>
      <c r="F313" s="410"/>
      <c r="G313" s="409"/>
      <c r="H313" s="411"/>
      <c r="I313" s="412"/>
      <c r="J313" s="413"/>
      <c r="K313" s="414"/>
      <c r="L313" s="415"/>
      <c r="M313" s="414"/>
      <c r="N313" s="416"/>
      <c r="O313" s="417"/>
      <c r="P313" s="414"/>
      <c r="Q313" s="415"/>
      <c r="R313" s="414"/>
      <c r="S313" s="418"/>
      <c r="T313" s="412"/>
      <c r="U313" s="413"/>
      <c r="V313" s="419"/>
      <c r="W313" s="413"/>
      <c r="X313" s="420"/>
      <c r="Y313" s="421"/>
      <c r="Z313" s="412"/>
      <c r="AA313" s="417"/>
      <c r="AB313" s="413"/>
      <c r="AC313" s="422"/>
    </row>
    <row r="314" spans="1:29" x14ac:dyDescent="0.35">
      <c r="A314" s="406"/>
      <c r="B314" s="407"/>
      <c r="C314" s="408"/>
      <c r="D314" s="409"/>
      <c r="E314" s="410"/>
      <c r="F314" s="410"/>
      <c r="G314" s="409"/>
      <c r="H314" s="411"/>
      <c r="I314" s="412"/>
      <c r="J314" s="413"/>
      <c r="K314" s="414"/>
      <c r="L314" s="415"/>
      <c r="M314" s="414"/>
      <c r="N314" s="416"/>
      <c r="O314" s="417"/>
      <c r="P314" s="414"/>
      <c r="Q314" s="415"/>
      <c r="R314" s="414"/>
      <c r="S314" s="418"/>
      <c r="T314" s="412"/>
      <c r="U314" s="413"/>
      <c r="V314" s="419"/>
      <c r="W314" s="413"/>
      <c r="X314" s="420"/>
      <c r="Y314" s="421"/>
      <c r="Z314" s="412"/>
      <c r="AA314" s="417"/>
      <c r="AB314" s="413"/>
      <c r="AC314" s="422"/>
    </row>
    <row r="315" spans="1:29" x14ac:dyDescent="0.35">
      <c r="A315" s="406"/>
      <c r="B315" s="407"/>
      <c r="C315" s="408"/>
      <c r="D315" s="409"/>
      <c r="E315" s="410"/>
      <c r="F315" s="410"/>
      <c r="G315" s="409"/>
      <c r="H315" s="411"/>
      <c r="I315" s="412"/>
      <c r="J315" s="413"/>
      <c r="K315" s="414"/>
      <c r="L315" s="415"/>
      <c r="M315" s="414"/>
      <c r="N315" s="416"/>
      <c r="O315" s="417"/>
      <c r="P315" s="414"/>
      <c r="Q315" s="415"/>
      <c r="R315" s="414"/>
      <c r="S315" s="418"/>
      <c r="T315" s="412"/>
      <c r="U315" s="413"/>
      <c r="V315" s="419"/>
      <c r="W315" s="413"/>
      <c r="X315" s="420"/>
      <c r="Y315" s="421"/>
      <c r="Z315" s="412"/>
      <c r="AA315" s="417"/>
      <c r="AB315" s="413"/>
      <c r="AC315" s="422"/>
    </row>
    <row r="316" spans="1:29" x14ac:dyDescent="0.35">
      <c r="A316" s="406"/>
      <c r="B316" s="407"/>
      <c r="C316" s="408"/>
      <c r="D316" s="409"/>
      <c r="E316" s="410"/>
      <c r="F316" s="410"/>
      <c r="G316" s="409"/>
      <c r="H316" s="411"/>
      <c r="I316" s="412"/>
      <c r="J316" s="413"/>
      <c r="K316" s="414"/>
      <c r="L316" s="415"/>
      <c r="M316" s="414"/>
      <c r="N316" s="416"/>
      <c r="O316" s="417"/>
      <c r="P316" s="414"/>
      <c r="Q316" s="415"/>
      <c r="R316" s="414"/>
      <c r="S316" s="418"/>
      <c r="T316" s="412"/>
      <c r="U316" s="413"/>
      <c r="V316" s="419"/>
      <c r="W316" s="413"/>
      <c r="X316" s="420"/>
      <c r="Y316" s="421"/>
      <c r="Z316" s="412"/>
      <c r="AA316" s="417"/>
      <c r="AB316" s="413"/>
      <c r="AC316" s="422"/>
    </row>
    <row r="317" spans="1:29" x14ac:dyDescent="0.35">
      <c r="A317" s="406"/>
      <c r="B317" s="407"/>
      <c r="C317" s="408"/>
      <c r="D317" s="409"/>
      <c r="E317" s="410"/>
      <c r="F317" s="410"/>
      <c r="G317" s="409"/>
      <c r="H317" s="411"/>
      <c r="I317" s="412"/>
      <c r="J317" s="413"/>
      <c r="K317" s="414"/>
      <c r="L317" s="415"/>
      <c r="M317" s="414"/>
      <c r="N317" s="416"/>
      <c r="O317" s="417"/>
      <c r="P317" s="414"/>
      <c r="Q317" s="415"/>
      <c r="R317" s="414"/>
      <c r="S317" s="418"/>
      <c r="T317" s="412"/>
      <c r="U317" s="413"/>
      <c r="V317" s="419"/>
      <c r="W317" s="413"/>
      <c r="X317" s="420"/>
      <c r="Y317" s="421"/>
      <c r="Z317" s="412"/>
      <c r="AA317" s="417"/>
      <c r="AB317" s="413"/>
      <c r="AC317" s="422"/>
    </row>
    <row r="318" spans="1:29" x14ac:dyDescent="0.35">
      <c r="A318" s="406"/>
      <c r="B318" s="407"/>
      <c r="C318" s="408"/>
      <c r="D318" s="409"/>
      <c r="E318" s="410"/>
      <c r="F318" s="410"/>
      <c r="G318" s="409"/>
      <c r="H318" s="411"/>
      <c r="I318" s="412"/>
      <c r="J318" s="413"/>
      <c r="K318" s="414"/>
      <c r="L318" s="415"/>
      <c r="M318" s="414"/>
      <c r="N318" s="416"/>
      <c r="O318" s="417"/>
      <c r="P318" s="414"/>
      <c r="Q318" s="415"/>
      <c r="R318" s="414"/>
      <c r="S318" s="418"/>
      <c r="T318" s="412"/>
      <c r="U318" s="413"/>
      <c r="V318" s="419"/>
      <c r="W318" s="413"/>
      <c r="X318" s="420"/>
      <c r="Y318" s="421"/>
      <c r="Z318" s="412"/>
      <c r="AA318" s="417"/>
      <c r="AB318" s="413"/>
      <c r="AC318" s="422"/>
    </row>
    <row r="319" spans="1:29" x14ac:dyDescent="0.35">
      <c r="A319" s="406"/>
      <c r="B319" s="407"/>
      <c r="C319" s="408"/>
      <c r="D319" s="409"/>
      <c r="E319" s="410"/>
      <c r="F319" s="410"/>
      <c r="G319" s="409"/>
      <c r="H319" s="411"/>
      <c r="I319" s="412"/>
      <c r="J319" s="413"/>
      <c r="K319" s="414"/>
      <c r="L319" s="415"/>
      <c r="M319" s="414"/>
      <c r="N319" s="416"/>
      <c r="O319" s="417"/>
      <c r="P319" s="414"/>
      <c r="Q319" s="415"/>
      <c r="R319" s="414"/>
      <c r="S319" s="418"/>
      <c r="T319" s="412"/>
      <c r="U319" s="413"/>
      <c r="V319" s="419"/>
      <c r="W319" s="413"/>
      <c r="X319" s="420"/>
      <c r="Y319" s="421"/>
      <c r="Z319" s="412"/>
      <c r="AA319" s="417"/>
      <c r="AB319" s="413"/>
      <c r="AC319" s="422"/>
    </row>
    <row r="320" spans="1:29" x14ac:dyDescent="0.35">
      <c r="A320" s="406"/>
      <c r="B320" s="407"/>
      <c r="C320" s="408"/>
      <c r="D320" s="409"/>
      <c r="E320" s="410"/>
      <c r="F320" s="410"/>
      <c r="G320" s="409"/>
      <c r="H320" s="411"/>
      <c r="I320" s="412"/>
      <c r="J320" s="413"/>
      <c r="K320" s="414"/>
      <c r="L320" s="415"/>
      <c r="M320" s="414"/>
      <c r="N320" s="416"/>
      <c r="O320" s="417"/>
      <c r="P320" s="414"/>
      <c r="Q320" s="415"/>
      <c r="R320" s="414"/>
      <c r="S320" s="418"/>
      <c r="T320" s="412"/>
      <c r="U320" s="413"/>
      <c r="V320" s="419"/>
      <c r="W320" s="413"/>
      <c r="X320" s="420"/>
      <c r="Y320" s="421"/>
      <c r="Z320" s="412"/>
      <c r="AA320" s="417"/>
      <c r="AB320" s="413"/>
      <c r="AC320" s="422"/>
    </row>
    <row r="321" spans="1:29" x14ac:dyDescent="0.35">
      <c r="A321" s="406"/>
      <c r="B321" s="407"/>
      <c r="C321" s="408"/>
      <c r="D321" s="409"/>
      <c r="E321" s="410"/>
      <c r="F321" s="410"/>
      <c r="G321" s="409"/>
      <c r="H321" s="411"/>
      <c r="I321" s="412"/>
      <c r="J321" s="413"/>
      <c r="K321" s="414"/>
      <c r="L321" s="415"/>
      <c r="M321" s="414"/>
      <c r="N321" s="416"/>
      <c r="O321" s="417"/>
      <c r="P321" s="414"/>
      <c r="Q321" s="415"/>
      <c r="R321" s="414"/>
      <c r="S321" s="418"/>
      <c r="T321" s="412"/>
      <c r="U321" s="413"/>
      <c r="V321" s="419"/>
      <c r="W321" s="413"/>
      <c r="X321" s="420"/>
      <c r="Y321" s="421"/>
      <c r="Z321" s="412"/>
      <c r="AA321" s="417"/>
      <c r="AB321" s="413"/>
      <c r="AC321" s="422"/>
    </row>
    <row r="322" spans="1:29" x14ac:dyDescent="0.35">
      <c r="A322" s="406"/>
      <c r="B322" s="407"/>
      <c r="C322" s="408"/>
      <c r="D322" s="409"/>
      <c r="E322" s="410"/>
      <c r="F322" s="410"/>
      <c r="G322" s="409"/>
      <c r="H322" s="411"/>
      <c r="I322" s="412"/>
      <c r="J322" s="413"/>
      <c r="K322" s="414"/>
      <c r="L322" s="415"/>
      <c r="M322" s="414"/>
      <c r="N322" s="416"/>
      <c r="O322" s="417"/>
      <c r="P322" s="414"/>
      <c r="Q322" s="415"/>
      <c r="R322" s="414"/>
      <c r="S322" s="418"/>
      <c r="T322" s="412"/>
      <c r="U322" s="413"/>
      <c r="V322" s="419"/>
      <c r="W322" s="413"/>
      <c r="X322" s="420"/>
      <c r="Y322" s="421"/>
      <c r="Z322" s="412"/>
      <c r="AA322" s="417"/>
      <c r="AB322" s="413"/>
      <c r="AC322" s="422"/>
    </row>
    <row r="323" spans="1:29" x14ac:dyDescent="0.35">
      <c r="A323" s="406"/>
      <c r="B323" s="407"/>
      <c r="C323" s="408"/>
      <c r="D323" s="409"/>
      <c r="E323" s="410"/>
      <c r="F323" s="410"/>
      <c r="G323" s="409"/>
      <c r="H323" s="411"/>
      <c r="I323" s="412"/>
      <c r="J323" s="413"/>
      <c r="K323" s="414"/>
      <c r="L323" s="415"/>
      <c r="M323" s="414"/>
      <c r="N323" s="416"/>
      <c r="O323" s="417"/>
      <c r="P323" s="414"/>
      <c r="Q323" s="415"/>
      <c r="R323" s="414"/>
      <c r="S323" s="418"/>
      <c r="T323" s="412"/>
      <c r="U323" s="413"/>
      <c r="V323" s="419"/>
      <c r="W323" s="413"/>
      <c r="X323" s="420"/>
      <c r="Y323" s="421"/>
      <c r="Z323" s="412"/>
      <c r="AA323" s="417"/>
      <c r="AB323" s="413"/>
      <c r="AC323" s="422"/>
    </row>
    <row r="324" spans="1:29" x14ac:dyDescent="0.35">
      <c r="A324" s="406"/>
      <c r="B324" s="407"/>
      <c r="C324" s="408"/>
      <c r="D324" s="409"/>
      <c r="E324" s="410"/>
      <c r="F324" s="410"/>
      <c r="G324" s="409"/>
      <c r="H324" s="411"/>
      <c r="I324" s="412"/>
      <c r="J324" s="413"/>
      <c r="K324" s="414"/>
      <c r="L324" s="415"/>
      <c r="M324" s="414"/>
      <c r="N324" s="416"/>
      <c r="O324" s="417"/>
      <c r="P324" s="414"/>
      <c r="Q324" s="415"/>
      <c r="R324" s="414"/>
      <c r="S324" s="418"/>
      <c r="T324" s="412"/>
      <c r="U324" s="413"/>
      <c r="V324" s="419"/>
      <c r="W324" s="413"/>
      <c r="X324" s="420"/>
      <c r="Y324" s="421"/>
      <c r="Z324" s="412"/>
      <c r="AA324" s="417"/>
      <c r="AB324" s="413"/>
      <c r="AC324" s="422"/>
    </row>
    <row r="325" spans="1:29" x14ac:dyDescent="0.35">
      <c r="A325" s="406"/>
      <c r="B325" s="407"/>
      <c r="C325" s="408"/>
      <c r="D325" s="409"/>
      <c r="E325" s="410"/>
      <c r="F325" s="410"/>
      <c r="G325" s="409"/>
      <c r="H325" s="411"/>
      <c r="I325" s="412"/>
      <c r="J325" s="413"/>
      <c r="K325" s="414"/>
      <c r="L325" s="415"/>
      <c r="M325" s="414"/>
      <c r="N325" s="416"/>
      <c r="O325" s="417"/>
      <c r="P325" s="414"/>
      <c r="Q325" s="415"/>
      <c r="R325" s="414"/>
      <c r="S325" s="418"/>
      <c r="T325" s="412"/>
      <c r="U325" s="413"/>
      <c r="V325" s="419"/>
      <c r="W325" s="413"/>
      <c r="X325" s="420"/>
      <c r="Y325" s="421"/>
      <c r="Z325" s="412"/>
      <c r="AA325" s="417"/>
      <c r="AB325" s="413"/>
      <c r="AC325" s="422"/>
    </row>
    <row r="326" spans="1:29" x14ac:dyDescent="0.35">
      <c r="A326" s="406"/>
      <c r="B326" s="407"/>
      <c r="C326" s="408"/>
      <c r="D326" s="409"/>
      <c r="E326" s="410"/>
      <c r="F326" s="410"/>
      <c r="G326" s="409"/>
      <c r="H326" s="411"/>
      <c r="I326" s="412"/>
      <c r="J326" s="413"/>
      <c r="K326" s="414"/>
      <c r="L326" s="415"/>
      <c r="M326" s="414"/>
      <c r="N326" s="416"/>
      <c r="O326" s="417"/>
      <c r="P326" s="414"/>
      <c r="Q326" s="415"/>
      <c r="R326" s="414"/>
      <c r="S326" s="418"/>
      <c r="T326" s="412"/>
      <c r="U326" s="413"/>
      <c r="V326" s="419"/>
      <c r="W326" s="413"/>
      <c r="X326" s="420"/>
      <c r="Y326" s="421"/>
      <c r="Z326" s="412"/>
      <c r="AA326" s="417"/>
      <c r="AB326" s="413"/>
      <c r="AC326" s="422"/>
    </row>
    <row r="327" spans="1:29" x14ac:dyDescent="0.35">
      <c r="A327" s="406"/>
      <c r="B327" s="407"/>
      <c r="C327" s="408"/>
      <c r="D327" s="409"/>
      <c r="E327" s="410"/>
      <c r="F327" s="410"/>
      <c r="G327" s="409"/>
      <c r="H327" s="411"/>
      <c r="I327" s="412"/>
      <c r="J327" s="413"/>
      <c r="K327" s="414"/>
      <c r="L327" s="415"/>
      <c r="M327" s="414"/>
      <c r="N327" s="416"/>
      <c r="O327" s="417"/>
      <c r="P327" s="414"/>
      <c r="Q327" s="415"/>
      <c r="R327" s="414"/>
      <c r="S327" s="418"/>
      <c r="T327" s="412"/>
      <c r="U327" s="413"/>
      <c r="V327" s="419"/>
      <c r="W327" s="413"/>
      <c r="X327" s="420"/>
      <c r="Y327" s="421"/>
      <c r="Z327" s="412"/>
      <c r="AA327" s="417"/>
      <c r="AB327" s="413"/>
      <c r="AC327" s="422"/>
    </row>
    <row r="328" spans="1:29" x14ac:dyDescent="0.35">
      <c r="A328" s="406"/>
      <c r="B328" s="407"/>
      <c r="C328" s="408"/>
      <c r="D328" s="409"/>
      <c r="E328" s="410"/>
      <c r="F328" s="410"/>
      <c r="G328" s="409"/>
      <c r="H328" s="411"/>
      <c r="I328" s="412"/>
      <c r="J328" s="413"/>
      <c r="K328" s="414"/>
      <c r="L328" s="415"/>
      <c r="M328" s="414"/>
      <c r="N328" s="416"/>
      <c r="O328" s="417"/>
      <c r="P328" s="414"/>
      <c r="Q328" s="415"/>
      <c r="R328" s="414"/>
      <c r="S328" s="418"/>
      <c r="T328" s="412"/>
      <c r="U328" s="413"/>
      <c r="V328" s="419"/>
      <c r="W328" s="413"/>
      <c r="X328" s="420"/>
      <c r="Y328" s="421"/>
      <c r="Z328" s="412"/>
      <c r="AA328" s="417"/>
      <c r="AB328" s="413"/>
      <c r="AC328" s="422"/>
    </row>
    <row r="329" spans="1:29" x14ac:dyDescent="0.35">
      <c r="A329" s="406"/>
      <c r="B329" s="407"/>
      <c r="C329" s="408"/>
      <c r="D329" s="409"/>
      <c r="E329" s="410"/>
      <c r="F329" s="410"/>
      <c r="G329" s="409"/>
      <c r="H329" s="411"/>
      <c r="I329" s="412"/>
      <c r="J329" s="413"/>
      <c r="K329" s="414"/>
      <c r="L329" s="415"/>
      <c r="M329" s="414"/>
      <c r="N329" s="416"/>
      <c r="O329" s="417"/>
      <c r="P329" s="414"/>
      <c r="Q329" s="415"/>
      <c r="R329" s="414"/>
      <c r="S329" s="418"/>
      <c r="T329" s="412"/>
      <c r="U329" s="413"/>
      <c r="V329" s="419"/>
      <c r="W329" s="413"/>
      <c r="X329" s="420"/>
      <c r="Y329" s="421"/>
      <c r="Z329" s="412"/>
      <c r="AA329" s="417"/>
      <c r="AB329" s="413"/>
      <c r="AC329" s="422"/>
    </row>
    <row r="330" spans="1:29" x14ac:dyDescent="0.35">
      <c r="A330" s="406"/>
      <c r="B330" s="407"/>
      <c r="C330" s="408"/>
      <c r="D330" s="409"/>
      <c r="E330" s="410"/>
      <c r="F330" s="410"/>
      <c r="G330" s="409"/>
      <c r="H330" s="411"/>
      <c r="I330" s="412"/>
      <c r="J330" s="413"/>
      <c r="K330" s="414"/>
      <c r="L330" s="415"/>
      <c r="M330" s="414"/>
      <c r="N330" s="416"/>
      <c r="O330" s="417"/>
      <c r="P330" s="414"/>
      <c r="Q330" s="415"/>
      <c r="R330" s="414"/>
      <c r="S330" s="418"/>
      <c r="T330" s="412"/>
      <c r="U330" s="413"/>
      <c r="V330" s="419"/>
      <c r="W330" s="413"/>
      <c r="X330" s="420"/>
      <c r="Y330" s="421"/>
      <c r="Z330" s="412"/>
      <c r="AA330" s="417"/>
      <c r="AB330" s="413"/>
      <c r="AC330" s="422"/>
    </row>
    <row r="331" spans="1:29" x14ac:dyDescent="0.35">
      <c r="A331" s="406"/>
      <c r="B331" s="407"/>
      <c r="C331" s="408"/>
      <c r="D331" s="409"/>
      <c r="E331" s="410"/>
      <c r="F331" s="410"/>
      <c r="G331" s="409"/>
      <c r="H331" s="411"/>
      <c r="I331" s="412"/>
      <c r="J331" s="413"/>
      <c r="K331" s="414"/>
      <c r="L331" s="415"/>
      <c r="M331" s="414"/>
      <c r="N331" s="416"/>
      <c r="O331" s="417"/>
      <c r="P331" s="414"/>
      <c r="Q331" s="415"/>
      <c r="R331" s="414"/>
      <c r="S331" s="418"/>
      <c r="T331" s="412"/>
      <c r="U331" s="413"/>
      <c r="V331" s="419"/>
      <c r="W331" s="413"/>
      <c r="X331" s="420"/>
      <c r="Y331" s="421"/>
      <c r="Z331" s="412"/>
      <c r="AA331" s="417"/>
      <c r="AB331" s="413"/>
      <c r="AC331" s="422"/>
    </row>
    <row r="332" spans="1:29" x14ac:dyDescent="0.35">
      <c r="A332" s="406"/>
      <c r="B332" s="407"/>
      <c r="C332" s="408"/>
      <c r="D332" s="409"/>
      <c r="E332" s="410"/>
      <c r="F332" s="410"/>
      <c r="G332" s="409"/>
      <c r="H332" s="411"/>
      <c r="I332" s="412"/>
      <c r="J332" s="413"/>
      <c r="K332" s="414"/>
      <c r="L332" s="415"/>
      <c r="M332" s="414"/>
      <c r="N332" s="416"/>
      <c r="O332" s="417"/>
      <c r="P332" s="414"/>
      <c r="Q332" s="415"/>
      <c r="R332" s="414"/>
      <c r="S332" s="418"/>
      <c r="T332" s="412"/>
      <c r="U332" s="413"/>
      <c r="V332" s="419"/>
      <c r="W332" s="413"/>
      <c r="X332" s="420"/>
      <c r="Y332" s="421"/>
      <c r="Z332" s="412"/>
      <c r="AA332" s="417"/>
      <c r="AB332" s="413"/>
      <c r="AC332" s="422"/>
    </row>
    <row r="333" spans="1:29" x14ac:dyDescent="0.35">
      <c r="A333" s="406"/>
      <c r="B333" s="407"/>
      <c r="C333" s="408"/>
      <c r="D333" s="409"/>
      <c r="E333" s="410"/>
      <c r="F333" s="410"/>
      <c r="G333" s="409"/>
      <c r="H333" s="411"/>
      <c r="I333" s="412"/>
      <c r="J333" s="413"/>
      <c r="K333" s="414"/>
      <c r="L333" s="415"/>
      <c r="M333" s="414"/>
      <c r="N333" s="416"/>
      <c r="O333" s="417"/>
      <c r="P333" s="414"/>
      <c r="Q333" s="415"/>
      <c r="R333" s="414"/>
      <c r="S333" s="418"/>
      <c r="T333" s="412"/>
      <c r="U333" s="413"/>
      <c r="V333" s="419"/>
      <c r="W333" s="413"/>
      <c r="X333" s="420"/>
      <c r="Y333" s="421"/>
      <c r="Z333" s="412"/>
      <c r="AA333" s="417"/>
      <c r="AB333" s="413"/>
      <c r="AC333" s="422"/>
    </row>
    <row r="334" spans="1:29" x14ac:dyDescent="0.35">
      <c r="A334" s="406"/>
      <c r="B334" s="407"/>
      <c r="C334" s="408"/>
      <c r="D334" s="409"/>
      <c r="E334" s="410"/>
      <c r="F334" s="410"/>
      <c r="G334" s="409"/>
      <c r="H334" s="411"/>
      <c r="I334" s="412"/>
      <c r="J334" s="413"/>
      <c r="K334" s="414"/>
      <c r="L334" s="415"/>
      <c r="M334" s="414"/>
      <c r="N334" s="416"/>
      <c r="O334" s="417"/>
      <c r="P334" s="414"/>
      <c r="Q334" s="415"/>
      <c r="R334" s="414"/>
      <c r="S334" s="418"/>
      <c r="T334" s="412"/>
      <c r="U334" s="413"/>
      <c r="V334" s="419"/>
      <c r="W334" s="413"/>
      <c r="X334" s="420"/>
      <c r="Y334" s="421"/>
      <c r="Z334" s="412"/>
      <c r="AA334" s="417"/>
      <c r="AB334" s="413"/>
      <c r="AC334" s="422"/>
    </row>
    <row r="335" spans="1:29" x14ac:dyDescent="0.35">
      <c r="A335" s="406"/>
      <c r="B335" s="407"/>
      <c r="C335" s="408"/>
      <c r="D335" s="409"/>
      <c r="E335" s="410"/>
      <c r="F335" s="410"/>
      <c r="G335" s="409"/>
      <c r="H335" s="411"/>
      <c r="I335" s="412"/>
      <c r="J335" s="413"/>
      <c r="K335" s="414"/>
      <c r="L335" s="415"/>
      <c r="M335" s="414"/>
      <c r="N335" s="416"/>
      <c r="O335" s="417"/>
      <c r="P335" s="414"/>
      <c r="Q335" s="415"/>
      <c r="R335" s="414"/>
      <c r="S335" s="418"/>
      <c r="T335" s="412"/>
      <c r="U335" s="413"/>
      <c r="V335" s="419"/>
      <c r="W335" s="413"/>
      <c r="X335" s="420"/>
      <c r="Y335" s="421"/>
      <c r="Z335" s="412"/>
      <c r="AA335" s="417"/>
      <c r="AB335" s="413"/>
      <c r="AC335" s="422"/>
    </row>
    <row r="336" spans="1:29" x14ac:dyDescent="0.35">
      <c r="A336" s="406"/>
      <c r="B336" s="407"/>
      <c r="C336" s="408"/>
      <c r="D336" s="409"/>
      <c r="E336" s="410"/>
      <c r="F336" s="410"/>
      <c r="G336" s="409"/>
      <c r="H336" s="411"/>
      <c r="I336" s="412"/>
      <c r="J336" s="413"/>
      <c r="K336" s="414"/>
      <c r="L336" s="415"/>
      <c r="M336" s="414"/>
      <c r="N336" s="416"/>
      <c r="O336" s="417"/>
      <c r="P336" s="414"/>
      <c r="Q336" s="415"/>
      <c r="R336" s="414"/>
      <c r="S336" s="418"/>
      <c r="T336" s="412"/>
      <c r="U336" s="413"/>
      <c r="V336" s="419"/>
      <c r="W336" s="413"/>
      <c r="X336" s="420"/>
      <c r="Y336" s="421"/>
      <c r="Z336" s="412"/>
      <c r="AA336" s="417"/>
      <c r="AB336" s="413"/>
      <c r="AC336" s="422"/>
    </row>
    <row r="337" spans="1:29" x14ac:dyDescent="0.35">
      <c r="A337" s="406"/>
      <c r="B337" s="407"/>
      <c r="C337" s="408"/>
      <c r="D337" s="409"/>
      <c r="E337" s="410"/>
      <c r="F337" s="410"/>
      <c r="G337" s="409"/>
      <c r="H337" s="411"/>
      <c r="I337" s="412"/>
      <c r="J337" s="413"/>
      <c r="K337" s="414"/>
      <c r="L337" s="415"/>
      <c r="M337" s="414"/>
      <c r="N337" s="416"/>
      <c r="O337" s="417"/>
      <c r="P337" s="414"/>
      <c r="Q337" s="415"/>
      <c r="R337" s="414"/>
      <c r="S337" s="418"/>
      <c r="T337" s="412"/>
      <c r="U337" s="413"/>
      <c r="V337" s="419"/>
      <c r="W337" s="413"/>
      <c r="X337" s="420"/>
      <c r="Y337" s="421"/>
      <c r="Z337" s="412"/>
      <c r="AA337" s="417"/>
      <c r="AB337" s="413"/>
      <c r="AC337" s="422"/>
    </row>
    <row r="338" spans="1:29" x14ac:dyDescent="0.35">
      <c r="A338" s="406"/>
      <c r="B338" s="407"/>
      <c r="C338" s="408"/>
      <c r="D338" s="409"/>
      <c r="E338" s="410"/>
      <c r="F338" s="410"/>
      <c r="G338" s="409"/>
      <c r="H338" s="411"/>
      <c r="I338" s="412"/>
      <c r="J338" s="413"/>
      <c r="K338" s="414"/>
      <c r="L338" s="415"/>
      <c r="M338" s="414"/>
      <c r="N338" s="416"/>
      <c r="O338" s="417"/>
      <c r="P338" s="414"/>
      <c r="Q338" s="415"/>
      <c r="R338" s="414"/>
      <c r="S338" s="418"/>
      <c r="T338" s="412"/>
      <c r="U338" s="413"/>
      <c r="V338" s="419"/>
      <c r="W338" s="413"/>
      <c r="X338" s="420"/>
      <c r="Y338" s="421"/>
      <c r="Z338" s="412"/>
      <c r="AA338" s="417"/>
      <c r="AB338" s="413"/>
      <c r="AC338" s="422"/>
    </row>
    <row r="339" spans="1:29" x14ac:dyDescent="0.35">
      <c r="A339" s="406"/>
      <c r="B339" s="407"/>
      <c r="C339" s="408"/>
      <c r="D339" s="409"/>
      <c r="E339" s="410"/>
      <c r="F339" s="410"/>
      <c r="G339" s="409"/>
      <c r="H339" s="411"/>
      <c r="I339" s="412"/>
      <c r="J339" s="413"/>
      <c r="K339" s="414"/>
      <c r="L339" s="415"/>
      <c r="M339" s="414"/>
      <c r="N339" s="416"/>
      <c r="O339" s="417"/>
      <c r="P339" s="414"/>
      <c r="Q339" s="415"/>
      <c r="R339" s="414"/>
      <c r="S339" s="418"/>
      <c r="T339" s="412"/>
      <c r="U339" s="413"/>
      <c r="V339" s="419"/>
      <c r="W339" s="413"/>
      <c r="X339" s="420"/>
      <c r="Y339" s="421"/>
      <c r="Z339" s="412"/>
      <c r="AA339" s="417"/>
      <c r="AB339" s="413"/>
      <c r="AC339" s="422"/>
    </row>
    <row r="340" spans="1:29" x14ac:dyDescent="0.35">
      <c r="A340" s="406"/>
      <c r="B340" s="407"/>
      <c r="C340" s="408"/>
      <c r="D340" s="409"/>
      <c r="E340" s="410"/>
      <c r="F340" s="410"/>
      <c r="G340" s="409"/>
      <c r="H340" s="411"/>
      <c r="I340" s="412"/>
      <c r="J340" s="413"/>
      <c r="K340" s="414"/>
      <c r="L340" s="415"/>
      <c r="M340" s="414"/>
      <c r="N340" s="416"/>
      <c r="O340" s="417"/>
      <c r="P340" s="414"/>
      <c r="Q340" s="415"/>
      <c r="R340" s="414"/>
      <c r="S340" s="418"/>
      <c r="T340" s="412"/>
      <c r="U340" s="413"/>
      <c r="V340" s="419"/>
      <c r="W340" s="413"/>
      <c r="X340" s="420"/>
      <c r="Y340" s="421"/>
      <c r="Z340" s="412"/>
      <c r="AA340" s="417"/>
      <c r="AB340" s="413"/>
      <c r="AC340" s="422"/>
    </row>
    <row r="341" spans="1:29" x14ac:dyDescent="0.35">
      <c r="A341" s="406"/>
      <c r="B341" s="407"/>
      <c r="C341" s="408"/>
      <c r="D341" s="409"/>
      <c r="E341" s="410"/>
      <c r="F341" s="410"/>
      <c r="G341" s="409"/>
      <c r="H341" s="411"/>
      <c r="I341" s="412"/>
      <c r="J341" s="413"/>
      <c r="K341" s="414"/>
      <c r="L341" s="415"/>
      <c r="M341" s="414"/>
      <c r="N341" s="416"/>
      <c r="O341" s="417"/>
      <c r="P341" s="414"/>
      <c r="Q341" s="415"/>
      <c r="R341" s="414"/>
      <c r="S341" s="418"/>
      <c r="T341" s="412"/>
      <c r="U341" s="413"/>
      <c r="V341" s="419"/>
      <c r="W341" s="413"/>
      <c r="X341" s="420"/>
      <c r="Y341" s="421"/>
      <c r="Z341" s="412"/>
      <c r="AA341" s="417"/>
      <c r="AB341" s="413"/>
      <c r="AC341" s="422"/>
    </row>
    <row r="342" spans="1:29" x14ac:dyDescent="0.35">
      <c r="A342" s="406"/>
      <c r="B342" s="407"/>
      <c r="C342" s="408"/>
      <c r="D342" s="409"/>
      <c r="E342" s="410"/>
      <c r="F342" s="410"/>
      <c r="G342" s="409"/>
      <c r="H342" s="411"/>
      <c r="I342" s="412"/>
      <c r="J342" s="413"/>
      <c r="K342" s="414"/>
      <c r="L342" s="415"/>
      <c r="M342" s="414"/>
      <c r="N342" s="416"/>
      <c r="O342" s="417"/>
      <c r="P342" s="414"/>
      <c r="Q342" s="415"/>
      <c r="R342" s="414"/>
      <c r="S342" s="418"/>
      <c r="T342" s="412"/>
      <c r="U342" s="413"/>
      <c r="V342" s="419"/>
      <c r="W342" s="413"/>
      <c r="X342" s="420"/>
      <c r="Y342" s="421"/>
      <c r="Z342" s="412"/>
      <c r="AA342" s="417"/>
      <c r="AB342" s="413"/>
      <c r="AC342" s="422"/>
    </row>
    <row r="343" spans="1:29" x14ac:dyDescent="0.35">
      <c r="A343" s="406"/>
      <c r="B343" s="407"/>
      <c r="C343" s="408"/>
      <c r="D343" s="409"/>
      <c r="E343" s="410"/>
      <c r="F343" s="410"/>
      <c r="G343" s="409"/>
      <c r="H343" s="411"/>
      <c r="I343" s="412"/>
      <c r="J343" s="413"/>
      <c r="K343" s="414"/>
      <c r="L343" s="415"/>
      <c r="M343" s="414"/>
      <c r="N343" s="416"/>
      <c r="O343" s="417"/>
      <c r="P343" s="414"/>
      <c r="Q343" s="415"/>
      <c r="R343" s="414"/>
      <c r="S343" s="418"/>
      <c r="T343" s="412"/>
      <c r="U343" s="413"/>
      <c r="V343" s="419"/>
      <c r="W343" s="413"/>
      <c r="X343" s="420"/>
      <c r="Y343" s="421"/>
      <c r="Z343" s="412"/>
      <c r="AA343" s="417"/>
      <c r="AB343" s="413"/>
      <c r="AC343" s="422"/>
    </row>
    <row r="344" spans="1:29" x14ac:dyDescent="0.35">
      <c r="A344" s="406"/>
      <c r="B344" s="407"/>
      <c r="C344" s="408"/>
      <c r="D344" s="409"/>
      <c r="E344" s="410"/>
      <c r="F344" s="410"/>
      <c r="G344" s="409"/>
      <c r="H344" s="411"/>
      <c r="I344" s="412"/>
      <c r="J344" s="413"/>
      <c r="K344" s="414"/>
      <c r="L344" s="415"/>
      <c r="M344" s="414"/>
      <c r="N344" s="416"/>
      <c r="O344" s="417"/>
      <c r="P344" s="414"/>
      <c r="Q344" s="415"/>
      <c r="R344" s="414"/>
      <c r="S344" s="418"/>
      <c r="T344" s="412"/>
      <c r="U344" s="413"/>
      <c r="V344" s="419"/>
      <c r="W344" s="413"/>
      <c r="X344" s="420"/>
      <c r="Y344" s="421"/>
      <c r="Z344" s="412"/>
      <c r="AA344" s="417"/>
      <c r="AB344" s="413"/>
      <c r="AC344" s="422"/>
    </row>
    <row r="345" spans="1:29" x14ac:dyDescent="0.35">
      <c r="A345" s="406"/>
      <c r="B345" s="407"/>
      <c r="C345" s="408"/>
      <c r="D345" s="409"/>
      <c r="E345" s="410"/>
      <c r="F345" s="410"/>
      <c r="G345" s="409"/>
      <c r="H345" s="411"/>
      <c r="I345" s="412"/>
      <c r="J345" s="413"/>
      <c r="K345" s="414"/>
      <c r="L345" s="415"/>
      <c r="M345" s="414"/>
      <c r="N345" s="416"/>
      <c r="O345" s="417"/>
      <c r="P345" s="414"/>
      <c r="Q345" s="415"/>
      <c r="R345" s="414"/>
      <c r="S345" s="418"/>
      <c r="T345" s="412"/>
      <c r="U345" s="413"/>
      <c r="V345" s="419"/>
      <c r="W345" s="413"/>
      <c r="X345" s="420"/>
      <c r="Y345" s="421"/>
      <c r="Z345" s="412"/>
      <c r="AA345" s="417"/>
      <c r="AB345" s="413"/>
      <c r="AC345" s="422"/>
    </row>
    <row r="346" spans="1:29" x14ac:dyDescent="0.35">
      <c r="A346" s="406"/>
      <c r="B346" s="407"/>
      <c r="C346" s="408"/>
      <c r="D346" s="409"/>
      <c r="E346" s="410"/>
      <c r="F346" s="410"/>
      <c r="G346" s="409"/>
      <c r="H346" s="411"/>
      <c r="I346" s="412"/>
      <c r="J346" s="413"/>
      <c r="K346" s="414"/>
      <c r="L346" s="415"/>
      <c r="M346" s="414"/>
      <c r="N346" s="416"/>
      <c r="O346" s="417"/>
      <c r="P346" s="414"/>
      <c r="Q346" s="415"/>
      <c r="R346" s="414"/>
      <c r="S346" s="418"/>
      <c r="T346" s="412"/>
      <c r="U346" s="413"/>
      <c r="V346" s="419"/>
      <c r="W346" s="413"/>
      <c r="X346" s="420"/>
      <c r="Y346" s="421"/>
      <c r="Z346" s="412"/>
      <c r="AA346" s="417"/>
      <c r="AB346" s="413"/>
      <c r="AC346" s="422"/>
    </row>
    <row r="347" spans="1:29" x14ac:dyDescent="0.35">
      <c r="A347" s="406"/>
      <c r="B347" s="407"/>
      <c r="C347" s="408"/>
      <c r="D347" s="409"/>
      <c r="E347" s="410"/>
      <c r="F347" s="410"/>
      <c r="G347" s="409"/>
      <c r="H347" s="411"/>
      <c r="I347" s="412"/>
      <c r="J347" s="413"/>
      <c r="K347" s="414"/>
      <c r="L347" s="415"/>
      <c r="M347" s="414"/>
      <c r="N347" s="416"/>
      <c r="O347" s="417"/>
      <c r="P347" s="414"/>
      <c r="Q347" s="415"/>
      <c r="R347" s="414"/>
      <c r="S347" s="418"/>
      <c r="T347" s="412"/>
      <c r="U347" s="413"/>
      <c r="V347" s="419"/>
      <c r="W347" s="413"/>
      <c r="X347" s="420"/>
      <c r="Y347" s="421"/>
      <c r="Z347" s="412"/>
      <c r="AA347" s="417"/>
      <c r="AB347" s="413"/>
      <c r="AC347" s="422"/>
    </row>
    <row r="348" spans="1:29" x14ac:dyDescent="0.35">
      <c r="A348" s="406"/>
      <c r="B348" s="407"/>
      <c r="C348" s="408"/>
      <c r="D348" s="409"/>
      <c r="E348" s="410"/>
      <c r="F348" s="410"/>
      <c r="G348" s="409"/>
      <c r="H348" s="411"/>
      <c r="I348" s="412"/>
      <c r="J348" s="413"/>
      <c r="K348" s="414"/>
      <c r="L348" s="415"/>
      <c r="M348" s="414"/>
      <c r="N348" s="416"/>
      <c r="O348" s="417"/>
      <c r="P348" s="414"/>
      <c r="Q348" s="415"/>
      <c r="R348" s="414"/>
      <c r="S348" s="418"/>
      <c r="T348" s="412"/>
      <c r="U348" s="413"/>
      <c r="V348" s="419"/>
      <c r="W348" s="413"/>
      <c r="X348" s="420"/>
      <c r="Y348" s="421"/>
      <c r="Z348" s="412"/>
      <c r="AA348" s="417"/>
      <c r="AB348" s="413"/>
      <c r="AC348" s="422"/>
    </row>
    <row r="349" spans="1:29" x14ac:dyDescent="0.35">
      <c r="A349" s="406"/>
      <c r="B349" s="407"/>
      <c r="C349" s="408"/>
      <c r="D349" s="409"/>
      <c r="E349" s="410"/>
      <c r="F349" s="410"/>
      <c r="G349" s="409"/>
      <c r="H349" s="411"/>
      <c r="I349" s="412"/>
      <c r="J349" s="413"/>
      <c r="K349" s="414"/>
      <c r="L349" s="415"/>
      <c r="M349" s="414"/>
      <c r="N349" s="416"/>
      <c r="O349" s="417"/>
      <c r="P349" s="414"/>
      <c r="Q349" s="415"/>
      <c r="R349" s="414"/>
      <c r="S349" s="418"/>
      <c r="T349" s="412"/>
      <c r="U349" s="413"/>
      <c r="V349" s="419"/>
      <c r="W349" s="413"/>
      <c r="X349" s="420"/>
      <c r="Y349" s="421"/>
      <c r="Z349" s="412"/>
      <c r="AA349" s="417"/>
      <c r="AB349" s="413"/>
      <c r="AC349" s="422"/>
    </row>
    <row r="350" spans="1:29" x14ac:dyDescent="0.35">
      <c r="A350" s="406"/>
      <c r="B350" s="407"/>
      <c r="C350" s="408"/>
      <c r="D350" s="409"/>
      <c r="E350" s="410"/>
      <c r="F350" s="410"/>
      <c r="G350" s="409"/>
      <c r="H350" s="411"/>
      <c r="I350" s="412"/>
      <c r="J350" s="413"/>
      <c r="K350" s="414"/>
      <c r="L350" s="415"/>
      <c r="M350" s="414"/>
      <c r="N350" s="416"/>
      <c r="O350" s="417"/>
      <c r="P350" s="414"/>
      <c r="Q350" s="415"/>
      <c r="R350" s="414"/>
      <c r="S350" s="418"/>
      <c r="T350" s="412"/>
      <c r="U350" s="413"/>
      <c r="V350" s="419"/>
      <c r="W350" s="413"/>
      <c r="X350" s="420"/>
      <c r="Y350" s="421"/>
      <c r="Z350" s="412"/>
      <c r="AA350" s="417"/>
      <c r="AB350" s="413"/>
      <c r="AC350" s="422"/>
    </row>
    <row r="351" spans="1:29" x14ac:dyDescent="0.35">
      <c r="A351" s="406"/>
      <c r="B351" s="407"/>
      <c r="C351" s="408"/>
      <c r="D351" s="409"/>
      <c r="E351" s="410"/>
      <c r="F351" s="410"/>
      <c r="G351" s="409"/>
      <c r="H351" s="411"/>
      <c r="I351" s="412"/>
      <c r="J351" s="413"/>
      <c r="K351" s="414"/>
      <c r="L351" s="415"/>
      <c r="M351" s="414"/>
      <c r="N351" s="416"/>
      <c r="O351" s="417"/>
      <c r="P351" s="414"/>
      <c r="Q351" s="415"/>
      <c r="R351" s="414"/>
      <c r="S351" s="418"/>
      <c r="T351" s="412"/>
      <c r="U351" s="413"/>
      <c r="V351" s="419"/>
      <c r="W351" s="413"/>
      <c r="X351" s="420"/>
      <c r="Y351" s="421"/>
      <c r="Z351" s="412"/>
      <c r="AA351" s="417"/>
      <c r="AB351" s="413"/>
      <c r="AC351" s="422"/>
    </row>
    <row r="352" spans="1:29" x14ac:dyDescent="0.35">
      <c r="A352" s="406"/>
      <c r="B352" s="407"/>
      <c r="C352" s="408"/>
      <c r="D352" s="409"/>
      <c r="E352" s="410"/>
      <c r="F352" s="410"/>
      <c r="G352" s="409"/>
      <c r="H352" s="411"/>
      <c r="I352" s="412"/>
      <c r="J352" s="413"/>
      <c r="K352" s="414"/>
      <c r="L352" s="415"/>
      <c r="M352" s="414"/>
      <c r="N352" s="416"/>
      <c r="O352" s="417"/>
      <c r="P352" s="414"/>
      <c r="Q352" s="415"/>
      <c r="R352" s="414"/>
      <c r="S352" s="418"/>
      <c r="T352" s="412"/>
      <c r="U352" s="413"/>
      <c r="V352" s="419"/>
      <c r="W352" s="413"/>
      <c r="X352" s="420"/>
      <c r="Y352" s="421"/>
      <c r="Z352" s="412"/>
      <c r="AA352" s="417"/>
      <c r="AB352" s="413"/>
      <c r="AC352" s="422"/>
    </row>
    <row r="353" spans="1:29" x14ac:dyDescent="0.35">
      <c r="A353" s="406"/>
      <c r="B353" s="407"/>
      <c r="C353" s="408"/>
      <c r="D353" s="409"/>
      <c r="E353" s="410"/>
      <c r="F353" s="410"/>
      <c r="G353" s="409"/>
      <c r="H353" s="411"/>
      <c r="I353" s="412"/>
      <c r="J353" s="413"/>
      <c r="K353" s="414"/>
      <c r="L353" s="415"/>
      <c r="M353" s="414"/>
      <c r="N353" s="416"/>
      <c r="O353" s="417"/>
      <c r="P353" s="414"/>
      <c r="Q353" s="415"/>
      <c r="R353" s="414"/>
      <c r="S353" s="418"/>
      <c r="T353" s="412"/>
      <c r="U353" s="413"/>
      <c r="V353" s="419"/>
      <c r="W353" s="413"/>
      <c r="X353" s="420"/>
      <c r="Y353" s="421"/>
      <c r="Z353" s="412"/>
      <c r="AA353" s="417"/>
      <c r="AB353" s="413"/>
      <c r="AC353" s="422"/>
    </row>
    <row r="354" spans="1:29" x14ac:dyDescent="0.35">
      <c r="A354" s="406"/>
      <c r="B354" s="407"/>
      <c r="C354" s="408"/>
      <c r="D354" s="409"/>
      <c r="E354" s="410"/>
      <c r="F354" s="410"/>
      <c r="G354" s="409"/>
      <c r="H354" s="411"/>
      <c r="I354" s="412"/>
      <c r="J354" s="413"/>
      <c r="K354" s="414"/>
      <c r="L354" s="415"/>
      <c r="M354" s="414"/>
      <c r="N354" s="416"/>
      <c r="O354" s="417"/>
      <c r="P354" s="414"/>
      <c r="Q354" s="415"/>
      <c r="R354" s="414"/>
      <c r="S354" s="418"/>
      <c r="T354" s="412"/>
      <c r="U354" s="413"/>
      <c r="V354" s="419"/>
      <c r="W354" s="413"/>
      <c r="X354" s="420"/>
      <c r="Y354" s="421"/>
      <c r="Z354" s="412"/>
      <c r="AA354" s="417"/>
      <c r="AB354" s="413"/>
      <c r="AC354" s="422"/>
    </row>
    <row r="355" spans="1:29" x14ac:dyDescent="0.35">
      <c r="A355" s="406"/>
      <c r="B355" s="407"/>
      <c r="C355" s="408"/>
      <c r="D355" s="409"/>
      <c r="E355" s="410"/>
      <c r="F355" s="410"/>
      <c r="G355" s="409"/>
      <c r="H355" s="411"/>
      <c r="I355" s="412"/>
      <c r="J355" s="413"/>
      <c r="K355" s="414"/>
      <c r="L355" s="415"/>
      <c r="M355" s="414"/>
      <c r="N355" s="416"/>
      <c r="O355" s="417"/>
      <c r="P355" s="414"/>
      <c r="Q355" s="415"/>
      <c r="R355" s="414"/>
      <c r="S355" s="418"/>
      <c r="T355" s="412"/>
      <c r="U355" s="413"/>
      <c r="V355" s="419"/>
      <c r="W355" s="413"/>
      <c r="X355" s="420"/>
      <c r="Y355" s="421"/>
      <c r="Z355" s="412"/>
      <c r="AA355" s="417"/>
      <c r="AB355" s="413"/>
      <c r="AC355" s="422"/>
    </row>
    <row r="356" spans="1:29" x14ac:dyDescent="0.35">
      <c r="A356" s="406"/>
      <c r="B356" s="407"/>
      <c r="C356" s="408"/>
      <c r="D356" s="409"/>
      <c r="E356" s="410"/>
      <c r="F356" s="410"/>
      <c r="G356" s="409"/>
      <c r="H356" s="411"/>
      <c r="I356" s="412"/>
      <c r="J356" s="413"/>
      <c r="K356" s="414"/>
      <c r="L356" s="415"/>
      <c r="M356" s="414"/>
      <c r="N356" s="416"/>
      <c r="O356" s="417"/>
      <c r="P356" s="414"/>
      <c r="Q356" s="415"/>
      <c r="R356" s="414"/>
      <c r="S356" s="418"/>
      <c r="T356" s="412"/>
      <c r="U356" s="413"/>
      <c r="V356" s="419"/>
      <c r="W356" s="413"/>
      <c r="X356" s="420"/>
      <c r="Y356" s="421"/>
      <c r="Z356" s="412"/>
      <c r="AA356" s="417"/>
      <c r="AB356" s="413"/>
      <c r="AC356" s="422"/>
    </row>
    <row r="357" spans="1:29" x14ac:dyDescent="0.35">
      <c r="A357" s="406"/>
      <c r="B357" s="407"/>
      <c r="C357" s="408"/>
      <c r="D357" s="409"/>
      <c r="E357" s="410"/>
      <c r="F357" s="410"/>
      <c r="G357" s="409"/>
      <c r="H357" s="411"/>
      <c r="I357" s="412"/>
      <c r="J357" s="413"/>
      <c r="K357" s="414"/>
      <c r="L357" s="415"/>
      <c r="M357" s="414"/>
      <c r="N357" s="416"/>
      <c r="O357" s="417"/>
      <c r="P357" s="414"/>
      <c r="Q357" s="415"/>
      <c r="R357" s="414"/>
      <c r="S357" s="418"/>
      <c r="T357" s="412"/>
      <c r="U357" s="413"/>
      <c r="V357" s="419"/>
      <c r="W357" s="413"/>
      <c r="X357" s="420"/>
      <c r="Y357" s="421"/>
      <c r="Z357" s="412"/>
      <c r="AA357" s="417"/>
      <c r="AB357" s="413"/>
      <c r="AC357" s="422"/>
    </row>
    <row r="358" spans="1:29" x14ac:dyDescent="0.35">
      <c r="A358" s="406"/>
      <c r="B358" s="407"/>
      <c r="C358" s="408"/>
      <c r="D358" s="409"/>
      <c r="E358" s="410"/>
      <c r="F358" s="410"/>
      <c r="G358" s="409"/>
      <c r="H358" s="411"/>
      <c r="I358" s="412"/>
      <c r="J358" s="413"/>
      <c r="K358" s="414"/>
      <c r="L358" s="415"/>
      <c r="M358" s="414"/>
      <c r="N358" s="416"/>
      <c r="O358" s="417"/>
      <c r="P358" s="414"/>
      <c r="Q358" s="415"/>
      <c r="R358" s="414"/>
      <c r="S358" s="418"/>
      <c r="T358" s="412"/>
      <c r="U358" s="413"/>
      <c r="V358" s="419"/>
      <c r="W358" s="413"/>
      <c r="X358" s="420"/>
      <c r="Y358" s="421"/>
      <c r="Z358" s="412"/>
      <c r="AA358" s="417"/>
      <c r="AB358" s="413"/>
      <c r="AC358" s="422"/>
    </row>
    <row r="359" spans="1:29" x14ac:dyDescent="0.35">
      <c r="A359" s="406"/>
      <c r="B359" s="407"/>
      <c r="C359" s="408"/>
      <c r="D359" s="409"/>
      <c r="E359" s="410"/>
      <c r="F359" s="410"/>
      <c r="G359" s="409"/>
      <c r="H359" s="411"/>
      <c r="I359" s="412"/>
      <c r="J359" s="413"/>
      <c r="K359" s="414"/>
      <c r="L359" s="415"/>
      <c r="M359" s="414"/>
      <c r="N359" s="416"/>
      <c r="O359" s="417"/>
      <c r="P359" s="414"/>
      <c r="Q359" s="415"/>
      <c r="R359" s="414"/>
      <c r="S359" s="418"/>
      <c r="T359" s="412"/>
      <c r="U359" s="413"/>
      <c r="V359" s="419"/>
      <c r="W359" s="413"/>
      <c r="X359" s="420"/>
      <c r="Y359" s="421"/>
      <c r="Z359" s="412"/>
      <c r="AA359" s="417"/>
      <c r="AB359" s="413"/>
      <c r="AC359" s="422"/>
    </row>
    <row r="360" spans="1:29" x14ac:dyDescent="0.35">
      <c r="A360" s="406"/>
      <c r="B360" s="407"/>
      <c r="C360" s="408"/>
      <c r="D360" s="409"/>
      <c r="E360" s="410"/>
      <c r="F360" s="410"/>
      <c r="G360" s="409"/>
      <c r="H360" s="411"/>
      <c r="I360" s="412"/>
      <c r="J360" s="413"/>
      <c r="K360" s="414"/>
      <c r="L360" s="415"/>
      <c r="M360" s="414"/>
      <c r="N360" s="416"/>
      <c r="O360" s="417"/>
      <c r="P360" s="414"/>
      <c r="Q360" s="415"/>
      <c r="R360" s="414"/>
      <c r="S360" s="418"/>
      <c r="T360" s="412"/>
      <c r="U360" s="413"/>
      <c r="V360" s="419"/>
      <c r="W360" s="413"/>
      <c r="X360" s="420"/>
      <c r="Y360" s="421"/>
      <c r="Z360" s="412"/>
      <c r="AA360" s="417"/>
      <c r="AB360" s="413"/>
      <c r="AC360" s="422"/>
    </row>
    <row r="361" spans="1:29" x14ac:dyDescent="0.35">
      <c r="A361" s="406"/>
      <c r="B361" s="407"/>
      <c r="C361" s="408"/>
      <c r="D361" s="409"/>
      <c r="E361" s="410"/>
      <c r="F361" s="410"/>
      <c r="G361" s="409"/>
      <c r="H361" s="411"/>
      <c r="I361" s="412"/>
      <c r="J361" s="413"/>
      <c r="K361" s="414"/>
      <c r="L361" s="415"/>
      <c r="M361" s="414"/>
      <c r="N361" s="416"/>
      <c r="O361" s="417"/>
      <c r="P361" s="414"/>
      <c r="Q361" s="415"/>
      <c r="R361" s="414"/>
      <c r="S361" s="418"/>
      <c r="T361" s="412"/>
      <c r="U361" s="413"/>
      <c r="V361" s="419"/>
      <c r="W361" s="413"/>
      <c r="X361" s="420"/>
      <c r="Y361" s="421"/>
      <c r="Z361" s="412"/>
      <c r="AA361" s="417"/>
      <c r="AB361" s="413"/>
      <c r="AC361" s="422"/>
    </row>
    <row r="362" spans="1:29" x14ac:dyDescent="0.35">
      <c r="A362" s="406"/>
      <c r="B362" s="407"/>
      <c r="C362" s="408"/>
      <c r="D362" s="409"/>
      <c r="E362" s="410"/>
      <c r="F362" s="410"/>
      <c r="G362" s="409"/>
      <c r="H362" s="411"/>
      <c r="I362" s="412"/>
      <c r="J362" s="413"/>
      <c r="K362" s="414"/>
      <c r="L362" s="415"/>
      <c r="M362" s="414"/>
      <c r="N362" s="416"/>
      <c r="O362" s="417"/>
      <c r="P362" s="414"/>
      <c r="Q362" s="415"/>
      <c r="R362" s="414"/>
      <c r="S362" s="418"/>
      <c r="T362" s="412"/>
      <c r="U362" s="413"/>
      <c r="V362" s="419"/>
      <c r="W362" s="413"/>
      <c r="X362" s="420"/>
      <c r="Y362" s="421"/>
      <c r="Z362" s="412"/>
      <c r="AA362" s="417"/>
      <c r="AB362" s="413"/>
      <c r="AC362" s="422"/>
    </row>
    <row r="363" spans="1:29" x14ac:dyDescent="0.35">
      <c r="A363" s="406"/>
      <c r="B363" s="407"/>
      <c r="C363" s="408"/>
      <c r="D363" s="409"/>
      <c r="E363" s="410"/>
      <c r="F363" s="410"/>
      <c r="G363" s="409"/>
      <c r="H363" s="411"/>
      <c r="I363" s="412"/>
      <c r="J363" s="413"/>
      <c r="K363" s="414"/>
      <c r="L363" s="415"/>
      <c r="M363" s="414"/>
      <c r="N363" s="416"/>
      <c r="O363" s="417"/>
      <c r="P363" s="414"/>
      <c r="Q363" s="415"/>
      <c r="R363" s="414"/>
      <c r="S363" s="418"/>
      <c r="T363" s="412"/>
      <c r="U363" s="413"/>
      <c r="V363" s="419"/>
      <c r="W363" s="413"/>
      <c r="X363" s="420"/>
      <c r="Y363" s="421"/>
      <c r="Z363" s="412"/>
      <c r="AA363" s="417"/>
      <c r="AB363" s="413"/>
      <c r="AC363" s="422"/>
    </row>
    <row r="364" spans="1:29" x14ac:dyDescent="0.35">
      <c r="A364" s="406"/>
      <c r="B364" s="407"/>
      <c r="C364" s="408"/>
      <c r="D364" s="409"/>
      <c r="E364" s="410"/>
      <c r="F364" s="410"/>
      <c r="G364" s="409"/>
      <c r="H364" s="411"/>
      <c r="I364" s="412"/>
      <c r="J364" s="413"/>
      <c r="K364" s="414"/>
      <c r="L364" s="415"/>
      <c r="M364" s="414"/>
      <c r="N364" s="416"/>
      <c r="O364" s="417"/>
      <c r="P364" s="414"/>
      <c r="Q364" s="415"/>
      <c r="R364" s="414"/>
      <c r="S364" s="418"/>
      <c r="T364" s="412"/>
      <c r="U364" s="413"/>
      <c r="V364" s="419"/>
      <c r="W364" s="413"/>
      <c r="X364" s="420"/>
      <c r="Y364" s="421"/>
      <c r="Z364" s="412"/>
      <c r="AA364" s="417"/>
      <c r="AB364" s="413"/>
      <c r="AC364" s="422"/>
    </row>
    <row r="365" spans="1:29" x14ac:dyDescent="0.35">
      <c r="A365" s="406"/>
      <c r="B365" s="407"/>
      <c r="C365" s="408"/>
      <c r="D365" s="409"/>
      <c r="E365" s="410"/>
      <c r="F365" s="410"/>
      <c r="G365" s="409"/>
      <c r="H365" s="411"/>
      <c r="I365" s="412"/>
      <c r="J365" s="413"/>
      <c r="K365" s="414"/>
      <c r="L365" s="415"/>
      <c r="M365" s="414"/>
      <c r="N365" s="416"/>
      <c r="O365" s="417"/>
      <c r="P365" s="414"/>
      <c r="Q365" s="415"/>
      <c r="R365" s="414"/>
      <c r="S365" s="418"/>
      <c r="T365" s="412"/>
      <c r="U365" s="413"/>
      <c r="V365" s="419"/>
      <c r="W365" s="413"/>
      <c r="X365" s="420"/>
      <c r="Y365" s="421"/>
      <c r="Z365" s="412"/>
      <c r="AA365" s="417"/>
      <c r="AB365" s="413"/>
      <c r="AC365" s="422"/>
    </row>
    <row r="366" spans="1:29" x14ac:dyDescent="0.35">
      <c r="A366" s="406"/>
      <c r="B366" s="407"/>
      <c r="C366" s="408"/>
      <c r="D366" s="409"/>
      <c r="E366" s="410"/>
      <c r="F366" s="410"/>
      <c r="G366" s="409"/>
      <c r="H366" s="411"/>
      <c r="I366" s="412"/>
      <c r="J366" s="413"/>
      <c r="K366" s="414"/>
      <c r="L366" s="415"/>
      <c r="M366" s="414"/>
      <c r="N366" s="416"/>
      <c r="O366" s="417"/>
      <c r="P366" s="414"/>
      <c r="Q366" s="415"/>
      <c r="R366" s="414"/>
      <c r="S366" s="418"/>
      <c r="T366" s="412"/>
      <c r="U366" s="413"/>
      <c r="V366" s="419"/>
      <c r="W366" s="413"/>
      <c r="X366" s="420"/>
      <c r="Y366" s="421"/>
      <c r="Z366" s="412"/>
      <c r="AA366" s="417"/>
      <c r="AB366" s="413"/>
      <c r="AC366" s="422"/>
    </row>
    <row r="367" spans="1:29" x14ac:dyDescent="0.35">
      <c r="A367" s="406"/>
      <c r="B367" s="407"/>
      <c r="C367" s="408"/>
      <c r="D367" s="409"/>
      <c r="E367" s="410"/>
      <c r="F367" s="410"/>
      <c r="G367" s="409"/>
      <c r="H367" s="411"/>
      <c r="I367" s="412"/>
      <c r="J367" s="413"/>
      <c r="K367" s="414"/>
      <c r="L367" s="415"/>
      <c r="M367" s="414"/>
      <c r="N367" s="416"/>
      <c r="O367" s="417"/>
      <c r="P367" s="414"/>
      <c r="Q367" s="415"/>
      <c r="R367" s="414"/>
      <c r="S367" s="418"/>
      <c r="T367" s="412"/>
      <c r="U367" s="413"/>
      <c r="V367" s="419"/>
      <c r="W367" s="413"/>
      <c r="X367" s="420"/>
      <c r="Y367" s="421"/>
      <c r="Z367" s="412"/>
      <c r="AA367" s="417"/>
      <c r="AB367" s="413"/>
      <c r="AC367" s="422"/>
    </row>
    <row r="368" spans="1:29" x14ac:dyDescent="0.35">
      <c r="A368" s="406"/>
      <c r="B368" s="407"/>
      <c r="C368" s="408"/>
      <c r="D368" s="409"/>
      <c r="E368" s="410"/>
      <c r="F368" s="410"/>
      <c r="G368" s="409"/>
      <c r="H368" s="411"/>
      <c r="I368" s="412"/>
      <c r="J368" s="413"/>
      <c r="K368" s="414"/>
      <c r="L368" s="415"/>
      <c r="M368" s="414"/>
      <c r="N368" s="416"/>
      <c r="O368" s="417"/>
      <c r="P368" s="414"/>
      <c r="Q368" s="415"/>
      <c r="R368" s="414"/>
      <c r="S368" s="418"/>
      <c r="T368" s="412"/>
      <c r="U368" s="413"/>
      <c r="V368" s="419"/>
      <c r="W368" s="413"/>
      <c r="X368" s="420"/>
      <c r="Y368" s="421"/>
      <c r="Z368" s="412"/>
      <c r="AA368" s="417"/>
      <c r="AB368" s="413"/>
      <c r="AC368" s="422"/>
    </row>
    <row r="369" spans="1:29" x14ac:dyDescent="0.35">
      <c r="A369" s="406"/>
      <c r="B369" s="407"/>
      <c r="C369" s="408"/>
      <c r="D369" s="409"/>
      <c r="E369" s="410"/>
      <c r="F369" s="410"/>
      <c r="G369" s="409"/>
      <c r="H369" s="411"/>
      <c r="I369" s="412"/>
      <c r="J369" s="413"/>
      <c r="K369" s="414"/>
      <c r="L369" s="415"/>
      <c r="M369" s="414"/>
      <c r="N369" s="416"/>
      <c r="O369" s="417"/>
      <c r="P369" s="414"/>
      <c r="Q369" s="415"/>
      <c r="R369" s="414"/>
      <c r="S369" s="418"/>
      <c r="T369" s="412"/>
      <c r="U369" s="413"/>
      <c r="V369" s="419"/>
      <c r="W369" s="413"/>
      <c r="X369" s="420"/>
      <c r="Y369" s="421"/>
      <c r="Z369" s="412"/>
      <c r="AA369" s="417"/>
      <c r="AB369" s="413"/>
      <c r="AC369" s="422"/>
    </row>
    <row r="370" spans="1:29" x14ac:dyDescent="0.35">
      <c r="A370" s="406"/>
      <c r="B370" s="407"/>
      <c r="C370" s="408"/>
      <c r="D370" s="409"/>
      <c r="E370" s="410"/>
      <c r="F370" s="410"/>
      <c r="G370" s="409"/>
      <c r="H370" s="411"/>
      <c r="I370" s="412"/>
      <c r="J370" s="413"/>
      <c r="K370" s="414"/>
      <c r="L370" s="415"/>
      <c r="M370" s="414"/>
      <c r="N370" s="416"/>
      <c r="O370" s="417"/>
      <c r="P370" s="414"/>
      <c r="Q370" s="415"/>
      <c r="R370" s="414"/>
      <c r="S370" s="418"/>
      <c r="T370" s="412"/>
      <c r="U370" s="413"/>
      <c r="V370" s="419"/>
      <c r="W370" s="413"/>
      <c r="X370" s="420"/>
      <c r="Y370" s="421"/>
      <c r="Z370" s="412"/>
      <c r="AA370" s="417"/>
      <c r="AB370" s="413"/>
      <c r="AC370" s="422"/>
    </row>
    <row r="371" spans="1:29" x14ac:dyDescent="0.35">
      <c r="A371" s="406"/>
      <c r="B371" s="407"/>
      <c r="C371" s="408"/>
      <c r="D371" s="409"/>
      <c r="E371" s="410"/>
      <c r="F371" s="410"/>
      <c r="G371" s="409"/>
      <c r="H371" s="411"/>
      <c r="I371" s="412"/>
      <c r="J371" s="413"/>
      <c r="K371" s="414"/>
      <c r="L371" s="415"/>
      <c r="M371" s="414"/>
      <c r="N371" s="416"/>
      <c r="O371" s="417"/>
      <c r="P371" s="414"/>
      <c r="Q371" s="415"/>
      <c r="R371" s="414"/>
      <c r="S371" s="418"/>
      <c r="T371" s="412"/>
      <c r="U371" s="413"/>
      <c r="V371" s="419"/>
      <c r="W371" s="413"/>
      <c r="X371" s="420"/>
      <c r="Y371" s="421"/>
      <c r="Z371" s="412"/>
      <c r="AA371" s="417"/>
      <c r="AB371" s="413"/>
      <c r="AC371" s="422"/>
    </row>
    <row r="372" spans="1:29" x14ac:dyDescent="0.35">
      <c r="A372" s="406"/>
      <c r="B372" s="407"/>
      <c r="C372" s="408"/>
      <c r="D372" s="409"/>
      <c r="E372" s="410"/>
      <c r="F372" s="410"/>
      <c r="G372" s="409"/>
      <c r="H372" s="411"/>
      <c r="I372" s="412"/>
      <c r="J372" s="413"/>
      <c r="K372" s="414"/>
      <c r="L372" s="415"/>
      <c r="M372" s="414"/>
      <c r="N372" s="416"/>
      <c r="O372" s="417"/>
      <c r="P372" s="414"/>
      <c r="Q372" s="415"/>
      <c r="R372" s="414"/>
      <c r="S372" s="418"/>
      <c r="T372" s="412"/>
      <c r="U372" s="413"/>
      <c r="V372" s="419"/>
      <c r="W372" s="413"/>
      <c r="X372" s="420"/>
      <c r="Y372" s="421"/>
      <c r="Z372" s="412"/>
      <c r="AA372" s="417"/>
      <c r="AB372" s="413"/>
      <c r="AC372" s="422"/>
    </row>
    <row r="373" spans="1:29" x14ac:dyDescent="0.35">
      <c r="A373" s="406"/>
      <c r="B373" s="407"/>
      <c r="C373" s="408"/>
      <c r="D373" s="409"/>
      <c r="E373" s="410"/>
      <c r="F373" s="410"/>
      <c r="G373" s="409"/>
      <c r="H373" s="411"/>
      <c r="I373" s="412"/>
      <c r="J373" s="413"/>
      <c r="K373" s="414"/>
      <c r="L373" s="415"/>
      <c r="M373" s="414"/>
      <c r="N373" s="416"/>
      <c r="O373" s="417"/>
      <c r="P373" s="414"/>
      <c r="Q373" s="415"/>
      <c r="R373" s="414"/>
      <c r="S373" s="418"/>
      <c r="T373" s="412"/>
      <c r="U373" s="413"/>
      <c r="V373" s="419"/>
      <c r="W373" s="413"/>
      <c r="X373" s="420"/>
      <c r="Y373" s="421"/>
      <c r="Z373" s="412"/>
      <c r="AA373" s="417"/>
      <c r="AB373" s="413"/>
      <c r="AC373" s="422"/>
    </row>
    <row r="374" spans="1:29" x14ac:dyDescent="0.35">
      <c r="A374" s="406"/>
      <c r="B374" s="407"/>
      <c r="C374" s="408"/>
      <c r="D374" s="409"/>
      <c r="E374" s="410"/>
      <c r="F374" s="410"/>
      <c r="G374" s="409"/>
      <c r="H374" s="411"/>
      <c r="I374" s="412"/>
      <c r="J374" s="413"/>
      <c r="K374" s="414"/>
      <c r="L374" s="415"/>
      <c r="M374" s="414"/>
      <c r="N374" s="416"/>
      <c r="O374" s="417"/>
      <c r="P374" s="414"/>
      <c r="Q374" s="415"/>
      <c r="R374" s="414"/>
      <c r="S374" s="418"/>
      <c r="T374" s="412"/>
      <c r="U374" s="413"/>
      <c r="V374" s="419"/>
      <c r="W374" s="413"/>
      <c r="X374" s="420"/>
      <c r="Y374" s="421"/>
      <c r="Z374" s="412"/>
      <c r="AA374" s="417"/>
      <c r="AB374" s="413"/>
      <c r="AC374" s="422"/>
    </row>
    <row r="375" spans="1:29" x14ac:dyDescent="0.35">
      <c r="A375" s="406"/>
      <c r="B375" s="407"/>
      <c r="C375" s="408"/>
      <c r="D375" s="409"/>
      <c r="E375" s="410"/>
      <c r="F375" s="410"/>
      <c r="G375" s="409"/>
      <c r="H375" s="411"/>
      <c r="I375" s="412"/>
      <c r="J375" s="413"/>
      <c r="K375" s="414"/>
      <c r="L375" s="415"/>
      <c r="M375" s="414"/>
      <c r="N375" s="416"/>
      <c r="O375" s="417"/>
      <c r="P375" s="414"/>
      <c r="Q375" s="415"/>
      <c r="R375" s="414"/>
      <c r="S375" s="418"/>
      <c r="T375" s="412"/>
      <c r="U375" s="413"/>
      <c r="V375" s="419"/>
      <c r="W375" s="413"/>
      <c r="X375" s="420"/>
      <c r="Y375" s="421"/>
      <c r="Z375" s="412"/>
      <c r="AA375" s="417"/>
      <c r="AB375" s="413"/>
      <c r="AC375" s="422"/>
    </row>
    <row r="376" spans="1:29" x14ac:dyDescent="0.35">
      <c r="A376" s="406"/>
      <c r="B376" s="407"/>
      <c r="C376" s="408"/>
      <c r="D376" s="409"/>
      <c r="E376" s="410"/>
      <c r="F376" s="410"/>
      <c r="G376" s="409"/>
      <c r="H376" s="411"/>
      <c r="I376" s="412"/>
      <c r="J376" s="413"/>
      <c r="K376" s="414"/>
      <c r="L376" s="415"/>
      <c r="M376" s="414"/>
      <c r="N376" s="416"/>
      <c r="O376" s="417"/>
      <c r="P376" s="414"/>
      <c r="Q376" s="415"/>
      <c r="R376" s="414"/>
      <c r="S376" s="418"/>
      <c r="T376" s="412"/>
      <c r="U376" s="413"/>
      <c r="V376" s="419"/>
      <c r="W376" s="413"/>
      <c r="X376" s="420"/>
      <c r="Y376" s="421"/>
      <c r="Z376" s="412"/>
      <c r="AA376" s="417"/>
      <c r="AB376" s="413"/>
      <c r="AC376" s="422"/>
    </row>
    <row r="377" spans="1:29" x14ac:dyDescent="0.35">
      <c r="A377" s="406"/>
      <c r="B377" s="407"/>
      <c r="C377" s="408"/>
      <c r="D377" s="409"/>
      <c r="E377" s="410"/>
      <c r="F377" s="410"/>
      <c r="G377" s="409"/>
      <c r="H377" s="411"/>
      <c r="I377" s="412"/>
      <c r="J377" s="413"/>
      <c r="K377" s="414"/>
      <c r="L377" s="415"/>
      <c r="M377" s="414"/>
      <c r="N377" s="416"/>
      <c r="O377" s="417"/>
      <c r="P377" s="414"/>
      <c r="Q377" s="415"/>
      <c r="R377" s="414"/>
      <c r="S377" s="418"/>
      <c r="T377" s="412"/>
      <c r="U377" s="413"/>
      <c r="V377" s="419"/>
      <c r="W377" s="413"/>
      <c r="X377" s="420"/>
      <c r="Y377" s="421"/>
      <c r="Z377" s="412"/>
      <c r="AA377" s="417"/>
      <c r="AB377" s="413"/>
      <c r="AC377" s="422"/>
    </row>
    <row r="378" spans="1:29" x14ac:dyDescent="0.35">
      <c r="A378" s="406"/>
      <c r="B378" s="407"/>
      <c r="C378" s="408"/>
      <c r="D378" s="409"/>
      <c r="E378" s="410"/>
      <c r="F378" s="410"/>
      <c r="G378" s="409"/>
      <c r="H378" s="411"/>
      <c r="I378" s="412"/>
      <c r="J378" s="413"/>
      <c r="K378" s="414"/>
      <c r="L378" s="415"/>
      <c r="M378" s="414"/>
      <c r="N378" s="416"/>
      <c r="O378" s="417"/>
      <c r="P378" s="414"/>
      <c r="Q378" s="415"/>
      <c r="R378" s="414"/>
      <c r="S378" s="418"/>
      <c r="T378" s="412"/>
      <c r="U378" s="413"/>
      <c r="V378" s="419"/>
      <c r="W378" s="413"/>
      <c r="X378" s="420"/>
      <c r="Y378" s="421"/>
      <c r="Z378" s="412"/>
      <c r="AA378" s="417"/>
      <c r="AB378" s="413"/>
      <c r="AC378" s="422"/>
    </row>
    <row r="379" spans="1:29" x14ac:dyDescent="0.35">
      <c r="A379" s="406"/>
      <c r="B379" s="407"/>
      <c r="C379" s="408"/>
      <c r="D379" s="409"/>
      <c r="E379" s="410"/>
      <c r="F379" s="410"/>
      <c r="G379" s="409"/>
      <c r="H379" s="411"/>
      <c r="I379" s="412"/>
      <c r="J379" s="413"/>
      <c r="K379" s="414"/>
      <c r="L379" s="415"/>
      <c r="M379" s="414"/>
      <c r="N379" s="416"/>
      <c r="O379" s="417"/>
      <c r="P379" s="414"/>
      <c r="Q379" s="415"/>
      <c r="R379" s="414"/>
      <c r="S379" s="418"/>
      <c r="T379" s="412"/>
      <c r="U379" s="413"/>
      <c r="V379" s="419"/>
      <c r="W379" s="413"/>
      <c r="X379" s="420"/>
      <c r="Y379" s="421"/>
      <c r="Z379" s="412"/>
      <c r="AA379" s="417"/>
      <c r="AB379" s="413"/>
      <c r="AC379" s="422"/>
    </row>
    <row r="380" spans="1:29" x14ac:dyDescent="0.35">
      <c r="A380" s="406"/>
      <c r="B380" s="407"/>
      <c r="C380" s="408"/>
      <c r="D380" s="409"/>
      <c r="E380" s="410"/>
      <c r="F380" s="410"/>
      <c r="G380" s="409"/>
      <c r="H380" s="411"/>
      <c r="I380" s="412"/>
      <c r="J380" s="413"/>
      <c r="K380" s="414"/>
      <c r="L380" s="415"/>
      <c r="M380" s="414"/>
      <c r="N380" s="416"/>
      <c r="O380" s="417"/>
      <c r="P380" s="414"/>
      <c r="Q380" s="415"/>
      <c r="R380" s="414"/>
      <c r="S380" s="418"/>
      <c r="T380" s="412"/>
      <c r="U380" s="413"/>
      <c r="V380" s="419"/>
      <c r="W380" s="413"/>
      <c r="X380" s="420"/>
      <c r="Y380" s="421"/>
      <c r="Z380" s="412"/>
      <c r="AA380" s="417"/>
      <c r="AB380" s="413"/>
      <c r="AC380" s="422"/>
    </row>
    <row r="381" spans="1:29" x14ac:dyDescent="0.35">
      <c r="A381" s="406"/>
      <c r="B381" s="407"/>
      <c r="C381" s="408"/>
      <c r="D381" s="409"/>
      <c r="E381" s="410"/>
      <c r="F381" s="410"/>
      <c r="G381" s="409"/>
      <c r="H381" s="411"/>
      <c r="I381" s="412"/>
      <c r="J381" s="413"/>
      <c r="K381" s="414"/>
      <c r="L381" s="415"/>
      <c r="M381" s="414"/>
      <c r="N381" s="416"/>
      <c r="O381" s="417"/>
      <c r="P381" s="414"/>
      <c r="Q381" s="415"/>
      <c r="R381" s="414"/>
      <c r="S381" s="418"/>
      <c r="T381" s="412"/>
      <c r="U381" s="413"/>
      <c r="V381" s="419"/>
      <c r="W381" s="413"/>
      <c r="X381" s="420"/>
      <c r="Y381" s="421"/>
      <c r="Z381" s="412"/>
      <c r="AA381" s="417"/>
      <c r="AB381" s="413"/>
      <c r="AC381" s="422"/>
    </row>
    <row r="382" spans="1:29" x14ac:dyDescent="0.35">
      <c r="A382" s="406"/>
      <c r="B382" s="407"/>
      <c r="C382" s="408"/>
      <c r="D382" s="409"/>
      <c r="E382" s="410"/>
      <c r="F382" s="410"/>
      <c r="G382" s="409"/>
      <c r="H382" s="411"/>
      <c r="I382" s="412"/>
      <c r="J382" s="413"/>
      <c r="K382" s="414"/>
      <c r="L382" s="415"/>
      <c r="M382" s="414"/>
      <c r="N382" s="416"/>
      <c r="O382" s="417"/>
      <c r="P382" s="414"/>
      <c r="Q382" s="415"/>
      <c r="R382" s="414"/>
      <c r="S382" s="418"/>
      <c r="T382" s="412"/>
      <c r="U382" s="413"/>
      <c r="V382" s="419"/>
      <c r="W382" s="413"/>
      <c r="X382" s="420"/>
      <c r="Y382" s="421"/>
      <c r="Z382" s="412"/>
      <c r="AA382" s="417"/>
      <c r="AB382" s="413"/>
      <c r="AC382" s="422"/>
    </row>
    <row r="383" spans="1:29" x14ac:dyDescent="0.35">
      <c r="A383" s="406"/>
      <c r="B383" s="407"/>
      <c r="C383" s="408"/>
      <c r="D383" s="409"/>
      <c r="E383" s="410"/>
      <c r="F383" s="410"/>
      <c r="G383" s="409"/>
      <c r="H383" s="411"/>
      <c r="I383" s="412"/>
      <c r="J383" s="413"/>
      <c r="K383" s="414"/>
      <c r="L383" s="415"/>
      <c r="M383" s="414"/>
      <c r="N383" s="416"/>
      <c r="O383" s="417"/>
      <c r="P383" s="414"/>
      <c r="Q383" s="415"/>
      <c r="R383" s="414"/>
      <c r="S383" s="418"/>
      <c r="T383" s="412"/>
      <c r="U383" s="413"/>
      <c r="V383" s="419"/>
      <c r="W383" s="413"/>
      <c r="X383" s="420"/>
      <c r="Y383" s="421"/>
      <c r="Z383" s="412"/>
      <c r="AA383" s="417"/>
      <c r="AB383" s="413"/>
      <c r="AC383" s="422"/>
    </row>
    <row r="384" spans="1:29" x14ac:dyDescent="0.35">
      <c r="A384" s="406"/>
      <c r="B384" s="407"/>
      <c r="C384" s="408"/>
      <c r="D384" s="409"/>
      <c r="E384" s="410"/>
      <c r="F384" s="410"/>
      <c r="G384" s="409"/>
      <c r="H384" s="411"/>
      <c r="I384" s="412"/>
      <c r="J384" s="413"/>
      <c r="K384" s="414"/>
      <c r="L384" s="415"/>
      <c r="M384" s="414"/>
      <c r="N384" s="416"/>
      <c r="O384" s="417"/>
      <c r="P384" s="414"/>
      <c r="Q384" s="415"/>
      <c r="R384" s="414"/>
      <c r="S384" s="418"/>
      <c r="T384" s="412"/>
      <c r="U384" s="413"/>
      <c r="V384" s="419"/>
      <c r="W384" s="413"/>
      <c r="X384" s="420"/>
      <c r="Y384" s="421"/>
      <c r="Z384" s="412"/>
      <c r="AA384" s="417"/>
      <c r="AB384" s="413"/>
      <c r="AC384" s="422"/>
    </row>
    <row r="385" spans="1:29" x14ac:dyDescent="0.35">
      <c r="A385" s="406"/>
      <c r="B385" s="407"/>
      <c r="C385" s="408"/>
      <c r="D385" s="409"/>
      <c r="E385" s="410"/>
      <c r="F385" s="410"/>
      <c r="G385" s="409"/>
      <c r="H385" s="411"/>
      <c r="I385" s="412"/>
      <c r="J385" s="413"/>
      <c r="K385" s="414"/>
      <c r="L385" s="415"/>
      <c r="M385" s="414"/>
      <c r="N385" s="416"/>
      <c r="O385" s="417"/>
      <c r="P385" s="414"/>
      <c r="Q385" s="415"/>
      <c r="R385" s="414"/>
      <c r="S385" s="418"/>
      <c r="T385" s="412"/>
      <c r="U385" s="413"/>
      <c r="V385" s="419"/>
      <c r="W385" s="413"/>
      <c r="X385" s="420"/>
      <c r="Y385" s="421"/>
      <c r="Z385" s="412"/>
      <c r="AA385" s="417"/>
      <c r="AB385" s="413"/>
      <c r="AC385" s="422"/>
    </row>
    <row r="386" spans="1:29" x14ac:dyDescent="0.35">
      <c r="A386" s="406"/>
      <c r="B386" s="407"/>
      <c r="C386" s="408"/>
      <c r="D386" s="409"/>
      <c r="E386" s="410"/>
      <c r="F386" s="410"/>
      <c r="G386" s="409"/>
      <c r="H386" s="411"/>
      <c r="I386" s="412"/>
      <c r="J386" s="413"/>
      <c r="K386" s="414"/>
      <c r="L386" s="415"/>
      <c r="M386" s="414"/>
      <c r="N386" s="416"/>
      <c r="O386" s="417"/>
      <c r="P386" s="414"/>
      <c r="Q386" s="415"/>
      <c r="R386" s="414"/>
      <c r="S386" s="418"/>
      <c r="T386" s="412"/>
      <c r="U386" s="413"/>
      <c r="V386" s="419"/>
      <c r="W386" s="413"/>
      <c r="X386" s="420"/>
      <c r="Y386" s="421"/>
      <c r="Z386" s="412"/>
      <c r="AA386" s="417"/>
      <c r="AB386" s="413"/>
      <c r="AC386" s="422"/>
    </row>
    <row r="387" spans="1:29" x14ac:dyDescent="0.35">
      <c r="A387" s="406"/>
      <c r="B387" s="407"/>
      <c r="C387" s="408"/>
      <c r="D387" s="409"/>
      <c r="E387" s="410"/>
      <c r="F387" s="410"/>
      <c r="G387" s="409"/>
      <c r="H387" s="411"/>
      <c r="I387" s="412"/>
      <c r="J387" s="413"/>
      <c r="K387" s="414"/>
      <c r="L387" s="415"/>
      <c r="M387" s="414"/>
      <c r="N387" s="416"/>
      <c r="O387" s="417"/>
      <c r="P387" s="414"/>
      <c r="Q387" s="415"/>
      <c r="R387" s="414"/>
      <c r="S387" s="418"/>
      <c r="T387" s="412"/>
      <c r="U387" s="413"/>
      <c r="V387" s="419"/>
      <c r="W387" s="413"/>
      <c r="X387" s="420"/>
      <c r="Y387" s="421"/>
      <c r="Z387" s="412"/>
      <c r="AA387" s="417"/>
      <c r="AB387" s="413"/>
      <c r="AC387" s="422"/>
    </row>
    <row r="388" spans="1:29" x14ac:dyDescent="0.35">
      <c r="A388" s="406"/>
      <c r="B388" s="407"/>
      <c r="C388" s="408"/>
      <c r="D388" s="409"/>
      <c r="E388" s="410"/>
      <c r="F388" s="410"/>
      <c r="G388" s="409"/>
      <c r="H388" s="411"/>
      <c r="I388" s="412"/>
      <c r="J388" s="413"/>
      <c r="K388" s="414"/>
      <c r="L388" s="415"/>
      <c r="M388" s="414"/>
      <c r="N388" s="416"/>
      <c r="O388" s="417"/>
      <c r="P388" s="414"/>
      <c r="Q388" s="415"/>
      <c r="R388" s="414"/>
      <c r="S388" s="418"/>
      <c r="T388" s="412"/>
      <c r="U388" s="413"/>
      <c r="V388" s="419"/>
      <c r="W388" s="413"/>
      <c r="X388" s="420"/>
      <c r="Y388" s="421"/>
      <c r="Z388" s="412"/>
      <c r="AA388" s="417"/>
      <c r="AB388" s="413"/>
      <c r="AC388" s="422"/>
    </row>
    <row r="389" spans="1:29" x14ac:dyDescent="0.35">
      <c r="A389" s="406"/>
      <c r="B389" s="407"/>
      <c r="C389" s="408"/>
      <c r="D389" s="409"/>
      <c r="E389" s="410"/>
      <c r="F389" s="410"/>
      <c r="G389" s="409"/>
      <c r="H389" s="411"/>
      <c r="I389" s="412"/>
      <c r="J389" s="413"/>
      <c r="K389" s="414"/>
      <c r="L389" s="415"/>
      <c r="M389" s="414"/>
      <c r="N389" s="416"/>
      <c r="O389" s="417"/>
      <c r="P389" s="414"/>
      <c r="Q389" s="415"/>
      <c r="R389" s="414"/>
      <c r="S389" s="418"/>
      <c r="T389" s="412"/>
      <c r="U389" s="413"/>
      <c r="V389" s="419"/>
      <c r="W389" s="413"/>
      <c r="X389" s="420"/>
      <c r="Y389" s="421"/>
      <c r="Z389" s="412"/>
      <c r="AA389" s="417"/>
      <c r="AB389" s="413"/>
      <c r="AC389" s="422"/>
    </row>
    <row r="390" spans="1:29" x14ac:dyDescent="0.35">
      <c r="A390" s="406"/>
      <c r="B390" s="407"/>
      <c r="C390" s="408"/>
      <c r="D390" s="409"/>
      <c r="E390" s="410"/>
      <c r="F390" s="410"/>
      <c r="G390" s="409"/>
      <c r="H390" s="411"/>
      <c r="I390" s="412"/>
      <c r="J390" s="413"/>
      <c r="K390" s="414"/>
      <c r="L390" s="415"/>
      <c r="M390" s="414"/>
      <c r="N390" s="416"/>
      <c r="O390" s="417"/>
      <c r="P390" s="414"/>
      <c r="Q390" s="415"/>
      <c r="R390" s="414"/>
      <c r="S390" s="418"/>
      <c r="T390" s="412"/>
      <c r="U390" s="413"/>
      <c r="V390" s="419"/>
      <c r="W390" s="413"/>
      <c r="X390" s="420"/>
      <c r="Y390" s="421"/>
      <c r="Z390" s="412"/>
      <c r="AA390" s="417"/>
      <c r="AB390" s="413"/>
      <c r="AC390" s="422"/>
    </row>
    <row r="391" spans="1:29" x14ac:dyDescent="0.35">
      <c r="A391" s="406"/>
      <c r="B391" s="407"/>
      <c r="C391" s="408"/>
      <c r="D391" s="409"/>
      <c r="E391" s="410"/>
      <c r="F391" s="410"/>
      <c r="G391" s="409"/>
      <c r="H391" s="411"/>
      <c r="I391" s="412"/>
      <c r="J391" s="413"/>
      <c r="K391" s="414"/>
      <c r="L391" s="415"/>
      <c r="M391" s="414"/>
      <c r="N391" s="416"/>
      <c r="O391" s="417"/>
      <c r="P391" s="414"/>
      <c r="Q391" s="415"/>
      <c r="R391" s="414"/>
      <c r="S391" s="418"/>
      <c r="T391" s="412"/>
      <c r="U391" s="413"/>
      <c r="V391" s="419"/>
      <c r="W391" s="413"/>
      <c r="X391" s="420"/>
      <c r="Y391" s="421"/>
      <c r="Z391" s="412"/>
      <c r="AA391" s="417"/>
      <c r="AB391" s="413"/>
      <c r="AC391" s="422"/>
    </row>
    <row r="392" spans="1:29" x14ac:dyDescent="0.35">
      <c r="A392" s="406"/>
      <c r="B392" s="407"/>
      <c r="C392" s="408"/>
      <c r="D392" s="409"/>
      <c r="E392" s="410"/>
      <c r="F392" s="410"/>
      <c r="G392" s="409"/>
      <c r="H392" s="411"/>
      <c r="I392" s="412"/>
      <c r="J392" s="413"/>
      <c r="K392" s="414"/>
      <c r="L392" s="415"/>
      <c r="M392" s="414"/>
      <c r="N392" s="416"/>
      <c r="O392" s="417"/>
      <c r="P392" s="414"/>
      <c r="Q392" s="415"/>
      <c r="R392" s="414"/>
      <c r="S392" s="418"/>
      <c r="T392" s="412"/>
      <c r="U392" s="413"/>
      <c r="V392" s="419"/>
      <c r="W392" s="413"/>
      <c r="X392" s="420"/>
      <c r="Y392" s="421"/>
      <c r="Z392" s="412"/>
      <c r="AA392" s="417"/>
      <c r="AB392" s="413"/>
      <c r="AC392" s="422"/>
    </row>
    <row r="393" spans="1:29" x14ac:dyDescent="0.35">
      <c r="A393" s="406"/>
      <c r="B393" s="407"/>
      <c r="C393" s="408"/>
      <c r="D393" s="409"/>
      <c r="E393" s="410"/>
      <c r="F393" s="410"/>
      <c r="G393" s="409"/>
      <c r="H393" s="411"/>
      <c r="I393" s="412"/>
      <c r="J393" s="413"/>
      <c r="K393" s="414"/>
      <c r="L393" s="415"/>
      <c r="M393" s="414"/>
      <c r="N393" s="416"/>
      <c r="O393" s="417"/>
      <c r="P393" s="414"/>
      <c r="Q393" s="415"/>
      <c r="R393" s="414"/>
      <c r="S393" s="418"/>
      <c r="T393" s="412"/>
      <c r="U393" s="413"/>
      <c r="V393" s="419"/>
      <c r="W393" s="413"/>
      <c r="X393" s="420"/>
      <c r="Y393" s="421"/>
      <c r="Z393" s="412"/>
      <c r="AA393" s="417"/>
      <c r="AB393" s="413"/>
      <c r="AC393" s="422"/>
    </row>
    <row r="394" spans="1:29" x14ac:dyDescent="0.35">
      <c r="A394" s="406"/>
      <c r="B394" s="407"/>
      <c r="C394" s="408"/>
      <c r="D394" s="409"/>
      <c r="E394" s="410"/>
      <c r="F394" s="410"/>
      <c r="G394" s="409"/>
      <c r="H394" s="411"/>
      <c r="I394" s="412"/>
      <c r="J394" s="413"/>
      <c r="K394" s="414"/>
      <c r="L394" s="415"/>
      <c r="M394" s="414"/>
      <c r="N394" s="416"/>
      <c r="O394" s="417"/>
      <c r="P394" s="414"/>
      <c r="Q394" s="415"/>
      <c r="R394" s="414"/>
      <c r="S394" s="418"/>
      <c r="T394" s="412"/>
      <c r="U394" s="413"/>
      <c r="V394" s="419"/>
      <c r="W394" s="413"/>
      <c r="X394" s="420"/>
      <c r="Y394" s="421"/>
      <c r="Z394" s="412"/>
      <c r="AA394" s="417"/>
      <c r="AB394" s="413"/>
      <c r="AC394" s="422"/>
    </row>
    <row r="395" spans="1:29" x14ac:dyDescent="0.35">
      <c r="A395" s="406"/>
      <c r="B395" s="407"/>
      <c r="C395" s="408"/>
      <c r="D395" s="409"/>
      <c r="E395" s="410"/>
      <c r="F395" s="410"/>
      <c r="G395" s="409"/>
      <c r="H395" s="411"/>
      <c r="I395" s="412"/>
      <c r="J395" s="413"/>
      <c r="K395" s="414"/>
      <c r="L395" s="415"/>
      <c r="M395" s="414"/>
      <c r="N395" s="416"/>
      <c r="O395" s="417"/>
      <c r="P395" s="414"/>
      <c r="Q395" s="415"/>
      <c r="R395" s="414"/>
      <c r="S395" s="418"/>
      <c r="T395" s="412"/>
      <c r="U395" s="413"/>
      <c r="V395" s="419"/>
      <c r="W395" s="413"/>
      <c r="X395" s="420"/>
      <c r="Y395" s="421"/>
      <c r="Z395" s="412"/>
      <c r="AA395" s="417"/>
      <c r="AB395" s="413"/>
      <c r="AC395" s="422"/>
    </row>
    <row r="396" spans="1:29" x14ac:dyDescent="0.35">
      <c r="A396" s="406"/>
      <c r="B396" s="407"/>
      <c r="C396" s="408"/>
      <c r="D396" s="409"/>
      <c r="E396" s="410"/>
      <c r="F396" s="410"/>
      <c r="G396" s="409"/>
      <c r="H396" s="411"/>
      <c r="I396" s="412"/>
      <c r="J396" s="413"/>
      <c r="K396" s="414"/>
      <c r="L396" s="415"/>
      <c r="M396" s="414"/>
      <c r="N396" s="416"/>
      <c r="O396" s="417"/>
      <c r="P396" s="414"/>
      <c r="Q396" s="415"/>
      <c r="R396" s="414"/>
      <c r="S396" s="418"/>
      <c r="T396" s="412"/>
      <c r="U396" s="413"/>
      <c r="V396" s="419"/>
      <c r="W396" s="413"/>
      <c r="X396" s="420"/>
      <c r="Y396" s="421"/>
      <c r="Z396" s="412"/>
      <c r="AA396" s="417"/>
      <c r="AB396" s="413"/>
      <c r="AC396" s="422"/>
    </row>
    <row r="397" spans="1:29" x14ac:dyDescent="0.35">
      <c r="A397" s="406"/>
      <c r="B397" s="407"/>
      <c r="C397" s="408"/>
      <c r="D397" s="409"/>
      <c r="E397" s="410"/>
      <c r="F397" s="410"/>
      <c r="G397" s="409"/>
      <c r="H397" s="411"/>
      <c r="I397" s="412"/>
      <c r="J397" s="413"/>
      <c r="K397" s="414"/>
      <c r="L397" s="415"/>
      <c r="M397" s="414"/>
      <c r="N397" s="416"/>
      <c r="O397" s="417"/>
      <c r="P397" s="414"/>
      <c r="Q397" s="415"/>
      <c r="R397" s="414"/>
      <c r="S397" s="418"/>
      <c r="T397" s="412"/>
      <c r="U397" s="413"/>
      <c r="V397" s="419"/>
      <c r="W397" s="413"/>
      <c r="X397" s="420"/>
      <c r="Y397" s="421"/>
      <c r="Z397" s="412"/>
      <c r="AA397" s="417"/>
      <c r="AB397" s="413"/>
      <c r="AC397" s="422"/>
    </row>
    <row r="398" spans="1:29" x14ac:dyDescent="0.35">
      <c r="A398" s="406"/>
      <c r="B398" s="407"/>
      <c r="C398" s="408"/>
      <c r="D398" s="409"/>
      <c r="E398" s="410"/>
      <c r="F398" s="410"/>
      <c r="G398" s="409"/>
      <c r="H398" s="411"/>
      <c r="I398" s="412"/>
      <c r="J398" s="413"/>
      <c r="K398" s="414"/>
      <c r="L398" s="415"/>
      <c r="M398" s="414"/>
      <c r="N398" s="416"/>
      <c r="O398" s="417"/>
      <c r="P398" s="414"/>
      <c r="Q398" s="415"/>
      <c r="R398" s="414"/>
      <c r="S398" s="418"/>
      <c r="T398" s="412"/>
      <c r="U398" s="413"/>
      <c r="V398" s="419"/>
      <c r="W398" s="413"/>
      <c r="X398" s="420"/>
      <c r="Y398" s="421"/>
      <c r="Z398" s="412"/>
      <c r="AA398" s="417"/>
      <c r="AB398" s="413"/>
      <c r="AC398" s="422"/>
    </row>
    <row r="399" spans="1:29" x14ac:dyDescent="0.35">
      <c r="A399" s="406"/>
      <c r="B399" s="407"/>
      <c r="C399" s="408"/>
      <c r="D399" s="409"/>
      <c r="E399" s="410"/>
      <c r="F399" s="410"/>
      <c r="G399" s="409"/>
      <c r="H399" s="411"/>
      <c r="I399" s="412"/>
      <c r="J399" s="413"/>
      <c r="K399" s="414"/>
      <c r="L399" s="415"/>
      <c r="M399" s="414"/>
      <c r="N399" s="416"/>
      <c r="O399" s="417"/>
      <c r="P399" s="414"/>
      <c r="Q399" s="415"/>
      <c r="R399" s="414"/>
      <c r="S399" s="418"/>
      <c r="T399" s="412"/>
      <c r="U399" s="413"/>
      <c r="V399" s="419"/>
      <c r="W399" s="413"/>
      <c r="X399" s="420"/>
      <c r="Y399" s="421"/>
      <c r="Z399" s="412"/>
      <c r="AA399" s="417"/>
      <c r="AB399" s="413"/>
      <c r="AC399" s="422"/>
    </row>
    <row r="400" spans="1:29" x14ac:dyDescent="0.35">
      <c r="A400" s="406"/>
      <c r="B400" s="407"/>
      <c r="C400" s="408"/>
      <c r="D400" s="409"/>
      <c r="E400" s="410"/>
      <c r="F400" s="410"/>
      <c r="G400" s="409"/>
      <c r="H400" s="411"/>
      <c r="I400" s="412"/>
      <c r="J400" s="413"/>
      <c r="K400" s="414"/>
      <c r="L400" s="415"/>
      <c r="M400" s="414"/>
      <c r="N400" s="416"/>
      <c r="O400" s="417"/>
      <c r="P400" s="414"/>
      <c r="Q400" s="415"/>
      <c r="R400" s="414"/>
      <c r="S400" s="418"/>
      <c r="T400" s="412"/>
      <c r="U400" s="413"/>
      <c r="V400" s="419"/>
      <c r="W400" s="413"/>
      <c r="X400" s="420"/>
      <c r="Y400" s="421"/>
      <c r="Z400" s="412"/>
      <c r="AA400" s="417"/>
      <c r="AB400" s="413"/>
      <c r="AC400" s="422"/>
    </row>
    <row r="401" spans="1:29" x14ac:dyDescent="0.35">
      <c r="A401" s="406"/>
      <c r="B401" s="407"/>
      <c r="C401" s="408"/>
      <c r="D401" s="409"/>
      <c r="E401" s="410"/>
      <c r="F401" s="410"/>
      <c r="G401" s="409"/>
      <c r="H401" s="411"/>
      <c r="I401" s="412"/>
      <c r="J401" s="413"/>
      <c r="K401" s="414"/>
      <c r="L401" s="415"/>
      <c r="M401" s="414"/>
      <c r="N401" s="416"/>
      <c r="O401" s="417"/>
      <c r="P401" s="414"/>
      <c r="Q401" s="415"/>
      <c r="R401" s="414"/>
      <c r="S401" s="418"/>
      <c r="T401" s="412"/>
      <c r="U401" s="413"/>
      <c r="V401" s="419"/>
      <c r="W401" s="413"/>
      <c r="X401" s="420"/>
      <c r="Y401" s="421"/>
      <c r="Z401" s="412"/>
      <c r="AA401" s="417"/>
      <c r="AB401" s="413"/>
      <c r="AC401" s="422"/>
    </row>
    <row r="402" spans="1:29" x14ac:dyDescent="0.35">
      <c r="A402" s="406"/>
      <c r="B402" s="407"/>
      <c r="C402" s="408"/>
      <c r="D402" s="409"/>
      <c r="E402" s="410"/>
      <c r="F402" s="410"/>
      <c r="G402" s="409"/>
      <c r="H402" s="411"/>
      <c r="I402" s="412"/>
      <c r="J402" s="413"/>
      <c r="K402" s="414"/>
      <c r="L402" s="415"/>
      <c r="M402" s="414"/>
      <c r="N402" s="416"/>
      <c r="O402" s="417"/>
      <c r="P402" s="414"/>
      <c r="Q402" s="415"/>
      <c r="R402" s="414"/>
      <c r="S402" s="418"/>
      <c r="T402" s="412"/>
      <c r="U402" s="413"/>
      <c r="V402" s="419"/>
      <c r="W402" s="413"/>
      <c r="X402" s="420"/>
      <c r="Y402" s="421"/>
      <c r="Z402" s="412"/>
      <c r="AA402" s="417"/>
      <c r="AB402" s="413"/>
      <c r="AC402" s="422"/>
    </row>
    <row r="403" spans="1:29" x14ac:dyDescent="0.35">
      <c r="A403" s="406"/>
      <c r="B403" s="407"/>
      <c r="C403" s="408"/>
      <c r="D403" s="409"/>
      <c r="E403" s="410"/>
      <c r="F403" s="410"/>
      <c r="G403" s="409"/>
      <c r="H403" s="411"/>
      <c r="I403" s="412"/>
      <c r="J403" s="413"/>
      <c r="K403" s="414"/>
      <c r="L403" s="415"/>
      <c r="M403" s="414"/>
      <c r="N403" s="416"/>
      <c r="O403" s="417"/>
      <c r="P403" s="414"/>
      <c r="Q403" s="415"/>
      <c r="R403" s="414"/>
      <c r="S403" s="418"/>
      <c r="T403" s="412"/>
      <c r="U403" s="413"/>
      <c r="V403" s="419"/>
      <c r="W403" s="413"/>
      <c r="X403" s="420"/>
      <c r="Y403" s="421"/>
      <c r="Z403" s="412"/>
      <c r="AA403" s="417"/>
      <c r="AB403" s="413"/>
      <c r="AC403" s="422"/>
    </row>
    <row r="404" spans="1:29" x14ac:dyDescent="0.35">
      <c r="A404" s="406"/>
      <c r="B404" s="407"/>
      <c r="C404" s="408"/>
      <c r="D404" s="409"/>
      <c r="E404" s="410"/>
      <c r="F404" s="410"/>
      <c r="G404" s="409"/>
      <c r="H404" s="411"/>
      <c r="I404" s="412"/>
      <c r="J404" s="413"/>
      <c r="K404" s="414"/>
      <c r="L404" s="415"/>
      <c r="M404" s="414"/>
      <c r="N404" s="416"/>
      <c r="O404" s="417"/>
      <c r="P404" s="414"/>
      <c r="Q404" s="415"/>
      <c r="R404" s="414"/>
      <c r="S404" s="418"/>
      <c r="T404" s="412"/>
      <c r="U404" s="413"/>
      <c r="V404" s="419"/>
      <c r="W404" s="413"/>
      <c r="X404" s="420"/>
      <c r="Y404" s="421"/>
      <c r="Z404" s="412"/>
      <c r="AA404" s="417"/>
      <c r="AB404" s="413"/>
      <c r="AC404" s="422"/>
    </row>
    <row r="405" spans="1:29" x14ac:dyDescent="0.35">
      <c r="A405" s="406"/>
      <c r="B405" s="407"/>
      <c r="C405" s="408"/>
      <c r="D405" s="409"/>
      <c r="E405" s="410"/>
      <c r="F405" s="410"/>
      <c r="G405" s="409"/>
      <c r="H405" s="411"/>
      <c r="I405" s="412"/>
      <c r="J405" s="413"/>
      <c r="K405" s="414"/>
      <c r="L405" s="415"/>
      <c r="M405" s="414"/>
      <c r="N405" s="416"/>
      <c r="O405" s="417"/>
      <c r="P405" s="414"/>
      <c r="Q405" s="415"/>
      <c r="R405" s="414"/>
      <c r="S405" s="418"/>
      <c r="T405" s="412"/>
      <c r="U405" s="413"/>
      <c r="V405" s="419"/>
      <c r="W405" s="413"/>
      <c r="X405" s="420"/>
      <c r="Y405" s="421"/>
      <c r="Z405" s="412"/>
      <c r="AA405" s="417"/>
      <c r="AB405" s="413"/>
      <c r="AC405" s="422"/>
    </row>
    <row r="406" spans="1:29" x14ac:dyDescent="0.35">
      <c r="A406" s="406"/>
      <c r="B406" s="407"/>
      <c r="C406" s="408"/>
      <c r="D406" s="409"/>
      <c r="E406" s="410"/>
      <c r="F406" s="410"/>
      <c r="G406" s="409"/>
      <c r="H406" s="411"/>
      <c r="I406" s="412"/>
      <c r="J406" s="413"/>
      <c r="K406" s="414"/>
      <c r="L406" s="415"/>
      <c r="M406" s="414"/>
      <c r="N406" s="416"/>
      <c r="O406" s="417"/>
      <c r="P406" s="414"/>
      <c r="Q406" s="415"/>
      <c r="R406" s="414"/>
      <c r="S406" s="418"/>
      <c r="T406" s="412"/>
      <c r="U406" s="413"/>
      <c r="V406" s="419"/>
      <c r="W406" s="413"/>
      <c r="X406" s="420"/>
      <c r="Y406" s="421"/>
      <c r="Z406" s="412"/>
      <c r="AA406" s="417"/>
      <c r="AB406" s="413"/>
      <c r="AC406" s="422"/>
    </row>
    <row r="407" spans="1:29" x14ac:dyDescent="0.35">
      <c r="A407" s="406"/>
      <c r="B407" s="407"/>
      <c r="C407" s="408"/>
      <c r="D407" s="409"/>
      <c r="E407" s="410"/>
      <c r="F407" s="410"/>
      <c r="G407" s="409"/>
      <c r="H407" s="411"/>
      <c r="I407" s="412"/>
      <c r="J407" s="413"/>
      <c r="K407" s="414"/>
      <c r="L407" s="415"/>
      <c r="M407" s="414"/>
      <c r="N407" s="416"/>
      <c r="O407" s="417"/>
      <c r="P407" s="414"/>
      <c r="Q407" s="415"/>
      <c r="R407" s="414"/>
      <c r="S407" s="418"/>
      <c r="T407" s="412"/>
      <c r="U407" s="413"/>
      <c r="V407" s="419"/>
      <c r="W407" s="413"/>
      <c r="X407" s="420"/>
      <c r="Y407" s="421"/>
      <c r="Z407" s="412"/>
      <c r="AA407" s="417"/>
      <c r="AB407" s="413"/>
      <c r="AC407" s="422"/>
    </row>
    <row r="408" spans="1:29" x14ac:dyDescent="0.35">
      <c r="A408" s="406"/>
      <c r="B408" s="407"/>
      <c r="C408" s="408"/>
      <c r="D408" s="409"/>
      <c r="E408" s="410"/>
      <c r="F408" s="410"/>
      <c r="G408" s="409"/>
      <c r="H408" s="411"/>
      <c r="I408" s="412"/>
      <c r="J408" s="413"/>
      <c r="K408" s="414"/>
      <c r="L408" s="415"/>
      <c r="M408" s="414"/>
      <c r="N408" s="416"/>
      <c r="O408" s="417"/>
      <c r="P408" s="414"/>
      <c r="Q408" s="415"/>
      <c r="R408" s="414"/>
      <c r="S408" s="418"/>
      <c r="T408" s="412"/>
      <c r="U408" s="413"/>
      <c r="V408" s="419"/>
      <c r="W408" s="413"/>
      <c r="X408" s="420"/>
      <c r="Y408" s="421"/>
      <c r="Z408" s="412"/>
      <c r="AA408" s="417"/>
      <c r="AB408" s="413"/>
      <c r="AC408" s="422"/>
    </row>
    <row r="409" spans="1:29" x14ac:dyDescent="0.35">
      <c r="A409" s="406"/>
      <c r="B409" s="407"/>
      <c r="C409" s="408"/>
      <c r="D409" s="409"/>
      <c r="E409" s="410"/>
      <c r="F409" s="410"/>
      <c r="G409" s="409"/>
      <c r="H409" s="411"/>
      <c r="I409" s="412"/>
      <c r="J409" s="413"/>
      <c r="K409" s="414"/>
      <c r="L409" s="415"/>
      <c r="M409" s="414"/>
      <c r="N409" s="416"/>
      <c r="O409" s="417"/>
      <c r="P409" s="414"/>
      <c r="Q409" s="415"/>
      <c r="R409" s="414"/>
      <c r="S409" s="418"/>
      <c r="T409" s="412"/>
      <c r="U409" s="413"/>
      <c r="V409" s="419"/>
      <c r="W409" s="413"/>
      <c r="X409" s="420"/>
      <c r="Y409" s="421"/>
      <c r="Z409" s="412"/>
      <c r="AA409" s="417"/>
      <c r="AB409" s="413"/>
      <c r="AC409" s="422"/>
    </row>
    <row r="410" spans="1:29" x14ac:dyDescent="0.35">
      <c r="A410" s="406"/>
      <c r="B410" s="407"/>
      <c r="C410" s="408"/>
      <c r="D410" s="409"/>
      <c r="E410" s="410"/>
      <c r="F410" s="410"/>
      <c r="G410" s="409"/>
      <c r="H410" s="411"/>
      <c r="I410" s="412"/>
      <c r="J410" s="413"/>
      <c r="K410" s="414"/>
      <c r="L410" s="415"/>
      <c r="M410" s="414"/>
      <c r="N410" s="416"/>
      <c r="O410" s="417"/>
      <c r="P410" s="414"/>
      <c r="Q410" s="415"/>
      <c r="R410" s="414"/>
      <c r="S410" s="418"/>
      <c r="T410" s="412"/>
      <c r="U410" s="413"/>
      <c r="V410" s="419"/>
      <c r="W410" s="413"/>
      <c r="X410" s="420"/>
      <c r="Y410" s="421"/>
      <c r="Z410" s="412"/>
      <c r="AA410" s="417"/>
      <c r="AB410" s="413"/>
      <c r="AC410" s="422"/>
    </row>
    <row r="411" spans="1:29" x14ac:dyDescent="0.35">
      <c r="A411" s="406"/>
      <c r="B411" s="407"/>
      <c r="C411" s="408"/>
      <c r="D411" s="409"/>
      <c r="E411" s="410"/>
      <c r="F411" s="410"/>
      <c r="G411" s="409"/>
      <c r="H411" s="411"/>
      <c r="I411" s="412"/>
      <c r="J411" s="413"/>
      <c r="K411" s="414"/>
      <c r="L411" s="415"/>
      <c r="M411" s="414"/>
      <c r="N411" s="416"/>
      <c r="O411" s="417"/>
      <c r="P411" s="414"/>
      <c r="Q411" s="415"/>
      <c r="R411" s="414"/>
      <c r="S411" s="418"/>
      <c r="T411" s="412"/>
      <c r="U411" s="413"/>
      <c r="V411" s="419"/>
      <c r="W411" s="413"/>
      <c r="X411" s="420"/>
      <c r="Y411" s="421"/>
      <c r="Z411" s="412"/>
      <c r="AA411" s="417"/>
      <c r="AB411" s="413"/>
      <c r="AC411" s="422"/>
    </row>
    <row r="412" spans="1:29" x14ac:dyDescent="0.35">
      <c r="A412" s="406"/>
      <c r="B412" s="407"/>
      <c r="C412" s="408"/>
      <c r="D412" s="409"/>
      <c r="E412" s="410"/>
      <c r="F412" s="410"/>
      <c r="G412" s="409"/>
      <c r="H412" s="411"/>
      <c r="I412" s="412"/>
      <c r="J412" s="413"/>
      <c r="K412" s="414"/>
      <c r="L412" s="415"/>
      <c r="M412" s="414"/>
      <c r="N412" s="416"/>
      <c r="O412" s="417"/>
      <c r="P412" s="414"/>
      <c r="Q412" s="415"/>
      <c r="R412" s="414"/>
      <c r="S412" s="418"/>
      <c r="T412" s="412"/>
      <c r="U412" s="413"/>
      <c r="V412" s="419"/>
      <c r="W412" s="413"/>
      <c r="X412" s="420"/>
      <c r="Y412" s="421"/>
      <c r="Z412" s="412"/>
      <c r="AA412" s="417"/>
      <c r="AB412" s="413"/>
      <c r="AC412" s="422"/>
    </row>
    <row r="413" spans="1:29" x14ac:dyDescent="0.35">
      <c r="A413" s="406"/>
      <c r="B413" s="407"/>
      <c r="C413" s="408"/>
      <c r="D413" s="409"/>
      <c r="E413" s="410"/>
      <c r="F413" s="410"/>
      <c r="G413" s="409"/>
      <c r="H413" s="411"/>
      <c r="I413" s="412"/>
      <c r="J413" s="413"/>
      <c r="K413" s="414"/>
      <c r="L413" s="415"/>
      <c r="M413" s="414"/>
      <c r="N413" s="416"/>
      <c r="O413" s="417"/>
      <c r="P413" s="414"/>
      <c r="Q413" s="415"/>
      <c r="R413" s="414"/>
      <c r="S413" s="418"/>
      <c r="T413" s="412"/>
      <c r="U413" s="413"/>
      <c r="V413" s="419"/>
      <c r="W413" s="413"/>
      <c r="X413" s="420"/>
      <c r="Y413" s="421"/>
      <c r="Z413" s="412"/>
      <c r="AA413" s="417"/>
      <c r="AB413" s="413"/>
      <c r="AC413" s="422"/>
    </row>
    <row r="414" spans="1:29" x14ac:dyDescent="0.35">
      <c r="A414" s="406"/>
      <c r="B414" s="407"/>
      <c r="C414" s="408"/>
      <c r="D414" s="409"/>
      <c r="E414" s="410"/>
      <c r="F414" s="410"/>
      <c r="G414" s="409"/>
      <c r="H414" s="411"/>
      <c r="I414" s="412"/>
      <c r="J414" s="413"/>
      <c r="K414" s="414"/>
      <c r="L414" s="415"/>
      <c r="M414" s="414"/>
      <c r="N414" s="416"/>
      <c r="O414" s="417"/>
      <c r="P414" s="414"/>
      <c r="Q414" s="415"/>
      <c r="R414" s="414"/>
      <c r="S414" s="418"/>
      <c r="T414" s="412"/>
      <c r="U414" s="413"/>
      <c r="V414" s="419"/>
      <c r="W414" s="413"/>
      <c r="X414" s="420"/>
      <c r="Y414" s="421"/>
      <c r="Z414" s="412"/>
      <c r="AA414" s="417"/>
      <c r="AB414" s="413"/>
      <c r="AC414" s="422"/>
    </row>
    <row r="415" spans="1:29" x14ac:dyDescent="0.35">
      <c r="A415" s="406"/>
      <c r="B415" s="407"/>
      <c r="C415" s="408"/>
      <c r="D415" s="409"/>
      <c r="E415" s="410"/>
      <c r="F415" s="410"/>
      <c r="G415" s="409"/>
      <c r="H415" s="411"/>
      <c r="I415" s="412"/>
      <c r="J415" s="413"/>
      <c r="K415" s="414"/>
      <c r="L415" s="415"/>
      <c r="M415" s="414"/>
      <c r="N415" s="416"/>
      <c r="O415" s="417"/>
      <c r="P415" s="414"/>
      <c r="Q415" s="415"/>
      <c r="R415" s="414"/>
      <c r="S415" s="418"/>
      <c r="T415" s="412"/>
      <c r="U415" s="413"/>
      <c r="V415" s="419"/>
      <c r="W415" s="413"/>
      <c r="X415" s="420"/>
      <c r="Y415" s="421"/>
      <c r="Z415" s="412"/>
      <c r="AA415" s="417"/>
      <c r="AB415" s="413"/>
      <c r="AC415" s="422"/>
    </row>
    <row r="416" spans="1:29" x14ac:dyDescent="0.35">
      <c r="A416" s="406"/>
      <c r="B416" s="407"/>
      <c r="C416" s="408"/>
      <c r="D416" s="409"/>
      <c r="E416" s="410"/>
      <c r="F416" s="410"/>
      <c r="G416" s="409"/>
      <c r="H416" s="411"/>
      <c r="I416" s="412"/>
      <c r="J416" s="413"/>
      <c r="K416" s="414"/>
      <c r="L416" s="415"/>
      <c r="M416" s="414"/>
      <c r="N416" s="416"/>
      <c r="O416" s="417"/>
      <c r="P416" s="414"/>
      <c r="Q416" s="415"/>
      <c r="R416" s="414"/>
      <c r="S416" s="418"/>
      <c r="T416" s="412"/>
      <c r="U416" s="413"/>
      <c r="V416" s="419"/>
      <c r="W416" s="413"/>
      <c r="X416" s="420"/>
      <c r="Y416" s="421"/>
      <c r="Z416" s="412"/>
      <c r="AA416" s="417"/>
      <c r="AB416" s="413"/>
      <c r="AC416" s="422"/>
    </row>
    <row r="417" spans="1:29" x14ac:dyDescent="0.35">
      <c r="A417" s="406"/>
      <c r="B417" s="407"/>
      <c r="C417" s="408"/>
      <c r="D417" s="409"/>
      <c r="E417" s="410"/>
      <c r="F417" s="410"/>
      <c r="G417" s="409"/>
      <c r="H417" s="411"/>
      <c r="I417" s="412"/>
      <c r="J417" s="413"/>
      <c r="K417" s="414"/>
      <c r="L417" s="415"/>
      <c r="M417" s="414"/>
      <c r="N417" s="416"/>
      <c r="O417" s="417"/>
      <c r="P417" s="414"/>
      <c r="Q417" s="415"/>
      <c r="R417" s="414"/>
      <c r="S417" s="418"/>
      <c r="T417" s="412"/>
      <c r="U417" s="413"/>
      <c r="V417" s="419"/>
      <c r="W417" s="413"/>
      <c r="X417" s="420"/>
      <c r="Y417" s="421"/>
      <c r="Z417" s="412"/>
      <c r="AA417" s="417"/>
      <c r="AB417" s="413"/>
      <c r="AC417" s="422"/>
    </row>
    <row r="418" spans="1:29" x14ac:dyDescent="0.35">
      <c r="A418" s="406"/>
      <c r="B418" s="407"/>
      <c r="C418" s="408"/>
      <c r="D418" s="409"/>
      <c r="E418" s="410"/>
      <c r="F418" s="410"/>
      <c r="G418" s="409"/>
      <c r="H418" s="411"/>
      <c r="I418" s="412"/>
      <c r="J418" s="413"/>
      <c r="K418" s="414"/>
      <c r="L418" s="415"/>
      <c r="M418" s="414"/>
      <c r="N418" s="416"/>
      <c r="O418" s="417"/>
      <c r="P418" s="414"/>
      <c r="Q418" s="415"/>
      <c r="R418" s="414"/>
      <c r="S418" s="418"/>
      <c r="T418" s="412"/>
      <c r="U418" s="413"/>
      <c r="V418" s="419"/>
      <c r="W418" s="413"/>
      <c r="X418" s="420"/>
      <c r="Y418" s="421"/>
      <c r="Z418" s="412"/>
      <c r="AA418" s="417"/>
      <c r="AB418" s="413"/>
      <c r="AC418" s="422"/>
    </row>
    <row r="419" spans="1:29" x14ac:dyDescent="0.35">
      <c r="A419" s="406"/>
      <c r="B419" s="407"/>
      <c r="C419" s="408"/>
      <c r="D419" s="409"/>
      <c r="E419" s="410"/>
      <c r="F419" s="410"/>
      <c r="G419" s="409"/>
      <c r="H419" s="411"/>
      <c r="I419" s="412"/>
      <c r="J419" s="413"/>
      <c r="K419" s="414"/>
      <c r="L419" s="415"/>
      <c r="M419" s="414"/>
      <c r="N419" s="416"/>
      <c r="O419" s="417"/>
      <c r="P419" s="414"/>
      <c r="Q419" s="415"/>
      <c r="R419" s="414"/>
      <c r="S419" s="418"/>
      <c r="T419" s="412"/>
      <c r="U419" s="413"/>
      <c r="V419" s="419"/>
      <c r="W419" s="413"/>
      <c r="X419" s="420"/>
      <c r="Y419" s="421"/>
      <c r="Z419" s="412"/>
      <c r="AA419" s="417"/>
      <c r="AB419" s="413"/>
      <c r="AC419" s="422"/>
    </row>
    <row r="420" spans="1:29" x14ac:dyDescent="0.35">
      <c r="A420" s="406"/>
      <c r="B420" s="407"/>
      <c r="C420" s="408"/>
      <c r="D420" s="409"/>
      <c r="E420" s="410"/>
      <c r="F420" s="410"/>
      <c r="G420" s="409"/>
      <c r="H420" s="411"/>
      <c r="I420" s="412"/>
      <c r="J420" s="413"/>
      <c r="K420" s="414"/>
      <c r="L420" s="415"/>
      <c r="M420" s="414"/>
      <c r="N420" s="416"/>
      <c r="O420" s="417"/>
      <c r="P420" s="414"/>
      <c r="Q420" s="415"/>
      <c r="R420" s="414"/>
      <c r="S420" s="418"/>
      <c r="T420" s="412"/>
      <c r="U420" s="413"/>
      <c r="V420" s="419"/>
      <c r="W420" s="413"/>
      <c r="X420" s="420"/>
      <c r="Y420" s="421"/>
      <c r="Z420" s="412"/>
      <c r="AA420" s="417"/>
      <c r="AB420" s="413"/>
      <c r="AC420" s="422"/>
    </row>
    <row r="421" spans="1:29" x14ac:dyDescent="0.35">
      <c r="A421" s="406"/>
      <c r="B421" s="407"/>
      <c r="C421" s="408"/>
      <c r="D421" s="409"/>
      <c r="E421" s="410"/>
      <c r="F421" s="410"/>
      <c r="G421" s="409"/>
      <c r="H421" s="411"/>
      <c r="I421" s="412"/>
      <c r="J421" s="413"/>
      <c r="K421" s="414"/>
      <c r="L421" s="415"/>
      <c r="M421" s="414"/>
      <c r="N421" s="416"/>
      <c r="O421" s="417"/>
      <c r="P421" s="414"/>
      <c r="Q421" s="415"/>
      <c r="R421" s="414"/>
      <c r="S421" s="418"/>
      <c r="T421" s="412"/>
      <c r="U421" s="413"/>
      <c r="V421" s="419"/>
      <c r="W421" s="413"/>
      <c r="X421" s="420"/>
      <c r="Y421" s="421"/>
      <c r="Z421" s="412"/>
      <c r="AA421" s="417"/>
      <c r="AB421" s="413"/>
      <c r="AC421" s="422"/>
    </row>
    <row r="422" spans="1:29" x14ac:dyDescent="0.35">
      <c r="A422" s="406"/>
      <c r="B422" s="407"/>
      <c r="C422" s="408"/>
      <c r="D422" s="409"/>
      <c r="E422" s="410"/>
      <c r="F422" s="410"/>
      <c r="G422" s="409"/>
      <c r="H422" s="411"/>
      <c r="I422" s="412"/>
      <c r="J422" s="413"/>
      <c r="K422" s="414"/>
      <c r="L422" s="415"/>
      <c r="M422" s="414"/>
      <c r="N422" s="416"/>
      <c r="O422" s="417"/>
      <c r="P422" s="414"/>
      <c r="Q422" s="415"/>
      <c r="R422" s="414"/>
      <c r="S422" s="418"/>
      <c r="T422" s="412"/>
      <c r="U422" s="413"/>
      <c r="V422" s="419"/>
      <c r="W422" s="413"/>
      <c r="X422" s="420"/>
      <c r="Y422" s="421"/>
      <c r="Z422" s="412"/>
      <c r="AA422" s="417"/>
      <c r="AB422" s="413"/>
      <c r="AC422" s="422"/>
    </row>
    <row r="423" spans="1:29" x14ac:dyDescent="0.35">
      <c r="A423" s="406"/>
      <c r="B423" s="407"/>
      <c r="C423" s="408"/>
      <c r="D423" s="409"/>
      <c r="E423" s="410"/>
      <c r="F423" s="410"/>
      <c r="G423" s="409"/>
      <c r="H423" s="411"/>
      <c r="I423" s="412"/>
      <c r="J423" s="413"/>
      <c r="K423" s="414"/>
      <c r="L423" s="415"/>
      <c r="M423" s="414"/>
      <c r="N423" s="416"/>
      <c r="O423" s="417"/>
      <c r="P423" s="414"/>
      <c r="Q423" s="415"/>
      <c r="R423" s="414"/>
      <c r="S423" s="418"/>
      <c r="T423" s="412"/>
      <c r="U423" s="413"/>
      <c r="V423" s="419"/>
      <c r="W423" s="413"/>
      <c r="X423" s="420"/>
      <c r="Y423" s="421"/>
      <c r="Z423" s="412"/>
      <c r="AA423" s="417"/>
      <c r="AB423" s="413"/>
      <c r="AC423" s="422"/>
    </row>
    <row r="424" spans="1:29" x14ac:dyDescent="0.35">
      <c r="A424" s="406"/>
      <c r="B424" s="407"/>
      <c r="C424" s="408"/>
      <c r="D424" s="409"/>
      <c r="E424" s="410"/>
      <c r="F424" s="410"/>
      <c r="G424" s="409"/>
      <c r="H424" s="411"/>
      <c r="I424" s="412"/>
      <c r="J424" s="413"/>
      <c r="K424" s="414"/>
      <c r="L424" s="415"/>
      <c r="M424" s="414"/>
      <c r="N424" s="416"/>
      <c r="O424" s="417"/>
      <c r="P424" s="414"/>
      <c r="Q424" s="415"/>
      <c r="R424" s="414"/>
      <c r="S424" s="418"/>
      <c r="T424" s="412"/>
      <c r="U424" s="413"/>
      <c r="V424" s="419"/>
      <c r="W424" s="413"/>
      <c r="X424" s="420"/>
      <c r="Y424" s="421"/>
      <c r="Z424" s="412"/>
      <c r="AA424" s="417"/>
      <c r="AB424" s="413"/>
      <c r="AC424" s="422"/>
    </row>
    <row r="425" spans="1:29" x14ac:dyDescent="0.35">
      <c r="A425" s="406"/>
      <c r="B425" s="407"/>
      <c r="C425" s="408"/>
      <c r="D425" s="409"/>
      <c r="E425" s="410"/>
      <c r="F425" s="410"/>
      <c r="G425" s="409"/>
      <c r="H425" s="411"/>
      <c r="I425" s="412"/>
      <c r="J425" s="413"/>
      <c r="K425" s="414"/>
      <c r="L425" s="415"/>
      <c r="M425" s="414"/>
      <c r="N425" s="416"/>
      <c r="O425" s="417"/>
      <c r="P425" s="414"/>
      <c r="Q425" s="415"/>
      <c r="R425" s="414"/>
      <c r="S425" s="418"/>
      <c r="T425" s="412"/>
      <c r="U425" s="413"/>
      <c r="V425" s="419"/>
      <c r="W425" s="413"/>
      <c r="X425" s="420"/>
      <c r="Y425" s="421"/>
      <c r="Z425" s="412"/>
      <c r="AA425" s="417"/>
      <c r="AB425" s="413"/>
      <c r="AC425" s="422"/>
    </row>
    <row r="426" spans="1:29" x14ac:dyDescent="0.35">
      <c r="A426" s="406"/>
      <c r="B426" s="407"/>
      <c r="C426" s="408"/>
      <c r="D426" s="409"/>
      <c r="E426" s="410"/>
      <c r="F426" s="410"/>
      <c r="G426" s="409"/>
      <c r="H426" s="411"/>
      <c r="I426" s="412"/>
      <c r="J426" s="413"/>
      <c r="K426" s="414"/>
      <c r="L426" s="415"/>
      <c r="M426" s="414"/>
      <c r="N426" s="416"/>
      <c r="O426" s="417"/>
      <c r="P426" s="414"/>
      <c r="Q426" s="415"/>
      <c r="R426" s="414"/>
      <c r="S426" s="418"/>
      <c r="T426" s="412"/>
      <c r="U426" s="413"/>
      <c r="V426" s="419"/>
      <c r="W426" s="413"/>
      <c r="X426" s="420"/>
      <c r="Y426" s="421"/>
      <c r="Z426" s="412"/>
      <c r="AA426" s="417"/>
      <c r="AB426" s="413"/>
      <c r="AC426" s="422"/>
    </row>
    <row r="427" spans="1:29" x14ac:dyDescent="0.35">
      <c r="A427" s="406"/>
      <c r="B427" s="407"/>
      <c r="C427" s="408"/>
      <c r="D427" s="409"/>
      <c r="E427" s="410"/>
      <c r="F427" s="410"/>
      <c r="G427" s="409"/>
      <c r="H427" s="411"/>
      <c r="I427" s="412"/>
      <c r="J427" s="413"/>
      <c r="K427" s="414"/>
      <c r="L427" s="415"/>
      <c r="M427" s="414"/>
      <c r="N427" s="416"/>
      <c r="O427" s="417"/>
      <c r="P427" s="414"/>
      <c r="Q427" s="415"/>
      <c r="R427" s="414"/>
      <c r="S427" s="418"/>
      <c r="T427" s="412"/>
      <c r="U427" s="413"/>
      <c r="V427" s="419"/>
      <c r="W427" s="413"/>
      <c r="X427" s="420"/>
      <c r="Y427" s="421"/>
      <c r="Z427" s="412"/>
      <c r="AA427" s="417"/>
      <c r="AB427" s="413"/>
      <c r="AC427" s="422"/>
    </row>
    <row r="428" spans="1:29" x14ac:dyDescent="0.35">
      <c r="A428" s="406"/>
      <c r="B428" s="407"/>
      <c r="C428" s="408"/>
      <c r="D428" s="409"/>
      <c r="E428" s="410"/>
      <c r="F428" s="410"/>
      <c r="G428" s="409"/>
      <c r="H428" s="411"/>
      <c r="I428" s="412"/>
      <c r="J428" s="413"/>
      <c r="K428" s="414"/>
      <c r="L428" s="415"/>
      <c r="M428" s="414"/>
      <c r="N428" s="416"/>
      <c r="O428" s="417"/>
      <c r="P428" s="414"/>
      <c r="Q428" s="415"/>
      <c r="R428" s="414"/>
      <c r="S428" s="418"/>
      <c r="T428" s="412"/>
      <c r="U428" s="413"/>
      <c r="V428" s="419"/>
      <c r="W428" s="413"/>
      <c r="X428" s="420"/>
      <c r="Y428" s="421"/>
      <c r="Z428" s="412"/>
      <c r="AA428" s="417"/>
      <c r="AB428" s="413"/>
      <c r="AC428" s="422"/>
    </row>
    <row r="429" spans="1:29" x14ac:dyDescent="0.35">
      <c r="A429" s="406"/>
      <c r="B429" s="407"/>
      <c r="C429" s="408"/>
      <c r="D429" s="409"/>
      <c r="E429" s="410"/>
      <c r="F429" s="410"/>
      <c r="G429" s="409"/>
      <c r="H429" s="411"/>
      <c r="I429" s="412"/>
      <c r="J429" s="413"/>
      <c r="K429" s="414"/>
      <c r="L429" s="415"/>
      <c r="M429" s="414"/>
      <c r="N429" s="416"/>
      <c r="O429" s="417"/>
      <c r="P429" s="414"/>
      <c r="Q429" s="415"/>
      <c r="R429" s="414"/>
      <c r="S429" s="418"/>
      <c r="T429" s="412"/>
      <c r="U429" s="413"/>
      <c r="V429" s="419"/>
      <c r="W429" s="413"/>
      <c r="X429" s="420"/>
      <c r="Y429" s="421"/>
      <c r="Z429" s="412"/>
      <c r="AA429" s="417"/>
      <c r="AB429" s="413"/>
      <c r="AC429" s="422"/>
    </row>
    <row r="430" spans="1:29" x14ac:dyDescent="0.35">
      <c r="A430" s="406"/>
      <c r="B430" s="407"/>
      <c r="C430" s="408"/>
      <c r="D430" s="409"/>
      <c r="E430" s="410"/>
      <c r="F430" s="410"/>
      <c r="G430" s="409"/>
      <c r="H430" s="411"/>
      <c r="I430" s="412"/>
      <c r="J430" s="413"/>
      <c r="K430" s="414"/>
      <c r="L430" s="415"/>
      <c r="M430" s="414"/>
      <c r="N430" s="416"/>
      <c r="O430" s="417"/>
      <c r="P430" s="414"/>
      <c r="Q430" s="415"/>
      <c r="R430" s="414"/>
      <c r="S430" s="418"/>
      <c r="T430" s="412"/>
      <c r="U430" s="413"/>
      <c r="V430" s="419"/>
      <c r="W430" s="413"/>
      <c r="X430" s="420"/>
      <c r="Y430" s="421"/>
      <c r="Z430" s="412"/>
      <c r="AA430" s="417"/>
      <c r="AB430" s="413"/>
      <c r="AC430" s="422"/>
    </row>
    <row r="431" spans="1:29" x14ac:dyDescent="0.35">
      <c r="A431" s="406"/>
      <c r="B431" s="407"/>
      <c r="C431" s="408"/>
      <c r="D431" s="409"/>
      <c r="E431" s="410"/>
      <c r="F431" s="410"/>
      <c r="G431" s="409"/>
      <c r="H431" s="411"/>
      <c r="I431" s="412"/>
      <c r="J431" s="413"/>
      <c r="K431" s="414"/>
      <c r="L431" s="415"/>
      <c r="M431" s="414"/>
      <c r="N431" s="416"/>
      <c r="O431" s="417"/>
      <c r="P431" s="414"/>
      <c r="Q431" s="415"/>
      <c r="R431" s="414"/>
      <c r="S431" s="418"/>
      <c r="T431" s="412"/>
      <c r="U431" s="413"/>
      <c r="V431" s="419"/>
      <c r="W431" s="413"/>
      <c r="X431" s="420"/>
      <c r="Y431" s="421"/>
      <c r="Z431" s="412"/>
      <c r="AA431" s="417"/>
      <c r="AB431" s="413"/>
      <c r="AC431" s="422"/>
    </row>
    <row r="432" spans="1:29" x14ac:dyDescent="0.35">
      <c r="A432" s="406"/>
      <c r="B432" s="407"/>
      <c r="C432" s="408"/>
      <c r="D432" s="409"/>
      <c r="E432" s="410"/>
      <c r="F432" s="410"/>
      <c r="G432" s="409"/>
      <c r="H432" s="411"/>
      <c r="I432" s="412"/>
      <c r="J432" s="413"/>
      <c r="K432" s="414"/>
      <c r="L432" s="415"/>
      <c r="M432" s="414"/>
      <c r="N432" s="416"/>
      <c r="O432" s="417"/>
      <c r="P432" s="414"/>
      <c r="Q432" s="415"/>
      <c r="R432" s="414"/>
      <c r="S432" s="418"/>
      <c r="T432" s="412"/>
      <c r="U432" s="413"/>
      <c r="V432" s="419"/>
      <c r="W432" s="413"/>
      <c r="X432" s="420"/>
      <c r="Y432" s="421"/>
      <c r="Z432" s="412"/>
      <c r="AA432" s="417"/>
      <c r="AB432" s="413"/>
      <c r="AC432" s="422"/>
    </row>
    <row r="433" spans="1:29" x14ac:dyDescent="0.35">
      <c r="A433" s="406"/>
      <c r="B433" s="407"/>
      <c r="C433" s="408"/>
      <c r="D433" s="409"/>
      <c r="E433" s="410"/>
      <c r="F433" s="410"/>
      <c r="G433" s="409"/>
      <c r="H433" s="411"/>
      <c r="I433" s="412"/>
      <c r="J433" s="413"/>
      <c r="K433" s="414"/>
      <c r="L433" s="415"/>
      <c r="M433" s="414"/>
      <c r="N433" s="416"/>
      <c r="O433" s="417"/>
      <c r="P433" s="414"/>
      <c r="Q433" s="415"/>
      <c r="R433" s="414"/>
      <c r="S433" s="418"/>
      <c r="T433" s="412"/>
      <c r="U433" s="413"/>
      <c r="V433" s="419"/>
      <c r="W433" s="413"/>
      <c r="X433" s="420"/>
      <c r="Y433" s="421"/>
      <c r="Z433" s="412"/>
      <c r="AA433" s="417"/>
      <c r="AB433" s="413"/>
      <c r="AC433" s="422"/>
    </row>
    <row r="434" spans="1:29" x14ac:dyDescent="0.35">
      <c r="A434" s="406"/>
      <c r="B434" s="407"/>
      <c r="C434" s="408"/>
      <c r="D434" s="409"/>
      <c r="E434" s="410"/>
      <c r="F434" s="410"/>
      <c r="G434" s="409"/>
      <c r="H434" s="411"/>
      <c r="I434" s="412"/>
      <c r="J434" s="413"/>
      <c r="K434" s="414"/>
      <c r="L434" s="415"/>
      <c r="M434" s="414"/>
      <c r="N434" s="416"/>
      <c r="O434" s="417"/>
      <c r="P434" s="414"/>
      <c r="Q434" s="415"/>
      <c r="R434" s="414"/>
      <c r="S434" s="418"/>
      <c r="T434" s="412"/>
      <c r="U434" s="413"/>
      <c r="V434" s="419"/>
      <c r="W434" s="413"/>
      <c r="X434" s="420"/>
      <c r="Y434" s="421"/>
      <c r="Z434" s="412"/>
      <c r="AA434" s="417"/>
      <c r="AB434" s="413"/>
      <c r="AC434" s="422"/>
    </row>
    <row r="435" spans="1:29" x14ac:dyDescent="0.35">
      <c r="A435" s="406"/>
      <c r="B435" s="407"/>
      <c r="C435" s="408"/>
      <c r="D435" s="409"/>
      <c r="E435" s="410"/>
      <c r="F435" s="410"/>
      <c r="G435" s="409"/>
      <c r="H435" s="411"/>
      <c r="I435" s="412"/>
      <c r="J435" s="413"/>
      <c r="K435" s="414"/>
      <c r="L435" s="415"/>
      <c r="M435" s="414"/>
      <c r="N435" s="416"/>
      <c r="O435" s="417"/>
      <c r="P435" s="414"/>
      <c r="Q435" s="415"/>
      <c r="R435" s="414"/>
      <c r="S435" s="418"/>
      <c r="T435" s="412"/>
      <c r="U435" s="413"/>
      <c r="V435" s="419"/>
      <c r="W435" s="413"/>
      <c r="X435" s="420"/>
      <c r="Y435" s="421"/>
      <c r="Z435" s="412"/>
      <c r="AA435" s="417"/>
      <c r="AB435" s="413"/>
      <c r="AC435" s="422"/>
    </row>
    <row r="436" spans="1:29" x14ac:dyDescent="0.35">
      <c r="A436" s="406"/>
      <c r="B436" s="407"/>
      <c r="C436" s="408"/>
      <c r="D436" s="409"/>
      <c r="E436" s="410"/>
      <c r="F436" s="410"/>
      <c r="G436" s="409"/>
      <c r="H436" s="411"/>
      <c r="I436" s="412"/>
      <c r="J436" s="413"/>
      <c r="K436" s="414"/>
      <c r="L436" s="415"/>
      <c r="M436" s="414"/>
      <c r="N436" s="416"/>
      <c r="O436" s="417"/>
      <c r="P436" s="414"/>
      <c r="Q436" s="415"/>
      <c r="R436" s="414"/>
      <c r="S436" s="418"/>
      <c r="T436" s="412"/>
      <c r="U436" s="413"/>
      <c r="V436" s="419"/>
      <c r="W436" s="413"/>
      <c r="X436" s="420"/>
      <c r="Y436" s="421"/>
      <c r="Z436" s="412"/>
      <c r="AA436" s="417"/>
      <c r="AB436" s="413"/>
      <c r="AC436" s="422"/>
    </row>
    <row r="437" spans="1:29" x14ac:dyDescent="0.35">
      <c r="A437" s="406"/>
      <c r="B437" s="407"/>
      <c r="C437" s="408"/>
      <c r="D437" s="409"/>
      <c r="E437" s="410"/>
      <c r="F437" s="410"/>
      <c r="G437" s="409"/>
      <c r="H437" s="411"/>
      <c r="I437" s="412"/>
      <c r="J437" s="413"/>
      <c r="K437" s="414"/>
      <c r="L437" s="415"/>
      <c r="M437" s="414"/>
      <c r="N437" s="416"/>
      <c r="O437" s="417"/>
      <c r="P437" s="414"/>
      <c r="Q437" s="415"/>
      <c r="R437" s="414"/>
      <c r="S437" s="418"/>
      <c r="T437" s="412"/>
      <c r="U437" s="413"/>
      <c r="V437" s="419"/>
      <c r="W437" s="413"/>
      <c r="X437" s="420"/>
      <c r="Y437" s="421"/>
      <c r="Z437" s="412"/>
      <c r="AA437" s="417"/>
      <c r="AB437" s="413"/>
      <c r="AC437" s="422"/>
    </row>
    <row r="438" spans="1:29" x14ac:dyDescent="0.35">
      <c r="A438" s="406"/>
      <c r="B438" s="407"/>
      <c r="C438" s="408"/>
      <c r="D438" s="409"/>
      <c r="E438" s="410"/>
      <c r="F438" s="410"/>
      <c r="G438" s="409"/>
      <c r="H438" s="411"/>
      <c r="I438" s="412"/>
      <c r="J438" s="413"/>
      <c r="K438" s="414"/>
      <c r="L438" s="415"/>
      <c r="M438" s="414"/>
      <c r="N438" s="416"/>
      <c r="O438" s="417"/>
      <c r="P438" s="414"/>
      <c r="Q438" s="415"/>
      <c r="R438" s="414"/>
      <c r="S438" s="418"/>
      <c r="T438" s="412"/>
      <c r="U438" s="413"/>
      <c r="V438" s="419"/>
      <c r="W438" s="413"/>
      <c r="X438" s="420"/>
      <c r="Y438" s="421"/>
      <c r="Z438" s="412"/>
      <c r="AA438" s="417"/>
      <c r="AB438" s="413"/>
      <c r="AC438" s="422"/>
    </row>
    <row r="439" spans="1:29" x14ac:dyDescent="0.35">
      <c r="A439" s="406"/>
      <c r="B439" s="407"/>
      <c r="C439" s="408"/>
      <c r="D439" s="409"/>
      <c r="E439" s="410"/>
      <c r="F439" s="410"/>
      <c r="G439" s="409"/>
      <c r="H439" s="411"/>
      <c r="I439" s="412"/>
      <c r="J439" s="413"/>
      <c r="K439" s="414"/>
      <c r="L439" s="415"/>
      <c r="M439" s="414"/>
      <c r="N439" s="416"/>
      <c r="O439" s="417"/>
      <c r="P439" s="414"/>
      <c r="Q439" s="415"/>
      <c r="R439" s="414"/>
      <c r="S439" s="418"/>
      <c r="T439" s="412"/>
      <c r="U439" s="413"/>
      <c r="V439" s="419"/>
      <c r="W439" s="413"/>
      <c r="X439" s="420"/>
      <c r="Y439" s="421"/>
      <c r="Z439" s="412"/>
      <c r="AA439" s="417"/>
      <c r="AB439" s="413"/>
      <c r="AC439" s="422"/>
    </row>
    <row r="440" spans="1:29" x14ac:dyDescent="0.35">
      <c r="A440" s="406"/>
      <c r="B440" s="407"/>
      <c r="C440" s="408"/>
      <c r="D440" s="409"/>
      <c r="E440" s="410"/>
      <c r="F440" s="410"/>
      <c r="G440" s="409"/>
      <c r="H440" s="411"/>
      <c r="I440" s="412"/>
      <c r="J440" s="413"/>
      <c r="K440" s="414"/>
      <c r="L440" s="415"/>
      <c r="M440" s="414"/>
      <c r="N440" s="416"/>
      <c r="O440" s="417"/>
      <c r="P440" s="414"/>
      <c r="Q440" s="415"/>
      <c r="R440" s="414"/>
      <c r="S440" s="418"/>
      <c r="T440" s="412"/>
      <c r="U440" s="413"/>
      <c r="V440" s="419"/>
      <c r="W440" s="413"/>
      <c r="X440" s="420"/>
      <c r="Y440" s="421"/>
      <c r="Z440" s="412"/>
      <c r="AA440" s="417"/>
      <c r="AB440" s="413"/>
      <c r="AC440" s="422"/>
    </row>
    <row r="441" spans="1:29" x14ac:dyDescent="0.35">
      <c r="A441" s="406"/>
      <c r="B441" s="407"/>
      <c r="C441" s="408"/>
      <c r="D441" s="409"/>
      <c r="E441" s="410"/>
      <c r="F441" s="410"/>
      <c r="G441" s="409"/>
      <c r="H441" s="411"/>
      <c r="I441" s="412"/>
      <c r="J441" s="413"/>
      <c r="K441" s="414"/>
      <c r="L441" s="415"/>
      <c r="M441" s="414"/>
      <c r="N441" s="416"/>
      <c r="O441" s="417"/>
      <c r="P441" s="414"/>
      <c r="Q441" s="415"/>
      <c r="R441" s="414"/>
      <c r="S441" s="418"/>
      <c r="T441" s="412"/>
      <c r="U441" s="413"/>
      <c r="V441" s="419"/>
      <c r="W441" s="413"/>
      <c r="X441" s="420"/>
      <c r="Y441" s="421"/>
      <c r="Z441" s="412"/>
      <c r="AA441" s="417"/>
      <c r="AB441" s="413"/>
      <c r="AC441" s="422"/>
    </row>
    <row r="442" spans="1:29" x14ac:dyDescent="0.35">
      <c r="A442" s="406"/>
      <c r="B442" s="407"/>
      <c r="C442" s="408"/>
      <c r="D442" s="409"/>
      <c r="E442" s="410"/>
      <c r="F442" s="410"/>
      <c r="G442" s="409"/>
      <c r="H442" s="411"/>
      <c r="I442" s="412"/>
      <c r="J442" s="413"/>
      <c r="K442" s="414"/>
      <c r="L442" s="415"/>
      <c r="M442" s="414"/>
      <c r="N442" s="416"/>
      <c r="O442" s="417"/>
      <c r="P442" s="414"/>
      <c r="Q442" s="415"/>
      <c r="R442" s="414"/>
      <c r="S442" s="418"/>
      <c r="T442" s="412"/>
      <c r="U442" s="413"/>
      <c r="V442" s="419"/>
      <c r="W442" s="413"/>
      <c r="X442" s="420"/>
      <c r="Y442" s="421"/>
      <c r="Z442" s="412"/>
      <c r="AA442" s="417"/>
      <c r="AB442" s="413"/>
      <c r="AC442" s="422"/>
    </row>
    <row r="443" spans="1:29" x14ac:dyDescent="0.35">
      <c r="A443" s="406"/>
      <c r="B443" s="407"/>
      <c r="C443" s="408"/>
      <c r="D443" s="409"/>
      <c r="E443" s="410"/>
      <c r="F443" s="410"/>
      <c r="G443" s="409"/>
      <c r="H443" s="411"/>
      <c r="I443" s="412"/>
      <c r="J443" s="413"/>
      <c r="K443" s="414"/>
      <c r="L443" s="415"/>
      <c r="M443" s="414"/>
      <c r="N443" s="416"/>
      <c r="O443" s="417"/>
      <c r="P443" s="414"/>
      <c r="Q443" s="415"/>
      <c r="R443" s="414"/>
      <c r="S443" s="418"/>
      <c r="T443" s="412"/>
      <c r="U443" s="413"/>
      <c r="V443" s="419"/>
      <c r="W443" s="413"/>
      <c r="X443" s="420"/>
      <c r="Y443" s="421"/>
      <c r="Z443" s="412"/>
      <c r="AA443" s="417"/>
      <c r="AB443" s="413"/>
      <c r="AC443" s="422"/>
    </row>
    <row r="444" spans="1:29" x14ac:dyDescent="0.35">
      <c r="A444" s="406"/>
      <c r="B444" s="407"/>
      <c r="C444" s="408"/>
      <c r="D444" s="409"/>
      <c r="E444" s="410"/>
      <c r="F444" s="410"/>
      <c r="G444" s="409"/>
      <c r="H444" s="411"/>
      <c r="I444" s="412"/>
      <c r="J444" s="413"/>
      <c r="K444" s="414"/>
      <c r="L444" s="415"/>
      <c r="M444" s="414"/>
      <c r="N444" s="416"/>
      <c r="O444" s="417"/>
      <c r="P444" s="414"/>
      <c r="Q444" s="415"/>
      <c r="R444" s="414"/>
      <c r="S444" s="418"/>
      <c r="T444" s="412"/>
      <c r="U444" s="413"/>
      <c r="V444" s="419"/>
      <c r="W444" s="413"/>
      <c r="X444" s="420"/>
      <c r="Y444" s="421"/>
      <c r="Z444" s="412"/>
      <c r="AA444" s="417"/>
      <c r="AB444" s="413"/>
      <c r="AC444" s="422"/>
    </row>
    <row r="445" spans="1:29" x14ac:dyDescent="0.35">
      <c r="A445" s="406"/>
      <c r="B445" s="407"/>
      <c r="C445" s="408"/>
      <c r="D445" s="409"/>
      <c r="E445" s="410"/>
      <c r="F445" s="410"/>
      <c r="G445" s="409"/>
      <c r="H445" s="411"/>
      <c r="I445" s="412"/>
      <c r="J445" s="413"/>
      <c r="K445" s="414"/>
      <c r="L445" s="415"/>
      <c r="M445" s="414"/>
      <c r="N445" s="416"/>
      <c r="O445" s="417"/>
      <c r="P445" s="414"/>
      <c r="Q445" s="415"/>
      <c r="R445" s="414"/>
      <c r="S445" s="418"/>
      <c r="T445" s="412"/>
      <c r="U445" s="413"/>
      <c r="V445" s="419"/>
      <c r="W445" s="413"/>
      <c r="X445" s="420"/>
      <c r="Y445" s="421"/>
      <c r="Z445" s="412"/>
      <c r="AA445" s="417"/>
      <c r="AB445" s="413"/>
      <c r="AC445" s="422"/>
    </row>
    <row r="446" spans="1:29" x14ac:dyDescent="0.35">
      <c r="A446" s="406"/>
      <c r="B446" s="407"/>
      <c r="C446" s="408"/>
      <c r="D446" s="409"/>
      <c r="E446" s="410"/>
      <c r="F446" s="410"/>
      <c r="G446" s="409"/>
      <c r="H446" s="411"/>
      <c r="I446" s="412"/>
      <c r="J446" s="413"/>
      <c r="K446" s="414"/>
      <c r="L446" s="415"/>
      <c r="M446" s="414"/>
      <c r="N446" s="416"/>
      <c r="O446" s="417"/>
      <c r="P446" s="414"/>
      <c r="Q446" s="415"/>
      <c r="R446" s="414"/>
      <c r="S446" s="418"/>
      <c r="T446" s="412"/>
      <c r="U446" s="413"/>
      <c r="V446" s="419"/>
      <c r="W446" s="413"/>
      <c r="X446" s="420"/>
      <c r="Y446" s="421"/>
      <c r="Z446" s="412"/>
      <c r="AA446" s="417"/>
      <c r="AB446" s="413"/>
      <c r="AC446" s="422"/>
    </row>
    <row r="447" spans="1:29" x14ac:dyDescent="0.35">
      <c r="A447" s="406"/>
      <c r="B447" s="407"/>
      <c r="C447" s="408"/>
      <c r="D447" s="409"/>
      <c r="E447" s="410"/>
      <c r="F447" s="410"/>
      <c r="G447" s="409"/>
      <c r="H447" s="411"/>
      <c r="I447" s="412"/>
      <c r="J447" s="413"/>
      <c r="K447" s="414"/>
      <c r="L447" s="415"/>
      <c r="M447" s="414"/>
      <c r="N447" s="416"/>
      <c r="O447" s="417"/>
      <c r="P447" s="414"/>
      <c r="Q447" s="415"/>
      <c r="R447" s="414"/>
      <c r="S447" s="418"/>
      <c r="T447" s="412"/>
      <c r="U447" s="413"/>
      <c r="V447" s="419"/>
      <c r="W447" s="413"/>
      <c r="X447" s="420"/>
      <c r="Y447" s="421"/>
      <c r="Z447" s="412"/>
      <c r="AA447" s="417"/>
      <c r="AB447" s="413"/>
      <c r="AC447" s="422"/>
    </row>
    <row r="448" spans="1:29" x14ac:dyDescent="0.35">
      <c r="A448" s="406"/>
      <c r="B448" s="407"/>
      <c r="C448" s="408"/>
      <c r="D448" s="409"/>
      <c r="E448" s="410"/>
      <c r="F448" s="410"/>
      <c r="G448" s="409"/>
      <c r="H448" s="411"/>
      <c r="I448" s="412"/>
      <c r="J448" s="413"/>
      <c r="K448" s="414"/>
      <c r="L448" s="415"/>
      <c r="M448" s="414"/>
      <c r="N448" s="416"/>
      <c r="O448" s="417"/>
      <c r="P448" s="414"/>
      <c r="Q448" s="415"/>
      <c r="R448" s="414"/>
      <c r="S448" s="418"/>
      <c r="T448" s="412"/>
      <c r="U448" s="413"/>
      <c r="V448" s="419"/>
      <c r="W448" s="413"/>
      <c r="X448" s="420"/>
      <c r="Y448" s="421"/>
      <c r="Z448" s="412"/>
      <c r="AA448" s="417"/>
      <c r="AB448" s="413"/>
      <c r="AC448" s="422"/>
    </row>
    <row r="449" spans="1:29" x14ac:dyDescent="0.35">
      <c r="A449" s="406"/>
      <c r="B449" s="407"/>
      <c r="C449" s="408"/>
      <c r="D449" s="409"/>
      <c r="E449" s="410"/>
      <c r="F449" s="410"/>
      <c r="G449" s="409"/>
      <c r="H449" s="411"/>
      <c r="I449" s="412"/>
      <c r="J449" s="413"/>
      <c r="K449" s="414"/>
      <c r="L449" s="415"/>
      <c r="M449" s="414"/>
      <c r="N449" s="416"/>
      <c r="O449" s="417"/>
      <c r="P449" s="414"/>
      <c r="Q449" s="415"/>
      <c r="R449" s="414"/>
      <c r="S449" s="418"/>
      <c r="T449" s="412"/>
      <c r="U449" s="413"/>
      <c r="V449" s="419"/>
      <c r="W449" s="413"/>
      <c r="X449" s="420"/>
      <c r="Y449" s="421"/>
      <c r="Z449" s="412"/>
      <c r="AA449" s="417"/>
      <c r="AB449" s="413"/>
      <c r="AC449" s="422"/>
    </row>
    <row r="450" spans="1:29" x14ac:dyDescent="0.35">
      <c r="A450" s="406"/>
      <c r="B450" s="407"/>
      <c r="C450" s="408"/>
      <c r="D450" s="409"/>
      <c r="E450" s="410"/>
      <c r="F450" s="410"/>
      <c r="G450" s="409"/>
      <c r="H450" s="411"/>
      <c r="I450" s="412"/>
      <c r="J450" s="413"/>
      <c r="K450" s="414"/>
      <c r="L450" s="415"/>
      <c r="M450" s="414"/>
      <c r="N450" s="416"/>
      <c r="O450" s="417"/>
      <c r="P450" s="414"/>
      <c r="Q450" s="415"/>
      <c r="R450" s="414"/>
      <c r="S450" s="418"/>
      <c r="T450" s="412"/>
      <c r="U450" s="413"/>
      <c r="V450" s="419"/>
      <c r="W450" s="413"/>
      <c r="X450" s="420"/>
      <c r="Y450" s="421"/>
      <c r="Z450" s="412"/>
      <c r="AA450" s="417"/>
      <c r="AB450" s="413"/>
      <c r="AC450" s="422"/>
    </row>
    <row r="451" spans="1:29" x14ac:dyDescent="0.35">
      <c r="A451" s="406"/>
      <c r="B451" s="407"/>
      <c r="C451" s="408"/>
      <c r="D451" s="409"/>
      <c r="E451" s="410"/>
      <c r="F451" s="410"/>
      <c r="G451" s="409"/>
      <c r="H451" s="411"/>
      <c r="I451" s="412"/>
      <c r="J451" s="413"/>
      <c r="K451" s="414"/>
      <c r="L451" s="415"/>
      <c r="M451" s="414"/>
      <c r="N451" s="416"/>
      <c r="O451" s="417"/>
      <c r="P451" s="414"/>
      <c r="Q451" s="415"/>
      <c r="R451" s="414"/>
      <c r="S451" s="418"/>
      <c r="T451" s="412"/>
      <c r="U451" s="413"/>
      <c r="V451" s="419"/>
      <c r="W451" s="413"/>
      <c r="X451" s="420"/>
      <c r="Y451" s="421"/>
      <c r="Z451" s="412"/>
      <c r="AA451" s="417"/>
      <c r="AB451" s="413"/>
      <c r="AC451" s="422"/>
    </row>
    <row r="452" spans="1:29" x14ac:dyDescent="0.35">
      <c r="A452" s="406"/>
      <c r="B452" s="407"/>
      <c r="C452" s="408"/>
      <c r="D452" s="409"/>
      <c r="E452" s="410"/>
      <c r="F452" s="410"/>
      <c r="G452" s="409"/>
      <c r="H452" s="411"/>
      <c r="I452" s="412"/>
      <c r="J452" s="413"/>
      <c r="K452" s="414"/>
      <c r="L452" s="415"/>
      <c r="M452" s="414"/>
      <c r="N452" s="416"/>
      <c r="O452" s="417"/>
      <c r="P452" s="414"/>
      <c r="Q452" s="415"/>
      <c r="R452" s="414"/>
      <c r="S452" s="418"/>
      <c r="T452" s="412"/>
      <c r="U452" s="413"/>
      <c r="V452" s="419"/>
      <c r="W452" s="413"/>
      <c r="X452" s="420"/>
      <c r="Y452" s="421"/>
      <c r="Z452" s="412"/>
      <c r="AA452" s="417"/>
      <c r="AB452" s="413"/>
      <c r="AC452" s="422"/>
    </row>
    <row r="453" spans="1:29" x14ac:dyDescent="0.35">
      <c r="A453" s="406"/>
      <c r="B453" s="407"/>
      <c r="C453" s="408"/>
      <c r="D453" s="409"/>
      <c r="E453" s="410"/>
      <c r="F453" s="410"/>
      <c r="G453" s="409"/>
      <c r="H453" s="411"/>
      <c r="I453" s="412"/>
      <c r="J453" s="413"/>
      <c r="K453" s="414"/>
      <c r="L453" s="415"/>
      <c r="M453" s="414"/>
      <c r="N453" s="416"/>
      <c r="O453" s="417"/>
      <c r="P453" s="414"/>
      <c r="Q453" s="415"/>
      <c r="R453" s="414"/>
      <c r="S453" s="418"/>
      <c r="T453" s="412"/>
      <c r="U453" s="413"/>
      <c r="V453" s="419"/>
      <c r="W453" s="413"/>
      <c r="X453" s="420"/>
      <c r="Y453" s="421"/>
      <c r="Z453" s="412"/>
      <c r="AA453" s="417"/>
      <c r="AB453" s="413"/>
      <c r="AC453" s="422"/>
    </row>
    <row r="454" spans="1:29" x14ac:dyDescent="0.35">
      <c r="A454" s="406"/>
      <c r="B454" s="407"/>
      <c r="C454" s="408"/>
      <c r="D454" s="409"/>
      <c r="E454" s="410"/>
      <c r="F454" s="410"/>
      <c r="G454" s="409"/>
      <c r="H454" s="411"/>
      <c r="I454" s="412"/>
      <c r="J454" s="413"/>
      <c r="K454" s="414"/>
      <c r="L454" s="415"/>
      <c r="M454" s="414"/>
      <c r="N454" s="416"/>
      <c r="O454" s="417"/>
      <c r="P454" s="414"/>
      <c r="Q454" s="415"/>
      <c r="R454" s="414"/>
      <c r="S454" s="418"/>
      <c r="T454" s="412"/>
      <c r="U454" s="413"/>
      <c r="V454" s="419"/>
      <c r="W454" s="413"/>
      <c r="X454" s="420"/>
      <c r="Y454" s="421"/>
      <c r="Z454" s="412"/>
      <c r="AA454" s="417"/>
      <c r="AB454" s="413"/>
      <c r="AC454" s="422"/>
    </row>
    <row r="455" spans="1:29" x14ac:dyDescent="0.35">
      <c r="A455" s="406"/>
      <c r="B455" s="407"/>
      <c r="C455" s="408"/>
      <c r="D455" s="409"/>
      <c r="E455" s="410"/>
      <c r="F455" s="410"/>
      <c r="G455" s="409"/>
      <c r="H455" s="411"/>
      <c r="I455" s="412"/>
      <c r="J455" s="413"/>
      <c r="K455" s="414"/>
      <c r="L455" s="415"/>
      <c r="M455" s="414"/>
      <c r="N455" s="416"/>
      <c r="O455" s="417"/>
      <c r="P455" s="414"/>
      <c r="Q455" s="415"/>
      <c r="R455" s="414"/>
      <c r="S455" s="418"/>
      <c r="T455" s="412"/>
      <c r="U455" s="413"/>
      <c r="V455" s="419"/>
      <c r="W455" s="413"/>
      <c r="X455" s="420"/>
      <c r="Y455" s="421"/>
      <c r="Z455" s="412"/>
      <c r="AA455" s="417"/>
      <c r="AB455" s="413"/>
      <c r="AC455" s="422"/>
    </row>
    <row r="456" spans="1:29" x14ac:dyDescent="0.35">
      <c r="A456" s="406"/>
      <c r="B456" s="407"/>
      <c r="C456" s="408"/>
      <c r="D456" s="409"/>
      <c r="E456" s="410"/>
      <c r="F456" s="410"/>
      <c r="G456" s="409"/>
      <c r="H456" s="411"/>
      <c r="I456" s="412"/>
      <c r="J456" s="413"/>
      <c r="K456" s="414"/>
      <c r="L456" s="415"/>
      <c r="M456" s="414"/>
      <c r="N456" s="416"/>
      <c r="O456" s="417"/>
      <c r="P456" s="414"/>
      <c r="Q456" s="415"/>
      <c r="R456" s="414"/>
      <c r="S456" s="418"/>
      <c r="T456" s="412"/>
      <c r="U456" s="413"/>
      <c r="V456" s="419"/>
      <c r="W456" s="413"/>
      <c r="X456" s="420"/>
      <c r="Y456" s="421"/>
      <c r="Z456" s="412"/>
      <c r="AA456" s="417"/>
      <c r="AB456" s="413"/>
      <c r="AC456" s="422"/>
    </row>
    <row r="457" spans="1:29" x14ac:dyDescent="0.35">
      <c r="A457" s="406"/>
      <c r="B457" s="407"/>
      <c r="C457" s="408"/>
      <c r="D457" s="409"/>
      <c r="E457" s="410"/>
      <c r="F457" s="410"/>
      <c r="G457" s="409"/>
      <c r="H457" s="411"/>
      <c r="I457" s="412"/>
      <c r="J457" s="413"/>
      <c r="K457" s="414"/>
      <c r="L457" s="415"/>
      <c r="M457" s="414"/>
      <c r="N457" s="416"/>
      <c r="O457" s="417"/>
      <c r="P457" s="414"/>
      <c r="Q457" s="415"/>
      <c r="R457" s="414"/>
      <c r="S457" s="418"/>
      <c r="T457" s="412"/>
      <c r="U457" s="413"/>
      <c r="V457" s="419"/>
      <c r="W457" s="413"/>
      <c r="X457" s="420"/>
      <c r="Y457" s="421"/>
      <c r="Z457" s="412"/>
      <c r="AA457" s="417"/>
      <c r="AB457" s="413"/>
      <c r="AC457" s="422"/>
    </row>
    <row r="458" spans="1:29" x14ac:dyDescent="0.35">
      <c r="A458" s="406"/>
      <c r="B458" s="407"/>
      <c r="C458" s="408"/>
      <c r="D458" s="409"/>
      <c r="E458" s="410"/>
      <c r="F458" s="410"/>
      <c r="G458" s="409"/>
      <c r="H458" s="411"/>
      <c r="I458" s="412"/>
      <c r="J458" s="413"/>
      <c r="K458" s="414"/>
      <c r="L458" s="415"/>
      <c r="M458" s="414"/>
      <c r="N458" s="416"/>
      <c r="O458" s="417"/>
      <c r="P458" s="414"/>
      <c r="Q458" s="415"/>
      <c r="R458" s="414"/>
      <c r="S458" s="418"/>
      <c r="T458" s="412"/>
      <c r="U458" s="413"/>
      <c r="V458" s="419"/>
      <c r="W458" s="413"/>
      <c r="X458" s="420"/>
      <c r="Y458" s="421"/>
      <c r="Z458" s="412"/>
      <c r="AA458" s="417"/>
      <c r="AB458" s="413"/>
      <c r="AC458" s="422"/>
    </row>
    <row r="459" spans="1:29" x14ac:dyDescent="0.35">
      <c r="A459" s="406"/>
      <c r="B459" s="407"/>
      <c r="C459" s="408"/>
      <c r="D459" s="409"/>
      <c r="E459" s="410"/>
      <c r="F459" s="410"/>
      <c r="G459" s="409"/>
      <c r="H459" s="411"/>
      <c r="I459" s="412"/>
      <c r="J459" s="413"/>
      <c r="K459" s="414"/>
      <c r="L459" s="415"/>
      <c r="M459" s="414"/>
      <c r="N459" s="416"/>
      <c r="O459" s="417"/>
      <c r="P459" s="414"/>
      <c r="Q459" s="415"/>
      <c r="R459" s="414"/>
      <c r="S459" s="418"/>
      <c r="T459" s="412"/>
      <c r="U459" s="413"/>
      <c r="V459" s="419"/>
      <c r="W459" s="413"/>
      <c r="X459" s="420"/>
      <c r="Y459" s="421"/>
      <c r="Z459" s="412"/>
      <c r="AA459" s="417"/>
      <c r="AB459" s="413"/>
      <c r="AC459" s="422"/>
    </row>
    <row r="460" spans="1:29" x14ac:dyDescent="0.35">
      <c r="A460" s="406"/>
      <c r="B460" s="407"/>
      <c r="C460" s="408"/>
      <c r="D460" s="409"/>
      <c r="E460" s="410"/>
      <c r="F460" s="410"/>
      <c r="G460" s="409"/>
      <c r="H460" s="411"/>
      <c r="I460" s="412"/>
      <c r="J460" s="413"/>
      <c r="K460" s="414"/>
      <c r="L460" s="415"/>
      <c r="M460" s="414"/>
      <c r="N460" s="416"/>
      <c r="O460" s="417"/>
      <c r="P460" s="414"/>
      <c r="Q460" s="415"/>
      <c r="R460" s="414"/>
      <c r="S460" s="418"/>
      <c r="T460" s="412"/>
      <c r="U460" s="413"/>
      <c r="V460" s="419"/>
      <c r="W460" s="413"/>
      <c r="X460" s="420"/>
      <c r="Y460" s="421"/>
      <c r="Z460" s="412"/>
      <c r="AA460" s="417"/>
      <c r="AB460" s="413"/>
      <c r="AC460" s="422"/>
    </row>
    <row r="461" spans="1:29" x14ac:dyDescent="0.35">
      <c r="A461" s="406"/>
      <c r="B461" s="407"/>
      <c r="C461" s="408"/>
      <c r="D461" s="409"/>
      <c r="E461" s="410"/>
      <c r="F461" s="410"/>
      <c r="G461" s="409"/>
      <c r="H461" s="411"/>
      <c r="I461" s="412"/>
      <c r="J461" s="413"/>
      <c r="K461" s="414"/>
      <c r="L461" s="415"/>
      <c r="M461" s="414"/>
      <c r="N461" s="416"/>
      <c r="O461" s="417"/>
      <c r="P461" s="414"/>
      <c r="Q461" s="415"/>
      <c r="R461" s="414"/>
      <c r="S461" s="418"/>
      <c r="T461" s="412"/>
      <c r="U461" s="413"/>
      <c r="V461" s="419"/>
      <c r="W461" s="413"/>
      <c r="X461" s="420"/>
      <c r="Y461" s="421"/>
      <c r="Z461" s="412"/>
      <c r="AA461" s="417"/>
      <c r="AB461" s="413"/>
      <c r="AC461" s="422"/>
    </row>
    <row r="462" spans="1:29" x14ac:dyDescent="0.35">
      <c r="A462" s="406"/>
      <c r="B462" s="407"/>
      <c r="C462" s="408"/>
      <c r="D462" s="409"/>
      <c r="E462" s="410"/>
      <c r="F462" s="410"/>
      <c r="G462" s="409"/>
      <c r="H462" s="411"/>
      <c r="I462" s="412"/>
      <c r="J462" s="413"/>
      <c r="K462" s="414"/>
      <c r="L462" s="415"/>
      <c r="M462" s="414"/>
      <c r="N462" s="416"/>
      <c r="O462" s="417"/>
      <c r="P462" s="414"/>
      <c r="Q462" s="415"/>
      <c r="R462" s="414"/>
      <c r="S462" s="418"/>
      <c r="T462" s="412"/>
      <c r="U462" s="413"/>
      <c r="V462" s="419"/>
      <c r="W462" s="413"/>
      <c r="X462" s="420"/>
      <c r="Y462" s="421"/>
      <c r="Z462" s="412"/>
      <c r="AA462" s="417"/>
      <c r="AB462" s="413"/>
      <c r="AC462" s="422"/>
    </row>
    <row r="463" spans="1:29" x14ac:dyDescent="0.35">
      <c r="A463" s="406"/>
      <c r="B463" s="407"/>
      <c r="C463" s="408"/>
      <c r="D463" s="409"/>
      <c r="E463" s="410"/>
      <c r="F463" s="410"/>
      <c r="G463" s="409"/>
      <c r="H463" s="411"/>
      <c r="I463" s="412"/>
      <c r="J463" s="413"/>
      <c r="K463" s="414"/>
      <c r="L463" s="415"/>
      <c r="M463" s="414"/>
      <c r="N463" s="416"/>
      <c r="O463" s="417"/>
      <c r="P463" s="414"/>
      <c r="Q463" s="415"/>
      <c r="R463" s="414"/>
      <c r="S463" s="418"/>
      <c r="T463" s="412"/>
      <c r="U463" s="413"/>
      <c r="V463" s="419"/>
      <c r="W463" s="413"/>
      <c r="X463" s="420"/>
      <c r="Y463" s="421"/>
      <c r="Z463" s="412"/>
      <c r="AA463" s="417"/>
      <c r="AB463" s="413"/>
      <c r="AC463" s="422"/>
    </row>
    <row r="464" spans="1:29" x14ac:dyDescent="0.35">
      <c r="A464" s="406"/>
      <c r="B464" s="407"/>
      <c r="C464" s="408"/>
      <c r="D464" s="409"/>
      <c r="E464" s="410"/>
      <c r="F464" s="410"/>
      <c r="G464" s="409"/>
      <c r="H464" s="411"/>
      <c r="I464" s="412"/>
      <c r="J464" s="413"/>
      <c r="K464" s="414"/>
      <c r="L464" s="415"/>
      <c r="M464" s="414"/>
      <c r="N464" s="416"/>
      <c r="O464" s="417"/>
      <c r="P464" s="414"/>
      <c r="Q464" s="415"/>
      <c r="R464" s="414"/>
      <c r="S464" s="418"/>
      <c r="T464" s="412"/>
      <c r="U464" s="413"/>
      <c r="V464" s="419"/>
      <c r="W464" s="413"/>
      <c r="X464" s="420"/>
      <c r="Y464" s="421"/>
      <c r="Z464" s="412"/>
      <c r="AA464" s="417"/>
      <c r="AB464" s="413"/>
      <c r="AC464" s="422"/>
    </row>
    <row r="465" spans="1:29" x14ac:dyDescent="0.35">
      <c r="A465" s="406"/>
      <c r="B465" s="407"/>
      <c r="C465" s="408"/>
      <c r="D465" s="409"/>
      <c r="E465" s="410"/>
      <c r="F465" s="410"/>
      <c r="G465" s="409"/>
      <c r="H465" s="411"/>
      <c r="I465" s="412"/>
      <c r="J465" s="413"/>
      <c r="K465" s="414"/>
      <c r="L465" s="415"/>
      <c r="M465" s="414"/>
      <c r="N465" s="416"/>
      <c r="O465" s="417"/>
      <c r="P465" s="414"/>
      <c r="Q465" s="415"/>
      <c r="R465" s="414"/>
      <c r="S465" s="418"/>
      <c r="T465" s="412"/>
      <c r="U465" s="413"/>
      <c r="V465" s="419"/>
      <c r="W465" s="413"/>
      <c r="X465" s="420"/>
      <c r="Y465" s="421"/>
      <c r="Z465" s="412"/>
      <c r="AA465" s="417"/>
      <c r="AB465" s="413"/>
      <c r="AC465" s="422"/>
    </row>
    <row r="466" spans="1:29" x14ac:dyDescent="0.35">
      <c r="A466" s="406"/>
      <c r="B466" s="407"/>
      <c r="C466" s="408"/>
      <c r="D466" s="409"/>
      <c r="E466" s="410"/>
      <c r="F466" s="410"/>
      <c r="G466" s="409"/>
      <c r="H466" s="411"/>
      <c r="I466" s="412"/>
      <c r="J466" s="413"/>
      <c r="K466" s="414"/>
      <c r="L466" s="415"/>
      <c r="M466" s="414"/>
      <c r="N466" s="416"/>
      <c r="O466" s="417"/>
      <c r="P466" s="414"/>
      <c r="Q466" s="415"/>
      <c r="R466" s="414"/>
      <c r="S466" s="418"/>
      <c r="T466" s="412"/>
      <c r="U466" s="413"/>
      <c r="V466" s="419"/>
      <c r="W466" s="413"/>
      <c r="X466" s="420"/>
      <c r="Y466" s="421"/>
      <c r="Z466" s="412"/>
      <c r="AA466" s="417"/>
      <c r="AB466" s="413"/>
      <c r="AC466" s="422"/>
    </row>
    <row r="467" spans="1:29" x14ac:dyDescent="0.35">
      <c r="A467" s="406"/>
      <c r="B467" s="407"/>
      <c r="C467" s="408"/>
      <c r="D467" s="409"/>
      <c r="E467" s="410"/>
      <c r="F467" s="410"/>
      <c r="G467" s="409"/>
      <c r="H467" s="411"/>
      <c r="I467" s="412"/>
      <c r="J467" s="413"/>
      <c r="K467" s="414"/>
      <c r="L467" s="415"/>
      <c r="M467" s="414"/>
      <c r="N467" s="416"/>
      <c r="O467" s="417"/>
      <c r="P467" s="414"/>
      <c r="Q467" s="415"/>
      <c r="R467" s="414"/>
      <c r="S467" s="418"/>
      <c r="T467" s="412"/>
      <c r="U467" s="413"/>
      <c r="V467" s="419"/>
      <c r="W467" s="413"/>
      <c r="X467" s="420"/>
      <c r="Y467" s="421"/>
      <c r="Z467" s="412"/>
      <c r="AA467" s="417"/>
      <c r="AB467" s="413"/>
      <c r="AC467" s="422"/>
    </row>
    <row r="468" spans="1:29" x14ac:dyDescent="0.35">
      <c r="A468" s="406"/>
      <c r="B468" s="407"/>
      <c r="C468" s="408"/>
      <c r="D468" s="409"/>
      <c r="E468" s="410"/>
      <c r="F468" s="410"/>
      <c r="G468" s="409"/>
      <c r="H468" s="411"/>
      <c r="I468" s="412"/>
      <c r="J468" s="413"/>
      <c r="K468" s="414"/>
      <c r="L468" s="415"/>
      <c r="M468" s="414"/>
      <c r="N468" s="416"/>
      <c r="O468" s="417"/>
      <c r="P468" s="414"/>
      <c r="Q468" s="415"/>
      <c r="R468" s="414"/>
      <c r="S468" s="418"/>
      <c r="T468" s="412"/>
      <c r="U468" s="413"/>
      <c r="V468" s="419"/>
      <c r="W468" s="413"/>
      <c r="X468" s="420"/>
      <c r="Y468" s="421"/>
      <c r="Z468" s="412"/>
      <c r="AA468" s="417"/>
      <c r="AB468" s="413"/>
      <c r="AC468" s="422"/>
    </row>
    <row r="469" spans="1:29" x14ac:dyDescent="0.35">
      <c r="A469" s="406"/>
      <c r="B469" s="407"/>
      <c r="C469" s="408"/>
      <c r="D469" s="409"/>
      <c r="E469" s="410"/>
      <c r="F469" s="410"/>
      <c r="G469" s="409"/>
      <c r="H469" s="411"/>
      <c r="I469" s="412"/>
      <c r="J469" s="413"/>
      <c r="K469" s="414"/>
      <c r="L469" s="415"/>
      <c r="M469" s="414"/>
      <c r="N469" s="416"/>
      <c r="O469" s="417"/>
      <c r="P469" s="414"/>
      <c r="Q469" s="415"/>
      <c r="R469" s="414"/>
      <c r="S469" s="418"/>
      <c r="T469" s="412"/>
      <c r="U469" s="413"/>
      <c r="V469" s="419"/>
      <c r="W469" s="413"/>
      <c r="X469" s="420"/>
      <c r="Y469" s="421"/>
      <c r="Z469" s="412"/>
      <c r="AA469" s="417"/>
      <c r="AB469" s="413"/>
      <c r="AC469" s="422"/>
    </row>
    <row r="470" spans="1:29" x14ac:dyDescent="0.35">
      <c r="A470" s="406"/>
      <c r="B470" s="407"/>
      <c r="C470" s="408"/>
      <c r="D470" s="409"/>
      <c r="E470" s="410"/>
      <c r="F470" s="410"/>
      <c r="G470" s="409"/>
      <c r="H470" s="411"/>
      <c r="I470" s="412"/>
      <c r="J470" s="413"/>
      <c r="K470" s="414"/>
      <c r="L470" s="415"/>
      <c r="M470" s="414"/>
      <c r="N470" s="416"/>
      <c r="O470" s="417"/>
      <c r="P470" s="414"/>
      <c r="Q470" s="415"/>
      <c r="R470" s="414"/>
      <c r="S470" s="418"/>
      <c r="T470" s="412"/>
      <c r="U470" s="413"/>
      <c r="V470" s="419"/>
      <c r="W470" s="413"/>
      <c r="X470" s="420"/>
      <c r="Y470" s="421"/>
      <c r="Z470" s="412"/>
      <c r="AA470" s="417"/>
      <c r="AB470" s="413"/>
      <c r="AC470" s="422"/>
    </row>
    <row r="471" spans="1:29" x14ac:dyDescent="0.35">
      <c r="A471" s="406"/>
      <c r="B471" s="407"/>
      <c r="C471" s="408"/>
      <c r="D471" s="409"/>
      <c r="E471" s="410"/>
      <c r="F471" s="410"/>
      <c r="G471" s="409"/>
      <c r="H471" s="411"/>
      <c r="I471" s="412"/>
      <c r="J471" s="413"/>
      <c r="K471" s="414"/>
      <c r="L471" s="415"/>
      <c r="M471" s="414"/>
      <c r="N471" s="416"/>
      <c r="O471" s="417"/>
      <c r="P471" s="414"/>
      <c r="Q471" s="415"/>
      <c r="R471" s="414"/>
      <c r="S471" s="418"/>
      <c r="T471" s="412"/>
      <c r="U471" s="413"/>
      <c r="V471" s="419"/>
      <c r="W471" s="413"/>
      <c r="X471" s="420"/>
      <c r="Y471" s="421"/>
      <c r="Z471" s="412"/>
      <c r="AA471" s="417"/>
      <c r="AB471" s="413"/>
      <c r="AC471" s="422"/>
    </row>
    <row r="472" spans="1:29" x14ac:dyDescent="0.35">
      <c r="A472" s="406"/>
      <c r="B472" s="407"/>
      <c r="C472" s="408"/>
      <c r="D472" s="409"/>
      <c r="E472" s="410"/>
      <c r="F472" s="410"/>
      <c r="G472" s="409"/>
      <c r="H472" s="411"/>
      <c r="I472" s="412"/>
      <c r="J472" s="413"/>
      <c r="K472" s="414"/>
      <c r="L472" s="415"/>
      <c r="M472" s="414"/>
      <c r="N472" s="416"/>
      <c r="O472" s="417"/>
      <c r="P472" s="414"/>
      <c r="Q472" s="415"/>
      <c r="R472" s="414"/>
      <c r="S472" s="418"/>
      <c r="T472" s="412"/>
      <c r="U472" s="413"/>
      <c r="V472" s="419"/>
      <c r="W472" s="413"/>
      <c r="X472" s="420"/>
      <c r="Y472" s="421"/>
      <c r="Z472" s="412"/>
      <c r="AA472" s="417"/>
      <c r="AB472" s="413"/>
      <c r="AC472" s="422"/>
    </row>
    <row r="473" spans="1:29" x14ac:dyDescent="0.35">
      <c r="A473" s="406"/>
      <c r="B473" s="407"/>
      <c r="C473" s="408"/>
      <c r="D473" s="409"/>
      <c r="E473" s="410"/>
      <c r="F473" s="410"/>
      <c r="G473" s="409"/>
      <c r="H473" s="411"/>
      <c r="I473" s="412"/>
      <c r="J473" s="413"/>
      <c r="K473" s="414"/>
      <c r="L473" s="415"/>
      <c r="M473" s="414"/>
      <c r="N473" s="416"/>
      <c r="O473" s="417"/>
      <c r="P473" s="414"/>
      <c r="Q473" s="415"/>
      <c r="R473" s="414"/>
      <c r="S473" s="418"/>
      <c r="T473" s="412"/>
      <c r="U473" s="413"/>
      <c r="V473" s="419"/>
      <c r="W473" s="413"/>
      <c r="X473" s="420"/>
      <c r="Y473" s="421"/>
      <c r="Z473" s="412"/>
      <c r="AA473" s="417"/>
      <c r="AB473" s="413"/>
      <c r="AC473" s="422"/>
    </row>
    <row r="474" spans="1:29" x14ac:dyDescent="0.35">
      <c r="A474" s="406"/>
      <c r="B474" s="407"/>
      <c r="C474" s="408"/>
      <c r="D474" s="409"/>
      <c r="E474" s="410"/>
      <c r="F474" s="410"/>
      <c r="G474" s="409"/>
      <c r="H474" s="411"/>
      <c r="I474" s="412"/>
      <c r="J474" s="413"/>
      <c r="K474" s="414"/>
      <c r="L474" s="415"/>
      <c r="M474" s="414"/>
      <c r="N474" s="416"/>
      <c r="O474" s="417"/>
      <c r="P474" s="414"/>
      <c r="Q474" s="415"/>
      <c r="R474" s="414"/>
      <c r="S474" s="418"/>
      <c r="T474" s="412"/>
      <c r="U474" s="413"/>
      <c r="V474" s="419"/>
      <c r="W474" s="413"/>
      <c r="X474" s="420"/>
      <c r="Y474" s="421"/>
      <c r="Z474" s="412"/>
      <c r="AA474" s="417"/>
      <c r="AB474" s="413"/>
      <c r="AC474" s="422"/>
    </row>
    <row r="475" spans="1:29" x14ac:dyDescent="0.35">
      <c r="A475" s="406"/>
      <c r="B475" s="407"/>
      <c r="C475" s="408"/>
      <c r="D475" s="409"/>
      <c r="E475" s="410"/>
      <c r="F475" s="410"/>
      <c r="G475" s="409"/>
      <c r="H475" s="411"/>
      <c r="I475" s="412"/>
      <c r="J475" s="413"/>
      <c r="K475" s="414"/>
      <c r="L475" s="415"/>
      <c r="M475" s="414"/>
      <c r="N475" s="416"/>
      <c r="O475" s="417"/>
      <c r="P475" s="414"/>
      <c r="Q475" s="415"/>
      <c r="R475" s="414"/>
      <c r="S475" s="418"/>
      <c r="T475" s="412"/>
      <c r="U475" s="413"/>
      <c r="V475" s="419"/>
      <c r="W475" s="413"/>
      <c r="X475" s="420"/>
      <c r="Y475" s="421"/>
      <c r="Z475" s="412"/>
      <c r="AA475" s="417"/>
      <c r="AB475" s="413"/>
      <c r="AC475" s="422"/>
    </row>
    <row r="476" spans="1:29" x14ac:dyDescent="0.35">
      <c r="A476" s="406"/>
      <c r="B476" s="407"/>
      <c r="C476" s="408"/>
      <c r="D476" s="409"/>
      <c r="E476" s="410"/>
      <c r="F476" s="410"/>
      <c r="G476" s="409"/>
      <c r="H476" s="411"/>
      <c r="I476" s="412"/>
      <c r="J476" s="413"/>
      <c r="K476" s="414"/>
      <c r="L476" s="415"/>
      <c r="M476" s="414"/>
      <c r="N476" s="416"/>
      <c r="O476" s="417"/>
      <c r="P476" s="414"/>
      <c r="Q476" s="415"/>
      <c r="R476" s="414"/>
      <c r="S476" s="418"/>
      <c r="T476" s="412"/>
      <c r="U476" s="413"/>
      <c r="V476" s="419"/>
      <c r="W476" s="413"/>
      <c r="X476" s="420"/>
      <c r="Y476" s="421"/>
      <c r="Z476" s="412"/>
      <c r="AA476" s="417"/>
      <c r="AB476" s="413"/>
      <c r="AC476" s="422"/>
    </row>
    <row r="477" spans="1:29" x14ac:dyDescent="0.35">
      <c r="A477" s="406"/>
      <c r="B477" s="407"/>
      <c r="C477" s="408"/>
      <c r="D477" s="409"/>
      <c r="E477" s="410"/>
      <c r="F477" s="410"/>
      <c r="G477" s="409"/>
      <c r="H477" s="411"/>
      <c r="I477" s="412"/>
      <c r="J477" s="413"/>
      <c r="K477" s="414"/>
      <c r="L477" s="415"/>
      <c r="M477" s="414"/>
      <c r="N477" s="416"/>
      <c r="O477" s="417"/>
      <c r="P477" s="414"/>
      <c r="Q477" s="415"/>
      <c r="R477" s="414"/>
      <c r="S477" s="418"/>
      <c r="T477" s="412"/>
      <c r="U477" s="413"/>
      <c r="V477" s="419"/>
      <c r="W477" s="413"/>
      <c r="X477" s="420"/>
      <c r="Y477" s="421"/>
      <c r="Z477" s="412"/>
      <c r="AA477" s="417"/>
      <c r="AB477" s="413"/>
      <c r="AC477" s="422"/>
    </row>
    <row r="478" spans="1:29" x14ac:dyDescent="0.35">
      <c r="A478" s="406"/>
      <c r="B478" s="407"/>
      <c r="C478" s="408"/>
      <c r="D478" s="409"/>
      <c r="E478" s="410"/>
      <c r="F478" s="410"/>
      <c r="G478" s="409"/>
      <c r="H478" s="411"/>
      <c r="I478" s="412"/>
      <c r="J478" s="413"/>
      <c r="K478" s="414"/>
      <c r="L478" s="415"/>
      <c r="M478" s="414"/>
      <c r="N478" s="416"/>
      <c r="O478" s="417"/>
      <c r="P478" s="414"/>
      <c r="Q478" s="415"/>
      <c r="R478" s="414"/>
      <c r="S478" s="418"/>
      <c r="T478" s="412"/>
      <c r="U478" s="413"/>
      <c r="V478" s="419"/>
      <c r="W478" s="413"/>
      <c r="X478" s="420"/>
      <c r="Y478" s="421"/>
      <c r="Z478" s="412"/>
      <c r="AA478" s="417"/>
      <c r="AB478" s="413"/>
      <c r="AC478" s="422"/>
    </row>
    <row r="479" spans="1:29" x14ac:dyDescent="0.35">
      <c r="A479" s="406"/>
      <c r="B479" s="407"/>
      <c r="C479" s="408"/>
      <c r="D479" s="409"/>
      <c r="E479" s="410"/>
      <c r="F479" s="410"/>
      <c r="G479" s="409"/>
      <c r="H479" s="411"/>
      <c r="I479" s="412"/>
      <c r="J479" s="413"/>
      <c r="K479" s="414"/>
      <c r="L479" s="415"/>
      <c r="M479" s="414"/>
      <c r="N479" s="416"/>
      <c r="O479" s="417"/>
      <c r="P479" s="414"/>
      <c r="Q479" s="415"/>
      <c r="R479" s="414"/>
      <c r="S479" s="418"/>
      <c r="T479" s="412"/>
      <c r="U479" s="413"/>
      <c r="V479" s="419"/>
      <c r="W479" s="413"/>
      <c r="X479" s="420"/>
      <c r="Y479" s="421"/>
      <c r="Z479" s="412"/>
      <c r="AA479" s="417"/>
      <c r="AB479" s="413"/>
      <c r="AC479" s="422"/>
    </row>
    <row r="480" spans="1:29" x14ac:dyDescent="0.35">
      <c r="A480" s="406"/>
      <c r="B480" s="407"/>
      <c r="C480" s="408"/>
      <c r="D480" s="409"/>
      <c r="E480" s="410"/>
      <c r="F480" s="410"/>
      <c r="G480" s="409"/>
      <c r="H480" s="411"/>
      <c r="I480" s="412"/>
      <c r="J480" s="413"/>
      <c r="K480" s="414"/>
      <c r="L480" s="415"/>
      <c r="M480" s="414"/>
      <c r="N480" s="416"/>
      <c r="O480" s="417"/>
      <c r="P480" s="414"/>
      <c r="Q480" s="415"/>
      <c r="R480" s="414"/>
      <c r="S480" s="418"/>
      <c r="T480" s="412"/>
      <c r="U480" s="413"/>
      <c r="V480" s="419"/>
      <c r="W480" s="413"/>
      <c r="X480" s="420"/>
      <c r="Y480" s="421"/>
      <c r="Z480" s="412"/>
      <c r="AA480" s="417"/>
      <c r="AB480" s="413"/>
      <c r="AC480" s="422"/>
    </row>
    <row r="481" spans="1:29" x14ac:dyDescent="0.35">
      <c r="A481" s="406"/>
      <c r="B481" s="407"/>
      <c r="C481" s="408"/>
      <c r="D481" s="409"/>
      <c r="E481" s="410"/>
      <c r="F481" s="410"/>
      <c r="G481" s="409"/>
      <c r="H481" s="411"/>
      <c r="I481" s="412"/>
      <c r="J481" s="413"/>
      <c r="K481" s="414"/>
      <c r="L481" s="415"/>
      <c r="M481" s="414"/>
      <c r="N481" s="416"/>
      <c r="O481" s="417"/>
      <c r="P481" s="414"/>
      <c r="Q481" s="415"/>
      <c r="R481" s="414"/>
      <c r="S481" s="418"/>
      <c r="T481" s="412"/>
      <c r="U481" s="413"/>
      <c r="V481" s="419"/>
      <c r="W481" s="413"/>
      <c r="X481" s="420"/>
      <c r="Y481" s="421"/>
      <c r="Z481" s="412"/>
      <c r="AA481" s="417"/>
      <c r="AB481" s="413"/>
      <c r="AC481" s="422"/>
    </row>
    <row r="482" spans="1:29" x14ac:dyDescent="0.35">
      <c r="A482" s="406"/>
      <c r="B482" s="407"/>
      <c r="C482" s="408"/>
      <c r="D482" s="409"/>
      <c r="E482" s="410"/>
      <c r="F482" s="410"/>
      <c r="G482" s="409"/>
      <c r="H482" s="411"/>
      <c r="I482" s="412"/>
      <c r="J482" s="413"/>
      <c r="K482" s="414"/>
      <c r="L482" s="415"/>
      <c r="M482" s="414"/>
      <c r="N482" s="416"/>
      <c r="O482" s="417"/>
      <c r="P482" s="414"/>
      <c r="Q482" s="415"/>
      <c r="R482" s="414"/>
      <c r="S482" s="418"/>
      <c r="T482" s="412"/>
      <c r="U482" s="413"/>
      <c r="V482" s="419"/>
      <c r="W482" s="413"/>
      <c r="X482" s="420"/>
      <c r="Y482" s="421"/>
      <c r="Z482" s="412"/>
      <c r="AA482" s="417"/>
      <c r="AB482" s="413"/>
      <c r="AC482" s="422"/>
    </row>
    <row r="483" spans="1:29" x14ac:dyDescent="0.35">
      <c r="A483" s="406"/>
      <c r="B483" s="407"/>
      <c r="C483" s="408"/>
      <c r="D483" s="409"/>
      <c r="E483" s="410"/>
      <c r="F483" s="410"/>
      <c r="G483" s="409"/>
      <c r="H483" s="411"/>
      <c r="I483" s="412"/>
      <c r="J483" s="413"/>
      <c r="K483" s="414"/>
      <c r="L483" s="415"/>
      <c r="M483" s="414"/>
      <c r="N483" s="416"/>
      <c r="O483" s="417"/>
      <c r="P483" s="414"/>
      <c r="Q483" s="415"/>
      <c r="R483" s="414"/>
      <c r="S483" s="418"/>
      <c r="T483" s="412"/>
      <c r="U483" s="413"/>
      <c r="V483" s="419"/>
      <c r="W483" s="413"/>
      <c r="X483" s="420"/>
      <c r="Y483" s="421"/>
      <c r="Z483" s="412"/>
      <c r="AA483" s="417"/>
      <c r="AB483" s="413"/>
      <c r="AC483" s="422"/>
    </row>
    <row r="484" spans="1:29" x14ac:dyDescent="0.35">
      <c r="A484" s="406"/>
      <c r="B484" s="407"/>
      <c r="C484" s="408"/>
      <c r="D484" s="409"/>
      <c r="E484" s="410"/>
      <c r="F484" s="410"/>
      <c r="G484" s="409"/>
      <c r="H484" s="411"/>
      <c r="I484" s="412"/>
      <c r="J484" s="413"/>
      <c r="K484" s="414"/>
      <c r="L484" s="415"/>
      <c r="M484" s="414"/>
      <c r="N484" s="416"/>
      <c r="O484" s="417"/>
      <c r="P484" s="414"/>
      <c r="Q484" s="415"/>
      <c r="R484" s="414"/>
      <c r="S484" s="418"/>
      <c r="T484" s="412"/>
      <c r="U484" s="413"/>
      <c r="V484" s="419"/>
      <c r="W484" s="413"/>
      <c r="X484" s="420"/>
      <c r="Y484" s="421"/>
      <c r="Z484" s="412"/>
      <c r="AA484" s="417"/>
      <c r="AB484" s="413"/>
      <c r="AC484" s="422"/>
    </row>
    <row r="485" spans="1:29" x14ac:dyDescent="0.35">
      <c r="A485" s="406"/>
      <c r="B485" s="407"/>
      <c r="C485" s="408"/>
      <c r="D485" s="409"/>
      <c r="E485" s="410"/>
      <c r="F485" s="410"/>
      <c r="G485" s="409"/>
      <c r="H485" s="411"/>
      <c r="I485" s="412"/>
      <c r="J485" s="413"/>
      <c r="K485" s="414"/>
      <c r="L485" s="415"/>
      <c r="M485" s="414"/>
      <c r="N485" s="416"/>
      <c r="O485" s="417"/>
      <c r="P485" s="414"/>
      <c r="Q485" s="415"/>
      <c r="R485" s="414"/>
      <c r="S485" s="418"/>
      <c r="T485" s="412"/>
      <c r="U485" s="413"/>
      <c r="V485" s="419"/>
      <c r="W485" s="413"/>
      <c r="X485" s="420"/>
      <c r="Y485" s="421"/>
      <c r="Z485" s="412"/>
      <c r="AA485" s="417"/>
      <c r="AB485" s="413"/>
      <c r="AC485" s="422"/>
    </row>
    <row r="486" spans="1:29" x14ac:dyDescent="0.35">
      <c r="A486" s="406"/>
      <c r="B486" s="407"/>
      <c r="C486" s="408"/>
      <c r="D486" s="409"/>
      <c r="E486" s="410"/>
      <c r="F486" s="410"/>
      <c r="G486" s="409"/>
      <c r="H486" s="411"/>
      <c r="I486" s="412"/>
      <c r="J486" s="413"/>
      <c r="K486" s="414"/>
      <c r="L486" s="415"/>
      <c r="M486" s="414"/>
      <c r="N486" s="416"/>
      <c r="O486" s="417"/>
      <c r="P486" s="414"/>
      <c r="Q486" s="415"/>
      <c r="R486" s="414"/>
      <c r="S486" s="418"/>
      <c r="T486" s="412"/>
      <c r="U486" s="413"/>
      <c r="V486" s="419"/>
      <c r="W486" s="413"/>
      <c r="X486" s="420"/>
      <c r="Y486" s="421"/>
      <c r="Z486" s="412"/>
      <c r="AA486" s="417"/>
      <c r="AB486" s="413"/>
      <c r="AC486" s="422"/>
    </row>
    <row r="487" spans="1:29" x14ac:dyDescent="0.35">
      <c r="A487" s="406"/>
      <c r="B487" s="407"/>
      <c r="C487" s="408"/>
      <c r="D487" s="409"/>
      <c r="E487" s="410"/>
      <c r="F487" s="410"/>
      <c r="G487" s="409"/>
      <c r="H487" s="411"/>
      <c r="I487" s="412"/>
      <c r="J487" s="413"/>
      <c r="K487" s="414"/>
      <c r="L487" s="415"/>
      <c r="M487" s="414"/>
      <c r="N487" s="416"/>
      <c r="O487" s="417"/>
      <c r="P487" s="414"/>
      <c r="Q487" s="415"/>
      <c r="R487" s="414"/>
      <c r="S487" s="418"/>
      <c r="T487" s="412"/>
      <c r="U487" s="413"/>
      <c r="V487" s="419"/>
      <c r="W487" s="413"/>
      <c r="X487" s="420"/>
      <c r="Y487" s="421"/>
      <c r="Z487" s="412"/>
      <c r="AA487" s="417"/>
      <c r="AB487" s="413"/>
      <c r="AC487" s="422"/>
    </row>
    <row r="488" spans="1:29" x14ac:dyDescent="0.35">
      <c r="A488" s="406"/>
      <c r="B488" s="407"/>
      <c r="C488" s="408"/>
      <c r="D488" s="409"/>
      <c r="E488" s="410"/>
      <c r="F488" s="410"/>
      <c r="G488" s="409"/>
      <c r="H488" s="411"/>
      <c r="I488" s="412"/>
      <c r="J488" s="413"/>
      <c r="K488" s="414"/>
      <c r="L488" s="415"/>
      <c r="M488" s="414"/>
      <c r="N488" s="416"/>
      <c r="O488" s="417"/>
      <c r="P488" s="414"/>
      <c r="Q488" s="415"/>
      <c r="R488" s="414"/>
      <c r="S488" s="418"/>
      <c r="T488" s="412"/>
      <c r="U488" s="413"/>
      <c r="V488" s="419"/>
      <c r="W488" s="413"/>
      <c r="X488" s="420"/>
      <c r="Y488" s="421"/>
      <c r="Z488" s="412"/>
      <c r="AA488" s="417"/>
      <c r="AB488" s="413"/>
      <c r="AC488" s="422"/>
    </row>
    <row r="489" spans="1:29" x14ac:dyDescent="0.35">
      <c r="A489" s="406"/>
      <c r="B489" s="407"/>
      <c r="C489" s="408"/>
      <c r="D489" s="409"/>
      <c r="E489" s="410"/>
      <c r="F489" s="410"/>
      <c r="G489" s="409"/>
      <c r="H489" s="411"/>
      <c r="I489" s="412"/>
      <c r="J489" s="413"/>
      <c r="K489" s="414"/>
      <c r="L489" s="415"/>
      <c r="M489" s="414"/>
      <c r="N489" s="416"/>
      <c r="O489" s="417"/>
      <c r="P489" s="414"/>
      <c r="Q489" s="415"/>
      <c r="R489" s="414"/>
      <c r="S489" s="418"/>
      <c r="T489" s="412"/>
      <c r="U489" s="413"/>
      <c r="V489" s="419"/>
      <c r="W489" s="413"/>
      <c r="X489" s="420"/>
      <c r="Y489" s="421"/>
      <c r="Z489" s="412"/>
      <c r="AA489" s="417"/>
      <c r="AB489" s="413"/>
      <c r="AC489" s="422"/>
    </row>
    <row r="490" spans="1:29" x14ac:dyDescent="0.35">
      <c r="A490" s="406"/>
      <c r="B490" s="407"/>
      <c r="C490" s="408"/>
      <c r="D490" s="409"/>
      <c r="E490" s="410"/>
      <c r="F490" s="410"/>
      <c r="G490" s="409"/>
      <c r="H490" s="411"/>
      <c r="I490" s="412"/>
      <c r="J490" s="413"/>
      <c r="K490" s="414"/>
      <c r="L490" s="415"/>
      <c r="M490" s="414"/>
      <c r="N490" s="416"/>
      <c r="O490" s="417"/>
      <c r="P490" s="414"/>
      <c r="Q490" s="415"/>
      <c r="R490" s="414"/>
      <c r="S490" s="418"/>
      <c r="T490" s="412"/>
      <c r="U490" s="413"/>
      <c r="V490" s="419"/>
      <c r="W490" s="413"/>
      <c r="X490" s="420"/>
      <c r="Y490" s="421"/>
      <c r="Z490" s="412"/>
      <c r="AA490" s="417"/>
      <c r="AB490" s="413"/>
      <c r="AC490" s="422"/>
    </row>
    <row r="491" spans="1:29" x14ac:dyDescent="0.35">
      <c r="A491" s="406"/>
      <c r="B491" s="407"/>
      <c r="C491" s="408"/>
      <c r="D491" s="409"/>
      <c r="E491" s="410"/>
      <c r="F491" s="410"/>
      <c r="G491" s="409"/>
      <c r="H491" s="411"/>
      <c r="I491" s="412"/>
      <c r="J491" s="413"/>
      <c r="K491" s="414"/>
      <c r="L491" s="415"/>
      <c r="M491" s="414"/>
      <c r="N491" s="416"/>
      <c r="O491" s="417"/>
      <c r="P491" s="414"/>
      <c r="Q491" s="415"/>
      <c r="R491" s="414"/>
      <c r="S491" s="418"/>
      <c r="T491" s="412"/>
      <c r="U491" s="413"/>
      <c r="V491" s="419"/>
      <c r="W491" s="413"/>
      <c r="X491" s="420"/>
      <c r="Y491" s="421"/>
      <c r="Z491" s="412"/>
      <c r="AA491" s="417"/>
      <c r="AB491" s="413"/>
      <c r="AC491" s="422"/>
    </row>
    <row r="492" spans="1:29" x14ac:dyDescent="0.35">
      <c r="A492" s="406"/>
      <c r="B492" s="407"/>
      <c r="C492" s="408"/>
      <c r="D492" s="409"/>
      <c r="E492" s="410"/>
      <c r="F492" s="410"/>
      <c r="G492" s="409"/>
      <c r="H492" s="411"/>
      <c r="I492" s="412"/>
      <c r="J492" s="413"/>
      <c r="K492" s="414"/>
      <c r="L492" s="415"/>
      <c r="M492" s="414"/>
      <c r="N492" s="416"/>
      <c r="O492" s="417"/>
      <c r="P492" s="414"/>
      <c r="Q492" s="415"/>
      <c r="R492" s="414"/>
      <c r="S492" s="418"/>
      <c r="T492" s="412"/>
      <c r="U492" s="413"/>
      <c r="V492" s="419"/>
      <c r="W492" s="413"/>
      <c r="X492" s="420"/>
      <c r="Y492" s="421"/>
      <c r="Z492" s="412"/>
      <c r="AA492" s="417"/>
      <c r="AB492" s="413"/>
      <c r="AC492" s="422"/>
    </row>
    <row r="493" spans="1:29" x14ac:dyDescent="0.35">
      <c r="A493" s="406"/>
      <c r="B493" s="407"/>
      <c r="C493" s="408"/>
      <c r="D493" s="409"/>
      <c r="E493" s="410"/>
      <c r="F493" s="410"/>
      <c r="G493" s="409"/>
      <c r="H493" s="411"/>
      <c r="I493" s="412"/>
      <c r="J493" s="413"/>
      <c r="K493" s="414"/>
      <c r="L493" s="415"/>
      <c r="M493" s="414"/>
      <c r="N493" s="416"/>
      <c r="O493" s="417"/>
      <c r="P493" s="414"/>
      <c r="Q493" s="415"/>
      <c r="R493" s="414"/>
      <c r="S493" s="418"/>
      <c r="T493" s="412"/>
      <c r="U493" s="413"/>
      <c r="V493" s="419"/>
      <c r="W493" s="413"/>
      <c r="X493" s="420"/>
      <c r="Y493" s="421"/>
      <c r="Z493" s="412"/>
      <c r="AA493" s="417"/>
      <c r="AB493" s="413"/>
      <c r="AC493" s="422"/>
    </row>
    <row r="494" spans="1:29" x14ac:dyDescent="0.35">
      <c r="A494" s="406"/>
      <c r="B494" s="407"/>
      <c r="C494" s="408"/>
      <c r="D494" s="409"/>
      <c r="E494" s="410"/>
      <c r="F494" s="410"/>
      <c r="G494" s="409"/>
      <c r="H494" s="411"/>
      <c r="I494" s="412"/>
      <c r="J494" s="413"/>
      <c r="K494" s="414"/>
      <c r="L494" s="415"/>
      <c r="M494" s="414"/>
      <c r="N494" s="416"/>
      <c r="O494" s="417"/>
      <c r="P494" s="414"/>
      <c r="Q494" s="415"/>
      <c r="R494" s="414"/>
      <c r="S494" s="418"/>
      <c r="T494" s="412"/>
      <c r="U494" s="413"/>
      <c r="V494" s="419"/>
      <c r="W494" s="413"/>
      <c r="X494" s="420"/>
      <c r="Y494" s="421"/>
      <c r="Z494" s="412"/>
      <c r="AA494" s="417"/>
      <c r="AB494" s="413"/>
      <c r="AC494" s="422"/>
    </row>
    <row r="495" spans="1:29" x14ac:dyDescent="0.35">
      <c r="A495" s="406"/>
      <c r="B495" s="407"/>
      <c r="C495" s="408"/>
      <c r="D495" s="409"/>
      <c r="E495" s="410"/>
      <c r="F495" s="410"/>
      <c r="G495" s="409"/>
      <c r="H495" s="411"/>
      <c r="I495" s="412"/>
      <c r="J495" s="413"/>
      <c r="K495" s="414"/>
      <c r="L495" s="415"/>
      <c r="M495" s="414"/>
      <c r="N495" s="416"/>
      <c r="O495" s="417"/>
      <c r="P495" s="414"/>
      <c r="Q495" s="415"/>
      <c r="R495" s="414"/>
      <c r="S495" s="418"/>
      <c r="T495" s="412"/>
      <c r="U495" s="413"/>
      <c r="V495" s="419"/>
      <c r="W495" s="413"/>
      <c r="X495" s="420"/>
      <c r="Y495" s="421"/>
      <c r="Z495" s="412"/>
      <c r="AA495" s="417"/>
      <c r="AB495" s="413"/>
      <c r="AC495" s="422"/>
    </row>
    <row r="496" spans="1:29" x14ac:dyDescent="0.35">
      <c r="A496" s="406"/>
      <c r="B496" s="407"/>
      <c r="C496" s="408"/>
      <c r="D496" s="409"/>
      <c r="E496" s="410"/>
      <c r="F496" s="410"/>
      <c r="G496" s="409"/>
      <c r="H496" s="411"/>
      <c r="I496" s="412"/>
      <c r="J496" s="413"/>
      <c r="K496" s="414"/>
      <c r="L496" s="415"/>
      <c r="M496" s="414"/>
      <c r="N496" s="416"/>
      <c r="O496" s="417"/>
      <c r="P496" s="414"/>
      <c r="Q496" s="415"/>
      <c r="R496" s="414"/>
      <c r="S496" s="418"/>
      <c r="T496" s="412"/>
      <c r="U496" s="413"/>
      <c r="V496" s="419"/>
      <c r="W496" s="413"/>
      <c r="X496" s="420"/>
      <c r="Y496" s="421"/>
      <c r="Z496" s="412"/>
      <c r="AA496" s="417"/>
      <c r="AB496" s="413"/>
      <c r="AC496" s="422"/>
    </row>
    <row r="497" spans="1:29" x14ac:dyDescent="0.35">
      <c r="A497" s="406"/>
      <c r="B497" s="407"/>
      <c r="C497" s="408"/>
      <c r="D497" s="409"/>
      <c r="E497" s="410"/>
      <c r="F497" s="410"/>
      <c r="G497" s="409"/>
      <c r="H497" s="411"/>
      <c r="I497" s="412"/>
      <c r="J497" s="413"/>
      <c r="K497" s="414"/>
      <c r="L497" s="415"/>
      <c r="M497" s="414"/>
      <c r="N497" s="416"/>
      <c r="O497" s="417"/>
      <c r="P497" s="414"/>
      <c r="Q497" s="415"/>
      <c r="R497" s="414"/>
      <c r="S497" s="418"/>
      <c r="T497" s="412"/>
      <c r="U497" s="413"/>
      <c r="V497" s="419"/>
      <c r="W497" s="413"/>
      <c r="X497" s="420"/>
      <c r="Y497" s="421"/>
      <c r="Z497" s="412"/>
      <c r="AA497" s="417"/>
      <c r="AB497" s="413"/>
      <c r="AC497" s="422"/>
    </row>
    <row r="498" spans="1:29" x14ac:dyDescent="0.35">
      <c r="A498" s="406"/>
      <c r="B498" s="407"/>
      <c r="C498" s="408"/>
      <c r="D498" s="409"/>
      <c r="E498" s="410"/>
      <c r="F498" s="410"/>
      <c r="G498" s="409"/>
      <c r="H498" s="411"/>
      <c r="I498" s="412"/>
      <c r="J498" s="413"/>
      <c r="K498" s="414"/>
      <c r="L498" s="415"/>
      <c r="M498" s="414"/>
      <c r="N498" s="416"/>
      <c r="O498" s="417"/>
      <c r="P498" s="414"/>
      <c r="Q498" s="415"/>
      <c r="R498" s="414"/>
      <c r="S498" s="418"/>
      <c r="T498" s="412"/>
      <c r="U498" s="413"/>
      <c r="V498" s="419"/>
      <c r="W498" s="413"/>
      <c r="X498" s="420"/>
      <c r="Y498" s="421"/>
      <c r="Z498" s="412"/>
      <c r="AA498" s="417"/>
      <c r="AB498" s="413"/>
      <c r="AC498" s="422"/>
    </row>
    <row r="499" spans="1:29" x14ac:dyDescent="0.35">
      <c r="A499" s="406"/>
      <c r="B499" s="407"/>
      <c r="C499" s="408"/>
      <c r="D499" s="409"/>
      <c r="E499" s="410"/>
      <c r="F499" s="410"/>
      <c r="G499" s="409"/>
      <c r="H499" s="411"/>
      <c r="I499" s="412"/>
      <c r="J499" s="413"/>
      <c r="K499" s="414"/>
      <c r="L499" s="415"/>
      <c r="M499" s="414"/>
      <c r="N499" s="416"/>
      <c r="O499" s="417"/>
      <c r="P499" s="414"/>
      <c r="Q499" s="415"/>
      <c r="R499" s="414"/>
      <c r="S499" s="418"/>
      <c r="T499" s="412"/>
      <c r="U499" s="413"/>
      <c r="V499" s="419"/>
      <c r="W499" s="413"/>
      <c r="X499" s="420"/>
      <c r="Y499" s="421"/>
      <c r="Z499" s="412"/>
      <c r="AA499" s="417"/>
      <c r="AB499" s="413"/>
      <c r="AC499" s="422"/>
    </row>
    <row r="500" spans="1:29" x14ac:dyDescent="0.35">
      <c r="A500" s="406"/>
      <c r="B500" s="407"/>
      <c r="C500" s="408"/>
      <c r="D500" s="409"/>
      <c r="E500" s="410"/>
      <c r="F500" s="410"/>
      <c r="G500" s="409"/>
      <c r="H500" s="411"/>
      <c r="I500" s="412"/>
      <c r="J500" s="413"/>
      <c r="K500" s="414"/>
      <c r="L500" s="415"/>
      <c r="M500" s="414"/>
      <c r="N500" s="416"/>
      <c r="O500" s="417"/>
      <c r="P500" s="414"/>
      <c r="Q500" s="415"/>
      <c r="R500" s="414"/>
      <c r="S500" s="418"/>
      <c r="T500" s="412"/>
      <c r="U500" s="413"/>
      <c r="V500" s="419"/>
      <c r="W500" s="413"/>
      <c r="X500" s="420"/>
      <c r="Y500" s="421"/>
      <c r="Z500" s="412"/>
      <c r="AA500" s="417"/>
      <c r="AB500" s="413"/>
      <c r="AC500" s="422"/>
    </row>
    <row r="501" spans="1:29" x14ac:dyDescent="0.35">
      <c r="A501" s="406"/>
      <c r="B501" s="407"/>
      <c r="C501" s="408"/>
      <c r="D501" s="409"/>
      <c r="E501" s="410"/>
      <c r="F501" s="410"/>
      <c r="G501" s="409"/>
      <c r="H501" s="411"/>
      <c r="I501" s="412"/>
      <c r="J501" s="413"/>
      <c r="K501" s="414"/>
      <c r="L501" s="415"/>
      <c r="M501" s="414"/>
      <c r="N501" s="416"/>
      <c r="O501" s="417"/>
      <c r="P501" s="414"/>
      <c r="Q501" s="415"/>
      <c r="R501" s="414"/>
      <c r="S501" s="418"/>
      <c r="T501" s="412"/>
      <c r="U501" s="413"/>
      <c r="V501" s="419"/>
      <c r="W501" s="413"/>
      <c r="X501" s="420"/>
      <c r="Y501" s="421"/>
      <c r="Z501" s="412"/>
      <c r="AA501" s="417"/>
      <c r="AB501" s="413"/>
      <c r="AC501" s="422"/>
    </row>
    <row r="502" spans="1:29" x14ac:dyDescent="0.35">
      <c r="A502" s="406"/>
      <c r="B502" s="407"/>
      <c r="C502" s="408"/>
      <c r="D502" s="409"/>
      <c r="E502" s="410"/>
      <c r="F502" s="410"/>
      <c r="G502" s="409"/>
      <c r="H502" s="411"/>
      <c r="I502" s="412"/>
      <c r="J502" s="413"/>
      <c r="K502" s="414"/>
      <c r="L502" s="415"/>
      <c r="M502" s="414"/>
      <c r="N502" s="416"/>
      <c r="O502" s="417"/>
      <c r="P502" s="414"/>
      <c r="Q502" s="415"/>
      <c r="R502" s="414"/>
      <c r="S502" s="418"/>
      <c r="T502" s="412"/>
      <c r="U502" s="413"/>
      <c r="V502" s="419"/>
      <c r="W502" s="413"/>
      <c r="X502" s="420"/>
      <c r="Y502" s="421"/>
      <c r="Z502" s="412"/>
      <c r="AA502" s="417"/>
      <c r="AB502" s="413"/>
      <c r="AC502" s="422"/>
    </row>
    <row r="503" spans="1:29" x14ac:dyDescent="0.35">
      <c r="A503" s="406"/>
      <c r="B503" s="407"/>
      <c r="C503" s="408"/>
      <c r="D503" s="409"/>
      <c r="E503" s="410"/>
      <c r="F503" s="410"/>
      <c r="G503" s="409"/>
      <c r="H503" s="411"/>
      <c r="I503" s="412"/>
      <c r="J503" s="413"/>
      <c r="K503" s="414"/>
      <c r="L503" s="415"/>
      <c r="M503" s="414"/>
      <c r="N503" s="416"/>
      <c r="O503" s="417"/>
      <c r="P503" s="414"/>
      <c r="Q503" s="415"/>
      <c r="R503" s="414"/>
      <c r="S503" s="418"/>
      <c r="T503" s="412"/>
      <c r="U503" s="413"/>
      <c r="V503" s="419"/>
      <c r="W503" s="413"/>
      <c r="X503" s="420"/>
      <c r="Y503" s="421"/>
      <c r="Z503" s="412"/>
      <c r="AA503" s="417"/>
      <c r="AB503" s="413"/>
      <c r="AC503" s="422"/>
    </row>
    <row r="504" spans="1:29" x14ac:dyDescent="0.35">
      <c r="A504" s="406"/>
      <c r="B504" s="407"/>
      <c r="C504" s="408"/>
      <c r="D504" s="409"/>
      <c r="E504" s="410"/>
      <c r="F504" s="410"/>
      <c r="G504" s="409"/>
      <c r="H504" s="411"/>
      <c r="I504" s="412"/>
      <c r="J504" s="413"/>
      <c r="K504" s="414"/>
      <c r="L504" s="415"/>
      <c r="M504" s="414"/>
      <c r="N504" s="416"/>
      <c r="O504" s="417"/>
      <c r="P504" s="414"/>
      <c r="Q504" s="415"/>
      <c r="R504" s="414"/>
      <c r="S504" s="418"/>
      <c r="T504" s="412"/>
      <c r="U504" s="413"/>
      <c r="V504" s="419"/>
      <c r="W504" s="413"/>
      <c r="X504" s="420"/>
      <c r="Y504" s="421"/>
      <c r="Z504" s="412"/>
      <c r="AA504" s="417"/>
      <c r="AB504" s="413"/>
      <c r="AC504" s="422"/>
    </row>
  </sheetData>
  <sheetProtection algorithmName="SHA-512" hashValue="/iRL+pWUbAezSeKpoHz5yW94iI2Mo2O7HSJnntbmEk28x/8VtxvvOKu5/UZvhbHJrJNR+lMInkPwxYqf10Y4QA==" saltValue="mXsdFrjXD2tgj5HDuTQBLg==" spinCount="100000" sheet="1" objects="1" scenarios="1"/>
  <mergeCells count="6">
    <mergeCell ref="B1:H2"/>
    <mergeCell ref="Z1:AI2"/>
    <mergeCell ref="T1:Y2"/>
    <mergeCell ref="I1:S1"/>
    <mergeCell ref="I2:N2"/>
    <mergeCell ref="O2:S2"/>
  </mergeCells>
  <phoneticPr fontId="6" type="noConversion"/>
  <conditionalFormatting sqref="A5:AI1048566">
    <cfRule type="expression" dxfId="0" priority="30">
      <formula>SUM($D5:$E5)=0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d720bd2-74a1-4da9-bd75-16124ba6000f" xsi:nil="true"/>
    <lcf76f155ced4ddcb4097134ff3c332f xmlns="b9fdf7bc-4e14-4488-b19d-3f932a3b777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9649FAC6684D4EBCB699C36B950638" ma:contentTypeVersion="18" ma:contentTypeDescription="Create a new document." ma:contentTypeScope="" ma:versionID="4523b614089b4d913ff2aeb690ab588d">
  <xsd:schema xmlns:xsd="http://www.w3.org/2001/XMLSchema" xmlns:xs="http://www.w3.org/2001/XMLSchema" xmlns:p="http://schemas.microsoft.com/office/2006/metadata/properties" xmlns:ns2="b9fdf7bc-4e14-4488-b19d-3f932a3b7775" xmlns:ns3="ad720bd2-74a1-4da9-bd75-16124ba6000f" targetNamespace="http://schemas.microsoft.com/office/2006/metadata/properties" ma:root="true" ma:fieldsID="db6bae722b6cad26fd4a32fa1ff6aa4a" ns2:_="" ns3:_="">
    <xsd:import namespace="b9fdf7bc-4e14-4488-b19d-3f932a3b7775"/>
    <xsd:import namespace="ad720bd2-74a1-4da9-bd75-16124ba600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df7bc-4e14-4488-b19d-3f932a3b7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900763a-51cc-4c73-a1d5-79fc506d0e70"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720bd2-74a1-4da9-bd75-16124ba600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b9d3721-e127-4da7-9df7-dbbfb1942d49}" ma:internalName="TaxCatchAll" ma:showField="CatchAllData" ma:web="ad720bd2-74a1-4da9-bd75-16124ba600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30C83A-25D7-4C23-8FC3-049E592312AA}">
  <ds:schemaRefs>
    <ds:schemaRef ds:uri="2204fde8-40bd-4e7d-8697-fa29c9051738"/>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56585a1a-409d-458b-9df9-1ebf17386a55"/>
    <ds:schemaRef ds:uri="http://purl.org/dc/terms/"/>
  </ds:schemaRefs>
</ds:datastoreItem>
</file>

<file path=customXml/itemProps2.xml><?xml version="1.0" encoding="utf-8"?>
<ds:datastoreItem xmlns:ds="http://schemas.openxmlformats.org/officeDocument/2006/customXml" ds:itemID="{1B57AC4B-333A-4445-9511-2D95351F80FF}"/>
</file>

<file path=customXml/itemProps3.xml><?xml version="1.0" encoding="utf-8"?>
<ds:datastoreItem xmlns:ds="http://schemas.openxmlformats.org/officeDocument/2006/customXml" ds:itemID="{4EC7538E-0ECC-4C82-BD9E-57BED062F3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Éléments saisis (inputs)</vt:lpstr>
      <vt:lpstr>Résultats (outputs)</vt:lpstr>
      <vt:lpstr>Hypothèses (pour information)</vt:lpstr>
      <vt:lpstr>AC</vt:lpstr>
      <vt:lpstr>DC</vt:lpstr>
      <vt:lpstr>Einsatzart</vt:lpstr>
      <vt:lpstr>Einsatzgebiet</vt:lpstr>
      <vt:lpstr>Einsatzzweck</vt:lpstr>
      <vt:lpstr>Grösse</vt:lpstr>
      <vt:lpstr>Heimladen</vt:lpstr>
      <vt:lpstr>Ladeleistung</vt:lpstr>
      <vt:lpstr>Laufzeit</vt:lpstr>
      <vt:lpstr>nFzg</vt:lpstr>
      <vt:lpstr>Nutzungsmuster</vt:lpstr>
      <vt:lpstr>Segmente</vt:lpstr>
      <vt:lpstr>User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McTighe</dc:creator>
  <cp:keywords/>
  <dc:description/>
  <cp:lastModifiedBy>Julien McTighe</cp:lastModifiedBy>
  <cp:revision/>
  <dcterms:created xsi:type="dcterms:W3CDTF">2025-10-16T15:26:40Z</dcterms:created>
  <dcterms:modified xsi:type="dcterms:W3CDTF">2026-02-19T11:41:26Z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0x010100079649FAC6684D4EBCB699C36B950638</vt:lpwstr>
  </property>
  <property fmtid="{D5CDD505-2E9C-101B-9397-08002B2CF9AE}" pid="3" name="MediaServiceImageTags">
    <vt:lpwstr/>
  </property>
</Properties>
</file>