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" ContentType="image/tiff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P:\Frederic\VAW\PROJ\0886_BFE_Impulse_Wave_Manual_Update\Computational_tool\"/>
    </mc:Choice>
  </mc:AlternateContent>
  <xr:revisionPtr revIDLastSave="0" documentId="8_{4924F35A-01BA-4CF3-ABED-9118C988482B}" xr6:coauthVersionLast="36" xr6:coauthVersionMax="36" xr10:uidLastSave="{00000000-0000-0000-0000-000000000000}"/>
  <workbookProtection lockStructure="1"/>
  <bookViews>
    <workbookView xWindow="34900" yWindow="0" windowWidth="27870" windowHeight="14690" xr2:uid="{00000000-000D-0000-FFFF-FFFF00000000}"/>
  </bookViews>
  <sheets>
    <sheet name="START" sheetId="7" r:id="rId1"/>
    <sheet name="Generation | Propagation (2D)" sheetId="1" r:id="rId2"/>
    <sheet name="Generation | Propagation (3D)" sheetId="8" r:id="rId3"/>
    <sheet name="Run-up | Overtopping" sheetId="9" r:id="rId4"/>
    <sheet name="Overland flow" sheetId="10" r:id="rId5"/>
    <sheet name="Wave force" sheetId="11" r:id="rId6"/>
  </sheets>
  <definedNames>
    <definedName name="_xlnm.Print_Area" localSheetId="1">'Generation | Propagation (2D)'!$A$1:$O$28</definedName>
    <definedName name="_xlnm.Print_Area" localSheetId="2">'Generation | Propagation (3D)'!$A$1:$R$32</definedName>
    <definedName name="_xlnm.Print_Area" localSheetId="4">'Overland flow'!$A$1:$Q$25</definedName>
    <definedName name="_xlnm.Print_Area" localSheetId="3">'Run-up | Overtopping'!$A$1:$Q$33</definedName>
    <definedName name="_xlnm.Print_Area" localSheetId="0">START!$A$1:$S$20</definedName>
    <definedName name="_xlnm.Print_Area" localSheetId="5">'Wave force'!$A$1:$Q$23</definedName>
    <definedName name="Parameters_2D" localSheetId="2">'Generation | Propagation (3D)'!$F$6:$F$13,'Generation | Propagation (3D)'!$F$15</definedName>
    <definedName name="Parameters_2D" localSheetId="4">'Overland flow'!$F$6:$F$12,'Overland flow'!#REF!</definedName>
    <definedName name="Parameters_2D" localSheetId="3">'Run-up | Overtopping'!$F$6:$F$13,'Run-up | Overtopping'!#REF!</definedName>
    <definedName name="Parameters_2D" localSheetId="5">'Wave force'!$F$6:$F$12,'Wave force'!#REF!</definedName>
    <definedName name="Parameters_2D">'Generation | Propagation (2D)'!$F$6:$F$13,'Generation | Propagation (2D)'!$F$15</definedName>
    <definedName name="Parameters_3D" localSheetId="4">'Overland flow'!$F$6:$F$12,'Overland flow'!#REF!,'Overland flow'!#REF!</definedName>
    <definedName name="Parameters_3D" localSheetId="3">'Run-up | Overtopping'!$F$6:$F$13,'Run-up | Overtopping'!#REF!,'Run-up | Overtopping'!#REF!</definedName>
    <definedName name="Parameters_3D" localSheetId="5">'Wave force'!$F$6:$F$12,'Wave force'!#REF!,'Wave force'!#REF!</definedName>
    <definedName name="Parameters_3D">'Generation | Propagation (3D)'!$F$6:$F$13,'Generation | Propagation (3D)'!$F$15,'Generation | Propagation (3D)'!$F$16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8" l="1"/>
  <c r="F27" i="8"/>
  <c r="F26" i="8"/>
  <c r="B2" i="11" l="1"/>
  <c r="B2" i="10"/>
  <c r="B2" i="9"/>
  <c r="B2" i="8"/>
  <c r="B2" i="1"/>
  <c r="F15" i="11" l="1"/>
  <c r="F14" i="11"/>
  <c r="M17" i="10" l="1"/>
  <c r="M18" i="10"/>
  <c r="M33" i="9" l="1"/>
  <c r="M26" i="9"/>
  <c r="M31" i="9"/>
  <c r="M24" i="9"/>
  <c r="M30" i="9"/>
  <c r="M23" i="9"/>
  <c r="M18" i="9"/>
  <c r="M28" i="8" l="1"/>
  <c r="M27" i="8"/>
  <c r="M26" i="8"/>
  <c r="M25" i="8"/>
  <c r="M24" i="8"/>
  <c r="M23" i="8"/>
  <c r="M22" i="8"/>
  <c r="M21" i="8"/>
  <c r="M20" i="8"/>
  <c r="M19" i="8"/>
  <c r="M18" i="8"/>
  <c r="M29" i="8" l="1"/>
  <c r="F25" i="8" s="1"/>
  <c r="M16" i="1"/>
  <c r="M25" i="1"/>
  <c r="M24" i="1"/>
  <c r="M23" i="1"/>
  <c r="M22" i="1"/>
  <c r="M21" i="1"/>
  <c r="M20" i="1"/>
  <c r="M19" i="1"/>
  <c r="M18" i="1"/>
  <c r="M17" i="1"/>
  <c r="F24" i="8" l="1"/>
  <c r="F19" i="8"/>
  <c r="F21" i="8" s="1"/>
  <c r="F20" i="8"/>
  <c r="F23" i="8"/>
  <c r="M26" i="1"/>
  <c r="F22" i="8" l="1"/>
  <c r="F30" i="8" s="1"/>
  <c r="F21" i="1"/>
  <c r="F20" i="1"/>
  <c r="F24" i="1" s="1"/>
  <c r="F19" i="1"/>
  <c r="F22" i="1" s="1"/>
  <c r="F18" i="1"/>
  <c r="F7" i="11" l="1"/>
  <c r="F8" i="9"/>
  <c r="F25" i="1"/>
  <c r="F7" i="9" s="1"/>
  <c r="F19" i="9" s="1"/>
  <c r="F26" i="1"/>
  <c r="F23" i="1"/>
  <c r="F7" i="10" l="1"/>
  <c r="M19" i="10" s="1"/>
  <c r="F31" i="8"/>
  <c r="F16" i="11"/>
  <c r="F17" i="11" s="1"/>
  <c r="F18" i="11" s="1"/>
  <c r="F29" i="8"/>
  <c r="F32" i="8" s="1"/>
  <c r="M18" i="11"/>
  <c r="F19" i="11"/>
  <c r="F20" i="11" s="1"/>
  <c r="F21" i="11" s="1"/>
  <c r="M21" i="9"/>
  <c r="F26" i="9"/>
  <c r="F25" i="9"/>
  <c r="M25" i="9"/>
  <c r="M28" i="9"/>
  <c r="M19" i="9"/>
  <c r="F24" i="9"/>
  <c r="F27" i="9" s="1"/>
  <c r="M32" i="9"/>
  <c r="M16" i="9"/>
  <c r="F17" i="9"/>
  <c r="F21" i="9"/>
  <c r="F22" i="9" s="1"/>
  <c r="F28" i="9"/>
  <c r="M17" i="9"/>
  <c r="M22" i="9"/>
  <c r="F20" i="9"/>
  <c r="M29" i="9"/>
  <c r="F27" i="1"/>
  <c r="F28" i="1" s="1"/>
  <c r="M16" i="10" l="1"/>
  <c r="F20" i="10"/>
  <c r="F16" i="10"/>
  <c r="F22" i="11"/>
  <c r="F18" i="10" l="1"/>
  <c r="F17" i="10"/>
  <c r="F19" i="10" l="1"/>
  <c r="F21" i="10" s="1"/>
  <c r="F22" i="10"/>
  <c r="F23" i="10"/>
  <c r="F24" i="10"/>
</calcChain>
</file>

<file path=xl/sharedStrings.xml><?xml version="1.0" encoding="utf-8"?>
<sst xmlns="http://schemas.openxmlformats.org/spreadsheetml/2006/main" count="519" uniqueCount="308">
  <si>
    <t>Governing parameters</t>
  </si>
  <si>
    <t>Slide impact velocity</t>
  </si>
  <si>
    <t>Bulk slide volume</t>
  </si>
  <si>
    <t>Slide thickness</t>
  </si>
  <si>
    <t>Slide/reservoir width</t>
  </si>
  <si>
    <t>Bulk slide density</t>
  </si>
  <si>
    <t>Bulk slide porosity</t>
  </si>
  <si>
    <t xml:space="preserve">Slide impact angle </t>
  </si>
  <si>
    <t>Still water depth</t>
  </si>
  <si>
    <t>Streamwise distance</t>
  </si>
  <si>
    <t>Project:</t>
  </si>
  <si>
    <t>Main results</t>
  </si>
  <si>
    <t>Slide Froude number</t>
  </si>
  <si>
    <t>Relative slide thickness</t>
  </si>
  <si>
    <t>Relative slide mass</t>
  </si>
  <si>
    <t>Relative slide density</t>
  </si>
  <si>
    <t>Relative granulate density</t>
  </si>
  <si>
    <t>Relative slide volume</t>
  </si>
  <si>
    <t>Slide impact angle</t>
  </si>
  <si>
    <t>Relative slide width</t>
  </si>
  <si>
    <t>Relative streamwise distance</t>
  </si>
  <si>
    <t>Impulse product parameter</t>
  </si>
  <si>
    <t>V</t>
  </si>
  <si>
    <t>n</t>
  </si>
  <si>
    <r>
      <rPr>
        <i/>
        <sz val="11"/>
        <color theme="1"/>
        <rFont val="Times New Roman"/>
        <family val="1"/>
      </rPr>
      <t>V</t>
    </r>
    <r>
      <rPr>
        <i/>
        <vertAlign val="subscript"/>
        <sz val="11"/>
        <color theme="1"/>
        <rFont val="Times New Roman"/>
        <family val="1"/>
      </rPr>
      <t>s</t>
    </r>
    <r>
      <rPr>
        <sz val="11"/>
        <color theme="1"/>
        <rFont val="Arial"/>
        <family val="2"/>
      </rPr>
      <t xml:space="preserve"> </t>
    </r>
  </si>
  <si>
    <t>[m/s]</t>
  </si>
  <si>
    <r>
      <rPr>
        <i/>
        <strike/>
        <sz val="11"/>
        <color theme="1"/>
        <rFont val="Times New Roman"/>
        <family val="1"/>
      </rPr>
      <t>V</t>
    </r>
    <r>
      <rPr>
        <i/>
        <vertAlign val="subscript"/>
        <sz val="11"/>
        <color theme="1"/>
        <rFont val="Times New Roman"/>
        <family val="1"/>
      </rPr>
      <t>s</t>
    </r>
    <r>
      <rPr>
        <sz val="11"/>
        <color theme="1"/>
        <rFont val="Arial"/>
        <family val="2"/>
      </rPr>
      <t xml:space="preserve"> </t>
    </r>
  </si>
  <si>
    <r>
      <rPr>
        <i/>
        <sz val="11"/>
        <color theme="1"/>
        <rFont val="Times New Roman"/>
        <family val="1"/>
      </rPr>
      <t>s</t>
    </r>
    <r>
      <rPr>
        <sz val="11"/>
        <color theme="1"/>
        <rFont val="Arial"/>
        <family val="2"/>
      </rPr>
      <t xml:space="preserve"> </t>
    </r>
  </si>
  <si>
    <t>[m]</t>
  </si>
  <si>
    <r>
      <rPr>
        <i/>
        <sz val="11"/>
        <color theme="1"/>
        <rFont val="Times New Roman"/>
        <family val="1"/>
      </rPr>
      <t>b</t>
    </r>
    <r>
      <rPr>
        <sz val="11"/>
        <color theme="1"/>
        <rFont val="Arial"/>
        <family val="2"/>
      </rPr>
      <t xml:space="preserve"> </t>
    </r>
  </si>
  <si>
    <r>
      <rPr>
        <i/>
        <sz val="11"/>
        <color theme="1"/>
        <rFont val="Times New Roman"/>
        <family val="1"/>
      </rPr>
      <t>ρ</t>
    </r>
    <r>
      <rPr>
        <i/>
        <vertAlign val="subscript"/>
        <sz val="11"/>
        <color theme="1"/>
        <rFont val="Times New Roman"/>
        <family val="1"/>
      </rPr>
      <t>s</t>
    </r>
  </si>
  <si>
    <r>
      <t>[kg/m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]</t>
    </r>
  </si>
  <si>
    <r>
      <t>[m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]</t>
    </r>
  </si>
  <si>
    <t>[%]</t>
  </si>
  <si>
    <t>α</t>
  </si>
  <si>
    <t>[°]</t>
  </si>
  <si>
    <t>h</t>
  </si>
  <si>
    <t>x</t>
  </si>
  <si>
    <t>[-]</t>
  </si>
  <si>
    <r>
      <rPr>
        <b/>
        <sz val="11"/>
        <color theme="1"/>
        <rFont val="Arial"/>
        <family val="2"/>
      </rPr>
      <t>Limitations</t>
    </r>
    <r>
      <rPr>
        <sz val="11"/>
        <color theme="1"/>
        <rFont val="Arial"/>
        <family val="2"/>
      </rPr>
      <t xml:space="preserve"> (Table 3-2)</t>
    </r>
  </si>
  <si>
    <t>Maximum wave height</t>
  </si>
  <si>
    <r>
      <rPr>
        <i/>
        <sz val="11"/>
        <color theme="1"/>
        <rFont val="Times New Roman"/>
        <family val="1"/>
      </rPr>
      <t>H</t>
    </r>
    <r>
      <rPr>
        <i/>
        <vertAlign val="subscript"/>
        <sz val="11"/>
        <color theme="1"/>
        <rFont val="Times New Roman"/>
        <family val="1"/>
      </rPr>
      <t>M</t>
    </r>
    <r>
      <rPr>
        <sz val="11"/>
        <color theme="1"/>
        <rFont val="Arial"/>
        <family val="2"/>
      </rPr>
      <t xml:space="preserve"> </t>
    </r>
  </si>
  <si>
    <t>Maximum wave amplitude</t>
  </si>
  <si>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M</t>
    </r>
    <r>
      <rPr>
        <sz val="11"/>
        <color theme="1"/>
        <rFont val="Arial"/>
        <family val="2"/>
      </rPr>
      <t xml:space="preserve"> </t>
    </r>
  </si>
  <si>
    <r>
      <t xml:space="preserve">Streamwise distance of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M</t>
    </r>
  </si>
  <si>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M</t>
    </r>
    <r>
      <rPr>
        <sz val="11"/>
        <color theme="1"/>
        <rFont val="Arial"/>
        <family val="2"/>
      </rPr>
      <t xml:space="preserve"> </t>
    </r>
  </si>
  <si>
    <r>
      <rPr>
        <i/>
        <sz val="11"/>
        <color theme="1"/>
        <rFont val="Times New Roman"/>
        <family val="1"/>
      </rPr>
      <t>T</t>
    </r>
    <r>
      <rPr>
        <i/>
        <vertAlign val="subscript"/>
        <sz val="11"/>
        <color theme="1"/>
        <rFont val="Times New Roman"/>
        <family val="1"/>
      </rPr>
      <t>M</t>
    </r>
    <r>
      <rPr>
        <sz val="11"/>
        <color theme="1"/>
        <rFont val="Arial"/>
        <family val="2"/>
      </rPr>
      <t xml:space="preserve"> </t>
    </r>
  </si>
  <si>
    <t>[s]</t>
  </si>
  <si>
    <r>
      <rPr>
        <i/>
        <sz val="11"/>
        <color theme="1"/>
        <rFont val="Times New Roman"/>
        <family val="1"/>
      </rPr>
      <t>L</t>
    </r>
    <r>
      <rPr>
        <i/>
        <vertAlign val="subscript"/>
        <sz val="11"/>
        <color theme="1"/>
        <rFont val="Times New Roman"/>
        <family val="1"/>
      </rPr>
      <t>M</t>
    </r>
    <r>
      <rPr>
        <sz val="11"/>
        <color theme="1"/>
        <rFont val="Arial"/>
        <family val="2"/>
      </rPr>
      <t xml:space="preserve"> </t>
    </r>
  </si>
  <si>
    <r>
      <rPr>
        <i/>
        <sz val="11"/>
        <color theme="1"/>
        <rFont val="Times New Roman"/>
        <family val="1"/>
      </rPr>
      <t>H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)</t>
    </r>
  </si>
  <si>
    <r>
      <rPr>
        <i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)</t>
    </r>
  </si>
  <si>
    <r>
      <rPr>
        <i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)</t>
    </r>
  </si>
  <si>
    <r>
      <rPr>
        <i/>
        <sz val="11"/>
        <color theme="1"/>
        <rFont val="Times New Roman"/>
        <family val="1"/>
      </rPr>
      <t>c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M</t>
    </r>
    <r>
      <rPr>
        <sz val="11"/>
        <color theme="1"/>
        <rFont val="Times New Roman"/>
        <family val="1"/>
      </rPr>
      <t>)</t>
    </r>
  </si>
  <si>
    <r>
      <t xml:space="preserve">Wave celerity at 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M</t>
    </r>
  </si>
  <si>
    <r>
      <t xml:space="preserve">Wave length at 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M</t>
    </r>
  </si>
  <si>
    <r>
      <t xml:space="preserve">Wave celerity at </t>
    </r>
    <r>
      <rPr>
        <i/>
        <sz val="11"/>
        <color theme="1"/>
        <rFont val="Times New Roman"/>
        <family val="1"/>
      </rPr>
      <t>x</t>
    </r>
  </si>
  <si>
    <r>
      <t xml:space="preserve">Wave length at </t>
    </r>
    <r>
      <rPr>
        <i/>
        <sz val="11"/>
        <color theme="1"/>
        <rFont val="Times New Roman"/>
        <family val="1"/>
      </rPr>
      <t>x</t>
    </r>
  </si>
  <si>
    <r>
      <t xml:space="preserve">Wave period at 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M</t>
    </r>
  </si>
  <si>
    <r>
      <rPr>
        <i/>
        <sz val="11"/>
        <color theme="1"/>
        <rFont val="Times New Roman"/>
        <family val="1"/>
      </rPr>
      <t>c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)</t>
    </r>
  </si>
  <si>
    <r>
      <rPr>
        <i/>
        <sz val="11"/>
        <color theme="1"/>
        <rFont val="Times New Roman"/>
        <family val="1"/>
      </rPr>
      <t>L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)</t>
    </r>
  </si>
  <si>
    <t>Generation | Propagation (2D)</t>
  </si>
  <si>
    <t>Generation | Propagation (3D)</t>
  </si>
  <si>
    <t>Run-up | Overtopping</t>
  </si>
  <si>
    <t>Overland flow</t>
  </si>
  <si>
    <t>Wave force</t>
  </si>
  <si>
    <t>Wave generation</t>
  </si>
  <si>
    <r>
      <rPr>
        <i/>
        <sz val="11"/>
        <color theme="1"/>
        <rFont val="Arial"/>
        <family val="2"/>
      </rPr>
      <t>Wave propagation</t>
    </r>
    <r>
      <rPr>
        <sz val="11"/>
        <color theme="1"/>
        <rFont val="Arial"/>
        <family val="2"/>
      </rPr>
      <t xml:space="preserve"> </t>
    </r>
  </si>
  <si>
    <r>
      <rPr>
        <b/>
        <sz val="11"/>
        <color theme="1"/>
        <rFont val="Arial"/>
        <family val="2"/>
      </rPr>
      <t>Limitations</t>
    </r>
    <r>
      <rPr>
        <sz val="11"/>
        <color theme="1"/>
        <rFont val="Arial"/>
        <family val="2"/>
      </rPr>
      <t xml:space="preserve"> (Table 3-3)</t>
    </r>
  </si>
  <si>
    <t>Radial distance</t>
  </si>
  <si>
    <t>r</t>
  </si>
  <si>
    <t>Wave propagation angle</t>
  </si>
  <si>
    <t>γ</t>
  </si>
  <si>
    <r>
      <t xml:space="preserve">[-] </t>
    </r>
    <r>
      <rPr>
        <vertAlign val="superscript"/>
        <sz val="11"/>
        <color theme="1"/>
        <rFont val="Arial"/>
        <family val="2"/>
      </rPr>
      <t>(1)</t>
    </r>
  </si>
  <si>
    <r>
      <t xml:space="preserve">[%] </t>
    </r>
    <r>
      <rPr>
        <vertAlign val="superscript"/>
        <sz val="11"/>
        <color theme="1"/>
        <rFont val="Arial"/>
        <family val="2"/>
      </rPr>
      <t>(1)</t>
    </r>
  </si>
  <si>
    <t>Eq. (3.13)</t>
  </si>
  <si>
    <t>Eq. (3.14)</t>
  </si>
  <si>
    <t>Eq. (3.15)</t>
  </si>
  <si>
    <r>
      <rPr>
        <i/>
        <sz val="11"/>
        <color theme="1"/>
        <rFont val="Times New Roman"/>
        <family val="1"/>
      </rPr>
      <t>r</t>
    </r>
    <r>
      <rPr>
        <vertAlign val="subscript"/>
        <sz val="11"/>
        <color theme="1"/>
        <rFont val="Times New Roman"/>
        <family val="1"/>
      </rPr>
      <t>0,0°</t>
    </r>
    <r>
      <rPr>
        <sz val="11"/>
        <color theme="1"/>
        <rFont val="Arial"/>
        <family val="2"/>
      </rPr>
      <t xml:space="preserve"> </t>
    </r>
  </si>
  <si>
    <r>
      <rPr>
        <i/>
        <sz val="11"/>
        <color theme="1"/>
        <rFont val="Times New Roman"/>
        <family val="1"/>
      </rPr>
      <t>r</t>
    </r>
    <r>
      <rPr>
        <vertAlign val="subscript"/>
        <sz val="11"/>
        <color theme="1"/>
        <rFont val="Times New Roman"/>
        <family val="1"/>
      </rPr>
      <t>0,90°</t>
    </r>
    <r>
      <rPr>
        <sz val="11"/>
        <color theme="1"/>
        <rFont val="Arial"/>
        <family val="2"/>
      </rPr>
      <t xml:space="preserve"> </t>
    </r>
  </si>
  <si>
    <r>
      <rPr>
        <i/>
        <sz val="11"/>
        <color theme="1"/>
        <rFont val="Times New Roman"/>
        <family val="1"/>
      </rPr>
      <t>r</t>
    </r>
    <r>
      <rPr>
        <vertAlign val="sub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γ</t>
    </r>
    <r>
      <rPr>
        <sz val="11"/>
        <color theme="1"/>
        <rFont val="Times New Roman"/>
        <family val="1"/>
      </rPr>
      <t>)</t>
    </r>
    <r>
      <rPr>
        <sz val="11"/>
        <color theme="1"/>
        <rFont val="Arial"/>
        <family val="2"/>
      </rPr>
      <t xml:space="preserve"> </t>
    </r>
  </si>
  <si>
    <r>
      <rPr>
        <i/>
        <sz val="11"/>
        <color theme="1"/>
        <rFont val="Times New Roman"/>
        <family val="1"/>
      </rPr>
      <t>r*</t>
    </r>
    <r>
      <rPr>
        <sz val="11"/>
        <color theme="1"/>
        <rFont val="Arial"/>
        <family val="2"/>
      </rPr>
      <t xml:space="preserve"> </t>
    </r>
  </si>
  <si>
    <t>Eq. (3.16)</t>
  </si>
  <si>
    <r>
      <rPr>
        <i/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0,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1</t>
    </r>
  </si>
  <si>
    <r>
      <rPr>
        <i/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0,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2</t>
    </r>
  </si>
  <si>
    <r>
      <rPr>
        <i/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0,</t>
    </r>
    <r>
      <rPr>
        <i/>
        <vertAlign val="subscript"/>
        <sz val="11"/>
        <color theme="1"/>
        <rFont val="Times New Roman"/>
        <family val="1"/>
      </rPr>
      <t>t</t>
    </r>
    <r>
      <rPr>
        <vertAlign val="subscript"/>
        <sz val="11"/>
        <color theme="1"/>
        <rFont val="Times New Roman"/>
        <family val="1"/>
      </rPr>
      <t>1</t>
    </r>
  </si>
  <si>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1</t>
    </r>
  </si>
  <si>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t</t>
    </r>
    <r>
      <rPr>
        <vertAlign val="subscript"/>
        <sz val="11"/>
        <color theme="1"/>
        <rFont val="Times New Roman"/>
        <family val="1"/>
      </rPr>
      <t>1</t>
    </r>
  </si>
  <si>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2</t>
    </r>
  </si>
  <si>
    <r>
      <rPr>
        <i/>
        <sz val="11"/>
        <color theme="1"/>
        <rFont val="Times New Roman"/>
        <family val="1"/>
      </rPr>
      <t>c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1</t>
    </r>
  </si>
  <si>
    <r>
      <rPr>
        <i/>
        <sz val="11"/>
        <color theme="1"/>
        <rFont val="Times New Roman"/>
        <family val="1"/>
      </rPr>
      <t>c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2</t>
    </r>
  </si>
  <si>
    <t>Eq. (3.17)</t>
  </si>
  <si>
    <t>Eq. (3.18)</t>
  </si>
  <si>
    <t>Eq. (3.19)</t>
  </si>
  <si>
    <t>Eq. (3.20)</t>
  </si>
  <si>
    <t>Eq. (3.21)</t>
  </si>
  <si>
    <t>Eq. (3.22)</t>
  </si>
  <si>
    <t>Eq. (3.23)</t>
  </si>
  <si>
    <t>Eq. (3.24)</t>
  </si>
  <si>
    <r>
      <rPr>
        <i/>
        <sz val="11"/>
        <color theme="1"/>
        <rFont val="Times New Roman"/>
        <family val="1"/>
      </rPr>
      <t>T</t>
    </r>
    <r>
      <rPr>
        <vertAlign val="subscript"/>
        <sz val="11"/>
        <color theme="1"/>
        <rFont val="Times New Roman"/>
        <family val="1"/>
      </rPr>
      <t>1</t>
    </r>
  </si>
  <si>
    <r>
      <rPr>
        <i/>
        <sz val="11"/>
        <color theme="1"/>
        <rFont val="Times New Roman"/>
        <family val="1"/>
      </rPr>
      <t>L</t>
    </r>
    <r>
      <rPr>
        <vertAlign val="subscript"/>
        <sz val="11"/>
        <color theme="1"/>
        <rFont val="Times New Roman"/>
        <family val="1"/>
      </rPr>
      <t>1</t>
    </r>
  </si>
  <si>
    <t>Eq. (3.26)</t>
  </si>
  <si>
    <t>Eq. (3.25)</t>
  </si>
  <si>
    <r>
      <t xml:space="preserve">Impact radius for </t>
    </r>
    <r>
      <rPr>
        <i/>
        <sz val="11"/>
        <color theme="1"/>
        <rFont val="Times New Roman"/>
        <family val="1"/>
      </rPr>
      <t>γ</t>
    </r>
    <r>
      <rPr>
        <sz val="11"/>
        <color theme="1"/>
        <rFont val="Arial"/>
        <family val="2"/>
      </rPr>
      <t xml:space="preserve"> = 0°</t>
    </r>
  </si>
  <si>
    <r>
      <t xml:space="preserve">Impact radius for </t>
    </r>
    <r>
      <rPr>
        <i/>
        <sz val="11"/>
        <color theme="1"/>
        <rFont val="Times New Roman"/>
        <family val="1"/>
      </rPr>
      <t>γ</t>
    </r>
    <r>
      <rPr>
        <sz val="11"/>
        <color theme="1"/>
        <rFont val="Arial"/>
        <family val="2"/>
      </rPr>
      <t xml:space="preserve"> = 90°</t>
    </r>
  </si>
  <si>
    <t>Impact radius</t>
  </si>
  <si>
    <t>Surrogate radial distance</t>
  </si>
  <si>
    <t>Initial first wave crest amplitude</t>
  </si>
  <si>
    <t>Initial first wave trough amplitude</t>
  </si>
  <si>
    <t>Initial second wave crest amplitude</t>
  </si>
  <si>
    <t>First wave crest amplitude</t>
  </si>
  <si>
    <t>Second wave crest amplitude</t>
  </si>
  <si>
    <t>First wave trough amplitude</t>
  </si>
  <si>
    <t>First wave crest celerity</t>
  </si>
  <si>
    <t>Second wave crest celerity</t>
  </si>
  <si>
    <t>Wave period (first wave)</t>
  </si>
  <si>
    <t>Wave parameter input source</t>
  </si>
  <si>
    <t>(2D or 3D)</t>
  </si>
  <si>
    <r>
      <rPr>
        <i/>
        <sz val="11"/>
        <color theme="1"/>
        <rFont val="Times New Roman"/>
        <family val="1"/>
      </rPr>
      <t>a</t>
    </r>
    <r>
      <rPr>
        <sz val="11"/>
        <color theme="1"/>
        <rFont val="Arial"/>
        <family val="2"/>
      </rPr>
      <t xml:space="preserve"> </t>
    </r>
  </si>
  <si>
    <t>Wave crest amplitude</t>
  </si>
  <si>
    <r>
      <rPr>
        <i/>
        <sz val="11"/>
        <color theme="1"/>
        <rFont val="Times New Roman"/>
        <family val="1"/>
      </rPr>
      <t>h</t>
    </r>
    <r>
      <rPr>
        <sz val="11"/>
        <color theme="1"/>
        <rFont val="Arial"/>
        <family val="2"/>
      </rPr>
      <t xml:space="preserve"> </t>
    </r>
  </si>
  <si>
    <t>Wave height</t>
  </si>
  <si>
    <r>
      <rPr>
        <i/>
        <sz val="11"/>
        <color theme="1"/>
        <rFont val="Times New Roman"/>
        <family val="1"/>
      </rPr>
      <t>H</t>
    </r>
    <r>
      <rPr>
        <sz val="11"/>
        <color theme="1"/>
        <rFont val="Arial"/>
        <family val="2"/>
      </rPr>
      <t xml:space="preserve"> </t>
    </r>
  </si>
  <si>
    <t>Wave run-up</t>
  </si>
  <si>
    <t>Relative wave crest amplitude</t>
  </si>
  <si>
    <t>Non-linearity</t>
  </si>
  <si>
    <t>Run-up angle</t>
  </si>
  <si>
    <t>Slope parameter</t>
  </si>
  <si>
    <r>
      <t xml:space="preserve">[m] </t>
    </r>
    <r>
      <rPr>
        <vertAlign val="superscript"/>
        <sz val="11"/>
        <color theme="1"/>
        <rFont val="Arial"/>
        <family val="2"/>
      </rPr>
      <t>(1)</t>
    </r>
  </si>
  <si>
    <t>β</t>
  </si>
  <si>
    <t>Freeboard</t>
  </si>
  <si>
    <t>f</t>
  </si>
  <si>
    <t>Dam crest width</t>
  </si>
  <si>
    <r>
      <t>b</t>
    </r>
    <r>
      <rPr>
        <i/>
        <vertAlign val="subscript"/>
        <sz val="11"/>
        <color theme="1"/>
        <rFont val="Times New Roman"/>
        <family val="1"/>
      </rPr>
      <t>K</t>
    </r>
  </si>
  <si>
    <t>Wave overtopping (rigid dam)</t>
  </si>
  <si>
    <t>Relative effective wave amplitude</t>
  </si>
  <si>
    <t xml:space="preserve">[-] </t>
  </si>
  <si>
    <t>Relative still water depth</t>
  </si>
  <si>
    <t>Dam angle</t>
  </si>
  <si>
    <t>Relative crest width</t>
  </si>
  <si>
    <t>Wave overtopping (granular dam)</t>
  </si>
  <si>
    <t>Wave-freeboard ratio</t>
  </si>
  <si>
    <t>Run-up height</t>
  </si>
  <si>
    <t>Eq. (3.27)</t>
  </si>
  <si>
    <r>
      <rPr>
        <i/>
        <sz val="11"/>
        <color theme="1"/>
        <rFont val="Times New Roman"/>
        <family val="1"/>
      </rPr>
      <t>R</t>
    </r>
    <r>
      <rPr>
        <sz val="11"/>
        <color theme="1"/>
        <rFont val="Arial"/>
        <family val="2"/>
      </rPr>
      <t xml:space="preserve"> </t>
    </r>
  </si>
  <si>
    <t>Overtopping volume per unit dam crest length</t>
  </si>
  <si>
    <t>Eq. (3.29)</t>
  </si>
  <si>
    <r>
      <t>[m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/m]</t>
    </r>
  </si>
  <si>
    <r>
      <rPr>
        <i/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0</t>
    </r>
  </si>
  <si>
    <t>Wave overtopping duration</t>
  </si>
  <si>
    <r>
      <rPr>
        <i/>
        <sz val="11"/>
        <color theme="1"/>
        <rFont val="Times New Roman"/>
        <family val="1"/>
      </rPr>
      <t>t</t>
    </r>
    <r>
      <rPr>
        <i/>
        <vertAlign val="subscript"/>
        <sz val="11"/>
        <color theme="1"/>
        <rFont val="Times New Roman"/>
        <family val="1"/>
      </rPr>
      <t>O</t>
    </r>
  </si>
  <si>
    <t>Average unit discharge</t>
  </si>
  <si>
    <r>
      <rPr>
        <i/>
        <sz val="11"/>
        <color theme="1"/>
        <rFont val="Times New Roman"/>
        <family val="1"/>
      </rPr>
      <t>q</t>
    </r>
    <r>
      <rPr>
        <i/>
        <vertAlign val="subscript"/>
        <sz val="11"/>
        <color theme="1"/>
        <rFont val="Times New Roman"/>
        <family val="1"/>
      </rPr>
      <t>m</t>
    </r>
  </si>
  <si>
    <t>Eq. (3.30)</t>
  </si>
  <si>
    <t>Eq. (3.31)</t>
  </si>
  <si>
    <t>Eq. (3.32)</t>
  </si>
  <si>
    <t>Eroded crest depth</t>
  </si>
  <si>
    <r>
      <t>h</t>
    </r>
    <r>
      <rPr>
        <i/>
        <vertAlign val="subscript"/>
        <sz val="11"/>
        <color theme="1"/>
        <rFont val="Times New Roman"/>
        <family val="1"/>
      </rPr>
      <t>e</t>
    </r>
  </si>
  <si>
    <t>Eq. (3.36)</t>
  </si>
  <si>
    <t>Eq. (3.35)</t>
  </si>
  <si>
    <t>Eq. (3.34)</t>
  </si>
  <si>
    <t>Eq. (3.33)</t>
  </si>
  <si>
    <r>
      <t>[m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/s]</t>
    </r>
  </si>
  <si>
    <r>
      <t xml:space="preserve">[m] </t>
    </r>
    <r>
      <rPr>
        <vertAlign val="superscript"/>
        <sz val="11"/>
        <color theme="1"/>
        <rFont val="Arial"/>
        <family val="2"/>
      </rPr>
      <t>(2)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</si>
  <si>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 xml:space="preserve"> extended density range 0.59 ≤</t>
    </r>
    <r>
      <rPr>
        <sz val="9"/>
        <color theme="1"/>
        <rFont val="Calibri"/>
        <family val="2"/>
      </rPr>
      <t xml:space="preserve"> </t>
    </r>
    <r>
      <rPr>
        <i/>
        <sz val="10"/>
        <color theme="1"/>
        <rFont val="Times New Roman"/>
        <family val="1"/>
      </rPr>
      <t>D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Arial"/>
        <family val="2"/>
      </rPr>
      <t>≤ 1.72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</si>
  <si>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 xml:space="preserve"> 3D: </t>
    </r>
    <r>
      <rPr>
        <i/>
        <sz val="11"/>
        <color theme="1"/>
        <rFont val="Times New Roman"/>
        <family val="1"/>
      </rPr>
      <t>a</t>
    </r>
    <r>
      <rPr>
        <sz val="9"/>
        <color theme="1"/>
        <rFont val="Arial"/>
        <family val="2"/>
      </rPr>
      <t xml:space="preserve"> =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1</t>
    </r>
    <r>
      <rPr>
        <sz val="9"/>
        <color theme="1"/>
        <rFont val="Arial"/>
        <family val="2"/>
      </rPr>
      <t xml:space="preserve"> if</t>
    </r>
    <r>
      <rPr>
        <vertAlign val="subscript"/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&gt;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or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=</t>
    </r>
    <r>
      <rPr>
        <sz val="9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&lt;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2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</si>
  <si>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 xml:space="preserve"> 3D: </t>
    </r>
    <r>
      <rPr>
        <i/>
        <sz val="11"/>
        <color theme="1"/>
        <rFont val="Times New Roman"/>
        <family val="1"/>
      </rPr>
      <t>H</t>
    </r>
    <r>
      <rPr>
        <sz val="9"/>
        <color theme="1"/>
        <rFont val="Arial"/>
        <family val="2"/>
      </rPr>
      <t xml:space="preserve"> =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1</t>
    </r>
    <r>
      <rPr>
        <sz val="9"/>
        <color theme="1"/>
        <rFont val="Arial"/>
        <family val="2"/>
      </rPr>
      <t xml:space="preserve"> +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t</t>
    </r>
    <r>
      <rPr>
        <vertAlign val="subscript"/>
        <sz val="11"/>
        <color theme="1"/>
        <rFont val="Times New Roman"/>
        <family val="1"/>
      </rPr>
      <t>1</t>
    </r>
    <r>
      <rPr>
        <sz val="9"/>
        <color theme="1"/>
        <rFont val="Arial"/>
        <family val="2"/>
      </rPr>
      <t xml:space="preserve"> if</t>
    </r>
    <r>
      <rPr>
        <vertAlign val="subscript"/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&gt;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or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H</t>
    </r>
    <r>
      <rPr>
        <sz val="11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=</t>
    </r>
    <r>
      <rPr>
        <sz val="9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+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t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if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&lt; 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c</t>
    </r>
    <r>
      <rPr>
        <vertAlign val="subscript"/>
        <sz val="11"/>
        <color theme="1"/>
        <rFont val="Times New Roman"/>
        <family val="1"/>
      </rPr>
      <t>2</t>
    </r>
  </si>
  <si>
    <t>Minimum relative wave amplitude</t>
  </si>
  <si>
    <r>
      <rPr>
        <i/>
        <sz val="11"/>
        <color theme="1"/>
        <rFont val="Times New Roman"/>
        <family val="1"/>
      </rPr>
      <t>ε</t>
    </r>
    <r>
      <rPr>
        <i/>
        <vertAlign val="subscript"/>
        <sz val="11"/>
        <color theme="1"/>
        <rFont val="Times New Roman"/>
        <family val="1"/>
      </rPr>
      <t>min</t>
    </r>
    <r>
      <rPr>
        <sz val="11"/>
        <color theme="1"/>
        <rFont val="Times New Roman"/>
        <family val="1"/>
      </rPr>
      <t xml:space="preserve"> </t>
    </r>
  </si>
  <si>
    <t>Eq. (3.38)</t>
  </si>
  <si>
    <t>Eq. (3.39)</t>
  </si>
  <si>
    <t>Streamwise overland flow distance</t>
  </si>
  <si>
    <r>
      <t>x</t>
    </r>
    <r>
      <rPr>
        <i/>
        <vertAlign val="subscript"/>
        <sz val="11"/>
        <color theme="1"/>
        <rFont val="Times New Roman"/>
        <family val="1"/>
      </rPr>
      <t>ov</t>
    </r>
  </si>
  <si>
    <r>
      <rPr>
        <i/>
        <sz val="11"/>
        <color theme="1"/>
        <rFont val="Times New Roman"/>
        <family val="1"/>
      </rPr>
      <t>ε</t>
    </r>
    <r>
      <rPr>
        <i/>
        <vertAlign val="subscript"/>
        <sz val="11"/>
        <color theme="1"/>
        <rFont val="Times New Roman"/>
        <family val="1"/>
      </rPr>
      <t>eff</t>
    </r>
    <r>
      <rPr>
        <sz val="11"/>
        <color theme="1"/>
        <rFont val="Times New Roman"/>
        <family val="1"/>
      </rPr>
      <t xml:space="preserve"> </t>
    </r>
  </si>
  <si>
    <t>Relative freeboard</t>
  </si>
  <si>
    <t>Overland flow distance</t>
  </si>
  <si>
    <t>Eq. (3.41)</t>
  </si>
  <si>
    <t>Relative overland flow position</t>
  </si>
  <si>
    <r>
      <rPr>
        <i/>
        <sz val="11"/>
        <color theme="1"/>
        <rFont val="Times New Roman"/>
        <family val="1"/>
      </rPr>
      <t>x*</t>
    </r>
    <r>
      <rPr>
        <i/>
        <vertAlign val="subscript"/>
        <sz val="11"/>
        <color theme="1"/>
        <rFont val="Times New Roman"/>
        <family val="1"/>
      </rPr>
      <t>max</t>
    </r>
  </si>
  <si>
    <t>Eq. (3.43)</t>
  </si>
  <si>
    <t>Eq. (3.42)</t>
  </si>
  <si>
    <t>Effective relative wave amplitude</t>
  </si>
  <si>
    <t>Eq. (3.45)</t>
  </si>
  <si>
    <t>t</t>
  </si>
  <si>
    <t>Eq. (3.40)</t>
  </si>
  <si>
    <r>
      <t xml:space="preserve">Maximum depth averaged flow velocity at 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tr</t>
    </r>
  </si>
  <si>
    <r>
      <rPr>
        <i/>
        <sz val="11"/>
        <color theme="1"/>
        <rFont val="Times New Roman"/>
        <family val="1"/>
      </rPr>
      <t>ṽ</t>
    </r>
    <r>
      <rPr>
        <i/>
        <vertAlign val="subscript"/>
        <sz val="11"/>
        <color theme="1"/>
        <rFont val="Times New Roman"/>
        <family val="1"/>
      </rPr>
      <t>x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max</t>
    </r>
  </si>
  <si>
    <t>Eq. (3.44)</t>
  </si>
  <si>
    <r>
      <t>v</t>
    </r>
    <r>
      <rPr>
        <i/>
        <vertAlign val="subscript"/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max</t>
    </r>
  </si>
  <si>
    <r>
      <t xml:space="preserve">Maximum specific discharge at 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tr</t>
    </r>
  </si>
  <si>
    <r>
      <rPr>
        <i/>
        <sz val="11"/>
        <color theme="1"/>
        <rFont val="Times New Roman"/>
        <family val="1"/>
      </rPr>
      <t>q</t>
    </r>
    <r>
      <rPr>
        <vertAlign val="subscript"/>
        <sz val="11"/>
        <color theme="1"/>
        <rFont val="Times New Roman"/>
        <family val="1"/>
      </rPr>
      <t>0</t>
    </r>
  </si>
  <si>
    <t>Eq. (3.47)</t>
  </si>
  <si>
    <t>Eq. (3.49)</t>
  </si>
  <si>
    <r>
      <rPr>
        <i/>
        <sz val="11"/>
        <color theme="1"/>
        <rFont val="Times New Roman"/>
        <family val="1"/>
      </rPr>
      <t>p</t>
    </r>
    <r>
      <rPr>
        <i/>
        <vertAlign val="subscript"/>
        <sz val="11"/>
        <color theme="1"/>
        <rFont val="Times New Roman"/>
        <family val="1"/>
      </rPr>
      <t>K</t>
    </r>
  </si>
  <si>
    <t>Eq. (3.52)</t>
  </si>
  <si>
    <t>Eq. (3.53)</t>
  </si>
  <si>
    <t>Eq. (3.54)</t>
  </si>
  <si>
    <t>[N/m]</t>
  </si>
  <si>
    <r>
      <t>[N/m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</si>
  <si>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t>Eq. (3.48)</t>
  </si>
  <si>
    <t>-</t>
  </si>
  <si>
    <t>Hydrostatic pressure force (horizontal component)</t>
  </si>
  <si>
    <t>Hydrostatic pressure force (vertical component)</t>
  </si>
  <si>
    <t>Pressure at dam crest</t>
  </si>
  <si>
    <t>Reduced overtopping force (horizontal)</t>
  </si>
  <si>
    <t>Reduced overtopping force (vertical)</t>
  </si>
  <si>
    <r>
      <t xml:space="preserve">Elevation of the resultant of </t>
    </r>
    <r>
      <rPr>
        <i/>
        <sz val="11"/>
        <rFont val="Times New Roman"/>
        <family val="1"/>
      </rPr>
      <t>K</t>
    </r>
    <r>
      <rPr>
        <i/>
        <vertAlign val="subscript"/>
        <sz val="11"/>
        <rFont val="Times New Roman"/>
        <family val="1"/>
      </rPr>
      <t>tot</t>
    </r>
    <r>
      <rPr>
        <vertAlign val="subscript"/>
        <sz val="11"/>
        <rFont val="Times New Roman"/>
        <family val="1"/>
      </rPr>
      <t>,</t>
    </r>
    <r>
      <rPr>
        <i/>
        <vertAlign val="subscript"/>
        <sz val="11"/>
        <rFont val="Times New Roman"/>
        <family val="1"/>
      </rPr>
      <t>h</t>
    </r>
    <r>
      <rPr>
        <vertAlign val="subscript"/>
        <sz val="11"/>
        <rFont val="Times New Roman"/>
        <family val="1"/>
      </rPr>
      <t>,</t>
    </r>
    <r>
      <rPr>
        <i/>
        <vertAlign val="subscript"/>
        <sz val="11"/>
        <rFont val="Times New Roman"/>
        <family val="1"/>
      </rPr>
      <t>red</t>
    </r>
  </si>
  <si>
    <t>Outside limitation range</t>
  </si>
  <si>
    <t xml:space="preserve">Run-up | Overtopping </t>
  </si>
  <si>
    <t>Computes run-up heights and overtopping characteristics based on governing impulse wave (2D or 3D input) and shore/dam parameters</t>
  </si>
  <si>
    <t>Computes overland flow characteristics based on governing impulse wave (2D or 3D input) and shore parameters</t>
  </si>
  <si>
    <t>Computes wave force based on governing impulse wave (2D or 3D input) and dam parameters</t>
  </si>
  <si>
    <r>
      <t xml:space="preserve">Computes 2D impulse wave characteristics based on governing slide parameters at a streamwise distance </t>
    </r>
    <r>
      <rPr>
        <i/>
        <sz val="11"/>
        <color theme="1"/>
        <rFont val="Times New Roman"/>
        <family val="1"/>
      </rPr>
      <t>x</t>
    </r>
    <r>
      <rPr>
        <sz val="11"/>
        <color theme="1"/>
        <rFont val="Arial"/>
        <family val="2"/>
      </rPr>
      <t xml:space="preserve"> (Figure 3-2a)</t>
    </r>
  </si>
  <si>
    <t>Maximum overtopping flow depth</t>
  </si>
  <si>
    <t>Within limitation range</t>
  </si>
  <si>
    <r>
      <t xml:space="preserve">Wave height at </t>
    </r>
    <r>
      <rPr>
        <i/>
        <sz val="11"/>
        <color theme="1"/>
        <rFont val="Times New Roman"/>
        <family val="1"/>
      </rPr>
      <t>x</t>
    </r>
  </si>
  <si>
    <r>
      <t xml:space="preserve">Wave amplitude at </t>
    </r>
    <r>
      <rPr>
        <i/>
        <sz val="11"/>
        <color theme="1"/>
        <rFont val="Times New Roman"/>
        <family val="1"/>
      </rPr>
      <t>x</t>
    </r>
  </si>
  <si>
    <r>
      <t xml:space="preserve">Wave period at </t>
    </r>
    <r>
      <rPr>
        <i/>
        <sz val="11"/>
        <color theme="1"/>
        <rFont val="Times New Roman"/>
        <family val="1"/>
      </rPr>
      <t>x</t>
    </r>
  </si>
  <si>
    <t>Slide width</t>
  </si>
  <si>
    <t>Relative radial distance</t>
  </si>
  <si>
    <t>Wave length (first wave)</t>
  </si>
  <si>
    <t>Wave parameters</t>
  </si>
  <si>
    <t>Wave parameters input source</t>
  </si>
  <si>
    <t>Shore/dam parameters</t>
  </si>
  <si>
    <t>Shore parameters</t>
  </si>
  <si>
    <t>Dam parameters</t>
  </si>
  <si>
    <r>
      <t>Hydrostatic pressure force by 2</t>
    </r>
    <r>
      <rPr>
        <i/>
        <sz val="11"/>
        <rFont val="Times New Roman"/>
        <family val="1"/>
      </rPr>
      <t>a</t>
    </r>
    <r>
      <rPr>
        <sz val="11"/>
        <rFont val="Times New Roman"/>
        <family val="1"/>
      </rPr>
      <t>+</t>
    </r>
    <r>
      <rPr>
        <i/>
        <sz val="11"/>
        <rFont val="Times New Roman"/>
        <family val="1"/>
      </rPr>
      <t>h</t>
    </r>
    <r>
      <rPr>
        <sz val="11"/>
        <rFont val="Arial"/>
        <family val="2"/>
      </rPr>
      <t xml:space="preserve"> (horizontal)</t>
    </r>
  </si>
  <si>
    <t>Eq. (3.28)</t>
  </si>
  <si>
    <t>Eq. (A.1)</t>
  </si>
  <si>
    <t>Eq. (A.2)</t>
  </si>
  <si>
    <t>Eq. (A.3)</t>
  </si>
  <si>
    <t>Eq. (A.4)</t>
  </si>
  <si>
    <t>Eq. (A.5)</t>
  </si>
  <si>
    <t>Eq. (3.46)</t>
  </si>
  <si>
    <r>
      <rPr>
        <b/>
        <sz val="11"/>
        <color theme="1"/>
        <rFont val="Arial"/>
        <family val="2"/>
      </rPr>
      <t>Limitations</t>
    </r>
    <r>
      <rPr>
        <sz val="11"/>
        <color theme="1"/>
        <rFont val="Arial"/>
        <family val="2"/>
      </rPr>
      <t xml:space="preserve"> (Table 3-6)</t>
    </r>
  </si>
  <si>
    <t>Eq. (3.55)</t>
  </si>
  <si>
    <t>Eq. (3.56)</t>
  </si>
  <si>
    <t>Eq. (3.57)</t>
  </si>
  <si>
    <t>Eq. (3.58)</t>
  </si>
  <si>
    <t>Insert parameter value</t>
  </si>
  <si>
    <r>
      <t xml:space="preserve">Wave overtopping (granular dam) </t>
    </r>
    <r>
      <rPr>
        <sz val="11"/>
        <color theme="1"/>
        <rFont val="Arial"/>
        <family val="2"/>
      </rPr>
      <t>(see Appendix A)</t>
    </r>
  </si>
  <si>
    <r>
      <rPr>
        <i/>
        <sz val="11"/>
        <color theme="1"/>
        <rFont val="Times New Roman"/>
        <family val="1"/>
      </rPr>
      <t>F</t>
    </r>
    <r>
      <rPr>
        <i/>
        <vertAlign val="subscript"/>
        <sz val="11"/>
        <color theme="1"/>
        <rFont val="Times New Roman"/>
        <family val="1"/>
      </rPr>
      <t>RW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h</t>
    </r>
  </si>
  <si>
    <r>
      <rPr>
        <i/>
        <sz val="11"/>
        <color theme="1"/>
        <rFont val="Times New Roman"/>
        <family val="1"/>
      </rPr>
      <t>F</t>
    </r>
    <r>
      <rPr>
        <i/>
        <vertAlign val="subscript"/>
        <sz val="11"/>
        <color theme="1"/>
        <rFont val="Times New Roman"/>
        <family val="1"/>
      </rPr>
      <t>RW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v</t>
    </r>
  </si>
  <si>
    <r>
      <rPr>
        <i/>
        <sz val="11"/>
        <color theme="1"/>
        <rFont val="Times New Roman"/>
        <family val="1"/>
      </rPr>
      <t>F</t>
    </r>
    <r>
      <rPr>
        <i/>
        <vertAlign val="subscript"/>
        <sz val="11"/>
        <color theme="1"/>
        <rFont val="Times New Roman"/>
        <family val="1"/>
      </rPr>
      <t>hs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h</t>
    </r>
  </si>
  <si>
    <r>
      <rPr>
        <i/>
        <sz val="11"/>
        <color theme="1"/>
        <rFont val="Times New Roman"/>
        <family val="1"/>
      </rPr>
      <t>F</t>
    </r>
    <r>
      <rPr>
        <i/>
        <vertAlign val="subscript"/>
        <sz val="11"/>
        <color theme="1"/>
        <rFont val="Times New Roman"/>
        <family val="1"/>
      </rPr>
      <t>tot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h</t>
    </r>
  </si>
  <si>
    <r>
      <rPr>
        <i/>
        <sz val="11"/>
        <color theme="1"/>
        <rFont val="Times New Roman"/>
        <family val="1"/>
      </rPr>
      <t>F</t>
    </r>
    <r>
      <rPr>
        <i/>
        <vertAlign val="subscript"/>
        <sz val="11"/>
        <color theme="1"/>
        <rFont val="Times New Roman"/>
        <family val="1"/>
      </rPr>
      <t>tot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v</t>
    </r>
  </si>
  <si>
    <r>
      <rPr>
        <i/>
        <sz val="11"/>
        <color theme="1"/>
        <rFont val="Times New Roman"/>
        <family val="1"/>
      </rPr>
      <t>F</t>
    </r>
    <r>
      <rPr>
        <i/>
        <vertAlign val="subscript"/>
        <sz val="11"/>
        <color theme="1"/>
        <rFont val="Times New Roman"/>
        <family val="1"/>
      </rPr>
      <t>tot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h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red</t>
    </r>
  </si>
  <si>
    <r>
      <rPr>
        <i/>
        <sz val="11"/>
        <color theme="1"/>
        <rFont val="Times New Roman"/>
        <family val="1"/>
      </rPr>
      <t>F</t>
    </r>
    <r>
      <rPr>
        <i/>
        <vertAlign val="subscript"/>
        <sz val="11"/>
        <color theme="1"/>
        <rFont val="Times New Roman"/>
        <family val="1"/>
      </rPr>
      <t>tot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v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red</t>
    </r>
  </si>
  <si>
    <r>
      <rPr>
        <sz val="11"/>
        <color theme="1"/>
        <rFont val="Arial"/>
        <family val="2"/>
      </rPr>
      <t xml:space="preserve">0.59 ≤ </t>
    </r>
    <r>
      <rPr>
        <i/>
        <sz val="11"/>
        <color theme="1"/>
        <rFont val="Times New Roman"/>
        <family val="1"/>
      </rPr>
      <t>D</t>
    </r>
    <r>
      <rPr>
        <sz val="11"/>
        <color theme="1"/>
        <rFont val="Arial"/>
        <family val="2"/>
      </rPr>
      <t xml:space="preserve"> ≤ 1.72</t>
    </r>
  </si>
  <si>
    <r>
      <rPr>
        <sz val="11"/>
        <color theme="1"/>
        <rFont val="Arial"/>
        <family val="2"/>
      </rPr>
      <t>0.05 ≤</t>
    </r>
    <r>
      <rPr>
        <i/>
        <sz val="11"/>
        <color theme="1"/>
        <rFont val="Times New Roman"/>
        <family val="1"/>
      </rPr>
      <t xml:space="preserve"> V </t>
    </r>
    <r>
      <rPr>
        <sz val="11"/>
        <color theme="1"/>
        <rFont val="Arial"/>
        <family val="2"/>
      </rPr>
      <t>≤ 5.94</t>
    </r>
  </si>
  <si>
    <r>
      <t>0.74 ≤</t>
    </r>
    <r>
      <rPr>
        <i/>
        <sz val="11"/>
        <color theme="1"/>
        <rFont val="Times New Roman"/>
        <family val="1"/>
      </rPr>
      <t xml:space="preserve"> B </t>
    </r>
    <r>
      <rPr>
        <sz val="11"/>
        <color theme="1"/>
        <rFont val="Arial"/>
        <family val="2"/>
      </rPr>
      <t>≤ 3.33</t>
    </r>
  </si>
  <si>
    <r>
      <rPr>
        <sz val="11"/>
        <color theme="1"/>
        <rFont val="Arial"/>
        <family val="2"/>
      </rPr>
      <t xml:space="preserve">2.7 ≤ </t>
    </r>
    <r>
      <rPr>
        <i/>
        <sz val="11"/>
        <color theme="1"/>
        <rFont val="Times New Roman"/>
        <family val="1"/>
      </rPr>
      <t xml:space="preserve">X </t>
    </r>
    <r>
      <rPr>
        <sz val="11"/>
        <color theme="1"/>
        <rFont val="Arial"/>
        <family val="2"/>
      </rPr>
      <t>≤ 59.2</t>
    </r>
  </si>
  <si>
    <r>
      <rPr>
        <sz val="11"/>
        <color theme="1"/>
        <rFont val="Arial"/>
        <family val="2"/>
      </rPr>
      <t xml:space="preserve">30.7 ≤ </t>
    </r>
    <r>
      <rPr>
        <i/>
        <sz val="11"/>
        <color theme="1"/>
        <rFont val="Times New Roman"/>
        <family val="1"/>
      </rPr>
      <t>n</t>
    </r>
    <r>
      <rPr>
        <sz val="11"/>
        <color theme="1"/>
        <rFont val="Arial"/>
        <family val="2"/>
      </rPr>
      <t xml:space="preserve"> ≤ 43.3</t>
    </r>
  </si>
  <si>
    <t>0.40 ≤ F ≤ 3.40</t>
  </si>
  <si>
    <r>
      <rPr>
        <sz val="11"/>
        <color theme="1"/>
        <rFont val="Arial"/>
        <family val="2"/>
      </rPr>
      <t xml:space="preserve">0.15 ≤ </t>
    </r>
    <r>
      <rPr>
        <i/>
        <sz val="11"/>
        <color theme="1"/>
        <rFont val="Times New Roman"/>
        <family val="1"/>
      </rPr>
      <t xml:space="preserve">S </t>
    </r>
    <r>
      <rPr>
        <sz val="11"/>
        <color theme="1"/>
        <rFont val="Arial"/>
        <family val="2"/>
      </rPr>
      <t>≤ 0.60</t>
    </r>
  </si>
  <si>
    <r>
      <rPr>
        <sz val="11"/>
        <color theme="1"/>
        <rFont val="Arial"/>
        <family val="2"/>
      </rPr>
      <t xml:space="preserve">0.25 ≤ 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Arial"/>
        <family val="2"/>
      </rPr>
      <t xml:space="preserve"> ≤ 1.00</t>
    </r>
  </si>
  <si>
    <r>
      <rPr>
        <sz val="11"/>
        <color theme="1"/>
        <rFont val="Arial"/>
        <family val="2"/>
      </rPr>
      <t xml:space="preserve">0.187 ≤ </t>
    </r>
    <r>
      <rPr>
        <i/>
        <sz val="11"/>
        <color theme="1"/>
        <rFont val="Times New Roman"/>
        <family val="1"/>
      </rPr>
      <t xml:space="preserve">V </t>
    </r>
    <r>
      <rPr>
        <sz val="11"/>
        <color theme="1"/>
        <rFont val="Arial"/>
        <family val="2"/>
      </rPr>
      <t>≤ 0.750</t>
    </r>
  </si>
  <si>
    <r>
      <rPr>
        <sz val="11"/>
        <color theme="1"/>
        <rFont val="Arial"/>
        <family val="2"/>
      </rPr>
      <t xml:space="preserve">30.7 ≤ </t>
    </r>
    <r>
      <rPr>
        <i/>
        <sz val="11"/>
        <color theme="1"/>
        <rFont val="Times New Roman"/>
        <family val="1"/>
      </rPr>
      <t xml:space="preserve">n </t>
    </r>
    <r>
      <rPr>
        <sz val="11"/>
        <color theme="1"/>
        <rFont val="Arial"/>
        <family val="2"/>
      </rPr>
      <t>≤ 43.3</t>
    </r>
  </si>
  <si>
    <r>
      <t>0.83 ≤</t>
    </r>
    <r>
      <rPr>
        <i/>
        <sz val="11"/>
        <color theme="1"/>
        <rFont val="Times New Roman"/>
        <family val="1"/>
      </rPr>
      <t xml:space="preserve"> B </t>
    </r>
    <r>
      <rPr>
        <sz val="11"/>
        <color theme="1"/>
        <rFont val="Arial"/>
        <family val="2"/>
      </rPr>
      <t>≤ 5.00</t>
    </r>
  </si>
  <si>
    <r>
      <rPr>
        <sz val="11"/>
        <color theme="1"/>
        <rFont val="Arial"/>
        <family val="2"/>
      </rPr>
      <t xml:space="preserve">1 ≤ </t>
    </r>
    <r>
      <rPr>
        <i/>
        <sz val="11"/>
        <color theme="1"/>
        <rFont val="Times New Roman"/>
        <family val="1"/>
      </rPr>
      <t xml:space="preserve">r/h </t>
    </r>
    <r>
      <rPr>
        <sz val="11"/>
        <color theme="1"/>
        <rFont val="Arial"/>
        <family val="2"/>
      </rPr>
      <t>≤ 16</t>
    </r>
  </si>
  <si>
    <t>0.13 ≤ P ≤ 2.08</t>
  </si>
  <si>
    <r>
      <rPr>
        <sz val="11"/>
        <rFont val="Arial"/>
        <family val="2"/>
      </rPr>
      <t xml:space="preserve">0.007 ≤ </t>
    </r>
    <r>
      <rPr>
        <i/>
        <sz val="11"/>
        <rFont val="Times New Roman"/>
        <family val="1"/>
      </rPr>
      <t>ε</t>
    </r>
    <r>
      <rPr>
        <sz val="11"/>
        <rFont val="Arial"/>
        <family val="2"/>
      </rPr>
      <t xml:space="preserve"> ≤ 0.69</t>
    </r>
  </si>
  <si>
    <r>
      <rPr>
        <sz val="11"/>
        <rFont val="Arial"/>
        <family val="2"/>
      </rPr>
      <t>0.57 ≤</t>
    </r>
    <r>
      <rPr>
        <i/>
        <sz val="11"/>
        <rFont val="Times New Roman"/>
        <family val="1"/>
      </rPr>
      <t xml:space="preserve"> a/H </t>
    </r>
    <r>
      <rPr>
        <sz val="11"/>
        <rFont val="Arial"/>
        <family val="2"/>
      </rPr>
      <t>≤ 1.04</t>
    </r>
  </si>
  <si>
    <r>
      <rPr>
        <sz val="11"/>
        <rFont val="Arial"/>
        <family val="2"/>
      </rPr>
      <t xml:space="preserve">0.013 ≤ </t>
    </r>
    <r>
      <rPr>
        <i/>
        <sz val="11"/>
        <rFont val="Times New Roman"/>
        <family val="1"/>
      </rPr>
      <t>ε</t>
    </r>
    <r>
      <rPr>
        <sz val="11"/>
        <rFont val="Arial"/>
        <family val="2"/>
      </rPr>
      <t xml:space="preserve"> ≤ 0.700</t>
    </r>
  </si>
  <si>
    <r>
      <rPr>
        <sz val="11"/>
        <rFont val="Arial"/>
        <family val="2"/>
      </rPr>
      <t xml:space="preserve">0.67 ≤ </t>
    </r>
    <r>
      <rPr>
        <i/>
        <sz val="11"/>
        <rFont val="Times New Roman"/>
        <family val="1"/>
      </rPr>
      <t xml:space="preserve">h/w </t>
    </r>
    <r>
      <rPr>
        <sz val="11"/>
        <rFont val="Arial"/>
        <family val="2"/>
      </rPr>
      <t>≤ 1.00</t>
    </r>
  </si>
  <si>
    <r>
      <rPr>
        <sz val="11"/>
        <rFont val="Arial"/>
        <family val="2"/>
      </rPr>
      <t xml:space="preserve">0.63 ≤ </t>
    </r>
    <r>
      <rPr>
        <i/>
        <sz val="11"/>
        <rFont val="Times New Roman"/>
        <family val="1"/>
      </rPr>
      <t xml:space="preserve">a/H </t>
    </r>
    <r>
      <rPr>
        <sz val="11"/>
        <rFont val="Arial"/>
        <family val="2"/>
      </rPr>
      <t>≤ 1.00</t>
    </r>
  </si>
  <si>
    <r>
      <rPr>
        <sz val="11"/>
        <rFont val="Arial"/>
        <family val="2"/>
      </rPr>
      <t xml:space="preserve">0.25 ≤ </t>
    </r>
    <r>
      <rPr>
        <i/>
        <sz val="11"/>
        <rFont val="Times New Roman"/>
        <family val="1"/>
      </rPr>
      <t xml:space="preserve">ε </t>
    </r>
    <r>
      <rPr>
        <sz val="11"/>
        <rFont val="Arial"/>
        <family val="2"/>
      </rPr>
      <t>≤ 0.75</t>
    </r>
  </si>
  <si>
    <r>
      <rPr>
        <sz val="11"/>
        <rFont val="Arial"/>
        <family val="2"/>
      </rPr>
      <t xml:space="preserve">0.8 ≤ </t>
    </r>
    <r>
      <rPr>
        <i/>
        <sz val="11"/>
        <rFont val="Times New Roman"/>
        <family val="1"/>
      </rPr>
      <t xml:space="preserve">a/f </t>
    </r>
    <r>
      <rPr>
        <sz val="11"/>
        <rFont val="Arial"/>
        <family val="2"/>
      </rPr>
      <t>≤ 11.4</t>
    </r>
  </si>
  <si>
    <r>
      <rPr>
        <sz val="11"/>
        <rFont val="Arial"/>
        <family val="2"/>
      </rPr>
      <t>0.70 ≤</t>
    </r>
    <r>
      <rPr>
        <i/>
        <sz val="11"/>
        <rFont val="Times New Roman"/>
        <family val="1"/>
      </rPr>
      <t xml:space="preserve"> h/w </t>
    </r>
    <r>
      <rPr>
        <sz val="11"/>
        <rFont val="Arial"/>
        <family val="2"/>
      </rPr>
      <t>≤ 0.95</t>
    </r>
  </si>
  <si>
    <r>
      <t>a/H</t>
    </r>
    <r>
      <rPr>
        <sz val="11"/>
        <rFont val="Arial"/>
        <family val="2"/>
      </rPr>
      <t xml:space="preserve"> = 1.00</t>
    </r>
  </si>
  <si>
    <r>
      <rPr>
        <sz val="11"/>
        <rFont val="Arial"/>
        <family val="2"/>
      </rPr>
      <t xml:space="preserve">0.07 ≤ </t>
    </r>
    <r>
      <rPr>
        <i/>
        <sz val="11"/>
        <rFont val="Times New Roman"/>
        <family val="1"/>
      </rPr>
      <t>b</t>
    </r>
    <r>
      <rPr>
        <i/>
        <vertAlign val="subscript"/>
        <sz val="11"/>
        <rFont val="Times New Roman"/>
        <family val="1"/>
      </rPr>
      <t>K</t>
    </r>
    <r>
      <rPr>
        <i/>
        <sz val="11"/>
        <rFont val="Times New Roman"/>
        <family val="1"/>
      </rPr>
      <t xml:space="preserve">/w </t>
    </r>
    <r>
      <rPr>
        <sz val="11"/>
        <rFont val="Arial"/>
        <family val="2"/>
      </rPr>
      <t>≤ 0.53</t>
    </r>
  </si>
  <si>
    <r>
      <rPr>
        <sz val="11"/>
        <rFont val="Arial"/>
        <family val="2"/>
      </rPr>
      <t xml:space="preserve">0 ≤ </t>
    </r>
    <r>
      <rPr>
        <i/>
        <sz val="11"/>
        <rFont val="Times New Roman"/>
        <family val="1"/>
      </rPr>
      <t>b</t>
    </r>
    <r>
      <rPr>
        <i/>
        <vertAlign val="subscript"/>
        <sz val="11"/>
        <rFont val="Times New Roman"/>
        <family val="1"/>
      </rPr>
      <t>K</t>
    </r>
    <r>
      <rPr>
        <i/>
        <sz val="11"/>
        <rFont val="Times New Roman"/>
        <family val="1"/>
      </rPr>
      <t xml:space="preserve">/w </t>
    </r>
    <r>
      <rPr>
        <sz val="11"/>
        <rFont val="Arial"/>
        <family val="2"/>
      </rPr>
      <t>≤ 0.5</t>
    </r>
  </si>
  <si>
    <r>
      <rPr>
        <sz val="11"/>
        <rFont val="Arial"/>
        <family val="2"/>
      </rPr>
      <t xml:space="preserve">0.02 ≤ </t>
    </r>
    <r>
      <rPr>
        <i/>
        <sz val="11"/>
        <rFont val="Times New Roman"/>
        <family val="1"/>
      </rPr>
      <t>a</t>
    </r>
    <r>
      <rPr>
        <i/>
        <vertAlign val="subscript"/>
        <sz val="11"/>
        <rFont val="Times New Roman"/>
        <family val="1"/>
      </rPr>
      <t>w</t>
    </r>
    <r>
      <rPr>
        <i/>
        <sz val="11"/>
        <rFont val="Times New Roman"/>
        <family val="1"/>
      </rPr>
      <t>/b</t>
    </r>
    <r>
      <rPr>
        <i/>
        <vertAlign val="subscript"/>
        <sz val="11"/>
        <rFont val="Times New Roman"/>
        <family val="1"/>
      </rPr>
      <t>K</t>
    </r>
    <r>
      <rPr>
        <sz val="11"/>
        <rFont val="Arial"/>
        <family val="2"/>
      </rPr>
      <t xml:space="preserve"> ≤ 130</t>
    </r>
  </si>
  <si>
    <r>
      <rPr>
        <sz val="11"/>
        <rFont val="Arial"/>
        <family val="2"/>
      </rPr>
      <t xml:space="preserve">0.1 ≤ </t>
    </r>
    <r>
      <rPr>
        <i/>
        <sz val="11"/>
        <rFont val="Times New Roman"/>
        <family val="1"/>
      </rPr>
      <t xml:space="preserve">ε </t>
    </r>
    <r>
      <rPr>
        <sz val="11"/>
        <rFont val="Arial"/>
        <family val="2"/>
      </rPr>
      <t>≤ 0.7</t>
    </r>
  </si>
  <si>
    <r>
      <rPr>
        <sz val="11"/>
        <rFont val="Arial"/>
        <family val="2"/>
      </rPr>
      <t xml:space="preserve">11° ≤ </t>
    </r>
    <r>
      <rPr>
        <i/>
        <sz val="11"/>
        <rFont val="Times New Roman"/>
        <family val="1"/>
      </rPr>
      <t xml:space="preserve">β </t>
    </r>
    <r>
      <rPr>
        <sz val="11"/>
        <rFont val="Arial"/>
        <family val="2"/>
      </rPr>
      <t>≤ 34°</t>
    </r>
  </si>
  <si>
    <r>
      <rPr>
        <sz val="11"/>
        <rFont val="Arial"/>
        <family val="2"/>
      </rPr>
      <t>0.04 ≤</t>
    </r>
    <r>
      <rPr>
        <i/>
        <sz val="11"/>
        <rFont val="Times New Roman"/>
        <family val="1"/>
      </rPr>
      <t xml:space="preserve"> f</t>
    </r>
    <r>
      <rPr>
        <sz val="11"/>
        <rFont val="Times New Roman"/>
        <family val="1"/>
      </rPr>
      <t>/</t>
    </r>
    <r>
      <rPr>
        <i/>
        <sz val="11"/>
        <rFont val="Times New Roman"/>
        <family val="1"/>
      </rPr>
      <t xml:space="preserve">h </t>
    </r>
    <r>
      <rPr>
        <sz val="11"/>
        <rFont val="Arial"/>
        <family val="2"/>
      </rPr>
      <t>≤ 0.56</t>
    </r>
  </si>
  <si>
    <r>
      <rPr>
        <sz val="11"/>
        <rFont val="Arial"/>
        <family val="2"/>
      </rPr>
      <t xml:space="preserve">0 ≤ </t>
    </r>
    <r>
      <rPr>
        <i/>
        <sz val="11"/>
        <rFont val="Times New Roman"/>
        <family val="1"/>
      </rPr>
      <t>ε</t>
    </r>
    <r>
      <rPr>
        <sz val="11"/>
        <rFont val="Arial"/>
        <family val="2"/>
      </rPr>
      <t xml:space="preserve"> ≤ 0.6</t>
    </r>
  </si>
  <si>
    <r>
      <rPr>
        <i/>
        <sz val="11"/>
        <color theme="1"/>
        <rFont val="Times New Roman"/>
        <family val="1"/>
      </rPr>
      <t>z</t>
    </r>
    <r>
      <rPr>
        <i/>
        <vertAlign val="subscript"/>
        <sz val="11"/>
        <color theme="1"/>
        <rFont val="Times New Roman"/>
        <family val="1"/>
      </rPr>
      <t>K,tot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h</t>
    </r>
    <r>
      <rPr>
        <vertAlign val="subscript"/>
        <sz val="11"/>
        <color theme="1"/>
        <rFont val="Times New Roman"/>
        <family val="1"/>
      </rPr>
      <t>,</t>
    </r>
    <r>
      <rPr>
        <i/>
        <vertAlign val="subscript"/>
        <sz val="11"/>
        <color theme="1"/>
        <rFont val="Times New Roman"/>
        <family val="1"/>
      </rPr>
      <t>red</t>
    </r>
  </si>
  <si>
    <r>
      <t xml:space="preserve">Maximum flow front velocity at </t>
    </r>
    <r>
      <rPr>
        <i/>
        <sz val="11"/>
        <color theme="1"/>
        <rFont val="Times New Roman"/>
        <family val="1"/>
      </rPr>
      <t>x</t>
    </r>
    <r>
      <rPr>
        <i/>
        <vertAlign val="subscript"/>
        <sz val="11"/>
        <color theme="1"/>
        <rFont val="Times New Roman"/>
        <family val="1"/>
      </rPr>
      <t>ov</t>
    </r>
    <r>
      <rPr>
        <sz val="11"/>
        <color theme="1"/>
        <rFont val="Times New Roman"/>
        <family val="1"/>
      </rPr>
      <t>/</t>
    </r>
    <r>
      <rPr>
        <i/>
        <sz val="11"/>
        <color theme="1"/>
        <rFont val="Times New Roman"/>
        <family val="1"/>
      </rPr>
      <t>w</t>
    </r>
    <r>
      <rPr>
        <sz val="11"/>
        <color theme="1"/>
        <rFont val="Arial"/>
        <family val="2"/>
      </rPr>
      <t xml:space="preserve"> = 5</t>
    </r>
  </si>
  <si>
    <r>
      <rPr>
        <sz val="11"/>
        <rFont val="Arial"/>
        <family val="2"/>
      </rPr>
      <t xml:space="preserve">0 ≤ </t>
    </r>
    <r>
      <rPr>
        <i/>
        <sz val="11"/>
        <rFont val="Times New Roman"/>
        <family val="1"/>
      </rPr>
      <t>x</t>
    </r>
    <r>
      <rPr>
        <i/>
        <vertAlign val="subscript"/>
        <sz val="11"/>
        <rFont val="Times New Roman"/>
        <family val="1"/>
      </rPr>
      <t>ov</t>
    </r>
    <r>
      <rPr>
        <sz val="11"/>
        <rFont val="Times New Roman"/>
        <family val="1"/>
      </rPr>
      <t>/</t>
    </r>
    <r>
      <rPr>
        <i/>
        <sz val="11"/>
        <rFont val="Times New Roman"/>
        <family val="1"/>
      </rPr>
      <t>w</t>
    </r>
    <r>
      <rPr>
        <sz val="11"/>
        <rFont val="Arial"/>
        <family val="2"/>
      </rPr>
      <t xml:space="preserve"> ≤ 10</t>
    </r>
  </si>
  <si>
    <r>
      <t>d</t>
    </r>
    <r>
      <rPr>
        <i/>
        <vertAlign val="subscript"/>
        <sz val="11"/>
        <rFont val="Times New Roman"/>
        <family val="1"/>
      </rPr>
      <t>max</t>
    </r>
  </si>
  <si>
    <r>
      <t xml:space="preserve">Maximum flow depth at </t>
    </r>
    <r>
      <rPr>
        <i/>
        <sz val="11"/>
        <rFont val="Times New Roman"/>
        <family val="1"/>
      </rPr>
      <t>x</t>
    </r>
    <r>
      <rPr>
        <i/>
        <vertAlign val="subscript"/>
        <sz val="11"/>
        <rFont val="Times New Roman"/>
        <family val="1"/>
      </rPr>
      <t>tr</t>
    </r>
  </si>
  <si>
    <r>
      <rPr>
        <i/>
        <sz val="11"/>
        <rFont val="Times New Roman"/>
        <family val="1"/>
      </rPr>
      <t>d</t>
    </r>
    <r>
      <rPr>
        <vertAlign val="subscript"/>
        <sz val="11"/>
        <rFont val="Times New Roman"/>
        <family val="1"/>
      </rPr>
      <t>0</t>
    </r>
  </si>
  <si>
    <r>
      <t xml:space="preserve">Flow front position at time </t>
    </r>
    <r>
      <rPr>
        <i/>
        <sz val="11"/>
        <rFont val="Times New Roman"/>
        <family val="1"/>
      </rPr>
      <t>t</t>
    </r>
  </si>
  <si>
    <r>
      <t>x</t>
    </r>
    <r>
      <rPr>
        <i/>
        <vertAlign val="subscript"/>
        <sz val="11"/>
        <rFont val="Times New Roman"/>
        <family val="1"/>
      </rPr>
      <t>f</t>
    </r>
  </si>
  <si>
    <r>
      <t xml:space="preserve">Computes 3D impulse wave characteristics based on governing slide parameters at a radial distance </t>
    </r>
    <r>
      <rPr>
        <i/>
        <sz val="11"/>
        <color theme="1"/>
        <rFont val="Times New Roman"/>
        <family val="1"/>
      </rPr>
      <t>r</t>
    </r>
    <r>
      <rPr>
        <sz val="11"/>
        <color theme="1"/>
        <rFont val="Arial"/>
        <family val="2"/>
      </rPr>
      <t xml:space="preserve"> and a propagation angle </t>
    </r>
    <r>
      <rPr>
        <i/>
        <sz val="11"/>
        <color theme="1"/>
        <rFont val="Times New Roman"/>
        <family val="1"/>
      </rPr>
      <t>γ</t>
    </r>
    <r>
      <rPr>
        <sz val="11"/>
        <color theme="1"/>
        <rFont val="Arial"/>
        <family val="2"/>
      </rPr>
      <t xml:space="preserve"> (Figure 3-2b)</t>
    </r>
  </si>
  <si>
    <t>Colour coding</t>
  </si>
  <si>
    <r>
      <rPr>
        <sz val="11"/>
        <color theme="1"/>
        <rFont val="Arial"/>
        <family val="2"/>
      </rPr>
      <t xml:space="preserve">0.96 ≤ </t>
    </r>
    <r>
      <rPr>
        <i/>
        <sz val="11"/>
        <color theme="1"/>
        <rFont val="Times New Roman"/>
        <family val="1"/>
      </rPr>
      <t>ρ</t>
    </r>
    <r>
      <rPr>
        <i/>
        <vertAlign val="subscript"/>
        <sz val="11"/>
        <color theme="1"/>
        <rFont val="Times New Roman"/>
        <family val="1"/>
      </rPr>
      <t>g</t>
    </r>
    <r>
      <rPr>
        <i/>
        <sz val="11"/>
        <color theme="1"/>
        <rFont val="Times New Roman"/>
        <family val="1"/>
      </rPr>
      <t>/ρ</t>
    </r>
    <r>
      <rPr>
        <i/>
        <vertAlign val="subscript"/>
        <sz val="11"/>
        <color theme="1"/>
        <rFont val="Times New Roman"/>
        <family val="1"/>
      </rPr>
      <t>w</t>
    </r>
    <r>
      <rPr>
        <sz val="11"/>
        <color theme="1"/>
        <rFont val="Arial"/>
        <family val="2"/>
      </rPr>
      <t xml:space="preserve"> ≤ 2.75</t>
    </r>
  </si>
  <si>
    <r>
      <rPr>
        <b/>
        <sz val="11"/>
        <color theme="1"/>
        <rFont val="Arial"/>
        <family val="2"/>
      </rPr>
      <t>Limitations</t>
    </r>
    <r>
      <rPr>
        <sz val="11"/>
        <color theme="1"/>
        <rFont val="Arial"/>
        <family val="2"/>
      </rPr>
      <t xml:space="preserve"> (Tables 3-4, 3-5 and A-1)</t>
    </r>
  </si>
  <si>
    <r>
      <t>S</t>
    </r>
    <r>
      <rPr>
        <i/>
        <vertAlign val="subscript"/>
        <sz val="11"/>
        <rFont val="Times New Roman"/>
        <family val="1"/>
      </rPr>
      <t>o</t>
    </r>
    <r>
      <rPr>
        <i/>
        <sz val="11"/>
        <rFont val="Times New Roman"/>
        <family val="1"/>
      </rPr>
      <t xml:space="preserve"> </t>
    </r>
    <r>
      <rPr>
        <sz val="11"/>
        <rFont val="Arial"/>
        <family val="2"/>
      </rPr>
      <t>≥ 0.37</t>
    </r>
  </si>
  <si>
    <t>Eq. (3.51)</t>
  </si>
  <si>
    <t>Total horizontal force due to wave (horizontal)</t>
  </si>
  <si>
    <t>Total horizontal force due to wave (vertical)</t>
  </si>
  <si>
    <r>
      <rPr>
        <b/>
        <sz val="11"/>
        <color theme="1"/>
        <rFont val="Arial"/>
        <family val="2"/>
      </rPr>
      <t>Limitation</t>
    </r>
    <r>
      <rPr>
        <sz val="11"/>
        <color theme="1"/>
        <rFont val="Arial"/>
        <family val="2"/>
      </rPr>
      <t xml:space="preserve"> </t>
    </r>
  </si>
  <si>
    <r>
      <t xml:space="preserve">Maximum flow depth at </t>
    </r>
    <r>
      <rPr>
        <i/>
        <sz val="11"/>
        <rFont val="Times New Roman"/>
        <family val="1"/>
      </rPr>
      <t>x</t>
    </r>
    <r>
      <rPr>
        <i/>
        <vertAlign val="subscript"/>
        <sz val="11"/>
        <rFont val="Times New Roman"/>
        <family val="1"/>
      </rPr>
      <t>ov</t>
    </r>
  </si>
  <si>
    <t>Overland flow propagation time</t>
  </si>
  <si>
    <t>Landslide-generated Impulse Waves in Reservoirs - Basics and Computation</t>
  </si>
  <si>
    <r>
      <rPr>
        <sz val="11"/>
        <color theme="1"/>
        <rFont val="Arial"/>
        <family val="2"/>
      </rPr>
      <t xml:space="preserve">15 ≤ </t>
    </r>
    <r>
      <rPr>
        <i/>
        <sz val="11"/>
        <color theme="1"/>
        <rFont val="Times New Roman"/>
        <family val="1"/>
      </rPr>
      <t>α</t>
    </r>
    <r>
      <rPr>
        <sz val="11"/>
        <color theme="1"/>
        <rFont val="Arial"/>
        <family val="2"/>
      </rPr>
      <t xml:space="preserve"> ≤ 90</t>
    </r>
  </si>
  <si>
    <t>Computational tool v1.1</t>
  </si>
  <si>
    <r>
      <rPr>
        <sz val="11"/>
        <color theme="1"/>
        <rFont val="Calibri"/>
        <family val="2"/>
      </rPr>
      <t>−</t>
    </r>
    <r>
      <rPr>
        <sz val="11"/>
        <color theme="1"/>
        <rFont val="Arial"/>
        <family val="2"/>
      </rPr>
      <t xml:space="preserve">90 ≤ </t>
    </r>
    <r>
      <rPr>
        <i/>
        <sz val="11"/>
        <color theme="1"/>
        <rFont val="Times New Roman"/>
        <family val="1"/>
      </rPr>
      <t>γ</t>
    </r>
    <r>
      <rPr>
        <sz val="11"/>
        <color theme="1"/>
        <rFont val="Arial"/>
        <family val="2"/>
      </rPr>
      <t xml:space="preserve"> ≤ +90</t>
    </r>
  </si>
  <si>
    <r>
      <rPr>
        <sz val="11"/>
        <rFont val="Arial"/>
        <family val="2"/>
      </rPr>
      <t xml:space="preserve">18.4 </t>
    </r>
    <r>
      <rPr>
        <i/>
        <sz val="11"/>
        <rFont val="Times New Roman"/>
        <family val="1"/>
      </rPr>
      <t>≤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β</t>
    </r>
    <r>
      <rPr>
        <sz val="11"/>
        <rFont val="Times New Roman"/>
        <family val="1"/>
      </rPr>
      <t xml:space="preserve"> </t>
    </r>
    <r>
      <rPr>
        <sz val="11"/>
        <rFont val="Arial"/>
        <family val="2"/>
      </rPr>
      <t>≤ 90</t>
    </r>
  </si>
  <si>
    <r>
      <rPr>
        <sz val="11"/>
        <rFont val="Arial"/>
        <family val="2"/>
      </rPr>
      <t xml:space="preserve">18.4 ≤ </t>
    </r>
    <r>
      <rPr>
        <i/>
        <sz val="11"/>
        <rFont val="Times New Roman"/>
        <family val="1"/>
      </rPr>
      <t xml:space="preserve">β </t>
    </r>
    <r>
      <rPr>
        <sz val="11"/>
        <rFont val="Arial"/>
        <family val="2"/>
      </rPr>
      <t>≤ 33.3</t>
    </r>
  </si>
  <si>
    <r>
      <rPr>
        <sz val="11"/>
        <rFont val="Arial"/>
        <family val="2"/>
      </rPr>
      <t xml:space="preserve">10 ≤ </t>
    </r>
    <r>
      <rPr>
        <i/>
        <sz val="11"/>
        <rFont val="Times New Roman"/>
        <family val="1"/>
      </rPr>
      <t xml:space="preserve">β </t>
    </r>
    <r>
      <rPr>
        <sz val="11"/>
        <rFont val="Arial"/>
        <family val="2"/>
      </rPr>
      <t>≤ 90</t>
    </r>
  </si>
  <si>
    <r>
      <t xml:space="preserve">[°] </t>
    </r>
    <r>
      <rPr>
        <vertAlign val="superscript"/>
        <sz val="11"/>
        <color theme="1"/>
        <rFont val="Arial"/>
        <family val="2"/>
      </rPr>
      <t>(2)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</si>
  <si>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 xml:space="preserve"> extended impact angle range 15° ≤</t>
    </r>
    <r>
      <rPr>
        <sz val="9"/>
        <color theme="1"/>
        <rFont val="Calibri"/>
        <family val="2"/>
      </rPr>
      <t xml:space="preserve"> </t>
    </r>
    <r>
      <rPr>
        <i/>
        <sz val="10"/>
        <color theme="1"/>
        <rFont val="Times New Roman"/>
        <family val="1"/>
      </rPr>
      <t>α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Arial"/>
        <family val="2"/>
      </rPr>
      <t>≤ 90°</t>
    </r>
  </si>
  <si>
    <t>0.47 ≤ F ≤ 6.83</t>
  </si>
  <si>
    <r>
      <rPr>
        <sz val="11"/>
        <color theme="1"/>
        <rFont val="Arial"/>
        <family val="2"/>
      </rPr>
      <t xml:space="preserve">0.05 ≤ </t>
    </r>
    <r>
      <rPr>
        <i/>
        <sz val="11"/>
        <color theme="1"/>
        <rFont val="Times New Roman"/>
        <family val="1"/>
      </rPr>
      <t>S</t>
    </r>
    <r>
      <rPr>
        <sz val="11"/>
        <color theme="1"/>
        <rFont val="Arial"/>
        <family val="2"/>
      </rPr>
      <t xml:space="preserve"> ≤ 1.64</t>
    </r>
  </si>
  <si>
    <r>
      <rPr>
        <sz val="11"/>
        <color theme="1"/>
        <rFont val="Arial"/>
        <family val="2"/>
      </rPr>
      <t xml:space="preserve">0.05 ≤ </t>
    </r>
    <r>
      <rPr>
        <i/>
        <sz val="11"/>
        <color theme="1"/>
        <rFont val="Times New Roman"/>
        <family val="1"/>
      </rPr>
      <t>M</t>
    </r>
    <r>
      <rPr>
        <sz val="11"/>
        <color theme="1"/>
        <rFont val="Arial"/>
        <family val="2"/>
      </rPr>
      <t xml:space="preserve"> ≤ 10.02</t>
    </r>
  </si>
  <si>
    <t>0.08 ≤ P ≤ 8.13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</si>
</sst>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vertAlign val="subscript"/>
      <sz val="11"/>
      <color theme="1"/>
      <name val="Times New Roman"/>
      <family val="1"/>
    </font>
    <font>
      <i/>
      <strike/>
      <sz val="11"/>
      <color theme="1"/>
      <name val="Times New Roman"/>
      <family val="1"/>
    </font>
    <font>
      <sz val="14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vertAlign val="subscript"/>
      <sz val="11"/>
      <color theme="1"/>
      <name val="Times New Roman"/>
      <family val="1"/>
    </font>
    <font>
      <sz val="1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vertAlign val="superscript"/>
      <sz val="9"/>
      <color theme="1"/>
      <name val="Arial"/>
      <family val="2"/>
    </font>
    <font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name val="Times New Roman"/>
      <family val="1"/>
    </font>
    <font>
      <i/>
      <vertAlign val="subscript"/>
      <sz val="11"/>
      <name val="Times New Roman"/>
      <family val="1"/>
    </font>
    <font>
      <vertAlign val="subscript"/>
      <sz val="1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2"/>
    </font>
    <font>
      <sz val="11"/>
      <color theme="1"/>
      <name val="Calibri"/>
      <family val="2"/>
    </font>
    <font>
      <i/>
      <sz val="11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DB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9900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FF9900"/>
      </left>
      <right style="thin">
        <color rgb="FFFF9900"/>
      </right>
      <top style="thin">
        <color rgb="FFFF99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9900"/>
      </left>
      <right style="thin">
        <color rgb="FFFF9900"/>
      </right>
      <top style="thin">
        <color rgb="FFFF9900"/>
      </top>
      <bottom/>
      <diagonal/>
    </border>
    <border>
      <left style="thin">
        <color rgb="FFFF9900"/>
      </left>
      <right/>
      <top style="thin">
        <color rgb="FFFF9900"/>
      </top>
      <bottom style="thin">
        <color rgb="FFFF9900"/>
      </bottom>
      <diagonal/>
    </border>
    <border>
      <left/>
      <right/>
      <top style="thin">
        <color rgb="FFFF9900"/>
      </top>
      <bottom style="thin">
        <color rgb="FFFF9900"/>
      </bottom>
      <diagonal/>
    </border>
    <border>
      <left/>
      <right style="thin">
        <color rgb="FFFF9900"/>
      </right>
      <top style="thin">
        <color rgb="FFFF9900"/>
      </top>
      <bottom style="thin">
        <color rgb="FFFF99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6" fillId="0" borderId="0" xfId="0" applyFont="1"/>
    <xf numFmtId="0" fontId="1" fillId="0" borderId="0" xfId="0" applyFont="1" applyFill="1"/>
    <xf numFmtId="0" fontId="9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3" fillId="2" borderId="0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3" fillId="2" borderId="7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8" xfId="0" applyFont="1" applyFill="1" applyBorder="1"/>
    <xf numFmtId="0" fontId="1" fillId="2" borderId="1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0" fillId="2" borderId="1" xfId="0" applyFill="1" applyBorder="1"/>
    <xf numFmtId="0" fontId="8" fillId="2" borderId="1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2" fontId="1" fillId="2" borderId="2" xfId="0" applyNumberFormat="1" applyFont="1" applyFill="1" applyBorder="1"/>
    <xf numFmtId="0" fontId="1" fillId="0" borderId="0" xfId="0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13" fillId="0" borderId="0" xfId="0" applyFont="1"/>
    <xf numFmtId="0" fontId="8" fillId="2" borderId="4" xfId="0" applyFont="1" applyFill="1" applyBorder="1"/>
    <xf numFmtId="0" fontId="1" fillId="4" borderId="9" xfId="0" applyFont="1" applyFill="1" applyBorder="1" applyAlignment="1">
      <alignment horizontal="right"/>
    </xf>
    <xf numFmtId="0" fontId="1" fillId="2" borderId="11" xfId="0" applyFont="1" applyFill="1" applyBorder="1"/>
    <xf numFmtId="0" fontId="3" fillId="2" borderId="2" xfId="0" applyFont="1" applyFill="1" applyBorder="1"/>
    <xf numFmtId="0" fontId="5" fillId="2" borderId="0" xfId="0" applyFont="1" applyFill="1" applyBorder="1"/>
    <xf numFmtId="0" fontId="9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2" fontId="1" fillId="0" borderId="0" xfId="0" applyNumberFormat="1" applyFont="1" applyFill="1" applyBorder="1"/>
    <xf numFmtId="165" fontId="1" fillId="0" borderId="0" xfId="0" applyNumberFormat="1" applyFont="1" applyFill="1" applyBorder="1"/>
    <xf numFmtId="0" fontId="5" fillId="0" borderId="0" xfId="0" applyFont="1" applyFill="1" applyBorder="1"/>
    <xf numFmtId="164" fontId="1" fillId="0" borderId="0" xfId="0" applyNumberFormat="1" applyFont="1" applyFill="1" applyBorder="1"/>
    <xf numFmtId="0" fontId="3" fillId="0" borderId="0" xfId="0" applyFont="1" applyFill="1" applyBorder="1"/>
    <xf numFmtId="0" fontId="2" fillId="2" borderId="2" xfId="0" applyFont="1" applyFill="1" applyBorder="1"/>
    <xf numFmtId="0" fontId="1" fillId="4" borderId="15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2" borderId="12" xfId="0" applyFont="1" applyFill="1" applyBorder="1"/>
    <xf numFmtId="0" fontId="1" fillId="3" borderId="0" xfId="0" applyFont="1" applyFill="1"/>
    <xf numFmtId="0" fontId="0" fillId="2" borderId="0" xfId="0" applyFill="1" applyBorder="1"/>
    <xf numFmtId="0" fontId="0" fillId="2" borderId="5" xfId="0" applyFill="1" applyBorder="1"/>
    <xf numFmtId="0" fontId="12" fillId="2" borderId="1" xfId="0" applyFont="1" applyFill="1" applyBorder="1"/>
    <xf numFmtId="0" fontId="12" fillId="2" borderId="4" xfId="0" applyFont="1" applyFill="1" applyBorder="1"/>
    <xf numFmtId="0" fontId="12" fillId="2" borderId="6" xfId="0" applyFont="1" applyFill="1" applyBorder="1"/>
    <xf numFmtId="0" fontId="1" fillId="5" borderId="0" xfId="0" applyFont="1" applyFill="1"/>
    <xf numFmtId="0" fontId="1" fillId="6" borderId="12" xfId="0" applyFont="1" applyFill="1" applyBorder="1"/>
    <xf numFmtId="0" fontId="1" fillId="6" borderId="13" xfId="0" applyFont="1" applyFill="1" applyBorder="1"/>
    <xf numFmtId="0" fontId="1" fillId="6" borderId="14" xfId="0" applyFont="1" applyFill="1" applyBorder="1"/>
    <xf numFmtId="164" fontId="1" fillId="2" borderId="2" xfId="0" applyNumberFormat="1" applyFont="1" applyFill="1" applyBorder="1" applyProtection="1">
      <protection hidden="1"/>
    </xf>
    <xf numFmtId="164" fontId="1" fillId="2" borderId="0" xfId="0" applyNumberFormat="1" applyFont="1" applyFill="1" applyBorder="1" applyProtection="1">
      <protection hidden="1"/>
    </xf>
    <xf numFmtId="1" fontId="1" fillId="2" borderId="0" xfId="0" applyNumberFormat="1" applyFont="1" applyFill="1" applyBorder="1" applyProtection="1">
      <protection hidden="1"/>
    </xf>
    <xf numFmtId="164" fontId="1" fillId="2" borderId="0" xfId="0" applyNumberFormat="1" applyFont="1" applyFill="1" applyBorder="1" applyAlignment="1" applyProtection="1">
      <alignment horizontal="right"/>
      <protection hidden="1"/>
    </xf>
    <xf numFmtId="1" fontId="1" fillId="2" borderId="7" xfId="0" applyNumberFormat="1" applyFont="1" applyFill="1" applyBorder="1" applyAlignment="1" applyProtection="1">
      <alignment horizontal="right"/>
      <protection hidden="1"/>
    </xf>
    <xf numFmtId="2" fontId="1" fillId="3" borderId="2" xfId="0" applyNumberFormat="1" applyFont="1" applyFill="1" applyBorder="1" applyProtection="1">
      <protection hidden="1"/>
    </xf>
    <xf numFmtId="2" fontId="1" fillId="3" borderId="0" xfId="0" applyNumberFormat="1" applyFont="1" applyFill="1" applyBorder="1" applyProtection="1">
      <protection hidden="1"/>
    </xf>
    <xf numFmtId="0" fontId="1" fillId="3" borderId="0" xfId="0" applyFont="1" applyFill="1" applyBorder="1" applyProtection="1">
      <protection hidden="1"/>
    </xf>
    <xf numFmtId="2" fontId="1" fillId="3" borderId="7" xfId="0" applyNumberFormat="1" applyFont="1" applyFill="1" applyBorder="1" applyProtection="1">
      <protection hidden="1"/>
    </xf>
    <xf numFmtId="1" fontId="1" fillId="2" borderId="2" xfId="0" applyNumberFormat="1" applyFont="1" applyFill="1" applyBorder="1" applyAlignment="1" applyProtection="1">
      <alignment horizontal="right"/>
      <protection hidden="1"/>
    </xf>
    <xf numFmtId="1" fontId="1" fillId="2" borderId="0" xfId="0" applyNumberFormat="1" applyFont="1" applyFill="1" applyBorder="1" applyAlignment="1" applyProtection="1">
      <alignment horizontal="right"/>
      <protection hidden="1"/>
    </xf>
    <xf numFmtId="164" fontId="12" fillId="2" borderId="0" xfId="0" applyNumberFormat="1" applyFont="1" applyFill="1" applyBorder="1" applyAlignment="1" applyProtection="1">
      <alignment horizontal="right"/>
      <protection hidden="1"/>
    </xf>
    <xf numFmtId="1" fontId="1" fillId="3" borderId="0" xfId="0" applyNumberFormat="1" applyFont="1" applyFill="1" applyBorder="1" applyProtection="1">
      <protection hidden="1"/>
    </xf>
    <xf numFmtId="1" fontId="1" fillId="2" borderId="2" xfId="0" applyNumberFormat="1" applyFont="1" applyFill="1" applyBorder="1" applyProtection="1">
      <protection hidden="1"/>
    </xf>
    <xf numFmtId="164" fontId="1" fillId="2" borderId="7" xfId="0" applyNumberFormat="1" applyFont="1" applyFill="1" applyBorder="1" applyProtection="1">
      <protection hidden="1"/>
    </xf>
    <xf numFmtId="165" fontId="1" fillId="3" borderId="0" xfId="0" applyNumberFormat="1" applyFont="1" applyFill="1" applyBorder="1" applyProtection="1">
      <protection hidden="1"/>
    </xf>
    <xf numFmtId="2" fontId="1" fillId="3" borderId="7" xfId="0" applyNumberFormat="1" applyFont="1" applyFill="1" applyBorder="1" applyAlignment="1" applyProtection="1">
      <alignment horizontal="right"/>
      <protection hidden="1"/>
    </xf>
    <xf numFmtId="2" fontId="1" fillId="2" borderId="0" xfId="0" applyNumberFormat="1" applyFont="1" applyFill="1" applyBorder="1" applyProtection="1">
      <protection hidden="1"/>
    </xf>
    <xf numFmtId="2" fontId="1" fillId="2" borderId="2" xfId="0" applyNumberFormat="1" applyFont="1" applyFill="1" applyBorder="1" applyProtection="1">
      <protection hidden="1"/>
    </xf>
    <xf numFmtId="165" fontId="1" fillId="3" borderId="2" xfId="0" applyNumberFormat="1" applyFont="1" applyFill="1" applyBorder="1" applyProtection="1">
      <protection hidden="1"/>
    </xf>
    <xf numFmtId="164" fontId="1" fillId="2" borderId="7" xfId="0" applyNumberFormat="1" applyFont="1" applyFill="1" applyBorder="1" applyAlignment="1" applyProtection="1">
      <alignment horizontal="right"/>
      <protection hidden="1"/>
    </xf>
    <xf numFmtId="165" fontId="1" fillId="3" borderId="13" xfId="0" applyNumberFormat="1" applyFont="1" applyFill="1" applyBorder="1" applyProtection="1">
      <protection hidden="1"/>
    </xf>
    <xf numFmtId="0" fontId="1" fillId="0" borderId="0" xfId="0" applyFont="1" applyFill="1" applyProtection="1">
      <protection hidden="1"/>
    </xf>
    <xf numFmtId="3" fontId="1" fillId="4" borderId="10" xfId="0" applyNumberFormat="1" applyFont="1" applyFill="1" applyBorder="1"/>
    <xf numFmtId="0" fontId="18" fillId="2" borderId="0" xfId="0" applyFont="1" applyFill="1" applyBorder="1"/>
    <xf numFmtId="0" fontId="18" fillId="2" borderId="7" xfId="0" applyFont="1" applyFill="1" applyBorder="1"/>
    <xf numFmtId="0" fontId="21" fillId="2" borderId="0" xfId="0" applyFont="1" applyFill="1" applyBorder="1"/>
    <xf numFmtId="0" fontId="18" fillId="2" borderId="2" xfId="0" applyFont="1" applyFill="1" applyBorder="1"/>
    <xf numFmtId="165" fontId="1" fillId="2" borderId="2" xfId="0" applyNumberFormat="1" applyFont="1" applyFill="1" applyBorder="1" applyAlignment="1" applyProtection="1">
      <alignment horizontal="right"/>
      <protection hidden="1"/>
    </xf>
    <xf numFmtId="165" fontId="1" fillId="2" borderId="0" xfId="0" applyNumberFormat="1" applyFont="1" applyFill="1" applyBorder="1" applyAlignment="1" applyProtection="1">
      <alignment horizontal="right"/>
      <protection hidden="1"/>
    </xf>
    <xf numFmtId="2" fontId="1" fillId="2" borderId="0" xfId="0" applyNumberFormat="1" applyFont="1" applyFill="1" applyBorder="1" applyAlignment="1" applyProtection="1">
      <alignment horizontal="right"/>
      <protection hidden="1"/>
    </xf>
    <xf numFmtId="0" fontId="18" fillId="2" borderId="13" xfId="0" applyFont="1" applyFill="1" applyBorder="1"/>
    <xf numFmtId="164" fontId="1" fillId="3" borderId="7" xfId="0" applyNumberFormat="1" applyFont="1" applyFill="1" applyBorder="1" applyProtection="1">
      <protection hidden="1"/>
    </xf>
    <xf numFmtId="0" fontId="12" fillId="2" borderId="0" xfId="0" applyFont="1" applyFill="1" applyBorder="1"/>
    <xf numFmtId="0" fontId="12" fillId="2" borderId="5" xfId="0" applyFont="1" applyFill="1" applyBorder="1"/>
    <xf numFmtId="2" fontId="12" fillId="2" borderId="0" xfId="0" applyNumberFormat="1" applyFont="1" applyFill="1" applyBorder="1" applyAlignment="1" applyProtection="1">
      <alignment horizontal="right"/>
      <protection hidden="1"/>
    </xf>
    <xf numFmtId="0" fontId="22" fillId="2" borderId="0" xfId="0" applyFont="1" applyFill="1" applyBorder="1"/>
    <xf numFmtId="0" fontId="24" fillId="2" borderId="0" xfId="0" applyFont="1" applyFill="1" applyBorder="1"/>
    <xf numFmtId="0" fontId="1" fillId="2" borderId="12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</cellXfs>
  <cellStyles count="1">
    <cellStyle name="Standard" xfId="0" builtinId="0"/>
  </cellStyles>
  <dxfs count="72">
    <dxf>
      <fill>
        <patternFill>
          <bgColor theme="9" tint="0.59996337778862885"/>
        </patternFill>
      </fill>
    </dxf>
    <dxf>
      <font>
        <b/>
        <i/>
        <strike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strike val="0"/>
        <color rgb="FFFF0000"/>
      </font>
    </dxf>
    <dxf>
      <fill>
        <patternFill>
          <bgColor theme="9" tint="0.59996337778862885"/>
        </patternFill>
      </fill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strike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strike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/>
        <strike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/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CCCC"/>
      <color rgb="FFF1ACA1"/>
      <color rgb="FFFF9900"/>
      <color rgb="FFFFDB93"/>
      <color rgb="FF8A8A8A"/>
      <color rgb="FF9898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t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t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85726</xdr:colOff>
      <xdr:row>3</xdr:row>
      <xdr:rowOff>76201</xdr:rowOff>
    </xdr:from>
    <xdr:to>
      <xdr:col>17</xdr:col>
      <xdr:colOff>523875</xdr:colOff>
      <xdr:row>14</xdr:row>
      <xdr:rowOff>221050</xdr:rowOff>
    </xdr:to>
    <xdr:pic>
      <xdr:nvPicPr>
        <xdr:cNvPr id="5" name="Picture 4" descr="03_2D_3D_Idealisieru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1" y="714376"/>
          <a:ext cx="4705349" cy="29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14</xdr:row>
      <xdr:rowOff>285750</xdr:rowOff>
    </xdr:from>
    <xdr:ext cx="4006610" cy="22499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43575" y="3714750"/>
          <a:ext cx="4006610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Definition sketch with (a) 2D and (b) 3D wave propagation 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(Figure 3-2)</a:t>
          </a:r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3</xdr:row>
          <xdr:rowOff>31750</xdr:rowOff>
        </xdr:from>
        <xdr:to>
          <xdr:col>5</xdr:col>
          <xdr:colOff>622300</xdr:colOff>
          <xdr:row>3</xdr:row>
          <xdr:rowOff>190500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8</xdr:col>
      <xdr:colOff>47624</xdr:colOff>
      <xdr:row>3</xdr:row>
      <xdr:rowOff>35615</xdr:rowOff>
    </xdr:from>
    <xdr:to>
      <xdr:col>13</xdr:col>
      <xdr:colOff>142873</xdr:colOff>
      <xdr:row>11</xdr:row>
      <xdr:rowOff>219075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>
          <a:grpSpLocks noChangeAspect="1"/>
        </xdr:cNvGrpSpPr>
      </xdr:nvGrpSpPr>
      <xdr:grpSpPr>
        <a:xfrm>
          <a:off x="4822824" y="715065"/>
          <a:ext cx="4171949" cy="2012260"/>
          <a:chOff x="4067175" y="3800475"/>
          <a:chExt cx="3673642" cy="1847850"/>
        </a:xfrm>
      </xdr:grpSpPr>
      <xdr:pic>
        <xdr:nvPicPr>
          <xdr:cNvPr id="3" name="Picture 2" descr="03_Prinzipskizze_Einflussparameter_relevant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7" t="20080" r="25042"/>
          <a:stretch/>
        </xdr:blipFill>
        <xdr:spPr bwMode="auto">
          <a:xfrm>
            <a:off x="4067175" y="3800475"/>
            <a:ext cx="3673642" cy="1847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4114800" y="5195888"/>
            <a:ext cx="361950" cy="323850"/>
          </a:xfrm>
          <a:prstGeom prst="rect">
            <a:avLst/>
          </a:prstGeom>
          <a:solidFill>
            <a:srgbClr val="8A8A8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7</xdr:col>
      <xdr:colOff>247650</xdr:colOff>
      <xdr:row>11</xdr:row>
      <xdr:rowOff>180975</xdr:rowOff>
    </xdr:from>
    <xdr:ext cx="1871218" cy="22499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562475" y="2619375"/>
          <a:ext cx="1871218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Definition sketch 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(Figure 3-3a)</a:t>
          </a:r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3</xdr:row>
          <xdr:rowOff>31750</xdr:rowOff>
        </xdr:from>
        <xdr:to>
          <xdr:col>5</xdr:col>
          <xdr:colOff>622300</xdr:colOff>
          <xdr:row>3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xdr:oneCellAnchor>
    <xdr:from>
      <xdr:col>7</xdr:col>
      <xdr:colOff>247650</xdr:colOff>
      <xdr:row>13</xdr:row>
      <xdr:rowOff>180975</xdr:rowOff>
    </xdr:from>
    <xdr:ext cx="1819857" cy="22499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752975" y="3076575"/>
          <a:ext cx="181985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Definition sketch 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(Figure 3-6)</a:t>
          </a:r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 editAs="absolute">
    <xdr:from>
      <xdr:col>8</xdr:col>
      <xdr:colOff>47625</xdr:colOff>
      <xdr:row>5</xdr:row>
      <xdr:rowOff>85725</xdr:rowOff>
    </xdr:from>
    <xdr:to>
      <xdr:col>12</xdr:col>
      <xdr:colOff>464000</xdr:colOff>
      <xdr:row>14</xdr:row>
      <xdr:rowOff>3854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1228725"/>
          <a:ext cx="3731075" cy="1969179"/>
        </a:xfrm>
        <a:prstGeom prst="rect">
          <a:avLst/>
        </a:prstGeom>
      </xdr:spPr>
    </xdr:pic>
    <xdr:clientData/>
  </xdr:twoCellAnchor>
  <xdr:twoCellAnchor editAs="absolute">
    <xdr:from>
      <xdr:col>12</xdr:col>
      <xdr:colOff>504825</xdr:colOff>
      <xdr:row>3</xdr:row>
      <xdr:rowOff>57150</xdr:rowOff>
    </xdr:from>
    <xdr:to>
      <xdr:col>16</xdr:col>
      <xdr:colOff>468431</xdr:colOff>
      <xdr:row>14</xdr:row>
      <xdr:rowOff>5801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1550" y="742950"/>
          <a:ext cx="2097206" cy="24569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3</xdr:row>
          <xdr:rowOff>31750</xdr:rowOff>
        </xdr:from>
        <xdr:to>
          <xdr:col>5</xdr:col>
          <xdr:colOff>622300</xdr:colOff>
          <xdr:row>3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xdr:oneCellAnchor>
    <xdr:from>
      <xdr:col>7</xdr:col>
      <xdr:colOff>257175</xdr:colOff>
      <xdr:row>10</xdr:row>
      <xdr:rowOff>209550</xdr:rowOff>
    </xdr:from>
    <xdr:ext cx="1794274" cy="22499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191125" y="2419350"/>
          <a:ext cx="1794274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Definition sketch 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(Figure A-1)</a:t>
          </a:r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 editAs="absolute">
    <xdr:from>
      <xdr:col>8</xdr:col>
      <xdr:colOff>69450</xdr:colOff>
      <xdr:row>3</xdr:row>
      <xdr:rowOff>95249</xdr:rowOff>
    </xdr:from>
    <xdr:to>
      <xdr:col>15</xdr:col>
      <xdr:colOff>523875</xdr:colOff>
      <xdr:row>10</xdr:row>
      <xdr:rowOff>188800</xdr:rowOff>
    </xdr:to>
    <xdr:pic>
      <xdr:nvPicPr>
        <xdr:cNvPr id="6" name="Picture 5" descr="03_Auflaufen-0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100" y="781049"/>
          <a:ext cx="5302650" cy="16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3</xdr:row>
          <xdr:rowOff>31750</xdr:rowOff>
        </xdr:from>
        <xdr:to>
          <xdr:col>6</xdr:col>
          <xdr:colOff>0</xdr:colOff>
          <xdr:row>3</xdr:row>
          <xdr:rowOff>203200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xdr:oneCellAnchor>
    <xdr:from>
      <xdr:col>7</xdr:col>
      <xdr:colOff>247650</xdr:colOff>
      <xdr:row>11</xdr:row>
      <xdr:rowOff>200025</xdr:rowOff>
    </xdr:from>
    <xdr:ext cx="1819857" cy="22499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524500" y="2638425"/>
          <a:ext cx="181985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Definition sketch </a:t>
          </a:r>
          <a:r>
            <a:rPr lang="en-US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(Figure 3-8)</a:t>
          </a:r>
          <a:r>
            <a:rPr lang="en-US" sz="9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 editAs="absolute">
    <xdr:from>
      <xdr:col>8</xdr:col>
      <xdr:colOff>76200</xdr:colOff>
      <xdr:row>3</xdr:row>
      <xdr:rowOff>166771</xdr:rowOff>
    </xdr:from>
    <xdr:to>
      <xdr:col>15</xdr:col>
      <xdr:colOff>171449</xdr:colOff>
      <xdr:row>12</xdr:row>
      <xdr:rowOff>5324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3"/>
        <a:stretch/>
      </xdr:blipFill>
      <xdr:spPr bwMode="auto">
        <a:xfrm>
          <a:off x="5667375" y="852571"/>
          <a:ext cx="4762499" cy="1895953"/>
        </a:xfrm>
        <a:prstGeom prst="rect">
          <a:avLst/>
        </a:prstGeom>
        <a:solidFill>
          <a:schemeClr val="accent2"/>
        </a:solidFill>
        <a:ex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3</xdr:row>
          <xdr:rowOff>31750</xdr:rowOff>
        </xdr:from>
        <xdr:to>
          <xdr:col>5</xdr:col>
          <xdr:colOff>622300</xdr:colOff>
          <xdr:row>3</xdr:row>
          <xdr:rowOff>190500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xdr:oneCellAnchor>
    <xdr:from>
      <xdr:col>8</xdr:col>
      <xdr:colOff>0</xdr:colOff>
      <xdr:row>13</xdr:row>
      <xdr:rowOff>219075</xdr:rowOff>
    </xdr:from>
    <xdr:ext cx="1845633" cy="22499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6124575" y="3114675"/>
          <a:ext cx="184563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Definition sketch 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(Figure 3-11)</a:t>
          </a:r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 editAs="absolute">
    <xdr:from>
      <xdr:col>8</xdr:col>
      <xdr:colOff>76596</xdr:colOff>
      <xdr:row>3</xdr:row>
      <xdr:rowOff>85726</xdr:rowOff>
    </xdr:from>
    <xdr:to>
      <xdr:col>15</xdr:col>
      <xdr:colOff>171052</xdr:colOff>
      <xdr:row>13</xdr:row>
      <xdr:rowOff>219044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01171" y="771526"/>
          <a:ext cx="4361656" cy="241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7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9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1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56"/>
  <sheetViews>
    <sheetView tabSelected="1" zoomScaleNormal="100" workbookViewId="0">
      <selection activeCell="B4" sqref="B4:I4"/>
    </sheetView>
  </sheetViews>
  <sheetFormatPr baseColWidth="10" defaultColWidth="9.08984375" defaultRowHeight="14" x14ac:dyDescent="0.3"/>
  <cols>
    <col min="1" max="9" width="9.08984375" style="1"/>
    <col min="10" max="10" width="3.81640625" style="1" customWidth="1"/>
    <col min="11" max="18" width="9.08984375" style="1"/>
    <col min="19" max="19" width="3.26953125" style="1" customWidth="1"/>
    <col min="20" max="16384" width="9.08984375" style="1"/>
  </cols>
  <sheetData>
    <row r="1" spans="1:18" ht="17.5" x14ac:dyDescent="0.35">
      <c r="A1" s="2" t="s">
        <v>295</v>
      </c>
    </row>
    <row r="2" spans="1:18" x14ac:dyDescent="0.3">
      <c r="A2" s="1" t="s">
        <v>297</v>
      </c>
    </row>
    <row r="3" spans="1:18" ht="17.5" x14ac:dyDescent="0.35">
      <c r="A3" s="2"/>
    </row>
    <row r="4" spans="1:18" x14ac:dyDescent="0.3">
      <c r="A4" s="1" t="s">
        <v>10</v>
      </c>
      <c r="B4" s="96"/>
      <c r="C4" s="97"/>
      <c r="D4" s="97"/>
      <c r="E4" s="97"/>
      <c r="F4" s="97"/>
      <c r="G4" s="97"/>
      <c r="H4" s="97"/>
      <c r="I4" s="98"/>
      <c r="K4" s="15"/>
      <c r="L4" s="5"/>
      <c r="M4" s="5"/>
      <c r="N4" s="5"/>
      <c r="O4" s="5"/>
      <c r="P4" s="5"/>
      <c r="Q4" s="5"/>
      <c r="R4" s="12"/>
    </row>
    <row r="5" spans="1:18" x14ac:dyDescent="0.3">
      <c r="K5" s="6"/>
      <c r="L5" s="7"/>
      <c r="M5" s="7"/>
      <c r="N5" s="7"/>
      <c r="O5" s="7"/>
      <c r="P5" s="7"/>
      <c r="Q5" s="7"/>
      <c r="R5" s="13"/>
    </row>
    <row r="6" spans="1:18" x14ac:dyDescent="0.3">
      <c r="A6" s="52" t="s">
        <v>60</v>
      </c>
      <c r="B6" s="53"/>
      <c r="C6" s="53"/>
      <c r="D6" s="53"/>
      <c r="E6" s="53"/>
      <c r="F6" s="53"/>
      <c r="G6" s="53"/>
      <c r="H6" s="53"/>
      <c r="I6" s="54"/>
      <c r="K6" s="6"/>
      <c r="L6" s="7"/>
      <c r="M6" s="7"/>
      <c r="N6" s="7"/>
      <c r="O6" s="7"/>
      <c r="P6" s="7"/>
      <c r="Q6" s="7"/>
      <c r="R6" s="13"/>
    </row>
    <row r="7" spans="1:18" ht="30" customHeight="1" x14ac:dyDescent="0.3">
      <c r="A7" s="99" t="s">
        <v>211</v>
      </c>
      <c r="B7" s="100"/>
      <c r="C7" s="100"/>
      <c r="D7" s="100"/>
      <c r="E7" s="100"/>
      <c r="F7" s="100"/>
      <c r="G7" s="100"/>
      <c r="H7" s="100"/>
      <c r="I7" s="101"/>
      <c r="K7" s="6"/>
      <c r="L7" s="7"/>
      <c r="M7" s="7"/>
      <c r="N7" s="7"/>
      <c r="O7" s="7"/>
      <c r="P7" s="7"/>
      <c r="Q7" s="7"/>
      <c r="R7" s="13"/>
    </row>
    <row r="8" spans="1:18" x14ac:dyDescent="0.3">
      <c r="A8" s="52" t="s">
        <v>61</v>
      </c>
      <c r="B8" s="53"/>
      <c r="C8" s="53"/>
      <c r="D8" s="53"/>
      <c r="E8" s="53"/>
      <c r="F8" s="53"/>
      <c r="G8" s="53"/>
      <c r="H8" s="53"/>
      <c r="I8" s="54"/>
      <c r="K8" s="6"/>
      <c r="L8" s="7"/>
      <c r="M8" s="7"/>
      <c r="N8" s="7"/>
      <c r="O8" s="7"/>
      <c r="P8" s="7"/>
      <c r="Q8" s="7"/>
      <c r="R8" s="13"/>
    </row>
    <row r="9" spans="1:18" ht="30" customHeight="1" x14ac:dyDescent="0.3">
      <c r="A9" s="99" t="s">
        <v>284</v>
      </c>
      <c r="B9" s="100"/>
      <c r="C9" s="100"/>
      <c r="D9" s="100"/>
      <c r="E9" s="100"/>
      <c r="F9" s="100"/>
      <c r="G9" s="100"/>
      <c r="H9" s="100"/>
      <c r="I9" s="101"/>
      <c r="K9" s="6"/>
      <c r="L9" s="7"/>
      <c r="M9" s="7"/>
      <c r="N9" s="7"/>
      <c r="O9" s="7"/>
      <c r="P9" s="7"/>
      <c r="Q9" s="7"/>
      <c r="R9" s="13"/>
    </row>
    <row r="10" spans="1:18" x14ac:dyDescent="0.3">
      <c r="A10" s="52" t="s">
        <v>207</v>
      </c>
      <c r="B10" s="53"/>
      <c r="C10" s="53"/>
      <c r="D10" s="53"/>
      <c r="E10" s="53"/>
      <c r="F10" s="53"/>
      <c r="G10" s="53"/>
      <c r="H10" s="53"/>
      <c r="I10" s="54"/>
      <c r="K10" s="6"/>
      <c r="L10" s="7"/>
      <c r="M10" s="7"/>
      <c r="N10" s="7"/>
      <c r="O10" s="7"/>
      <c r="P10" s="7"/>
      <c r="Q10" s="7"/>
      <c r="R10" s="13"/>
    </row>
    <row r="11" spans="1:18" ht="30" customHeight="1" x14ac:dyDescent="0.3">
      <c r="A11" s="93" t="s">
        <v>208</v>
      </c>
      <c r="B11" s="94"/>
      <c r="C11" s="94"/>
      <c r="D11" s="94"/>
      <c r="E11" s="94"/>
      <c r="F11" s="94"/>
      <c r="G11" s="94"/>
      <c r="H11" s="94"/>
      <c r="I11" s="95"/>
      <c r="K11" s="6"/>
      <c r="L11" s="7"/>
      <c r="M11" s="7"/>
      <c r="N11" s="7"/>
      <c r="O11" s="7"/>
      <c r="P11" s="7"/>
      <c r="Q11" s="7"/>
      <c r="R11" s="13"/>
    </row>
    <row r="12" spans="1:18" x14ac:dyDescent="0.3">
      <c r="A12" s="52" t="s">
        <v>63</v>
      </c>
      <c r="B12" s="53"/>
      <c r="C12" s="53"/>
      <c r="D12" s="53"/>
      <c r="E12" s="53"/>
      <c r="F12" s="53"/>
      <c r="G12" s="53"/>
      <c r="H12" s="53"/>
      <c r="I12" s="54"/>
      <c r="K12" s="6"/>
      <c r="L12" s="7"/>
      <c r="M12" s="7"/>
      <c r="N12" s="7"/>
      <c r="O12" s="7"/>
      <c r="P12" s="7"/>
      <c r="Q12" s="7"/>
      <c r="R12" s="13"/>
    </row>
    <row r="13" spans="1:18" ht="30" customHeight="1" x14ac:dyDescent="0.3">
      <c r="A13" s="93" t="s">
        <v>209</v>
      </c>
      <c r="B13" s="94"/>
      <c r="C13" s="94"/>
      <c r="D13" s="94"/>
      <c r="E13" s="94"/>
      <c r="F13" s="94"/>
      <c r="G13" s="94"/>
      <c r="H13" s="94"/>
      <c r="I13" s="95"/>
      <c r="K13" s="6"/>
      <c r="L13" s="7"/>
      <c r="M13" s="7"/>
      <c r="N13" s="7"/>
      <c r="O13" s="7"/>
      <c r="P13" s="7"/>
      <c r="Q13" s="7"/>
      <c r="R13" s="13"/>
    </row>
    <row r="14" spans="1:18" x14ac:dyDescent="0.3">
      <c r="A14" s="52" t="s">
        <v>64</v>
      </c>
      <c r="B14" s="53"/>
      <c r="C14" s="53"/>
      <c r="D14" s="53"/>
      <c r="E14" s="53"/>
      <c r="F14" s="53"/>
      <c r="G14" s="53"/>
      <c r="H14" s="53"/>
      <c r="I14" s="54"/>
      <c r="K14" s="6"/>
      <c r="L14" s="7"/>
      <c r="M14" s="7"/>
      <c r="N14" s="7"/>
      <c r="O14" s="7"/>
      <c r="P14" s="7"/>
      <c r="Q14" s="7"/>
      <c r="R14" s="13"/>
    </row>
    <row r="15" spans="1:18" ht="30" customHeight="1" x14ac:dyDescent="0.3">
      <c r="A15" s="93" t="s">
        <v>210</v>
      </c>
      <c r="B15" s="94"/>
      <c r="C15" s="94"/>
      <c r="D15" s="94"/>
      <c r="E15" s="94"/>
      <c r="F15" s="94"/>
      <c r="G15" s="94"/>
      <c r="H15" s="94"/>
      <c r="I15" s="95"/>
      <c r="K15" s="6"/>
      <c r="L15" s="7"/>
      <c r="M15" s="7"/>
      <c r="N15" s="7"/>
      <c r="O15" s="7"/>
      <c r="P15" s="7"/>
      <c r="Q15" s="7"/>
      <c r="R15" s="13"/>
    </row>
    <row r="16" spans="1:18" x14ac:dyDescent="0.3">
      <c r="K16" s="9"/>
      <c r="L16" s="10"/>
      <c r="M16" s="10"/>
      <c r="N16" s="10"/>
      <c r="O16" s="10"/>
      <c r="P16" s="10"/>
      <c r="Q16" s="10"/>
      <c r="R16" s="14"/>
    </row>
    <row r="17" spans="1:22" x14ac:dyDescent="0.3">
      <c r="A17" s="1" t="s">
        <v>285</v>
      </c>
    </row>
    <row r="18" spans="1:22" x14ac:dyDescent="0.3">
      <c r="A18" s="20"/>
      <c r="B18" s="1" t="s">
        <v>238</v>
      </c>
    </row>
    <row r="19" spans="1:22" ht="14.5" x14ac:dyDescent="0.35">
      <c r="A19" s="51"/>
      <c r="B19" s="1" t="s">
        <v>213</v>
      </c>
      <c r="D19"/>
    </row>
    <row r="20" spans="1:22" x14ac:dyDescent="0.3">
      <c r="A20" s="45"/>
      <c r="B20" s="1" t="s">
        <v>206</v>
      </c>
    </row>
    <row r="26" spans="1:22" x14ac:dyDescent="0.3"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x14ac:dyDescent="0.3"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2" x14ac:dyDescent="0.3"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2" x14ac:dyDescent="0.3"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2" x14ac:dyDescent="0.3"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2" x14ac:dyDescent="0.3"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2" x14ac:dyDescent="0.3"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11:22" x14ac:dyDescent="0.3"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11:22" x14ac:dyDescent="0.3"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11:22" x14ac:dyDescent="0.3"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11:22" x14ac:dyDescent="0.3"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11:22" x14ac:dyDescent="0.3"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1:22" x14ac:dyDescent="0.3"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11:22" x14ac:dyDescent="0.3"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1:22" x14ac:dyDescent="0.3"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1:22" x14ac:dyDescent="0.3"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1:22" x14ac:dyDescent="0.3"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1:22" x14ac:dyDescent="0.3"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1:22" x14ac:dyDescent="0.3"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1:22" x14ac:dyDescent="0.3"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1:22" x14ac:dyDescent="0.3"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1:22" x14ac:dyDescent="0.3"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1:22" x14ac:dyDescent="0.3"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1:22" x14ac:dyDescent="0.3"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1:22" x14ac:dyDescent="0.3"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1:22" x14ac:dyDescent="0.3"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1:22" x14ac:dyDescent="0.3"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1:22" x14ac:dyDescent="0.3"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</row>
    <row r="54" spans="11:22" x14ac:dyDescent="0.3"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spans="11:22" x14ac:dyDescent="0.3"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</row>
    <row r="56" spans="11:22" x14ac:dyDescent="0.3"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</sheetData>
  <sheetProtection sheet="1" objects="1" scenarios="1"/>
  <protectedRanges>
    <protectedRange sqref="B4:I4" name="Range1"/>
  </protectedRanges>
  <mergeCells count="6">
    <mergeCell ref="A15:I15"/>
    <mergeCell ref="B4:I4"/>
    <mergeCell ref="A7:I7"/>
    <mergeCell ref="A9:I9"/>
    <mergeCell ref="A11:I11"/>
    <mergeCell ref="A13:I1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&amp;R&amp;"Arial,Standard"doi:10.5281/zenodo.4715565</oddHeader>
    <oddFooter>&amp;C&amp;"Arial,Standard"&amp;D - &amp;T&amp;R&amp;G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28"/>
  <sheetViews>
    <sheetView zoomScaleNormal="100" workbookViewId="0">
      <selection activeCell="F6" sqref="F6"/>
    </sheetView>
  </sheetViews>
  <sheetFormatPr baseColWidth="10" defaultColWidth="9.08984375" defaultRowHeight="14.5" x14ac:dyDescent="0.35"/>
  <cols>
    <col min="1" max="2" width="9.08984375" style="1"/>
    <col min="3" max="3" width="10.36328125" style="1" customWidth="1"/>
    <col min="4" max="4" width="9.08984375" style="1"/>
    <col min="5" max="5" width="10" style="1" customWidth="1"/>
    <col min="6" max="6" width="9.36328125" style="1" bestFit="1" customWidth="1"/>
    <col min="7" max="7" width="7.36328125" style="1" customWidth="1"/>
    <col min="8" max="8" width="4" style="1" customWidth="1"/>
    <col min="9" max="10" width="9.08984375" style="1"/>
    <col min="11" max="11" width="10.81640625" style="1" customWidth="1"/>
    <col min="12" max="12" width="20.26953125" style="1" customWidth="1"/>
    <col min="13" max="13" width="9.08984375" style="1"/>
    <col min="14" max="14" width="4.7265625" style="1" customWidth="1"/>
    <col min="15" max="15" width="3.36328125" style="1" customWidth="1"/>
    <col min="16" max="27" width="9.08984375" style="1"/>
  </cols>
  <sheetData>
    <row r="1" spans="1:14" ht="17.5" x14ac:dyDescent="0.35">
      <c r="A1" s="2" t="s">
        <v>60</v>
      </c>
    </row>
    <row r="2" spans="1:14" ht="18" customHeight="1" x14ac:dyDescent="0.35">
      <c r="A2" s="1" t="s">
        <v>10</v>
      </c>
      <c r="B2" s="77" t="str">
        <f>IF(ISBLANK(START!B4), "",START!B4)</f>
        <v/>
      </c>
      <c r="C2" s="3"/>
      <c r="D2" s="3"/>
      <c r="E2" s="3"/>
      <c r="F2" s="3"/>
      <c r="G2" s="3"/>
    </row>
    <row r="3" spans="1:14" ht="18" customHeight="1" x14ac:dyDescent="0.35"/>
    <row r="4" spans="1:14" ht="18" customHeight="1" x14ac:dyDescent="0.35">
      <c r="A4" s="4" t="s">
        <v>0</v>
      </c>
      <c r="B4" s="5"/>
      <c r="C4" s="5"/>
      <c r="D4" s="5"/>
      <c r="E4" s="5"/>
      <c r="F4" s="5"/>
      <c r="G4" s="12"/>
      <c r="I4" s="18"/>
      <c r="J4" s="5"/>
      <c r="K4" s="5"/>
      <c r="L4" s="5"/>
      <c r="M4" s="5"/>
      <c r="N4" s="12"/>
    </row>
    <row r="5" spans="1:14" ht="18" customHeight="1" x14ac:dyDescent="0.35">
      <c r="A5" s="19" t="s">
        <v>65</v>
      </c>
      <c r="B5" s="5"/>
      <c r="C5" s="5"/>
      <c r="D5" s="5"/>
      <c r="E5" s="5"/>
      <c r="F5" s="5"/>
      <c r="G5" s="12"/>
      <c r="I5" s="6"/>
      <c r="J5" s="7"/>
      <c r="K5" s="7"/>
      <c r="L5" s="7"/>
      <c r="M5" s="7"/>
      <c r="N5" s="13"/>
    </row>
    <row r="6" spans="1:14" ht="18" customHeight="1" x14ac:dyDescent="0.45">
      <c r="A6" s="6" t="s">
        <v>1</v>
      </c>
      <c r="B6" s="7"/>
      <c r="C6" s="7"/>
      <c r="D6" s="7" t="s">
        <v>24</v>
      </c>
      <c r="E6" s="7"/>
      <c r="F6" s="20"/>
      <c r="G6" s="13" t="s">
        <v>25</v>
      </c>
      <c r="I6" s="6"/>
      <c r="J6" s="7"/>
      <c r="K6" s="7"/>
      <c r="L6" s="7"/>
      <c r="M6" s="7"/>
      <c r="N6" s="13"/>
    </row>
    <row r="7" spans="1:14" ht="18" customHeight="1" x14ac:dyDescent="0.45">
      <c r="A7" s="6" t="s">
        <v>2</v>
      </c>
      <c r="B7" s="7"/>
      <c r="C7" s="7"/>
      <c r="D7" s="7" t="s">
        <v>26</v>
      </c>
      <c r="E7" s="7"/>
      <c r="F7" s="20"/>
      <c r="G7" s="13" t="s">
        <v>32</v>
      </c>
      <c r="I7" s="6"/>
      <c r="J7" s="7"/>
      <c r="K7" s="7"/>
      <c r="L7" s="7"/>
      <c r="M7" s="7"/>
      <c r="N7" s="13"/>
    </row>
    <row r="8" spans="1:14" ht="18" customHeight="1" x14ac:dyDescent="0.35">
      <c r="A8" s="6" t="s">
        <v>3</v>
      </c>
      <c r="B8" s="7"/>
      <c r="C8" s="7"/>
      <c r="D8" s="7" t="s">
        <v>27</v>
      </c>
      <c r="E8" s="7"/>
      <c r="F8" s="20"/>
      <c r="G8" s="13" t="s">
        <v>28</v>
      </c>
      <c r="I8" s="6"/>
      <c r="J8" s="7"/>
      <c r="K8" s="7"/>
      <c r="L8" s="7"/>
      <c r="M8" s="7"/>
      <c r="N8" s="13"/>
    </row>
    <row r="9" spans="1:14" ht="18" customHeight="1" x14ac:dyDescent="0.35">
      <c r="A9" s="6" t="s">
        <v>4</v>
      </c>
      <c r="B9" s="7"/>
      <c r="C9" s="7"/>
      <c r="D9" s="7" t="s">
        <v>29</v>
      </c>
      <c r="E9" s="7"/>
      <c r="F9" s="20"/>
      <c r="G9" s="13" t="s">
        <v>28</v>
      </c>
      <c r="I9" s="6"/>
      <c r="J9" s="7"/>
      <c r="K9" s="7"/>
      <c r="L9" s="7"/>
      <c r="M9" s="7"/>
      <c r="N9" s="13"/>
    </row>
    <row r="10" spans="1:14" ht="18" customHeight="1" x14ac:dyDescent="0.45">
      <c r="A10" s="6" t="s">
        <v>5</v>
      </c>
      <c r="B10" s="7"/>
      <c r="C10" s="7"/>
      <c r="D10" s="8" t="s">
        <v>30</v>
      </c>
      <c r="E10" s="8"/>
      <c r="F10" s="20"/>
      <c r="G10" s="13" t="s">
        <v>31</v>
      </c>
      <c r="I10" s="6"/>
      <c r="J10" s="7"/>
      <c r="K10" s="7"/>
      <c r="L10" s="7"/>
      <c r="M10" s="7"/>
      <c r="N10" s="13"/>
    </row>
    <row r="11" spans="1:14" ht="18" customHeight="1" x14ac:dyDescent="0.35">
      <c r="A11" s="6" t="s">
        <v>6</v>
      </c>
      <c r="B11" s="7"/>
      <c r="C11" s="7"/>
      <c r="D11" s="8" t="s">
        <v>23</v>
      </c>
      <c r="E11" s="8"/>
      <c r="F11" s="20"/>
      <c r="G11" s="13" t="s">
        <v>33</v>
      </c>
      <c r="I11" s="6"/>
      <c r="J11" s="7"/>
      <c r="K11" s="7"/>
      <c r="L11" s="7"/>
      <c r="M11" s="7"/>
      <c r="N11" s="13"/>
    </row>
    <row r="12" spans="1:14" ht="18" customHeight="1" x14ac:dyDescent="0.35">
      <c r="A12" s="6" t="s">
        <v>7</v>
      </c>
      <c r="B12" s="7"/>
      <c r="C12" s="7"/>
      <c r="D12" s="8" t="s">
        <v>34</v>
      </c>
      <c r="E12" s="8"/>
      <c r="F12" s="20"/>
      <c r="G12" s="13" t="s">
        <v>35</v>
      </c>
      <c r="I12" s="6"/>
      <c r="J12" s="7"/>
      <c r="K12" s="7"/>
      <c r="L12" s="7"/>
      <c r="M12" s="7"/>
      <c r="N12" s="13"/>
    </row>
    <row r="13" spans="1:14" ht="18" customHeight="1" x14ac:dyDescent="0.35">
      <c r="A13" s="9" t="s">
        <v>8</v>
      </c>
      <c r="B13" s="10"/>
      <c r="C13" s="10"/>
      <c r="D13" s="11" t="s">
        <v>36</v>
      </c>
      <c r="E13" s="11"/>
      <c r="F13" s="21"/>
      <c r="G13" s="14" t="s">
        <v>28</v>
      </c>
      <c r="I13" s="9"/>
      <c r="J13" s="10"/>
      <c r="K13" s="10"/>
      <c r="L13" s="10"/>
      <c r="M13" s="10"/>
      <c r="N13" s="14"/>
    </row>
    <row r="14" spans="1:14" ht="18" customHeight="1" x14ac:dyDescent="0.35">
      <c r="A14" s="6" t="s">
        <v>66</v>
      </c>
      <c r="B14" s="7"/>
      <c r="C14" s="7"/>
      <c r="D14" s="7"/>
      <c r="E14" s="7"/>
      <c r="F14" s="7"/>
      <c r="G14" s="13"/>
      <c r="I14" s="23"/>
      <c r="J14" s="23"/>
      <c r="K14" s="23"/>
      <c r="L14" s="23"/>
      <c r="M14" s="23"/>
      <c r="N14" s="23"/>
    </row>
    <row r="15" spans="1:14" ht="18" customHeight="1" x14ac:dyDescent="0.35">
      <c r="A15" s="9" t="s">
        <v>9</v>
      </c>
      <c r="B15" s="10"/>
      <c r="C15" s="10"/>
      <c r="D15" s="11" t="s">
        <v>37</v>
      </c>
      <c r="E15" s="11"/>
      <c r="F15" s="78"/>
      <c r="G15" s="14" t="s">
        <v>28</v>
      </c>
      <c r="I15" s="15" t="s">
        <v>39</v>
      </c>
      <c r="J15" s="5"/>
      <c r="K15" s="5"/>
      <c r="L15" s="5"/>
      <c r="M15" s="5"/>
      <c r="N15" s="12"/>
    </row>
    <row r="16" spans="1:14" ht="18" customHeight="1" x14ac:dyDescent="0.35">
      <c r="I16" s="15" t="s">
        <v>12</v>
      </c>
      <c r="J16" s="5"/>
      <c r="K16" s="5"/>
      <c r="L16" s="5" t="s">
        <v>304</v>
      </c>
      <c r="M16" s="60" t="str">
        <f>IF(OR(ISBLANK(F6),ISBLANK(F13)), "", F6/SQRT(9.81*F13))</f>
        <v/>
      </c>
      <c r="N16" s="12" t="s">
        <v>38</v>
      </c>
    </row>
    <row r="17" spans="1:14" ht="18" customHeight="1" x14ac:dyDescent="0.35">
      <c r="A17" s="4" t="s">
        <v>11</v>
      </c>
      <c r="B17" s="5"/>
      <c r="C17" s="5"/>
      <c r="D17" s="5"/>
      <c r="E17" s="5"/>
      <c r="F17" s="5"/>
      <c r="G17" s="12"/>
      <c r="I17" s="6" t="s">
        <v>13</v>
      </c>
      <c r="J17" s="7"/>
      <c r="K17" s="7"/>
      <c r="L17" s="91" t="s">
        <v>305</v>
      </c>
      <c r="M17" s="61" t="str">
        <f>IF(OR(ISBLANK(F8),ISBLANK(F13)),"",F8/F13)</f>
        <v/>
      </c>
      <c r="N17" s="13" t="s">
        <v>38</v>
      </c>
    </row>
    <row r="18" spans="1:14" ht="18" customHeight="1" x14ac:dyDescent="0.45">
      <c r="A18" s="15" t="s">
        <v>40</v>
      </c>
      <c r="B18" s="5"/>
      <c r="C18" s="5"/>
      <c r="D18" s="5" t="s">
        <v>41</v>
      </c>
      <c r="E18" s="5" t="s">
        <v>74</v>
      </c>
      <c r="F18" s="55" t="str">
        <f>IF(OR(ISBLANK(F6),ISBLANK(F7),ISBLANK(F8),ISBLANK(F9),ISBLANK(F10),ISBLANK(F12),ISBLANK(F13)), "", (5/9)*M26^(4/5)*F13)</f>
        <v/>
      </c>
      <c r="G18" s="12" t="s">
        <v>28</v>
      </c>
      <c r="I18" s="6" t="s">
        <v>14</v>
      </c>
      <c r="J18" s="7"/>
      <c r="K18" s="7"/>
      <c r="L18" s="91" t="s">
        <v>306</v>
      </c>
      <c r="M18" s="61" t="str">
        <f>IF(OR(ISBLANK(F7),ISBLANK(F9),ISBLANK(F10),ISBLANK(F13)), "", (F10*F7)/(1000*F9*F13^2))</f>
        <v/>
      </c>
      <c r="N18" s="13" t="s">
        <v>38</v>
      </c>
    </row>
    <row r="19" spans="1:14" ht="18" customHeight="1" x14ac:dyDescent="0.45">
      <c r="A19" s="6" t="s">
        <v>42</v>
      </c>
      <c r="B19" s="7"/>
      <c r="C19" s="7"/>
      <c r="D19" s="7" t="s">
        <v>43</v>
      </c>
      <c r="E19" s="7" t="s">
        <v>81</v>
      </c>
      <c r="F19" s="56" t="str">
        <f>IF(OR(ISBLANK(F6),ISBLANK(F7),ISBLANK(F8),ISBLANK(F9),ISBLANK(F10),ISBLANK(F12),ISBLANK(F13)), "", (5/9)*M26^(4/5)*F13*(4/5))</f>
        <v/>
      </c>
      <c r="G19" s="13" t="s">
        <v>28</v>
      </c>
      <c r="I19" s="6" t="s">
        <v>15</v>
      </c>
      <c r="J19" s="7"/>
      <c r="K19" s="7"/>
      <c r="L19" s="8" t="s">
        <v>247</v>
      </c>
      <c r="M19" s="61" t="str">
        <f>IF(OR(ISBLANK(F10)), "", F10/1000)</f>
        <v/>
      </c>
      <c r="N19" s="13" t="s">
        <v>38</v>
      </c>
    </row>
    <row r="20" spans="1:14" ht="18" customHeight="1" x14ac:dyDescent="0.45">
      <c r="A20" s="6" t="s">
        <v>44</v>
      </c>
      <c r="B20" s="7"/>
      <c r="C20" s="7"/>
      <c r="D20" s="7" t="s">
        <v>45</v>
      </c>
      <c r="E20" s="7" t="s">
        <v>75</v>
      </c>
      <c r="F20" s="57" t="str">
        <f>IF(OR(ISBLANK(F6),ISBLANK(F7),ISBLANK(F8),ISBLANK(F9),ISBLANK(F10),ISBLANK(F12),ISBLANK(F13)), "", (11/2)*M26^(1/2)*F13)</f>
        <v/>
      </c>
      <c r="G20" s="13" t="s">
        <v>28</v>
      </c>
      <c r="I20" s="6" t="s">
        <v>16</v>
      </c>
      <c r="J20" s="7"/>
      <c r="K20" s="7"/>
      <c r="L20" s="8" t="s">
        <v>286</v>
      </c>
      <c r="M20" s="61" t="str">
        <f>IF(OR(ISBLANK(F10),ISBLANK(F11)), "", (F10/(1-(F11/100)))/1000)</f>
        <v/>
      </c>
      <c r="N20" s="13" t="s">
        <v>38</v>
      </c>
    </row>
    <row r="21" spans="1:14" ht="18" customHeight="1" x14ac:dyDescent="0.45">
      <c r="A21" s="6" t="s">
        <v>57</v>
      </c>
      <c r="B21" s="7"/>
      <c r="C21" s="7"/>
      <c r="D21" s="7" t="s">
        <v>46</v>
      </c>
      <c r="E21" s="7" t="s">
        <v>76</v>
      </c>
      <c r="F21" s="56" t="str">
        <f>IF(OR(ISBLANK(F6),ISBLANK(F7),ISBLANK(F8),ISBLANK(F9),ISBLANK(F10),ISBLANK(F12),ISBLANK(F13)), "", 9*M26^(1/2)*(F13/9.81)^(1/2))</f>
        <v/>
      </c>
      <c r="G21" s="13" t="s">
        <v>47</v>
      </c>
      <c r="I21" s="6" t="s">
        <v>17</v>
      </c>
      <c r="J21" s="7"/>
      <c r="K21" s="7"/>
      <c r="L21" s="8" t="s">
        <v>248</v>
      </c>
      <c r="M21" s="61" t="str">
        <f>IF(OR(ISBLANK(F7),ISBLANK(F9),ISBLANK(F13)), "", F7/(F9*F13^2))</f>
        <v/>
      </c>
      <c r="N21" s="13" t="s">
        <v>38</v>
      </c>
    </row>
    <row r="22" spans="1:14" ht="18" customHeight="1" x14ac:dyDescent="0.45">
      <c r="A22" s="6" t="s">
        <v>53</v>
      </c>
      <c r="B22" s="7"/>
      <c r="C22" s="7"/>
      <c r="D22" s="16" t="s">
        <v>52</v>
      </c>
      <c r="E22" s="7" t="s">
        <v>90</v>
      </c>
      <c r="F22" s="56" t="str">
        <f>IF(OR(ISBLANK(F6),ISBLANK(F7),ISBLANK(F8),ISBLANK(F9),ISBLANK(F10),ISBLANK(F12),ISBLANK(F13)), "", (9.81*(F13+F19))^(1/2))</f>
        <v/>
      </c>
      <c r="G22" s="13" t="s">
        <v>25</v>
      </c>
      <c r="I22" s="6" t="s">
        <v>6</v>
      </c>
      <c r="J22" s="7"/>
      <c r="K22" s="7"/>
      <c r="L22" s="8" t="s">
        <v>251</v>
      </c>
      <c r="M22" s="62" t="str">
        <f>IF(OR(ISBLANK(F11)), "", F11)</f>
        <v/>
      </c>
      <c r="N22" s="13" t="s">
        <v>33</v>
      </c>
    </row>
    <row r="23" spans="1:14" ht="18" customHeight="1" x14ac:dyDescent="0.45">
      <c r="A23" s="6" t="s">
        <v>54</v>
      </c>
      <c r="B23" s="7"/>
      <c r="C23" s="7"/>
      <c r="D23" s="7" t="s">
        <v>48</v>
      </c>
      <c r="E23" s="7" t="s">
        <v>91</v>
      </c>
      <c r="F23" s="57" t="str">
        <f>IF(OR(ISBLANK(F6),ISBLANK(F7),ISBLANK(F8),ISBLANK(F9),ISBLANK(F10),ISBLANK(F12),ISBLANK(F13)), "", F22*F21)</f>
        <v/>
      </c>
      <c r="G23" s="13" t="s">
        <v>28</v>
      </c>
      <c r="I23" s="6" t="s">
        <v>18</v>
      </c>
      <c r="J23" s="7"/>
      <c r="K23" s="7"/>
      <c r="L23" s="91" t="s">
        <v>296</v>
      </c>
      <c r="M23" s="62" t="str">
        <f>IF(OR(ISBLANK(F12)),"",F12)</f>
        <v/>
      </c>
      <c r="N23" s="13" t="s">
        <v>35</v>
      </c>
    </row>
    <row r="24" spans="1:14" ht="18" customHeight="1" x14ac:dyDescent="0.35">
      <c r="A24" s="6" t="s">
        <v>214</v>
      </c>
      <c r="B24" s="7"/>
      <c r="C24" s="7"/>
      <c r="D24" s="16" t="s">
        <v>49</v>
      </c>
      <c r="E24" s="7" t="s">
        <v>92</v>
      </c>
      <c r="F24" s="58" t="str">
        <f>IF(OR(ISBLANK(F6),ISBLANK(F7),ISBLANK(F8),ISBLANK(F9),ISBLANK(F10),ISBLANK(F12),ISBLANK(F13),ISBLANK(F15)), "", IF(F20&gt;F15, "x &lt; x_M", (3/4)*(M26*(M25)^(-1/3))^(4/5)*F13))</f>
        <v/>
      </c>
      <c r="G24" s="13" t="s">
        <v>28</v>
      </c>
      <c r="I24" s="6" t="s">
        <v>19</v>
      </c>
      <c r="J24" s="7"/>
      <c r="K24" s="7"/>
      <c r="L24" s="7" t="s">
        <v>249</v>
      </c>
      <c r="M24" s="61" t="str">
        <f>IF(OR(ISBLANK(F9),ISBLANK(F13)), "", F9/F13)</f>
        <v/>
      </c>
      <c r="N24" s="13" t="s">
        <v>38</v>
      </c>
    </row>
    <row r="25" spans="1:14" ht="18" customHeight="1" x14ac:dyDescent="0.35">
      <c r="A25" s="6" t="s">
        <v>215</v>
      </c>
      <c r="B25" s="7"/>
      <c r="C25" s="7"/>
      <c r="D25" s="16" t="s">
        <v>50</v>
      </c>
      <c r="E25" s="7" t="s">
        <v>81</v>
      </c>
      <c r="F25" s="58" t="str">
        <f>IF(OR(ISBLANK(F6),ISBLANK(F7),ISBLANK(F8),ISBLANK(F9),ISBLANK(F10),ISBLANK(F12),ISBLANK(F13),ISBLANK(F15)), "", IF(F20&gt;F15,"x &lt; x_M", (3/4)*(M26*(M25)^(-1/3))^(4/5)*F13*(4/5)))</f>
        <v/>
      </c>
      <c r="G25" s="13" t="s">
        <v>28</v>
      </c>
      <c r="I25" s="6" t="s">
        <v>20</v>
      </c>
      <c r="J25" s="7"/>
      <c r="K25" s="7"/>
      <c r="L25" s="8" t="s">
        <v>250</v>
      </c>
      <c r="M25" s="61" t="str">
        <f>IF(OR(ISBLANK(F15),ISBLANK(F13)), "", F15/F13)</f>
        <v/>
      </c>
      <c r="N25" s="13" t="s">
        <v>38</v>
      </c>
    </row>
    <row r="26" spans="1:14" ht="18" customHeight="1" x14ac:dyDescent="0.35">
      <c r="A26" s="6" t="s">
        <v>216</v>
      </c>
      <c r="B26" s="7"/>
      <c r="C26" s="7"/>
      <c r="D26" s="16" t="s">
        <v>51</v>
      </c>
      <c r="E26" s="7" t="s">
        <v>93</v>
      </c>
      <c r="F26" s="58" t="str">
        <f>IF(OR(ISBLANK(F6),ISBLANK(F7),ISBLANK(F8),ISBLANK(F9),ISBLANK(F10),ISBLANK(F12),ISBLANK(F13),ISBLANK(F15)), "", IF(F20&gt;F15, "x &lt; x_M",9*M26^(1/4)*M25^(5/16)*(F13/9.81)^(1/2)))</f>
        <v/>
      </c>
      <c r="G26" s="13" t="s">
        <v>47</v>
      </c>
      <c r="I26" s="9" t="s">
        <v>21</v>
      </c>
      <c r="J26" s="10"/>
      <c r="K26" s="10"/>
      <c r="L26" s="10" t="s">
        <v>307</v>
      </c>
      <c r="M26" s="63" t="str">
        <f>IF(OR(ISBLANK(F6),ISBLANK(F7),ISBLANK(F8),ISBLANK(F9),ISBLANK(F10),ISBLANK(F12),ISBLANK(F13)), "",M16*M17^0.5*M18^0.25*COS((6/7)*RADIANS(M23))^0.5)</f>
        <v/>
      </c>
      <c r="N26" s="14" t="s">
        <v>38</v>
      </c>
    </row>
    <row r="27" spans="1:14" ht="18" customHeight="1" x14ac:dyDescent="0.35">
      <c r="A27" s="6" t="s">
        <v>55</v>
      </c>
      <c r="B27" s="7"/>
      <c r="C27" s="7"/>
      <c r="D27" s="16" t="s">
        <v>58</v>
      </c>
      <c r="E27" s="7" t="s">
        <v>90</v>
      </c>
      <c r="F27" s="58" t="str">
        <f xml:space="preserve"> IF(OR(ISBLANK(F6),ISBLANK(F7),ISBLANK(F8),ISBLANK(F9),ISBLANK(F10),ISBLANK(F12),ISBLANK(F13),ISBLANK(F15)), "", IF(F20&gt;F15, "x &lt; x_M", (9.81*(F13+F25))^0.5))</f>
        <v/>
      </c>
      <c r="G27" s="13" t="s">
        <v>25</v>
      </c>
    </row>
    <row r="28" spans="1:14" ht="18" customHeight="1" x14ac:dyDescent="0.35">
      <c r="A28" s="9" t="s">
        <v>56</v>
      </c>
      <c r="B28" s="10"/>
      <c r="C28" s="10"/>
      <c r="D28" s="17" t="s">
        <v>59</v>
      </c>
      <c r="E28" s="10" t="s">
        <v>94</v>
      </c>
      <c r="F28" s="59" t="str">
        <f>IF(OR(ISBLANK(F6),ISBLANK(F7),ISBLANK(F8),ISBLANK(F9),ISBLANK(F10),ISBLANK(F12),ISBLANK(F13),ISBLANK(F15)), "", IF(F20&gt;F15,"x &lt; x_M", F27*F26))</f>
        <v/>
      </c>
      <c r="G28" s="14" t="s">
        <v>28</v>
      </c>
    </row>
  </sheetData>
  <sheetProtection sheet="1" objects="1" scenarios="1"/>
  <protectedRanges>
    <protectedRange sqref="F6:F13 F15" name="Range1"/>
  </protectedRanges>
  <conditionalFormatting sqref="M16">
    <cfRule type="cellIs" dxfId="11" priority="13" operator="between">
      <formula>0.47</formula>
      <formula>6.83</formula>
    </cfRule>
  </conditionalFormatting>
  <conditionalFormatting sqref="M17">
    <cfRule type="cellIs" dxfId="10" priority="12" operator="between">
      <formula>0.05</formula>
      <formula>1.64</formula>
    </cfRule>
  </conditionalFormatting>
  <conditionalFormatting sqref="M18">
    <cfRule type="cellIs" dxfId="9" priority="10" operator="between">
      <formula>0.05</formula>
      <formula>10.02</formula>
    </cfRule>
  </conditionalFormatting>
  <conditionalFormatting sqref="M19">
    <cfRule type="cellIs" dxfId="8" priority="9" operator="between">
      <formula>0.59</formula>
      <formula>1.72</formula>
    </cfRule>
  </conditionalFormatting>
  <conditionalFormatting sqref="M20">
    <cfRule type="cellIs" dxfId="7" priority="8" operator="between">
      <formula>0.96</formula>
      <formula>2.75</formula>
    </cfRule>
  </conditionalFormatting>
  <conditionalFormatting sqref="M21">
    <cfRule type="cellIs" dxfId="6" priority="7" operator="between">
      <formula>0.05</formula>
      <formula>5.94</formula>
    </cfRule>
  </conditionalFormatting>
  <conditionalFormatting sqref="M22">
    <cfRule type="cellIs" dxfId="5" priority="6" operator="between">
      <formula>30.7</formula>
      <formula>43.3</formula>
    </cfRule>
  </conditionalFormatting>
  <conditionalFormatting sqref="M23">
    <cfRule type="cellIs" dxfId="4" priority="5" operator="between">
      <formula>15</formula>
      <formula>90</formula>
    </cfRule>
  </conditionalFormatting>
  <conditionalFormatting sqref="M24">
    <cfRule type="cellIs" dxfId="3" priority="4" operator="between">
      <formula>0.74</formula>
      <formula>3.33</formula>
    </cfRule>
  </conditionalFormatting>
  <conditionalFormatting sqref="M25">
    <cfRule type="cellIs" dxfId="2" priority="3" operator="between">
      <formula>2.7</formula>
      <formula>59.2</formula>
    </cfRule>
  </conditionalFormatting>
  <conditionalFormatting sqref="M26">
    <cfRule type="cellIs" dxfId="0" priority="2" operator="between">
      <formula>0.08</formula>
      <formula>8.13</formula>
    </cfRule>
  </conditionalFormatting>
  <conditionalFormatting sqref="F24:F28">
    <cfRule type="expression" dxfId="1" priority="1">
      <formula>$F$20&gt;$F$15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&amp;L&amp;"Arial,Standard"&amp;12Landslide-generated Impulse Waves in Reservoirs - Basics and Computation&amp;R&amp;"Arial,Standard"doi:10.5281/zenodo.4715565</oddHeader>
    <oddFooter>&amp;L&amp;"Arial,Standard"Computational tool v1.1&amp;C&amp;"Arial,Standard"&amp;D - &amp;T&amp;R&amp;G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Clear_2D">
                <anchor moveWithCells="1" sizeWithCells="1">
                  <from>
                    <xdr:col>5</xdr:col>
                    <xdr:colOff>12700</xdr:colOff>
                    <xdr:row>3</xdr:row>
                    <xdr:rowOff>31750</xdr:rowOff>
                  </from>
                  <to>
                    <xdr:col>5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36"/>
  <sheetViews>
    <sheetView zoomScaleNormal="100" workbookViewId="0">
      <selection activeCell="F6" sqref="F6"/>
    </sheetView>
  </sheetViews>
  <sheetFormatPr baseColWidth="10" defaultColWidth="9.08984375" defaultRowHeight="14.5" x14ac:dyDescent="0.35"/>
  <cols>
    <col min="1" max="2" width="9.08984375" style="1"/>
    <col min="3" max="3" width="15" style="1" customWidth="1"/>
    <col min="4" max="4" width="6.81640625" style="1" customWidth="1"/>
    <col min="5" max="5" width="10" style="1" customWidth="1"/>
    <col min="6" max="6" width="9.36328125" style="1" bestFit="1" customWidth="1"/>
    <col min="7" max="7" width="8" style="1" customWidth="1"/>
    <col min="8" max="8" width="4" style="1" customWidth="1"/>
    <col min="9" max="10" width="9.08984375" style="1"/>
    <col min="11" max="11" width="10.81640625" style="1" customWidth="1"/>
    <col min="12" max="12" width="20.6328125" style="1" customWidth="1"/>
    <col min="13" max="13" width="9.08984375" style="1"/>
    <col min="14" max="14" width="6.26953125" style="1" customWidth="1"/>
    <col min="15" max="17" width="8.26953125" style="1" customWidth="1"/>
    <col min="18" max="18" width="3.6328125" style="1" customWidth="1"/>
    <col min="19" max="27" width="9.08984375" style="1"/>
  </cols>
  <sheetData>
    <row r="1" spans="1:19" ht="17.5" x14ac:dyDescent="0.35">
      <c r="A1" s="2" t="s">
        <v>61</v>
      </c>
    </row>
    <row r="2" spans="1:19" ht="18" customHeight="1" x14ac:dyDescent="0.35">
      <c r="A2" s="1" t="s">
        <v>10</v>
      </c>
      <c r="B2" s="77" t="str">
        <f>IF(ISBLANK(START!B4), "",START!B4)</f>
        <v/>
      </c>
      <c r="C2" s="3"/>
      <c r="D2" s="3"/>
      <c r="E2" s="3"/>
      <c r="F2" s="3"/>
      <c r="G2" s="3"/>
    </row>
    <row r="3" spans="1:19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R3" s="23"/>
      <c r="S3" s="23"/>
    </row>
    <row r="4" spans="1:19" ht="18" customHeight="1" x14ac:dyDescent="0.35">
      <c r="A4" s="4" t="s">
        <v>0</v>
      </c>
      <c r="B4" s="5"/>
      <c r="C4" s="5"/>
      <c r="D4" s="5"/>
      <c r="E4" s="5"/>
      <c r="F4" s="5"/>
      <c r="G4" s="12"/>
      <c r="H4" s="3"/>
      <c r="I4" s="18"/>
      <c r="J4" s="5"/>
      <c r="K4" s="5"/>
      <c r="L4" s="5"/>
      <c r="M4" s="5"/>
      <c r="N4" s="5"/>
      <c r="O4" s="5"/>
      <c r="P4" s="5"/>
      <c r="Q4" s="12"/>
      <c r="R4" s="42"/>
      <c r="S4" s="23"/>
    </row>
    <row r="5" spans="1:19" ht="18" customHeight="1" x14ac:dyDescent="0.35">
      <c r="A5" s="19" t="s">
        <v>65</v>
      </c>
      <c r="B5" s="5"/>
      <c r="C5" s="5"/>
      <c r="D5" s="5"/>
      <c r="E5" s="5"/>
      <c r="F5" s="5"/>
      <c r="G5" s="12"/>
      <c r="H5" s="3"/>
      <c r="I5" s="6"/>
      <c r="J5" s="7"/>
      <c r="K5" s="7"/>
      <c r="L5" s="7"/>
      <c r="M5" s="7"/>
      <c r="N5" s="7"/>
      <c r="O5" s="7"/>
      <c r="P5" s="7"/>
      <c r="Q5" s="13"/>
      <c r="R5" s="42"/>
      <c r="S5" s="23"/>
    </row>
    <row r="6" spans="1:19" ht="18" customHeight="1" x14ac:dyDescent="0.45">
      <c r="A6" s="6" t="s">
        <v>1</v>
      </c>
      <c r="B6" s="7"/>
      <c r="C6" s="7"/>
      <c r="D6" s="7" t="s">
        <v>24</v>
      </c>
      <c r="E6" s="7"/>
      <c r="F6" s="20"/>
      <c r="G6" s="13" t="s">
        <v>25</v>
      </c>
      <c r="H6" s="3"/>
      <c r="I6" s="6"/>
      <c r="J6" s="7"/>
      <c r="K6" s="7"/>
      <c r="L6" s="7"/>
      <c r="M6" s="7"/>
      <c r="N6" s="7"/>
      <c r="O6" s="7"/>
      <c r="P6" s="46"/>
      <c r="Q6" s="13"/>
      <c r="R6" s="42"/>
      <c r="S6" s="23"/>
    </row>
    <row r="7" spans="1:19" ht="18" customHeight="1" x14ac:dyDescent="0.45">
      <c r="A7" s="6" t="s">
        <v>2</v>
      </c>
      <c r="B7" s="7"/>
      <c r="C7" s="7"/>
      <c r="D7" s="7" t="s">
        <v>26</v>
      </c>
      <c r="E7" s="7"/>
      <c r="F7" s="20"/>
      <c r="G7" s="13" t="s">
        <v>32</v>
      </c>
      <c r="H7" s="3"/>
      <c r="I7" s="6"/>
      <c r="J7" s="7"/>
      <c r="K7" s="7"/>
      <c r="L7" s="7"/>
      <c r="M7" s="7"/>
      <c r="N7" s="7"/>
      <c r="O7" s="7"/>
      <c r="P7" s="7"/>
      <c r="Q7" s="13"/>
      <c r="R7" s="42"/>
      <c r="S7" s="23"/>
    </row>
    <row r="8" spans="1:19" ht="18" customHeight="1" x14ac:dyDescent="0.35">
      <c r="A8" s="6" t="s">
        <v>3</v>
      </c>
      <c r="B8" s="7"/>
      <c r="C8" s="7"/>
      <c r="D8" s="7" t="s">
        <v>27</v>
      </c>
      <c r="E8" s="7"/>
      <c r="F8" s="20"/>
      <c r="G8" s="13" t="s">
        <v>28</v>
      </c>
      <c r="H8" s="3"/>
      <c r="I8" s="6"/>
      <c r="J8" s="7"/>
      <c r="K8" s="7"/>
      <c r="L8" s="7"/>
      <c r="M8" s="7"/>
      <c r="N8" s="7"/>
      <c r="O8" s="7"/>
      <c r="P8" s="7"/>
      <c r="Q8" s="13"/>
      <c r="R8" s="42"/>
      <c r="S8" s="23"/>
    </row>
    <row r="9" spans="1:19" ht="18" customHeight="1" x14ac:dyDescent="0.35">
      <c r="A9" s="6" t="s">
        <v>217</v>
      </c>
      <c r="B9" s="7"/>
      <c r="C9" s="7"/>
      <c r="D9" s="7" t="s">
        <v>29</v>
      </c>
      <c r="E9" s="7"/>
      <c r="F9" s="20"/>
      <c r="G9" s="13" t="s">
        <v>28</v>
      </c>
      <c r="H9" s="3"/>
      <c r="I9" s="6"/>
      <c r="J9" s="7"/>
      <c r="K9" s="7"/>
      <c r="L9" s="7"/>
      <c r="M9" s="7"/>
      <c r="N9" s="7"/>
      <c r="O9" s="7"/>
      <c r="P9" s="7"/>
      <c r="Q9" s="13"/>
      <c r="R9" s="42"/>
      <c r="S9" s="23"/>
    </row>
    <row r="10" spans="1:19" ht="18" customHeight="1" x14ac:dyDescent="0.45">
      <c r="A10" s="6" t="s">
        <v>5</v>
      </c>
      <c r="B10" s="7"/>
      <c r="C10" s="7"/>
      <c r="D10" s="8" t="s">
        <v>30</v>
      </c>
      <c r="E10" s="8"/>
      <c r="F10" s="20"/>
      <c r="G10" s="13" t="s">
        <v>31</v>
      </c>
      <c r="H10" s="3"/>
      <c r="I10" s="6"/>
      <c r="J10" s="7"/>
      <c r="K10" s="7"/>
      <c r="L10" s="7"/>
      <c r="M10" s="7"/>
      <c r="N10" s="7"/>
      <c r="O10" s="7"/>
      <c r="P10" s="7"/>
      <c r="Q10" s="13"/>
      <c r="R10" s="42"/>
      <c r="S10" s="23"/>
    </row>
    <row r="11" spans="1:19" ht="18" customHeight="1" x14ac:dyDescent="0.35">
      <c r="A11" s="6" t="s">
        <v>6</v>
      </c>
      <c r="B11" s="7"/>
      <c r="C11" s="7"/>
      <c r="D11" s="8" t="s">
        <v>23</v>
      </c>
      <c r="E11" s="8"/>
      <c r="F11" s="20"/>
      <c r="G11" s="13" t="s">
        <v>33</v>
      </c>
      <c r="H11" s="3"/>
      <c r="I11" s="6"/>
      <c r="J11" s="7"/>
      <c r="K11" s="7"/>
      <c r="L11" s="7"/>
      <c r="M11" s="7"/>
      <c r="N11" s="7"/>
      <c r="O11" s="7"/>
      <c r="P11" s="7"/>
      <c r="Q11" s="13"/>
      <c r="R11" s="42"/>
      <c r="S11" s="23"/>
    </row>
    <row r="12" spans="1:19" ht="18" customHeight="1" x14ac:dyDescent="0.35">
      <c r="A12" s="6" t="s">
        <v>7</v>
      </c>
      <c r="B12" s="7"/>
      <c r="C12" s="7"/>
      <c r="D12" s="8" t="s">
        <v>34</v>
      </c>
      <c r="E12" s="8"/>
      <c r="F12" s="20"/>
      <c r="G12" s="13" t="s">
        <v>35</v>
      </c>
      <c r="H12" s="3"/>
      <c r="I12" s="6"/>
      <c r="J12" s="7"/>
      <c r="K12" s="7"/>
      <c r="L12" s="7"/>
      <c r="M12" s="7"/>
      <c r="N12" s="7"/>
      <c r="O12" s="7"/>
      <c r="P12" s="7"/>
      <c r="Q12" s="13"/>
      <c r="R12" s="42"/>
      <c r="S12" s="23"/>
    </row>
    <row r="13" spans="1:19" ht="18" customHeight="1" x14ac:dyDescent="0.35">
      <c r="A13" s="9" t="s">
        <v>8</v>
      </c>
      <c r="B13" s="10"/>
      <c r="C13" s="10"/>
      <c r="D13" s="11" t="s">
        <v>36</v>
      </c>
      <c r="E13" s="11"/>
      <c r="F13" s="21"/>
      <c r="G13" s="14" t="s">
        <v>28</v>
      </c>
      <c r="H13" s="3"/>
      <c r="I13" s="6"/>
      <c r="J13" s="7"/>
      <c r="K13" s="7"/>
      <c r="L13" s="7"/>
      <c r="M13" s="7"/>
      <c r="N13" s="7"/>
      <c r="O13" s="7"/>
      <c r="P13" s="7"/>
      <c r="Q13" s="13"/>
      <c r="R13" s="42"/>
      <c r="S13" s="23"/>
    </row>
    <row r="14" spans="1:19" ht="18" customHeight="1" x14ac:dyDescent="0.35">
      <c r="A14" s="15" t="s">
        <v>66</v>
      </c>
      <c r="B14" s="5"/>
      <c r="C14" s="5"/>
      <c r="D14" s="5"/>
      <c r="E14" s="5"/>
      <c r="F14" s="5"/>
      <c r="G14" s="12"/>
      <c r="H14" s="3"/>
      <c r="I14" s="6"/>
      <c r="J14" s="7"/>
      <c r="K14" s="7"/>
      <c r="L14" s="7"/>
      <c r="M14" s="7"/>
      <c r="N14" s="7"/>
      <c r="O14" s="7"/>
      <c r="P14" s="7"/>
      <c r="Q14" s="13"/>
      <c r="R14" s="42"/>
      <c r="S14" s="23"/>
    </row>
    <row r="15" spans="1:19" s="1" customFormat="1" ht="18" customHeight="1" x14ac:dyDescent="0.3">
      <c r="A15" s="6" t="s">
        <v>68</v>
      </c>
      <c r="B15" s="7"/>
      <c r="C15" s="7"/>
      <c r="D15" s="8" t="s">
        <v>69</v>
      </c>
      <c r="E15" s="8"/>
      <c r="F15" s="20"/>
      <c r="G15" s="13" t="s">
        <v>28</v>
      </c>
      <c r="H15" s="3"/>
      <c r="I15" s="9"/>
      <c r="J15" s="10"/>
      <c r="K15" s="10"/>
      <c r="L15" s="10"/>
      <c r="M15" s="10"/>
      <c r="N15" s="10"/>
      <c r="O15" s="10"/>
      <c r="P15" s="10"/>
      <c r="Q15" s="14"/>
      <c r="R15" s="42"/>
      <c r="S15" s="23"/>
    </row>
    <row r="16" spans="1:19" s="1" customFormat="1" ht="18" customHeight="1" x14ac:dyDescent="0.3">
      <c r="A16" s="9" t="s">
        <v>70</v>
      </c>
      <c r="B16" s="10"/>
      <c r="C16" s="10"/>
      <c r="D16" s="11" t="s">
        <v>71</v>
      </c>
      <c r="E16" s="11"/>
      <c r="F16" s="21"/>
      <c r="G16" s="14" t="s">
        <v>35</v>
      </c>
      <c r="H16" s="3"/>
      <c r="I16" s="23"/>
      <c r="J16" s="23"/>
      <c r="K16" s="23"/>
      <c r="L16" s="23"/>
      <c r="M16" s="23"/>
      <c r="N16" s="23"/>
      <c r="O16" s="3"/>
      <c r="R16" s="23"/>
      <c r="S16" s="23"/>
    </row>
    <row r="17" spans="1:15" s="1" customFormat="1" ht="18" customHeight="1" x14ac:dyDescent="0.3">
      <c r="A17" s="3"/>
      <c r="B17" s="3"/>
      <c r="C17" s="3"/>
      <c r="D17" s="3"/>
      <c r="E17" s="3"/>
      <c r="F17" s="3"/>
      <c r="G17" s="3"/>
      <c r="H17" s="3"/>
      <c r="I17" s="15" t="s">
        <v>67</v>
      </c>
      <c r="J17" s="5"/>
      <c r="K17" s="5"/>
      <c r="L17" s="5"/>
      <c r="M17" s="5"/>
      <c r="N17" s="12"/>
      <c r="O17" s="3"/>
    </row>
    <row r="18" spans="1:15" s="1" customFormat="1" ht="18" customHeight="1" x14ac:dyDescent="0.3">
      <c r="A18" s="4" t="s">
        <v>11</v>
      </c>
      <c r="B18" s="5"/>
      <c r="C18" s="5"/>
      <c r="D18" s="5"/>
      <c r="E18" s="5"/>
      <c r="F18" s="5"/>
      <c r="G18" s="12"/>
      <c r="H18" s="3"/>
      <c r="I18" s="15" t="s">
        <v>12</v>
      </c>
      <c r="J18" s="5"/>
      <c r="K18" s="5"/>
      <c r="L18" s="5" t="s">
        <v>252</v>
      </c>
      <c r="M18" s="60" t="str">
        <f>IF(OR(ISBLANK(F6),ISBLANK(F13)), "", F6/SQRT(9.81*F13))</f>
        <v/>
      </c>
      <c r="N18" s="12" t="s">
        <v>38</v>
      </c>
      <c r="O18" s="3"/>
    </row>
    <row r="19" spans="1:15" s="1" customFormat="1" ht="18" customHeight="1" x14ac:dyDescent="0.45">
      <c r="A19" s="15" t="s">
        <v>102</v>
      </c>
      <c r="B19" s="5"/>
      <c r="C19" s="5"/>
      <c r="D19" s="5" t="s">
        <v>77</v>
      </c>
      <c r="E19" s="5" t="s">
        <v>95</v>
      </c>
      <c r="F19" s="64" t="str">
        <f>IF(OR(ISBLANK(F6),ISBLANK(F7),ISBLANK(F8),ISBLANK(F9),ISBLANK(F10),ISBLANK(F12),ISBLANK(F13)), "", 2.5*(M29*M26*COS((6/7)*RADIANS(F12)))^0.25*F13)</f>
        <v/>
      </c>
      <c r="G19" s="12" t="s">
        <v>28</v>
      </c>
      <c r="H19" s="3"/>
      <c r="I19" s="6" t="s">
        <v>13</v>
      </c>
      <c r="J19" s="7"/>
      <c r="K19" s="7"/>
      <c r="L19" s="8" t="s">
        <v>253</v>
      </c>
      <c r="M19" s="61" t="str">
        <f>IF(OR(ISBLANK(F8),ISBLANK(F13)),"",F8/F13)</f>
        <v/>
      </c>
      <c r="N19" s="13" t="s">
        <v>38</v>
      </c>
      <c r="O19" s="3"/>
    </row>
    <row r="20" spans="1:15" s="1" customFormat="1" ht="18" customHeight="1" x14ac:dyDescent="0.45">
      <c r="A20" s="6" t="s">
        <v>103</v>
      </c>
      <c r="B20" s="7"/>
      <c r="C20" s="7"/>
      <c r="D20" s="7" t="s">
        <v>78</v>
      </c>
      <c r="E20" s="7" t="s">
        <v>96</v>
      </c>
      <c r="F20" s="65" t="str">
        <f>IF(OR(ISBLANK(F6),ISBLANK(F7),ISBLANK(F8),ISBLANK(F9),ISBLANK(F10),ISBLANK(F12),ISBLANK(F13)), "", (F9/2)+1.5*(M29*COS((6/7)*RADIANS(F12)))^0.25*F13)</f>
        <v/>
      </c>
      <c r="G20" s="13" t="s">
        <v>28</v>
      </c>
      <c r="H20" s="3"/>
      <c r="I20" s="6" t="s">
        <v>14</v>
      </c>
      <c r="J20" s="7"/>
      <c r="K20" s="7"/>
      <c r="L20" s="8" t="s">
        <v>254</v>
      </c>
      <c r="M20" s="61" t="str">
        <f>IF(OR(ISBLANK(F7),ISBLANK(F9),ISBLANK(F10),ISBLANK(F13)), "", (F10*F7)/(1000*F9*F13^2))</f>
        <v/>
      </c>
      <c r="N20" s="13" t="s">
        <v>38</v>
      </c>
      <c r="O20" s="3"/>
    </row>
    <row r="21" spans="1:15" s="1" customFormat="1" ht="18" customHeight="1" x14ac:dyDescent="0.45">
      <c r="A21" s="6" t="s">
        <v>104</v>
      </c>
      <c r="B21" s="7"/>
      <c r="C21" s="7"/>
      <c r="D21" s="7" t="s">
        <v>79</v>
      </c>
      <c r="E21" s="7" t="s">
        <v>97</v>
      </c>
      <c r="F21" s="65" t="str">
        <f>IF(OR(ISBLANK(F6),ISBLANK(F7),ISBLANK(F8),ISBLANK(F9),ISBLANK(F10),ISBLANK(F12),ISBLANK(F13),ISBLANK(F16)), "", SQRT((F19^2*F20^2)/((F19^2*SIN(RADIANS(F16))^2)+(F20^2*COS(RADIANS(F16))^2))))</f>
        <v/>
      </c>
      <c r="G21" s="13" t="s">
        <v>28</v>
      </c>
      <c r="H21" s="3"/>
      <c r="I21" s="6" t="s">
        <v>15</v>
      </c>
      <c r="J21" s="7"/>
      <c r="K21" s="7"/>
      <c r="L21" s="8" t="s">
        <v>247</v>
      </c>
      <c r="M21" s="61" t="str">
        <f>IF(OR(ISBLANK(F10)), "", F10/1000)</f>
        <v/>
      </c>
      <c r="N21" s="13" t="s">
        <v>72</v>
      </c>
      <c r="O21" s="3"/>
    </row>
    <row r="22" spans="1:15" s="1" customFormat="1" ht="18" customHeight="1" x14ac:dyDescent="0.45">
      <c r="A22" s="6" t="s">
        <v>105</v>
      </c>
      <c r="B22" s="7"/>
      <c r="C22" s="7"/>
      <c r="D22" s="7" t="s">
        <v>80</v>
      </c>
      <c r="E22" s="7" t="s">
        <v>101</v>
      </c>
      <c r="F22" s="65" t="str">
        <f>IF(OR(ISBLANK(F6),ISBLANK(F7),ISBLANK(F8),ISBLANK(F9),ISBLANK(F10),ISBLANK(F12),ISBLANK(F13),ISBLANK(F15),ISBLANK(F16)), "", F15-F21)</f>
        <v/>
      </c>
      <c r="G22" s="13" t="s">
        <v>28</v>
      </c>
      <c r="H22" s="3"/>
      <c r="I22" s="6" t="s">
        <v>16</v>
      </c>
      <c r="J22" s="7"/>
      <c r="K22" s="7"/>
      <c r="L22" s="8" t="s">
        <v>286</v>
      </c>
      <c r="M22" s="61" t="str">
        <f>IF(OR(ISBLANK(F10),ISBLANK(F11)), "", (F10/(1-(F11/100)))/1000)</f>
        <v/>
      </c>
      <c r="N22" s="13" t="s">
        <v>72</v>
      </c>
      <c r="O22" s="3"/>
    </row>
    <row r="23" spans="1:15" s="1" customFormat="1" ht="18" customHeight="1" x14ac:dyDescent="0.45">
      <c r="A23" s="6" t="s">
        <v>106</v>
      </c>
      <c r="B23" s="7"/>
      <c r="C23" s="7"/>
      <c r="D23" s="16" t="s">
        <v>82</v>
      </c>
      <c r="E23" s="7" t="s">
        <v>100</v>
      </c>
      <c r="F23" s="58" t="str">
        <f>IF(OR(ISBLANK(F6),ISBLANK(F7),ISBLANK(F8),ISBLANK(F9),ISBLANK(F10),ISBLANK(F12),ISBLANK(F13)), "", 0.2*M29^0.5*M26^0.75*COS((6/7)*RADIANS(F12))^0.25*F13)</f>
        <v/>
      </c>
      <c r="G23" s="13" t="s">
        <v>28</v>
      </c>
      <c r="H23" s="3"/>
      <c r="I23" s="6" t="s">
        <v>17</v>
      </c>
      <c r="J23" s="7"/>
      <c r="K23" s="7"/>
      <c r="L23" s="8" t="s">
        <v>255</v>
      </c>
      <c r="M23" s="61" t="str">
        <f>IF(OR(ISBLANK(F7),ISBLANK(F9),ISBLANK(F13)), "", F7/(F9*F13^2))</f>
        <v/>
      </c>
      <c r="N23" s="13" t="s">
        <v>38</v>
      </c>
      <c r="O23" s="3"/>
    </row>
    <row r="24" spans="1:15" s="1" customFormat="1" ht="18" customHeight="1" x14ac:dyDescent="0.45">
      <c r="A24" s="6" t="s">
        <v>107</v>
      </c>
      <c r="B24" s="7"/>
      <c r="C24" s="7"/>
      <c r="D24" s="16" t="s">
        <v>84</v>
      </c>
      <c r="E24" s="7" t="s">
        <v>142</v>
      </c>
      <c r="F24" s="58" t="str">
        <f>IF(OR(ISBLANK(F6),ISBLANK(F7),ISBLANK(F8),ISBLANK(F9),ISBLANK(F10),ISBLANK(F12),ISBLANK(F13)), "", 0.35*(M29*M26*COS((6/7)*RADIANS(F12)))^0.5*F13)</f>
        <v/>
      </c>
      <c r="G24" s="13" t="s">
        <v>28</v>
      </c>
      <c r="H24" s="3"/>
      <c r="I24" s="6" t="s">
        <v>6</v>
      </c>
      <c r="J24" s="7"/>
      <c r="K24" s="7"/>
      <c r="L24" s="8" t="s">
        <v>256</v>
      </c>
      <c r="M24" s="62" t="str">
        <f>IF(OR(ISBLANK(F11)), "", F11)</f>
        <v/>
      </c>
      <c r="N24" s="13" t="s">
        <v>73</v>
      </c>
      <c r="O24" s="3"/>
    </row>
    <row r="25" spans="1:15" s="1" customFormat="1" ht="18" customHeight="1" x14ac:dyDescent="0.45">
      <c r="A25" s="6" t="s">
        <v>108</v>
      </c>
      <c r="B25" s="7"/>
      <c r="C25" s="7"/>
      <c r="D25" s="16" t="s">
        <v>83</v>
      </c>
      <c r="E25" s="7" t="s">
        <v>226</v>
      </c>
      <c r="F25" s="58" t="str">
        <f>IF(OR(ISBLANK(F6),ISBLANK(F7),ISBLANK(F8),ISBLANK(F9),ISBLANK(F10),ISBLANK(F12),ISBLANK(F13)), "", 0.14*(M29*M26*COS((6/7)*RADIANS(F12)))^0.25*F13)</f>
        <v/>
      </c>
      <c r="G25" s="13" t="s">
        <v>28</v>
      </c>
      <c r="H25" s="3"/>
      <c r="I25" s="6" t="s">
        <v>18</v>
      </c>
      <c r="J25" s="7"/>
      <c r="K25" s="7"/>
      <c r="L25" s="91" t="s">
        <v>296</v>
      </c>
      <c r="M25" s="62" t="str">
        <f>IF(OR(ISBLANK(F12)),"",F12)</f>
        <v/>
      </c>
      <c r="N25" s="13" t="s">
        <v>302</v>
      </c>
      <c r="O25" s="3"/>
    </row>
    <row r="26" spans="1:15" s="1" customFormat="1" ht="18" customHeight="1" x14ac:dyDescent="0.45">
      <c r="A26" s="6" t="s">
        <v>109</v>
      </c>
      <c r="B26" s="7"/>
      <c r="C26" s="7"/>
      <c r="D26" s="16" t="s">
        <v>85</v>
      </c>
      <c r="E26" s="7" t="s">
        <v>145</v>
      </c>
      <c r="F26" s="66" t="str">
        <f>IF(OR(ISBLANK(F6),ISBLANK(F7),ISBLANK(F8),ISBLANK(F9),ISBLANK(F10),ISBLANK(F12),ISBLANK(F13),ISBLANK(F15),ISBLANK(F16)), "",IF(F21&gt;F15, "r &lt; r_0", F23*EXP(-0.4*(F23/F13)^(-0.3)*SQRT(F22/F13))*(1/COSH(3.2*(F16/90)))^(COS((6/7)*RADIANS(F12))*EXP(-0.15*SQRT(F22/F13)))))</f>
        <v/>
      </c>
      <c r="G26" s="13" t="s">
        <v>28</v>
      </c>
      <c r="H26" s="3"/>
      <c r="I26" s="6" t="s">
        <v>19</v>
      </c>
      <c r="J26" s="7"/>
      <c r="K26" s="7"/>
      <c r="L26" s="7" t="s">
        <v>257</v>
      </c>
      <c r="M26" s="61" t="str">
        <f>IF(OR(ISBLANK(F9),ISBLANK(F13)), "", F9/F13)</f>
        <v/>
      </c>
      <c r="N26" s="13" t="s">
        <v>38</v>
      </c>
      <c r="O26" s="3"/>
    </row>
    <row r="27" spans="1:15" s="1" customFormat="1" ht="18" customHeight="1" x14ac:dyDescent="0.45">
      <c r="A27" s="6" t="s">
        <v>111</v>
      </c>
      <c r="B27" s="7"/>
      <c r="C27" s="7"/>
      <c r="D27" s="16" t="s">
        <v>86</v>
      </c>
      <c r="E27" s="7" t="s">
        <v>152</v>
      </c>
      <c r="F27" s="58" t="str">
        <f>IF(OR(ISBLANK(F6),ISBLANK(F7),ISBLANK(F8),ISBLANK(F9),ISBLANK(F10),ISBLANK(F12),ISBLANK(F13),ISBLANK(F15),ISBLANK(F16)), "",IF(F21&gt;F15, "r &lt; r_0", F24*EXP(-0.4*(F24/F13)^(-0.3)*SQRT(F22/F13))*(1/COSH(3.6*(F16/90)))^(COS((6/7)*RADIANS(F12))*EXP(-0.15*SQRT(F22/F13)))))</f>
        <v/>
      </c>
      <c r="G27" s="13" t="s">
        <v>28</v>
      </c>
      <c r="H27" s="3"/>
      <c r="I27" s="6" t="s">
        <v>218</v>
      </c>
      <c r="J27" s="7"/>
      <c r="K27" s="7"/>
      <c r="L27" s="8" t="s">
        <v>258</v>
      </c>
      <c r="M27" s="61" t="str">
        <f>IF(OR(ISBLANK(F15),ISBLANK(F13)), "", F15/F13)</f>
        <v/>
      </c>
      <c r="N27" s="13" t="s">
        <v>38</v>
      </c>
      <c r="O27" s="3"/>
    </row>
    <row r="28" spans="1:15" s="1" customFormat="1" ht="18" customHeight="1" x14ac:dyDescent="0.45">
      <c r="A28" s="6" t="s">
        <v>110</v>
      </c>
      <c r="B28" s="7"/>
      <c r="C28" s="7"/>
      <c r="D28" s="16" t="s">
        <v>87</v>
      </c>
      <c r="E28" s="7" t="s">
        <v>153</v>
      </c>
      <c r="F28" s="58" t="str">
        <f>IF(OR(ISBLANK(F6),ISBLANK(F7),ISBLANK(F8),ISBLANK(F9),ISBLANK(F10),ISBLANK(F12),ISBLANK(F13),ISBLANK(F15),ISBLANK(F16)), "",IF(F21&gt;F15, "r &lt; r_0", F25*EXP(-0.1*(F25/F13)^(-0.3)*SQRT(F22/F13))*(1/COSH(3*(F16/90)))^(COS((6/7)*RADIANS(F12))*EXP(-0.15*SQRT(F22/F13)))))</f>
        <v/>
      </c>
      <c r="G28" s="13" t="s">
        <v>28</v>
      </c>
      <c r="H28" s="3"/>
      <c r="I28" s="6" t="s">
        <v>70</v>
      </c>
      <c r="J28" s="7"/>
      <c r="K28" s="7"/>
      <c r="L28" s="91" t="s">
        <v>298</v>
      </c>
      <c r="M28" s="67" t="str">
        <f>IF(OR(ISBLANK(F16)), "", F16)</f>
        <v/>
      </c>
      <c r="N28" s="13" t="s">
        <v>35</v>
      </c>
      <c r="O28" s="3"/>
    </row>
    <row r="29" spans="1:15" s="1" customFormat="1" ht="18" customHeight="1" x14ac:dyDescent="0.45">
      <c r="A29" s="6" t="s">
        <v>112</v>
      </c>
      <c r="B29" s="7"/>
      <c r="C29" s="7"/>
      <c r="D29" s="16" t="s">
        <v>88</v>
      </c>
      <c r="E29" s="7" t="s">
        <v>154</v>
      </c>
      <c r="F29" s="58" t="str">
        <f>IF(OR(ISBLANK(F6),ISBLANK(F7),ISBLANK(F8),ISBLANK(F9),ISBLANK(F10),ISBLANK(F12),ISBLANK(F13),ISBLANK(F15),ISBLANK(F16)), "",IF(F21&gt;F15, "r &lt; r_0", 0.95*SQRT(9.81*(F13+F26))))</f>
        <v/>
      </c>
      <c r="G29" s="13" t="s">
        <v>25</v>
      </c>
      <c r="H29" s="3"/>
      <c r="I29" s="9" t="s">
        <v>21</v>
      </c>
      <c r="J29" s="10"/>
      <c r="K29" s="10"/>
      <c r="L29" s="10" t="s">
        <v>259</v>
      </c>
      <c r="M29" s="63" t="str">
        <f>IF(OR(ISBLANK(F6),ISBLANK(F7),ISBLANK(F8),ISBLANK(F9),ISBLANK(F10),ISBLANK(F12),ISBLANK(F13)), "",M18*M19^0.5*M20^0.25*COS((6/7)*RADIANS(M25))^0.5)</f>
        <v/>
      </c>
      <c r="N29" s="14" t="s">
        <v>38</v>
      </c>
      <c r="O29" s="3"/>
    </row>
    <row r="30" spans="1:15" s="1" customFormat="1" ht="18" customHeight="1" x14ac:dyDescent="0.45">
      <c r="A30" s="6" t="s">
        <v>113</v>
      </c>
      <c r="B30" s="7"/>
      <c r="C30" s="7"/>
      <c r="D30" s="16" t="s">
        <v>89</v>
      </c>
      <c r="E30" s="7" t="s">
        <v>160</v>
      </c>
      <c r="F30" s="58" t="str">
        <f>IF(OR(ISBLANK(F6),ISBLANK(F7),ISBLANK(F8),ISBLANK(F9),ISBLANK(F10),ISBLANK(F12),ISBLANK(F13),ISBLANK(F15),ISBLANK(F16)), "",IF(F21&gt;F15, "r &lt; r_0", 0.7*SQRT(9.81*(F13+F28))))</f>
        <v/>
      </c>
      <c r="G30" s="13" t="s">
        <v>25</v>
      </c>
      <c r="H30" s="3"/>
      <c r="I30" s="26" t="s">
        <v>163</v>
      </c>
      <c r="O30" s="3"/>
    </row>
    <row r="31" spans="1:15" ht="18" customHeight="1" x14ac:dyDescent="0.45">
      <c r="A31" s="6" t="s">
        <v>114</v>
      </c>
      <c r="B31" s="7"/>
      <c r="C31" s="7"/>
      <c r="D31" s="16" t="s">
        <v>98</v>
      </c>
      <c r="E31" s="7" t="s">
        <v>159</v>
      </c>
      <c r="F31" s="58" t="str">
        <f>IF(OR(ISBLANK(F6),ISBLANK(F7),ISBLANK(F8),ISBLANK(F9),ISBLANK(F10),ISBLANK(F12),ISBLANK(F13),ISBLANK(F15),ISBLANK(F16)), "", IF(F21&gt;F15, "r &lt; r_0",(10*((F26+F27)/F13)^0.2+(F22/(2*F13)))*SQRT(F13/9.81)))</f>
        <v/>
      </c>
      <c r="G31" s="13" t="s">
        <v>47</v>
      </c>
      <c r="H31" s="3"/>
      <c r="I31" s="26" t="s">
        <v>303</v>
      </c>
      <c r="O31" s="3"/>
    </row>
    <row r="32" spans="1:15" ht="18" customHeight="1" x14ac:dyDescent="0.45">
      <c r="A32" s="9" t="s">
        <v>219</v>
      </c>
      <c r="B32" s="10"/>
      <c r="C32" s="10"/>
      <c r="D32" s="17" t="s">
        <v>99</v>
      </c>
      <c r="E32" s="10" t="s">
        <v>158</v>
      </c>
      <c r="F32" s="59" t="str">
        <f>IF(OR(ISBLANK(F6),ISBLANK(F7),ISBLANK(F8),ISBLANK(F9),ISBLANK(F10),ISBLANK(F12),ISBLANK(F13),ISBLANK(F15),ISBLANK(F16)), "", IF(F21&gt;F15, "r &lt; r_0",F31*F29))</f>
        <v/>
      </c>
      <c r="G32" s="14" t="s">
        <v>28</v>
      </c>
      <c r="H32" s="3"/>
      <c r="O32" s="3"/>
    </row>
    <row r="33" spans="1:15" x14ac:dyDescent="0.35">
      <c r="A33" s="3"/>
      <c r="B33" s="3"/>
      <c r="C33" s="3"/>
      <c r="D33" s="3"/>
      <c r="E33" s="3"/>
      <c r="F33" s="3"/>
      <c r="G33" s="3"/>
      <c r="H33" s="3"/>
      <c r="O33" s="3"/>
    </row>
    <row r="34" spans="1:15" x14ac:dyDescent="0.35">
      <c r="A34" s="3"/>
      <c r="B34" s="3"/>
      <c r="C34" s="3"/>
      <c r="D34" s="3"/>
      <c r="E34" s="3"/>
      <c r="F34" s="3"/>
      <c r="G34" s="3"/>
      <c r="H34" s="3"/>
      <c r="O34" s="3"/>
    </row>
    <row r="35" spans="1:15" x14ac:dyDescent="0.35">
      <c r="A35" s="3"/>
      <c r="B35" s="3"/>
      <c r="C35" s="3"/>
      <c r="D35" s="3"/>
      <c r="E35" s="3"/>
      <c r="F35" s="3"/>
      <c r="G35" s="3"/>
      <c r="H35" s="3"/>
      <c r="O35" s="3"/>
    </row>
    <row r="36" spans="1:15" x14ac:dyDescent="0.35">
      <c r="A36" s="3"/>
      <c r="B36" s="3"/>
      <c r="C36" s="3"/>
      <c r="D36" s="3"/>
      <c r="E36" s="3"/>
      <c r="F36" s="3"/>
      <c r="G36" s="3"/>
      <c r="H36" s="3"/>
      <c r="O36" s="3"/>
    </row>
  </sheetData>
  <sheetProtection sheet="1" objects="1" scenarios="1"/>
  <protectedRanges>
    <protectedRange sqref="F6:F13 F15:F16" name="Range1"/>
  </protectedRanges>
  <conditionalFormatting sqref="M18">
    <cfRule type="cellIs" dxfId="71" priority="15" operator="between">
      <formula>0.4</formula>
      <formula>3.4</formula>
    </cfRule>
  </conditionalFormatting>
  <conditionalFormatting sqref="M19">
    <cfRule type="cellIs" dxfId="70" priority="14" operator="between">
      <formula>0.15</formula>
      <formula>0.6</formula>
    </cfRule>
  </conditionalFormatting>
  <conditionalFormatting sqref="M20">
    <cfRule type="cellIs" dxfId="69" priority="13" operator="between">
      <formula>0.25</formula>
      <formula>1</formula>
    </cfRule>
  </conditionalFormatting>
  <conditionalFormatting sqref="M21">
    <cfRule type="cellIs" dxfId="68" priority="12" operator="between">
      <formula>0.59</formula>
      <formula>1.72</formula>
    </cfRule>
  </conditionalFormatting>
  <conditionalFormatting sqref="M22">
    <cfRule type="cellIs" dxfId="67" priority="11" operator="between">
      <formula>0.96</formula>
      <formula>2.75</formula>
    </cfRule>
  </conditionalFormatting>
  <conditionalFormatting sqref="M23">
    <cfRule type="cellIs" dxfId="66" priority="10" operator="between">
      <formula>0.187</formula>
      <formula>0.75</formula>
    </cfRule>
  </conditionalFormatting>
  <conditionalFormatting sqref="M24">
    <cfRule type="cellIs" dxfId="65" priority="9" operator="between">
      <formula>30.7</formula>
      <formula>43.3</formula>
    </cfRule>
  </conditionalFormatting>
  <conditionalFormatting sqref="M25">
    <cfRule type="cellIs" dxfId="64" priority="8" operator="between">
      <formula>15</formula>
      <formula>90</formula>
    </cfRule>
  </conditionalFormatting>
  <conditionalFormatting sqref="M26">
    <cfRule type="cellIs" dxfId="63" priority="7" operator="between">
      <formula>0.83</formula>
      <formula>5</formula>
    </cfRule>
  </conditionalFormatting>
  <conditionalFormatting sqref="M27">
    <cfRule type="cellIs" dxfId="62" priority="6" operator="between">
      <formula>1</formula>
      <formula>16</formula>
    </cfRule>
  </conditionalFormatting>
  <conditionalFormatting sqref="M29">
    <cfRule type="cellIs" dxfId="61" priority="5" operator="between">
      <formula>0.13</formula>
      <formula>2.08</formula>
    </cfRule>
  </conditionalFormatting>
  <conditionalFormatting sqref="M28">
    <cfRule type="cellIs" dxfId="60" priority="3" operator="between">
      <formula>-90</formula>
      <formula>90</formula>
    </cfRule>
  </conditionalFormatting>
  <conditionalFormatting sqref="F26:F32">
    <cfRule type="expression" dxfId="59" priority="2">
      <formula>$F$21&gt;$F$15</formula>
    </cfRule>
  </conditionalFormatting>
  <conditionalFormatting sqref="F22">
    <cfRule type="expression" dxfId="58" priority="1">
      <formula>$F$22&lt;0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&amp;L&amp;"Arial,Standard"&amp;12Landslide-generated Impulse Waves in Reservoirs - Basics and Computation&amp;R&amp;"Arial,Standard"doi:10.5281/zenodo.4715565</oddHeader>
    <oddFooter>&amp;L&amp;"Arial,Standard"Computational tool v1.1&amp;C&amp;"Arial,Standard"&amp;D - &amp;T&amp;R&amp;G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Button 1">
              <controlPr defaultSize="0" print="0" autoFill="0" autoPict="0" macro="[0]!Clear_3D">
                <anchor moveWithCells="1" sizeWithCells="1">
                  <from>
                    <xdr:col>5</xdr:col>
                    <xdr:colOff>12700</xdr:colOff>
                    <xdr:row>3</xdr:row>
                    <xdr:rowOff>31750</xdr:rowOff>
                  </from>
                  <to>
                    <xdr:col>5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A38"/>
  <sheetViews>
    <sheetView zoomScaleNormal="100" workbookViewId="0">
      <selection activeCell="F6" sqref="F6"/>
    </sheetView>
  </sheetViews>
  <sheetFormatPr baseColWidth="10" defaultColWidth="9.08984375" defaultRowHeight="14.5" x14ac:dyDescent="0.35"/>
  <cols>
    <col min="1" max="2" width="9.08984375" style="1"/>
    <col min="3" max="3" width="25.6328125" style="1" customWidth="1"/>
    <col min="4" max="4" width="3.6328125" style="1" customWidth="1"/>
    <col min="5" max="5" width="10" style="1" customWidth="1"/>
    <col min="6" max="6" width="9.36328125" style="1" bestFit="1" customWidth="1"/>
    <col min="7" max="7" width="7.08984375" style="1" customWidth="1"/>
    <col min="8" max="8" width="4" style="1" customWidth="1"/>
    <col min="9" max="10" width="9.08984375" style="1"/>
    <col min="11" max="11" width="13.6328125" style="1" customWidth="1"/>
    <col min="12" max="12" width="20" style="1" customWidth="1"/>
    <col min="13" max="13" width="7.81640625" style="1" customWidth="1"/>
    <col min="14" max="14" width="3.81640625" style="1" customWidth="1"/>
    <col min="15" max="16" width="9.08984375" style="1"/>
    <col min="17" max="17" width="3.6328125" style="1" customWidth="1"/>
    <col min="18" max="27" width="9.08984375" style="1"/>
  </cols>
  <sheetData>
    <row r="1" spans="1:17" ht="17.5" x14ac:dyDescent="0.35">
      <c r="A1" s="2" t="s">
        <v>62</v>
      </c>
    </row>
    <row r="2" spans="1:17" ht="18" customHeight="1" x14ac:dyDescent="0.35">
      <c r="A2" s="1" t="s">
        <v>10</v>
      </c>
      <c r="B2" s="77" t="str">
        <f>IF(ISBLANK(START!B4), "",START!B4)</f>
        <v/>
      </c>
      <c r="C2" s="3"/>
      <c r="D2" s="3"/>
      <c r="E2" s="3"/>
      <c r="F2" s="3"/>
      <c r="G2" s="3"/>
    </row>
    <row r="3" spans="1:17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8" customHeight="1" x14ac:dyDescent="0.35">
      <c r="A4" s="4" t="s">
        <v>0</v>
      </c>
      <c r="B4" s="5"/>
      <c r="C4" s="5"/>
      <c r="D4" s="5"/>
      <c r="E4" s="5"/>
      <c r="F4" s="5"/>
      <c r="G4" s="12"/>
      <c r="H4" s="3"/>
      <c r="I4" s="18"/>
      <c r="J4" s="5"/>
      <c r="K4" s="5"/>
      <c r="L4" s="5"/>
      <c r="M4" s="5"/>
      <c r="N4" s="5"/>
      <c r="O4" s="5"/>
      <c r="P4" s="12"/>
      <c r="Q4" s="42"/>
    </row>
    <row r="5" spans="1:17" ht="18" customHeight="1" x14ac:dyDescent="0.35">
      <c r="A5" s="19" t="s">
        <v>220</v>
      </c>
      <c r="B5" s="5"/>
      <c r="C5" s="5"/>
      <c r="D5" s="5"/>
      <c r="E5" s="5"/>
      <c r="F5" s="5"/>
      <c r="G5" s="12"/>
      <c r="H5" s="3"/>
      <c r="I5" s="6"/>
      <c r="J5" s="7"/>
      <c r="K5" s="7"/>
      <c r="L5" s="7"/>
      <c r="M5" s="7"/>
      <c r="N5" s="7"/>
      <c r="O5" s="7"/>
      <c r="P5" s="13"/>
      <c r="Q5" s="42"/>
    </row>
    <row r="6" spans="1:17" ht="18" customHeight="1" x14ac:dyDescent="0.35">
      <c r="A6" s="6" t="s">
        <v>221</v>
      </c>
      <c r="B6" s="7"/>
      <c r="C6" s="7"/>
      <c r="D6" s="7" t="s">
        <v>116</v>
      </c>
      <c r="E6" s="7"/>
      <c r="F6" s="28"/>
      <c r="G6" s="13"/>
      <c r="H6" s="3"/>
      <c r="I6" s="6"/>
      <c r="J6" s="7"/>
      <c r="K6" s="7"/>
      <c r="L6" s="7"/>
      <c r="M6" s="7"/>
      <c r="N6" s="7"/>
      <c r="O6" s="7"/>
      <c r="P6" s="47"/>
      <c r="Q6" s="42"/>
    </row>
    <row r="7" spans="1:17" ht="18" customHeight="1" x14ac:dyDescent="0.35">
      <c r="A7" s="6" t="s">
        <v>118</v>
      </c>
      <c r="B7" s="7"/>
      <c r="C7" s="7"/>
      <c r="D7" s="7" t="s">
        <v>117</v>
      </c>
      <c r="E7" s="7"/>
      <c r="F7" s="58" t="str">
        <f>IF(ISBLANK(F6),"",IF(F6="2D", IF(ISBLANK('Generation | Propagation (2D)'!F6), "no value", 'Generation | Propagation (2D)'!F25), IF(ISBLANK('Generation | Propagation (3D)'!F6),"no value",IF('Generation | Propagation (3D)'!F21&gt;'Generation | Propagation (3D)'!F15,'Generation | Propagation (3D)'!F26,MAX('Generation | Propagation (3D)'!$F$26,'Generation | Propagation (3D)'!$F$28)))))</f>
        <v/>
      </c>
      <c r="G7" s="13" t="s">
        <v>127</v>
      </c>
      <c r="H7" s="3"/>
      <c r="I7" s="6"/>
      <c r="J7" s="7"/>
      <c r="K7" s="7"/>
      <c r="L7" s="7"/>
      <c r="M7" s="7"/>
      <c r="N7" s="7"/>
      <c r="O7" s="7"/>
      <c r="P7" s="13"/>
      <c r="Q7" s="42"/>
    </row>
    <row r="8" spans="1:17" ht="18" customHeight="1" x14ac:dyDescent="0.35">
      <c r="A8" s="6" t="s">
        <v>120</v>
      </c>
      <c r="B8" s="7"/>
      <c r="C8" s="7"/>
      <c r="D8" s="7" t="s">
        <v>121</v>
      </c>
      <c r="E8" s="7"/>
      <c r="F8" s="58" t="str">
        <f>IF(ISBLANK(F6),"",IF(F6="2D", IF(ISBLANK('Generation | Propagation (2D)'!F6), "no value",'Generation | Propagation (2D)'!F24), IF(ISBLANK('Generation | Propagation (3D)'!F6),"no value",IF('Generation | Propagation (3D)'!F21&gt;'Generation | Propagation (3D)'!F15,'Generation | Propagation (3D)'!F26,MAX('Generation | Propagation (3D)'!$F$26,'Generation | Propagation (3D)'!$F$28)+'Generation | Propagation (3D)'!$F$27))))</f>
        <v/>
      </c>
      <c r="G8" s="13" t="s">
        <v>162</v>
      </c>
      <c r="H8" s="3"/>
      <c r="I8" s="6"/>
      <c r="J8" s="7"/>
      <c r="K8" s="46"/>
      <c r="L8" s="7"/>
      <c r="M8" s="7"/>
      <c r="N8" s="7"/>
      <c r="O8" s="7"/>
      <c r="P8" s="13"/>
      <c r="Q8" s="42"/>
    </row>
    <row r="9" spans="1:17" ht="18" customHeight="1" x14ac:dyDescent="0.35">
      <c r="A9" s="9" t="s">
        <v>8</v>
      </c>
      <c r="B9" s="10"/>
      <c r="C9" s="10"/>
      <c r="D9" s="10" t="s">
        <v>119</v>
      </c>
      <c r="E9" s="10"/>
      <c r="F9" s="21"/>
      <c r="G9" s="14" t="s">
        <v>28</v>
      </c>
      <c r="H9" s="3"/>
      <c r="I9" s="6"/>
      <c r="J9" s="7"/>
      <c r="K9" s="7"/>
      <c r="L9" s="7"/>
      <c r="M9" s="7"/>
      <c r="N9" s="7"/>
      <c r="O9" s="7"/>
      <c r="P9" s="13"/>
      <c r="Q9" s="42"/>
    </row>
    <row r="10" spans="1:17" ht="18" customHeight="1" x14ac:dyDescent="0.35">
      <c r="A10" s="19" t="s">
        <v>222</v>
      </c>
      <c r="B10" s="5"/>
      <c r="C10" s="5"/>
      <c r="D10" s="30"/>
      <c r="E10" s="30"/>
      <c r="F10" s="29"/>
      <c r="G10" s="12"/>
      <c r="H10" s="3"/>
      <c r="I10" s="6"/>
      <c r="J10" s="7"/>
      <c r="K10" s="7"/>
      <c r="L10" s="7"/>
      <c r="M10" s="7"/>
      <c r="N10" s="7"/>
      <c r="O10" s="7"/>
      <c r="P10" s="13"/>
      <c r="Q10" s="42"/>
    </row>
    <row r="11" spans="1:17" ht="18" customHeight="1" x14ac:dyDescent="0.35">
      <c r="A11" s="6" t="s">
        <v>125</v>
      </c>
      <c r="B11" s="7"/>
      <c r="C11" s="7"/>
      <c r="D11" s="8" t="s">
        <v>128</v>
      </c>
      <c r="E11" s="8"/>
      <c r="F11" s="20"/>
      <c r="G11" s="13" t="s">
        <v>35</v>
      </c>
      <c r="H11" s="3"/>
      <c r="I11" s="6"/>
      <c r="J11" s="7"/>
      <c r="K11" s="7"/>
      <c r="L11" s="7"/>
      <c r="M11" s="7"/>
      <c r="N11" s="7"/>
      <c r="O11" s="7"/>
      <c r="P11" s="13"/>
      <c r="Q11" s="42"/>
    </row>
    <row r="12" spans="1:17" ht="18" customHeight="1" x14ac:dyDescent="0.35">
      <c r="A12" s="6" t="s">
        <v>129</v>
      </c>
      <c r="B12" s="7"/>
      <c r="C12" s="7"/>
      <c r="D12" s="8" t="s">
        <v>130</v>
      </c>
      <c r="E12" s="8"/>
      <c r="F12" s="20"/>
      <c r="G12" s="13" t="s">
        <v>28</v>
      </c>
      <c r="H12" s="3"/>
      <c r="I12" s="9"/>
      <c r="J12" s="10"/>
      <c r="K12" s="10"/>
      <c r="L12" s="10"/>
      <c r="M12" s="10"/>
      <c r="N12" s="10"/>
      <c r="O12" s="10"/>
      <c r="P12" s="14"/>
      <c r="Q12" s="42"/>
    </row>
    <row r="13" spans="1:17" ht="18" customHeight="1" x14ac:dyDescent="0.45">
      <c r="A13" s="9" t="s">
        <v>131</v>
      </c>
      <c r="B13" s="10"/>
      <c r="C13" s="10"/>
      <c r="D13" s="11" t="s">
        <v>132</v>
      </c>
      <c r="E13" s="11"/>
      <c r="F13" s="21"/>
      <c r="G13" s="14" t="s">
        <v>28</v>
      </c>
      <c r="H13" s="3"/>
      <c r="O13" s="3"/>
    </row>
    <row r="14" spans="1:17" ht="18" customHeight="1" x14ac:dyDescent="0.35">
      <c r="A14" s="23"/>
      <c r="B14" s="23"/>
      <c r="C14" s="23"/>
      <c r="D14" s="23"/>
      <c r="E14" s="23"/>
      <c r="F14" s="23"/>
      <c r="G14" s="23"/>
      <c r="H14" s="3"/>
      <c r="I14" s="15" t="s">
        <v>287</v>
      </c>
      <c r="J14" s="5"/>
      <c r="K14" s="5"/>
      <c r="L14" s="5"/>
      <c r="M14" s="5"/>
      <c r="N14" s="12"/>
      <c r="O14" s="3"/>
    </row>
    <row r="15" spans="1:17" s="1" customFormat="1" ht="18" customHeight="1" x14ac:dyDescent="0.35">
      <c r="A15" s="4" t="s">
        <v>11</v>
      </c>
      <c r="B15" s="5"/>
      <c r="C15" s="5"/>
      <c r="D15" s="5"/>
      <c r="E15" s="5"/>
      <c r="F15" s="5"/>
      <c r="G15" s="12"/>
      <c r="H15" s="3"/>
      <c r="I15" s="19" t="s">
        <v>122</v>
      </c>
      <c r="J15" s="5"/>
      <c r="K15" s="5"/>
      <c r="L15" s="5"/>
      <c r="M15" s="22"/>
      <c r="N15" s="12"/>
      <c r="O15" s="3"/>
    </row>
    <row r="16" spans="1:17" s="1" customFormat="1" ht="18" customHeight="1" x14ac:dyDescent="0.35">
      <c r="A16" s="19" t="s">
        <v>122</v>
      </c>
      <c r="B16" s="5"/>
      <c r="C16" s="5"/>
      <c r="D16" s="5"/>
      <c r="E16" s="5"/>
      <c r="F16" s="68"/>
      <c r="G16" s="12"/>
      <c r="H16" s="3"/>
      <c r="I16" s="6" t="s">
        <v>123</v>
      </c>
      <c r="J16" s="7"/>
      <c r="K16" s="7"/>
      <c r="L16" s="79" t="s">
        <v>260</v>
      </c>
      <c r="M16" s="70" t="str">
        <f>IF(OR(ISBLANK(F6),ISBLANK(F9),F7="no value",F7="x &lt; x_M",F7="r &lt; r_0"),"",F7/F9)</f>
        <v/>
      </c>
      <c r="N16" s="13" t="s">
        <v>38</v>
      </c>
      <c r="O16" s="3"/>
    </row>
    <row r="17" spans="1:15" s="1" customFormat="1" ht="18" customHeight="1" x14ac:dyDescent="0.3">
      <c r="A17" s="9" t="s">
        <v>141</v>
      </c>
      <c r="B17" s="10"/>
      <c r="C17" s="10"/>
      <c r="D17" s="10" t="s">
        <v>143</v>
      </c>
      <c r="E17" s="10" t="s">
        <v>157</v>
      </c>
      <c r="F17" s="69" t="str">
        <f>IF(OR(ISBLANK(F6),ISBLANK(F7),ISBLANK(F9),ISBLANK(F11),F7="no value",F7="x &lt; x_M",F7="r &lt; r_0"), "", 2*F7*EXP(0.4*(F7/F9))*(90/F11)^0.2)</f>
        <v/>
      </c>
      <c r="G17" s="14" t="s">
        <v>28</v>
      </c>
      <c r="H17" s="3"/>
      <c r="I17" s="6" t="s">
        <v>124</v>
      </c>
      <c r="J17" s="7"/>
      <c r="K17" s="7"/>
      <c r="L17" s="79" t="s">
        <v>261</v>
      </c>
      <c r="M17" s="61" t="str">
        <f>IF(OR(ISBLANK(F6),ISBLANK(F9),F7="no value",F7="x &lt; x_M",F7="r &lt; r_0"),"",F7/F8)</f>
        <v/>
      </c>
      <c r="N17" s="13" t="s">
        <v>38</v>
      </c>
      <c r="O17" s="3"/>
    </row>
    <row r="18" spans="1:15" s="1" customFormat="1" ht="18" customHeight="1" x14ac:dyDescent="0.35">
      <c r="A18" s="27" t="s">
        <v>133</v>
      </c>
      <c r="B18" s="7"/>
      <c r="C18" s="7"/>
      <c r="D18" s="7"/>
      <c r="E18" s="7"/>
      <c r="F18" s="57"/>
      <c r="G18" s="13"/>
      <c r="H18" s="3"/>
      <c r="I18" s="6" t="s">
        <v>125</v>
      </c>
      <c r="J18" s="7"/>
      <c r="K18" s="7"/>
      <c r="L18" s="92" t="s">
        <v>301</v>
      </c>
      <c r="M18" s="67" t="str">
        <f>IF(OR(ISBLANK(F6),ISBLANK(F9)),"",F11)</f>
        <v/>
      </c>
      <c r="N18" s="13" t="s">
        <v>35</v>
      </c>
      <c r="O18" s="3"/>
    </row>
    <row r="19" spans="1:15" s="1" customFormat="1" ht="18" customHeight="1" x14ac:dyDescent="0.45">
      <c r="A19" s="6" t="s">
        <v>144</v>
      </c>
      <c r="B19" s="7"/>
      <c r="C19" s="7"/>
      <c r="D19" s="31" t="s">
        <v>22</v>
      </c>
      <c r="E19" s="7" t="s">
        <v>168</v>
      </c>
      <c r="F19" s="65" t="str">
        <f>IF(OR(ISBLANK(F6),ISBLANK(F7),ISBLANK(F9),ISBLANK(F11),ISBLANK(F12),ISBLANK(F13),F7="no value",F7="x &lt; x_M",F7="r &lt; r_0"), "", IF(F7&lt;F12, "a &lt; f", 1.35*(F7/F8)^1.5*((F7/F9)*(F9/(F9+F12))^((2/(F7/F9))*(F11/90)^0.25)*((F7-F12)/F13)^0.12)^0.7*F9^2))</f>
        <v/>
      </c>
      <c r="G19" s="13" t="s">
        <v>146</v>
      </c>
      <c r="H19" s="3"/>
      <c r="I19" s="9" t="s">
        <v>126</v>
      </c>
      <c r="J19" s="10"/>
      <c r="K19" s="10"/>
      <c r="L19" s="80" t="s">
        <v>288</v>
      </c>
      <c r="M19" s="71" t="str">
        <f>IF(OR(ISBLANK(F6),ISBLANK(F9),ISBLANK(F11),F7="no value",F7="x &lt; x_M",F7="r &lt; r_0"),"", IF(F11=90, "∞", 1.521*(TAN(RADIANS(F11))/SQRT(M16))))</f>
        <v/>
      </c>
      <c r="N19" s="14" t="s">
        <v>135</v>
      </c>
      <c r="O19" s="3"/>
    </row>
    <row r="20" spans="1:15" s="1" customFormat="1" ht="18" customHeight="1" x14ac:dyDescent="0.45">
      <c r="A20" s="6" t="s">
        <v>212</v>
      </c>
      <c r="B20" s="7"/>
      <c r="C20" s="7"/>
      <c r="D20" s="16" t="s">
        <v>147</v>
      </c>
      <c r="E20" s="7" t="s">
        <v>169</v>
      </c>
      <c r="F20" s="58" t="str">
        <f>IF(OR(ISBLANK(F6),ISBLANK(F7),ISBLANK(F9),ISBLANK(F11),ISBLANK(F12),ISBLANK(F13),F7="no value",F7="x &lt; x_M",F7="r &lt; r_0"), "", IF(F7&lt;F12, "a &lt; f", 1.32*((F7/F9)*(F9/(F9+F12))^(4*(F11/90)^(-0.21)-(F7/F9))*(F11/90)^0.16)*(F9+F12)))</f>
        <v/>
      </c>
      <c r="G20" s="13" t="s">
        <v>28</v>
      </c>
      <c r="H20" s="3"/>
      <c r="I20" s="27" t="s">
        <v>133</v>
      </c>
      <c r="J20" s="7"/>
      <c r="K20" s="7"/>
      <c r="L20" s="79"/>
      <c r="M20" s="72"/>
      <c r="N20" s="13"/>
      <c r="O20" s="3"/>
    </row>
    <row r="21" spans="1:15" s="1" customFormat="1" ht="18" customHeight="1" x14ac:dyDescent="0.45">
      <c r="A21" s="6" t="s">
        <v>148</v>
      </c>
      <c r="B21" s="7"/>
      <c r="C21" s="7"/>
      <c r="D21" s="8" t="s">
        <v>149</v>
      </c>
      <c r="E21" s="7" t="s">
        <v>183</v>
      </c>
      <c r="F21" s="58" t="str">
        <f>IF(OR(ISBLANK(F6),ISBLANK(F7),ISBLANK(F9),ISBLANK(F11),ISBLANK(F12),ISBLANK(F13),F7="no value",F7="x &lt; x_M",F7="r &lt; r_0"), "", IF(F7&lt;F12, "a &lt; f", (1/0.15)*((F7/F9)^0.2*(F9/(F9+F12))^((-0.9/(F7/F9))*(F11/90)^0.4))^(-1.9)*SQRT((F9+F12)/9.81)))</f>
        <v/>
      </c>
      <c r="G21" s="13" t="s">
        <v>47</v>
      </c>
      <c r="H21" s="3"/>
      <c r="I21" s="6" t="s">
        <v>123</v>
      </c>
      <c r="J21" s="7"/>
      <c r="K21" s="7"/>
      <c r="L21" s="79" t="s">
        <v>262</v>
      </c>
      <c r="M21" s="70" t="str">
        <f>IF(OR(ISBLANK(F6),ISBLANK(F9),F7="no value",F7="x &lt; x_M",F7="r &lt; r_0"),"",F7/F9)</f>
        <v/>
      </c>
      <c r="N21" s="13" t="s">
        <v>38</v>
      </c>
      <c r="O21" s="3"/>
    </row>
    <row r="22" spans="1:15" s="1" customFormat="1" ht="18" customHeight="1" x14ac:dyDescent="0.45">
      <c r="A22" s="6" t="s">
        <v>150</v>
      </c>
      <c r="B22" s="7"/>
      <c r="C22" s="7"/>
      <c r="D22" s="8" t="s">
        <v>151</v>
      </c>
      <c r="E22" s="7" t="s">
        <v>175</v>
      </c>
      <c r="F22" s="58" t="str">
        <f>IF(OR(ISBLANK(F6),ISBLANK(F7),ISBLANK(F9),ISBLANK(F11),ISBLANK(F12),ISBLANK(F13),F7="no value",F7="x &lt; x_M",F7="r &lt; r_0"), "", IF(F7&lt;F12, "a &lt; f", F19/F21))</f>
        <v/>
      </c>
      <c r="G22" s="13" t="s">
        <v>161</v>
      </c>
      <c r="H22" s="3"/>
      <c r="I22" s="6" t="s">
        <v>134</v>
      </c>
      <c r="J22" s="7"/>
      <c r="K22" s="7"/>
      <c r="L22" s="79" t="s">
        <v>271</v>
      </c>
      <c r="M22" s="61" t="str">
        <f>IF(OR(ISBLANK(F6),ISBLANK(F9),ISBLANK(F12),ISBLANK(F13),F7="no value",F7="x &lt; x_M",F7="r &lt; r_0"),"",(F7-F12)/F13)</f>
        <v/>
      </c>
      <c r="N22" s="13" t="s">
        <v>38</v>
      </c>
      <c r="O22" s="3"/>
    </row>
    <row r="23" spans="1:15" s="1" customFormat="1" ht="18" customHeight="1" x14ac:dyDescent="0.35">
      <c r="A23" s="19" t="s">
        <v>239</v>
      </c>
      <c r="B23" s="5"/>
      <c r="C23" s="5"/>
      <c r="D23" s="5"/>
      <c r="E23" s="5"/>
      <c r="F23" s="68"/>
      <c r="G23" s="12"/>
      <c r="H23" s="3"/>
      <c r="I23" s="6" t="s">
        <v>136</v>
      </c>
      <c r="J23" s="7"/>
      <c r="K23" s="7"/>
      <c r="L23" s="81" t="s">
        <v>263</v>
      </c>
      <c r="M23" s="61" t="str">
        <f>IF(OR(ISBLANK(F6),ISBLANK(F9),ISBLANK(F12)),"",F9/(F9+F12))</f>
        <v/>
      </c>
      <c r="N23" s="13" t="s">
        <v>38</v>
      </c>
      <c r="O23" s="3"/>
    </row>
    <row r="24" spans="1:15" s="1" customFormat="1" ht="18" customHeight="1" x14ac:dyDescent="0.3">
      <c r="A24" s="6" t="s">
        <v>144</v>
      </c>
      <c r="B24" s="7"/>
      <c r="C24" s="7"/>
      <c r="D24" s="31" t="s">
        <v>22</v>
      </c>
      <c r="E24" s="7" t="s">
        <v>227</v>
      </c>
      <c r="F24" s="57" t="str">
        <f>IF(OR(ISBLANK(F6),ISBLANK(F7),ISBLANK(F9),ISBLANK(F11),ISBLANK(F12),ISBLANK(F13),F7="no value",F7="x &lt; x_M",F7="r &lt; r_0"), "", 1.53*(F7/F9)*(F9/(F9+F12))^2.5*((0.1/(TAN(RADIANS(F11))))+(F13/(F9+F12)))^(-1/9)*F9^2)</f>
        <v/>
      </c>
      <c r="G24" s="13" t="s">
        <v>146</v>
      </c>
      <c r="H24" s="3"/>
      <c r="I24" s="6" t="s">
        <v>137</v>
      </c>
      <c r="J24" s="7"/>
      <c r="K24" s="7"/>
      <c r="L24" s="92" t="s">
        <v>299</v>
      </c>
      <c r="M24" s="67" t="str">
        <f>IF(OR(ISBLANK(F6),ISBLANK(F9)),"",F11)</f>
        <v/>
      </c>
      <c r="N24" s="13" t="s">
        <v>35</v>
      </c>
      <c r="O24" s="3"/>
    </row>
    <row r="25" spans="1:15" s="1" customFormat="1" ht="18" customHeight="1" x14ac:dyDescent="0.45">
      <c r="A25" s="6" t="s">
        <v>212</v>
      </c>
      <c r="B25" s="7"/>
      <c r="C25" s="7"/>
      <c r="D25" s="16" t="s">
        <v>147</v>
      </c>
      <c r="E25" s="7" t="s">
        <v>228</v>
      </c>
      <c r="F25" s="56" t="str">
        <f>IF(OR(ISBLANK(F6),ISBLANK(F7),ISBLANK(F9),ISBLANK(F11),ISBLANK(F12),ISBLANK(F13),F7="no value",F7="x &lt; x_M",F7="r &lt; r_0"), "", 1.25*(F7/F9)*(F9/(F9+F12))^1.7*(F11/90)^0.25*(F9+F12))</f>
        <v/>
      </c>
      <c r="G25" s="13" t="s">
        <v>28</v>
      </c>
      <c r="H25" s="3"/>
      <c r="I25" s="6" t="s">
        <v>124</v>
      </c>
      <c r="J25" s="7"/>
      <c r="K25" s="7"/>
      <c r="L25" s="79" t="s">
        <v>264</v>
      </c>
      <c r="M25" s="61" t="str">
        <f>IF(OR(ISBLANK(F6),ISBLANK(F9),F7="no value",F7="x &lt; x_M",F7="r &lt; r_0"),"",F7/F8)</f>
        <v/>
      </c>
      <c r="N25" s="13" t="s">
        <v>38</v>
      </c>
      <c r="O25" s="3"/>
    </row>
    <row r="26" spans="1:15" s="1" customFormat="1" ht="18" customHeight="1" x14ac:dyDescent="0.45">
      <c r="A26" s="6" t="s">
        <v>148</v>
      </c>
      <c r="B26" s="7"/>
      <c r="C26" s="7"/>
      <c r="D26" s="8" t="s">
        <v>149</v>
      </c>
      <c r="E26" s="7" t="s">
        <v>229</v>
      </c>
      <c r="F26" s="56" t="str">
        <f>IF(OR(ISBLANK(F6),ISBLANK(F7),ISBLANK(F9),ISBLANK(F11),ISBLANK(F12),ISBLANK(F13),F7="no value",F7="x &lt; x_M",F7="r &lt; r_0"), "",(1/0.11)*(F9/(F9+F12))^(5/3)*((0.1/TAN(RADIANS(F11)))+(F13/(F9+F12)))^(0.2)*SQRT((F9+F12)/9.81))</f>
        <v/>
      </c>
      <c r="G26" s="13" t="s">
        <v>47</v>
      </c>
      <c r="H26" s="3"/>
      <c r="I26" s="6" t="s">
        <v>138</v>
      </c>
      <c r="J26" s="7"/>
      <c r="K26" s="7"/>
      <c r="L26" s="79" t="s">
        <v>269</v>
      </c>
      <c r="M26" s="61" t="str">
        <f>IF(OR(ISBLANK(F6),ISBLANK(F9),ISBLANK(F12),ISBLANK(F13)),"",F13/(F9+F12))</f>
        <v/>
      </c>
      <c r="N26" s="13" t="s">
        <v>38</v>
      </c>
      <c r="O26" s="3"/>
    </row>
    <row r="27" spans="1:15" s="1" customFormat="1" ht="18" customHeight="1" x14ac:dyDescent="0.45">
      <c r="A27" s="6" t="s">
        <v>150</v>
      </c>
      <c r="B27" s="7"/>
      <c r="C27" s="7"/>
      <c r="D27" s="8" t="s">
        <v>151</v>
      </c>
      <c r="E27" s="7" t="s">
        <v>230</v>
      </c>
      <c r="F27" s="56" t="str">
        <f>IF(OR(ISBLANK(F6),ISBLANK(F7),ISBLANK(F9),ISBLANK(F11),ISBLANK(F12),ISBLANK(F13),F7="no value",F7="x &lt; x_M",F7="r &lt; r_0"), "",F24/F26)</f>
        <v/>
      </c>
      <c r="G27" s="13" t="s">
        <v>161</v>
      </c>
      <c r="H27" s="3"/>
      <c r="I27" s="19" t="s">
        <v>139</v>
      </c>
      <c r="J27" s="5"/>
      <c r="K27" s="5"/>
      <c r="L27" s="82"/>
      <c r="M27" s="73"/>
      <c r="N27" s="12"/>
      <c r="O27" s="3"/>
    </row>
    <row r="28" spans="1:15" s="1" customFormat="1" ht="18" customHeight="1" x14ac:dyDescent="0.45">
      <c r="A28" s="9" t="s">
        <v>155</v>
      </c>
      <c r="B28" s="10"/>
      <c r="C28" s="10"/>
      <c r="D28" s="11" t="s">
        <v>156</v>
      </c>
      <c r="E28" s="10" t="s">
        <v>231</v>
      </c>
      <c r="F28" s="69" t="str">
        <f>IF(OR(ISBLANK(F6),ISBLANK(F7),ISBLANK(F9),ISBLANK(F11),ISBLANK(F12),ISBLANK(F13),F7="no value",F7="x &lt; x_M",F7="r &lt; r_0"), "",0.36*TANH(2.8*(F7/F9))*(F9/(F9+F12))^3*EXP(-4.9*((0.1/TAN(RADIANS(F11)))+(F13/(F9+F12))))*(F9+F12))</f>
        <v/>
      </c>
      <c r="G28" s="14" t="s">
        <v>28</v>
      </c>
      <c r="H28" s="3"/>
      <c r="I28" s="6" t="s">
        <v>123</v>
      </c>
      <c r="J28" s="7"/>
      <c r="K28" s="7"/>
      <c r="L28" s="79" t="s">
        <v>265</v>
      </c>
      <c r="M28" s="70" t="str">
        <f>IF(OR(ISBLANK(F6),ISBLANK(F9),F7="no value",F7="x &lt; x_M",F7="r &lt; r_0"),"",F7/F9)</f>
        <v/>
      </c>
      <c r="N28" s="13" t="s">
        <v>38</v>
      </c>
      <c r="O28" s="3"/>
    </row>
    <row r="29" spans="1:15" s="1" customFormat="1" ht="18" customHeight="1" x14ac:dyDescent="0.45">
      <c r="A29" s="26" t="s">
        <v>164</v>
      </c>
      <c r="B29" s="23"/>
      <c r="C29" s="23"/>
      <c r="D29" s="25"/>
      <c r="E29" s="23"/>
      <c r="F29" s="24"/>
      <c r="G29" s="23"/>
      <c r="H29" s="3"/>
      <c r="I29" s="6" t="s">
        <v>140</v>
      </c>
      <c r="J29" s="7"/>
      <c r="K29" s="7"/>
      <c r="L29" s="79" t="s">
        <v>266</v>
      </c>
      <c r="M29" s="61" t="str">
        <f>IF(OR(ISBLANK(F6),ISBLANK(F9),ISBLANK(F12),F7="no value",F7="x &lt; x_M",F7="r &lt; r_0"),"",F7/F12)</f>
        <v/>
      </c>
      <c r="N29" s="13" t="s">
        <v>38</v>
      </c>
      <c r="O29" s="3"/>
    </row>
    <row r="30" spans="1:15" s="1" customFormat="1" ht="18" customHeight="1" x14ac:dyDescent="0.45">
      <c r="A30" s="26" t="s">
        <v>165</v>
      </c>
      <c r="H30" s="3"/>
      <c r="I30" s="6" t="s">
        <v>136</v>
      </c>
      <c r="J30" s="7"/>
      <c r="K30" s="7"/>
      <c r="L30" s="81" t="s">
        <v>267</v>
      </c>
      <c r="M30" s="61" t="str">
        <f>IF(OR(ISBLANK(F6),ISBLANK(F9),ISBLANK(F12)),"",F9/(F9+F12))</f>
        <v/>
      </c>
      <c r="N30" s="13" t="s">
        <v>38</v>
      </c>
      <c r="O30" s="3"/>
    </row>
    <row r="31" spans="1:15" ht="18" customHeight="1" x14ac:dyDescent="0.35">
      <c r="H31" s="3"/>
      <c r="I31" s="6" t="s">
        <v>137</v>
      </c>
      <c r="J31" s="7"/>
      <c r="K31" s="7"/>
      <c r="L31" s="92" t="s">
        <v>300</v>
      </c>
      <c r="M31" s="67" t="str">
        <f>IF(OR(ISBLANK(F6),ISBLANK(F9)),"",F11)</f>
        <v/>
      </c>
      <c r="N31" s="13" t="s">
        <v>35</v>
      </c>
      <c r="O31" s="3"/>
    </row>
    <row r="32" spans="1:15" ht="18" customHeight="1" x14ac:dyDescent="0.35">
      <c r="H32" s="3"/>
      <c r="I32" s="6" t="s">
        <v>124</v>
      </c>
      <c r="J32" s="7"/>
      <c r="K32" s="7"/>
      <c r="L32" s="79" t="s">
        <v>268</v>
      </c>
      <c r="M32" s="61" t="str">
        <f>IF(OR(ISBLANK(F6),ISBLANK(F9),F7="no value",F7="x &lt; x_M",F7="r &lt; r_0"),"",F7/F8)</f>
        <v/>
      </c>
      <c r="N32" s="13" t="s">
        <v>38</v>
      </c>
      <c r="O32" s="3"/>
    </row>
    <row r="33" spans="1:15" ht="18" customHeight="1" x14ac:dyDescent="0.45">
      <c r="A33" s="3"/>
      <c r="B33" s="3"/>
      <c r="C33" s="3"/>
      <c r="D33" s="3"/>
      <c r="E33" s="3"/>
      <c r="F33" s="3"/>
      <c r="G33" s="3"/>
      <c r="H33" s="3"/>
      <c r="I33" s="9" t="s">
        <v>138</v>
      </c>
      <c r="J33" s="10"/>
      <c r="K33" s="10"/>
      <c r="L33" s="80" t="s">
        <v>270</v>
      </c>
      <c r="M33" s="63" t="str">
        <f>IF(OR(ISBLANK(F6),ISBLANK(F9),ISBLANK(F12),ISBLANK(F13)),"",F13/(F9+F12))</f>
        <v/>
      </c>
      <c r="N33" s="14" t="s">
        <v>38</v>
      </c>
      <c r="O33" s="3"/>
    </row>
    <row r="34" spans="1:15" x14ac:dyDescent="0.35">
      <c r="A34" s="3"/>
      <c r="B34" s="3"/>
      <c r="C34" s="3"/>
      <c r="D34" s="3"/>
      <c r="E34" s="3"/>
      <c r="F34" s="3"/>
      <c r="G34" s="3"/>
      <c r="H34" s="3"/>
      <c r="O34" s="3"/>
    </row>
    <row r="35" spans="1:15" x14ac:dyDescent="0.35">
      <c r="A35" s="3"/>
      <c r="B35" s="3"/>
      <c r="C35" s="3"/>
      <c r="D35" s="3"/>
      <c r="E35" s="3"/>
      <c r="F35" s="3"/>
      <c r="G35" s="3"/>
      <c r="H35" s="3"/>
      <c r="O35" s="3"/>
    </row>
    <row r="36" spans="1:15" x14ac:dyDescent="0.35">
      <c r="A36" s="3"/>
      <c r="B36" s="3"/>
      <c r="C36" s="3"/>
      <c r="D36" s="3"/>
      <c r="E36" s="3"/>
      <c r="F36" s="3"/>
      <c r="G36" s="3"/>
      <c r="H36" s="3"/>
      <c r="O36" s="3"/>
    </row>
    <row r="38" spans="1:15" x14ac:dyDescent="0.35">
      <c r="I38" s="26"/>
    </row>
  </sheetData>
  <sheetProtection sheet="1" objects="1" scenarios="1"/>
  <protectedRanges>
    <protectedRange sqref="F6 F9 F11:F13" name="Range1"/>
  </protectedRanges>
  <conditionalFormatting sqref="M16">
    <cfRule type="cellIs" dxfId="57" priority="33" operator="between">
      <formula>0.007</formula>
      <formula>0.69</formula>
    </cfRule>
  </conditionalFormatting>
  <conditionalFormatting sqref="M17">
    <cfRule type="cellIs" dxfId="56" priority="32" operator="between">
      <formula>0.57</formula>
      <formula>1.04</formula>
    </cfRule>
  </conditionalFormatting>
  <conditionalFormatting sqref="M18">
    <cfRule type="cellIs" dxfId="55" priority="31" operator="between">
      <formula>10</formula>
      <formula>90</formula>
    </cfRule>
  </conditionalFormatting>
  <conditionalFormatting sqref="M19">
    <cfRule type="expression" dxfId="54" priority="10">
      <formula>$F$11=90</formula>
    </cfRule>
    <cfRule type="cellIs" dxfId="53" priority="30" operator="between">
      <formula>0.37</formula>
      <formula>999999999</formula>
    </cfRule>
  </conditionalFormatting>
  <conditionalFormatting sqref="M21">
    <cfRule type="cellIs" dxfId="52" priority="28" operator="between">
      <formula>0.013</formula>
      <formula>0.7</formula>
    </cfRule>
  </conditionalFormatting>
  <conditionalFormatting sqref="M22">
    <cfRule type="cellIs" dxfId="51" priority="15" operator="lessThanOrEqual">
      <formula>0</formula>
    </cfRule>
    <cfRule type="cellIs" dxfId="50" priority="27" operator="between">
      <formula>0.02</formula>
      <formula>130</formula>
    </cfRule>
  </conditionalFormatting>
  <conditionalFormatting sqref="M23">
    <cfRule type="cellIs" dxfId="49" priority="26" operator="between">
      <formula>0.67</formula>
      <formula>1</formula>
    </cfRule>
  </conditionalFormatting>
  <conditionalFormatting sqref="M25">
    <cfRule type="cellIs" dxfId="48" priority="25" operator="between">
      <formula>0.63</formula>
      <formula>1</formula>
    </cfRule>
  </conditionalFormatting>
  <conditionalFormatting sqref="M26">
    <cfRule type="cellIs" dxfId="47" priority="24" operator="between">
      <formula>0.07</formula>
      <formula>0.53</formula>
    </cfRule>
  </conditionalFormatting>
  <conditionalFormatting sqref="F22">
    <cfRule type="expression" dxfId="46" priority="23">
      <formula>$F$7&lt;$F$12</formula>
    </cfRule>
  </conditionalFormatting>
  <conditionalFormatting sqref="M28">
    <cfRule type="cellIs" dxfId="45" priority="21" operator="between">
      <formula>0.25</formula>
      <formula>0.75</formula>
    </cfRule>
  </conditionalFormatting>
  <conditionalFormatting sqref="M29">
    <cfRule type="cellIs" dxfId="44" priority="20" operator="between">
      <formula>0.8</formula>
      <formula>11.4</formula>
    </cfRule>
  </conditionalFormatting>
  <conditionalFormatting sqref="M30">
    <cfRule type="cellIs" dxfId="43" priority="19" operator="between">
      <formula>0.7</formula>
      <formula>0.95</formula>
    </cfRule>
  </conditionalFormatting>
  <conditionalFormatting sqref="M31">
    <cfRule type="cellIs" dxfId="42" priority="18" operator="between">
      <formula>18.4</formula>
      <formula>33.3</formula>
    </cfRule>
  </conditionalFormatting>
  <conditionalFormatting sqref="M33">
    <cfRule type="cellIs" dxfId="41" priority="17" operator="between">
      <formula>0</formula>
      <formula>0.5</formula>
    </cfRule>
  </conditionalFormatting>
  <conditionalFormatting sqref="F19">
    <cfRule type="expression" dxfId="40" priority="13">
      <formula>$F$7&lt;$F$12</formula>
    </cfRule>
  </conditionalFormatting>
  <conditionalFormatting sqref="F7">
    <cfRule type="expression" dxfId="39" priority="5">
      <formula>$F$7="r &lt; r_0"</formula>
    </cfRule>
    <cfRule type="expression" dxfId="38" priority="9">
      <formula>$F$7="x &lt; x_M"</formula>
    </cfRule>
    <cfRule type="expression" dxfId="37" priority="12">
      <formula>$F$7="no value"</formula>
    </cfRule>
  </conditionalFormatting>
  <conditionalFormatting sqref="F8">
    <cfRule type="expression" dxfId="36" priority="4">
      <formula>$F$8="r &lt; r_0"</formula>
    </cfRule>
    <cfRule type="expression" dxfId="35" priority="8">
      <formula>$F$8="x &lt; x_M"</formula>
    </cfRule>
    <cfRule type="expression" dxfId="34" priority="11">
      <formula>$F$8="no value"</formula>
    </cfRule>
  </conditionalFormatting>
  <conditionalFormatting sqref="F20">
    <cfRule type="expression" dxfId="33" priority="7">
      <formula>$F$7&lt;$F$12</formula>
    </cfRule>
  </conditionalFormatting>
  <conditionalFormatting sqref="F21">
    <cfRule type="expression" dxfId="32" priority="6">
      <formula>$F$7&lt;$F$12</formula>
    </cfRule>
  </conditionalFormatting>
  <conditionalFormatting sqref="M32">
    <cfRule type="cellIs" dxfId="31" priority="2" operator="between">
      <formula>1</formula>
      <formula>1</formula>
    </cfRule>
  </conditionalFormatting>
  <conditionalFormatting sqref="M24">
    <cfRule type="cellIs" dxfId="30" priority="1" operator="between">
      <formula>18.4</formula>
      <formula>90</formula>
    </cfRule>
  </conditionalFormatting>
  <dataValidations count="1">
    <dataValidation type="list" allowBlank="1" showInputMessage="1" showErrorMessage="1" sqref="F6" xr:uid="{00000000-0002-0000-0300-000000000000}">
      <formula1>"2D, 3D"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&amp;L&amp;"Arial,Standard"&amp;12Landslide-generated Impulse Waves in Reservoirs - Basics and Computation&amp;R&amp;"Arial,Standard"doi:10.5281/zenodo.4715565</oddHeader>
    <oddFooter>&amp;L&amp;"Arial,Standard"Computational tool v1.1&amp;C&amp;"Arial,Standard"&amp;D - &amp;T&amp;R&amp;G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Button 1">
              <controlPr defaultSize="0" print="0" autoFill="0" autoPict="0" macro="[0]!Clear_Runup_Overtop">
                <anchor moveWithCells="1" sizeWithCells="1">
                  <from>
                    <xdr:col>5</xdr:col>
                    <xdr:colOff>12700</xdr:colOff>
                    <xdr:row>3</xdr:row>
                    <xdr:rowOff>31750</xdr:rowOff>
                  </from>
                  <to>
                    <xdr:col>5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A39"/>
  <sheetViews>
    <sheetView zoomScaleNormal="100" workbookViewId="0">
      <selection activeCell="F6" sqref="F6"/>
    </sheetView>
  </sheetViews>
  <sheetFormatPr baseColWidth="10" defaultColWidth="9.08984375" defaultRowHeight="14.5" x14ac:dyDescent="0.35"/>
  <cols>
    <col min="1" max="2" width="9.08984375" style="1"/>
    <col min="3" max="3" width="28.7265625" style="1" customWidth="1"/>
    <col min="4" max="4" width="5.6328125" style="1" customWidth="1"/>
    <col min="5" max="5" width="10" style="1" customWidth="1"/>
    <col min="6" max="6" width="10.08984375" style="1" customWidth="1"/>
    <col min="7" max="7" width="7.08984375" style="1" customWidth="1"/>
    <col min="8" max="8" width="4" style="1" customWidth="1"/>
    <col min="9" max="10" width="9.08984375" style="1"/>
    <col min="11" max="11" width="13.6328125" style="1" customWidth="1"/>
    <col min="12" max="12" width="17.26953125" style="1" customWidth="1"/>
    <col min="13" max="13" width="7.81640625" style="1" customWidth="1"/>
    <col min="14" max="14" width="3.81640625" style="1" customWidth="1"/>
    <col min="15" max="15" width="9.08984375" style="1"/>
    <col min="16" max="16" width="5.08984375" style="1" customWidth="1"/>
    <col min="17" max="17" width="4.08984375" style="1" customWidth="1"/>
    <col min="18" max="27" width="9.08984375" style="1"/>
  </cols>
  <sheetData>
    <row r="1" spans="1:17" ht="17.5" x14ac:dyDescent="0.35">
      <c r="A1" s="2" t="s">
        <v>63</v>
      </c>
    </row>
    <row r="2" spans="1:17" ht="18" customHeight="1" x14ac:dyDescent="0.35">
      <c r="A2" s="1" t="s">
        <v>10</v>
      </c>
      <c r="B2" s="77" t="str">
        <f>IF(ISBLANK(START!B4), "",START!B4)</f>
        <v/>
      </c>
      <c r="C2" s="3"/>
      <c r="D2" s="3"/>
      <c r="E2" s="3"/>
      <c r="F2" s="3"/>
      <c r="G2" s="3"/>
    </row>
    <row r="3" spans="1:17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8" customHeight="1" x14ac:dyDescent="0.35">
      <c r="A4" s="4" t="s">
        <v>0</v>
      </c>
      <c r="B4" s="5"/>
      <c r="C4" s="5"/>
      <c r="D4" s="5"/>
      <c r="E4" s="5"/>
      <c r="F4" s="5"/>
      <c r="G4" s="12"/>
      <c r="H4" s="3"/>
      <c r="I4" s="18"/>
      <c r="J4" s="5"/>
      <c r="K4" s="5"/>
      <c r="L4" s="5"/>
      <c r="M4" s="5"/>
      <c r="N4" s="5"/>
      <c r="O4" s="5"/>
      <c r="P4" s="12"/>
      <c r="Q4" s="42"/>
    </row>
    <row r="5" spans="1:17" ht="18" customHeight="1" x14ac:dyDescent="0.35">
      <c r="A5" s="19" t="s">
        <v>220</v>
      </c>
      <c r="B5" s="5"/>
      <c r="C5" s="5"/>
      <c r="D5" s="5"/>
      <c r="E5" s="5"/>
      <c r="F5" s="5"/>
      <c r="G5" s="12"/>
      <c r="H5" s="3"/>
      <c r="I5" s="6"/>
      <c r="J5" s="7"/>
      <c r="K5" s="7"/>
      <c r="L5" s="7"/>
      <c r="M5" s="7"/>
      <c r="N5" s="7"/>
      <c r="O5" s="7"/>
      <c r="P5" s="13"/>
      <c r="Q5" s="42"/>
    </row>
    <row r="6" spans="1:17" ht="18" customHeight="1" x14ac:dyDescent="0.35">
      <c r="A6" s="6" t="s">
        <v>115</v>
      </c>
      <c r="B6" s="7"/>
      <c r="C6" s="7"/>
      <c r="D6" s="7" t="s">
        <v>116</v>
      </c>
      <c r="E6" s="7"/>
      <c r="F6" s="28"/>
      <c r="G6" s="13"/>
      <c r="H6" s="3"/>
      <c r="I6" s="6"/>
      <c r="J6" s="7"/>
      <c r="K6" s="7"/>
      <c r="L6" s="7"/>
      <c r="M6" s="7"/>
      <c r="N6" s="7"/>
      <c r="O6" s="7"/>
      <c r="P6" s="47"/>
      <c r="Q6" s="42"/>
    </row>
    <row r="7" spans="1:17" ht="18" customHeight="1" x14ac:dyDescent="0.35">
      <c r="A7" s="6" t="s">
        <v>118</v>
      </c>
      <c r="B7" s="7"/>
      <c r="C7" s="7"/>
      <c r="D7" s="7" t="s">
        <v>117</v>
      </c>
      <c r="E7" s="7"/>
      <c r="F7" s="58" t="str">
        <f>IF(ISBLANK(F6),"",IF(F6="2D", IF(ISBLANK('Generation | Propagation (2D)'!F6), "no value", 'Generation | Propagation (2D)'!F25), IF(ISBLANK('Generation | Propagation (3D)'!F6),"no value",IF('Generation | Propagation (3D)'!F21&gt;'Generation | Propagation (3D)'!F15,'Generation | Propagation (3D)'!F26,MAX('Generation | Propagation (3D)'!$F$26,'Generation | Propagation (3D)'!$F$28)))))</f>
        <v/>
      </c>
      <c r="G7" s="13" t="s">
        <v>127</v>
      </c>
      <c r="H7" s="3"/>
      <c r="I7" s="6"/>
      <c r="J7" s="7"/>
      <c r="K7" s="7"/>
      <c r="L7" s="7"/>
      <c r="M7" s="7"/>
      <c r="N7" s="7"/>
      <c r="O7" s="7"/>
      <c r="P7" s="13"/>
      <c r="Q7" s="42"/>
    </row>
    <row r="8" spans="1:17" s="1" customFormat="1" ht="18" customHeight="1" x14ac:dyDescent="0.3">
      <c r="A8" s="6" t="s">
        <v>8</v>
      </c>
      <c r="B8" s="7"/>
      <c r="C8" s="7"/>
      <c r="D8" s="7" t="s">
        <v>119</v>
      </c>
      <c r="E8" s="7"/>
      <c r="F8" s="41"/>
      <c r="G8" s="13" t="s">
        <v>28</v>
      </c>
      <c r="H8" s="3"/>
      <c r="I8" s="6"/>
      <c r="J8" s="7"/>
      <c r="K8" s="7"/>
      <c r="L8" s="7"/>
      <c r="M8" s="7"/>
      <c r="N8" s="7"/>
      <c r="O8" s="7"/>
      <c r="P8" s="13"/>
      <c r="Q8" s="42"/>
    </row>
    <row r="9" spans="1:17" s="1" customFormat="1" ht="18" customHeight="1" x14ac:dyDescent="0.35">
      <c r="A9" s="19" t="s">
        <v>223</v>
      </c>
      <c r="B9" s="5"/>
      <c r="C9" s="5"/>
      <c r="D9" s="30"/>
      <c r="E9" s="30"/>
      <c r="F9" s="5"/>
      <c r="G9" s="12"/>
      <c r="H9" s="3"/>
      <c r="I9" s="6"/>
      <c r="J9" s="7"/>
      <c r="K9" s="7"/>
      <c r="L9" s="7"/>
      <c r="M9" s="7"/>
      <c r="N9" s="7"/>
      <c r="O9" s="7"/>
      <c r="P9" s="13"/>
      <c r="Q9" s="42"/>
    </row>
    <row r="10" spans="1:17" s="1" customFormat="1" ht="18" customHeight="1" x14ac:dyDescent="0.3">
      <c r="A10" s="6" t="s">
        <v>125</v>
      </c>
      <c r="B10" s="7"/>
      <c r="C10" s="7"/>
      <c r="D10" s="8" t="s">
        <v>128</v>
      </c>
      <c r="E10" s="8"/>
      <c r="F10" s="20"/>
      <c r="G10" s="13" t="s">
        <v>35</v>
      </c>
      <c r="H10" s="3"/>
      <c r="I10" s="6"/>
      <c r="J10" s="7"/>
      <c r="K10" s="7"/>
      <c r="L10" s="7"/>
      <c r="M10" s="7"/>
      <c r="N10" s="7"/>
      <c r="O10" s="7"/>
      <c r="P10" s="13"/>
      <c r="Q10" s="42"/>
    </row>
    <row r="11" spans="1:17" s="1" customFormat="1" ht="18" customHeight="1" x14ac:dyDescent="0.3">
      <c r="A11" s="6" t="s">
        <v>129</v>
      </c>
      <c r="B11" s="7"/>
      <c r="C11" s="7"/>
      <c r="D11" s="8" t="s">
        <v>130</v>
      </c>
      <c r="E11" s="8"/>
      <c r="F11" s="20"/>
      <c r="G11" s="13" t="s">
        <v>28</v>
      </c>
      <c r="H11" s="3"/>
      <c r="I11" s="6"/>
      <c r="J11" s="7"/>
      <c r="K11" s="7"/>
      <c r="L11" s="7"/>
      <c r="M11" s="7"/>
      <c r="N11" s="7"/>
      <c r="O11" s="7"/>
      <c r="P11" s="13"/>
      <c r="Q11" s="42"/>
    </row>
    <row r="12" spans="1:17" s="1" customFormat="1" ht="18" customHeight="1" x14ac:dyDescent="0.45">
      <c r="A12" s="6" t="s">
        <v>170</v>
      </c>
      <c r="B12" s="7"/>
      <c r="C12" s="7"/>
      <c r="D12" s="8" t="s">
        <v>171</v>
      </c>
      <c r="E12" s="8"/>
      <c r="F12" s="20"/>
      <c r="G12" s="13" t="s">
        <v>28</v>
      </c>
      <c r="H12" s="3"/>
      <c r="I12" s="6"/>
      <c r="J12" s="7"/>
      <c r="K12" s="7"/>
      <c r="L12" s="7"/>
      <c r="M12" s="7"/>
      <c r="N12" s="7"/>
      <c r="O12" s="7"/>
      <c r="P12" s="13"/>
      <c r="Q12" s="42"/>
    </row>
    <row r="13" spans="1:17" s="1" customFormat="1" ht="18" customHeight="1" x14ac:dyDescent="0.3">
      <c r="A13" s="9" t="s">
        <v>294</v>
      </c>
      <c r="B13" s="10"/>
      <c r="C13" s="10"/>
      <c r="D13" s="11" t="s">
        <v>182</v>
      </c>
      <c r="E13" s="11"/>
      <c r="F13" s="21"/>
      <c r="G13" s="14" t="s">
        <v>47</v>
      </c>
      <c r="H13" s="3"/>
      <c r="I13" s="9"/>
      <c r="J13" s="10"/>
      <c r="K13" s="10"/>
      <c r="L13" s="10"/>
      <c r="M13" s="10"/>
      <c r="N13" s="10"/>
      <c r="O13" s="10"/>
      <c r="P13" s="14"/>
      <c r="Q13" s="42"/>
    </row>
    <row r="14" spans="1:17" s="1" customFormat="1" ht="18" customHeight="1" x14ac:dyDescent="0.3">
      <c r="A14" s="23"/>
      <c r="B14" s="23"/>
      <c r="C14" s="23"/>
      <c r="D14" s="23"/>
      <c r="E14" s="23"/>
      <c r="F14" s="23"/>
      <c r="G14" s="23"/>
      <c r="H14" s="3"/>
      <c r="O14" s="3"/>
    </row>
    <row r="15" spans="1:17" s="1" customFormat="1" ht="18" customHeight="1" x14ac:dyDescent="0.3">
      <c r="A15" s="32" t="s">
        <v>11</v>
      </c>
      <c r="B15" s="33"/>
      <c r="C15" s="33"/>
      <c r="D15" s="33"/>
      <c r="E15" s="33"/>
      <c r="F15" s="33"/>
      <c r="G15" s="34"/>
      <c r="H15" s="3"/>
      <c r="I15" s="15" t="s">
        <v>233</v>
      </c>
      <c r="J15" s="5"/>
      <c r="K15" s="5"/>
      <c r="L15" s="5"/>
      <c r="M15" s="5"/>
      <c r="N15" s="12"/>
      <c r="O15" s="3"/>
    </row>
    <row r="16" spans="1:17" s="1" customFormat="1" ht="18" customHeight="1" x14ac:dyDescent="0.45">
      <c r="A16" s="15" t="s">
        <v>166</v>
      </c>
      <c r="B16" s="5"/>
      <c r="C16" s="5"/>
      <c r="D16" s="40" t="s">
        <v>167</v>
      </c>
      <c r="E16" s="5" t="s">
        <v>179</v>
      </c>
      <c r="F16" s="83" t="str">
        <f>IF(OR(ISBLANK(F6),ISBLANK(F7),ISBLANK(F8),ISBLANK(F10),ISBLANK(F11),F7="no value"), "", (F11*TAN(RADIANS(F10))^0.05)/(3*F8))</f>
        <v/>
      </c>
      <c r="G16" s="12" t="s">
        <v>38</v>
      </c>
      <c r="H16" s="3"/>
      <c r="I16" s="15" t="s">
        <v>123</v>
      </c>
      <c r="J16" s="5"/>
      <c r="K16" s="5"/>
      <c r="L16" s="82" t="s">
        <v>272</v>
      </c>
      <c r="M16" s="74" t="str">
        <f>IF(OR(ISBLANK(F6),ISBLANK(F8),F7="no value",F7="x &lt; x_M",F7="r &lt; r_0"),"",F7/F8)</f>
        <v/>
      </c>
      <c r="N16" s="12" t="s">
        <v>38</v>
      </c>
      <c r="O16" s="3"/>
    </row>
    <row r="17" spans="1:15" s="1" customFormat="1" ht="18" customHeight="1" x14ac:dyDescent="0.45">
      <c r="A17" s="6" t="s">
        <v>180</v>
      </c>
      <c r="B17" s="7"/>
      <c r="C17" s="7"/>
      <c r="D17" s="16" t="s">
        <v>172</v>
      </c>
      <c r="E17" s="7" t="s">
        <v>178</v>
      </c>
      <c r="F17" s="84" t="str">
        <f>IF(OR(ISBLANK(F6),ISBLANK(F7),ISBLANK(F8),ISBLANK(F10),ISBLANK(F11),F7="no value",F7="x &lt; x_M",F7="r &lt; r_0"), "", IF(F16&gt;M16,"ε &lt; ε_min",(F7/F8)-F16))</f>
        <v/>
      </c>
      <c r="G17" s="13" t="s">
        <v>38</v>
      </c>
      <c r="H17" s="3"/>
      <c r="I17" s="6" t="s">
        <v>125</v>
      </c>
      <c r="J17" s="7"/>
      <c r="K17" s="7"/>
      <c r="L17" s="79" t="s">
        <v>273</v>
      </c>
      <c r="M17" s="67" t="str">
        <f>IF(OR(ISBLANK(F6),ISBLANK(F8)),"",F10)</f>
        <v/>
      </c>
      <c r="N17" s="13" t="s">
        <v>35</v>
      </c>
      <c r="O17" s="3"/>
    </row>
    <row r="18" spans="1:15" s="1" customFormat="1" ht="18" customHeight="1" x14ac:dyDescent="0.45">
      <c r="A18" s="49" t="s">
        <v>282</v>
      </c>
      <c r="B18" s="88"/>
      <c r="C18" s="88"/>
      <c r="D18" s="79" t="s">
        <v>283</v>
      </c>
      <c r="E18" s="88" t="s">
        <v>186</v>
      </c>
      <c r="F18" s="66" t="str">
        <f>IF(OR(ISBLANK(F6),ISBLANK(F7),ISBLANK(F8),ISBLANK(F10),ISBLANK(F11),ISBLANK(F13),F7="no value",F7="x &lt; x_M",F7="r &lt; r_0"), "", IF(F16&gt;M16,"ε &lt; ε_min",(1.7*(F11/F8)+0.5)*(((F13*(SQRT(9.81*(F7+F8))*(F7/F8)^((F11/F8)+1.45))/F7))/(TAN(RADIANS(F10))^0.25))^(1.35-1.15*(F11/F8))*(F8+F11)))</f>
        <v/>
      </c>
      <c r="G18" s="89" t="s">
        <v>28</v>
      </c>
      <c r="H18" s="3"/>
      <c r="I18" s="6" t="s">
        <v>173</v>
      </c>
      <c r="J18" s="7"/>
      <c r="K18" s="7"/>
      <c r="L18" s="81" t="s">
        <v>274</v>
      </c>
      <c r="M18" s="61" t="str">
        <f>IF(OR(ISBLANK(F6),ISBLANK(F8),ISBLANK(F11)),"",F11/F8)</f>
        <v/>
      </c>
      <c r="N18" s="13" t="s">
        <v>38</v>
      </c>
      <c r="O18" s="3"/>
    </row>
    <row r="19" spans="1:15" s="1" customFormat="1" ht="18" customHeight="1" x14ac:dyDescent="0.45">
      <c r="A19" s="49" t="s">
        <v>280</v>
      </c>
      <c r="B19" s="88"/>
      <c r="C19" s="88"/>
      <c r="D19" s="81" t="s">
        <v>281</v>
      </c>
      <c r="E19" s="88" t="s">
        <v>181</v>
      </c>
      <c r="F19" s="90" t="str">
        <f>IF(OR(ISBLANK(F6),ISBLANK(F7),ISBLANK(F8),ISBLANK(F10),ISBLANK(F11),F7="no value",F7="x &lt; x_M",F7="r &lt; r_0"), "", IF(F16&gt;M16,"ε &lt; ε_min",((0.4*TAN(RADIANS(F10))+0.9)*F17)/(((F8+F11)/F8)^(0.45*_xlfn.COT(RADIANS(F10))))*F8))</f>
        <v/>
      </c>
      <c r="G19" s="89" t="s">
        <v>28</v>
      </c>
      <c r="H19" s="3"/>
      <c r="I19" s="9" t="s">
        <v>174</v>
      </c>
      <c r="J19" s="10"/>
      <c r="K19" s="10"/>
      <c r="L19" s="80" t="s">
        <v>278</v>
      </c>
      <c r="M19" s="87" t="str">
        <f>IF(OR(ISBLANK(F6),ISBLANK(F8),ISBLANK(F12),F7="no value"),"",F12/(F8+F11))</f>
        <v/>
      </c>
      <c r="N19" s="14" t="s">
        <v>38</v>
      </c>
      <c r="O19" s="23"/>
    </row>
    <row r="20" spans="1:15" s="1" customFormat="1" ht="18" customHeight="1" x14ac:dyDescent="0.45">
      <c r="A20" s="6" t="s">
        <v>176</v>
      </c>
      <c r="B20" s="7"/>
      <c r="C20" s="7"/>
      <c r="D20" s="8" t="s">
        <v>177</v>
      </c>
      <c r="E20" s="7" t="s">
        <v>232</v>
      </c>
      <c r="F20" s="85" t="str">
        <f>IF(OR(ISBLANK(F6),ISBLANK(F7),ISBLANK(F8),ISBLANK(F10),ISBLANK(F11),ISBLANK(F12),F7="no value"), "", IF(F16&gt;M16,"ε &lt; ε_min",(F12/(F8+F11))*((F8+F11)/F8)^(5.3*TAN(RADIANS(F10))-1.4)))</f>
        <v/>
      </c>
      <c r="G20" s="13" t="s">
        <v>38</v>
      </c>
      <c r="H20" s="3"/>
      <c r="O20" s="23"/>
    </row>
    <row r="21" spans="1:15" s="1" customFormat="1" ht="18" customHeight="1" x14ac:dyDescent="0.45">
      <c r="A21" s="49" t="s">
        <v>293</v>
      </c>
      <c r="B21" s="88"/>
      <c r="C21" s="88"/>
      <c r="D21" s="79" t="s">
        <v>279</v>
      </c>
      <c r="E21" s="88" t="s">
        <v>190</v>
      </c>
      <c r="F21" s="66" t="str">
        <f>IF(OR(ISBLANK(F6),ISBLANK(F7),ISBLANK(F8),ISBLANK(F10),ISBLANK(F11),ISBLANK(F12),F7="no value",F7="x &lt; x_M",F7="r &lt; r_0"), "", IF(F16&gt;M16,"ε &lt; ε_min",F19*(1-TANH(0.54*F20^0.39))))</f>
        <v/>
      </c>
      <c r="G21" s="89" t="s">
        <v>28</v>
      </c>
      <c r="H21" s="3"/>
      <c r="I21" s="23"/>
      <c r="J21" s="23"/>
      <c r="K21" s="23"/>
      <c r="L21" s="25"/>
      <c r="M21" s="35"/>
      <c r="N21" s="23"/>
      <c r="O21" s="23"/>
    </row>
    <row r="22" spans="1:15" s="1" customFormat="1" ht="18" customHeight="1" x14ac:dyDescent="0.45">
      <c r="A22" s="6" t="s">
        <v>184</v>
      </c>
      <c r="B22" s="7"/>
      <c r="C22" s="7"/>
      <c r="D22" s="16" t="s">
        <v>185</v>
      </c>
      <c r="E22" s="7" t="s">
        <v>198</v>
      </c>
      <c r="F22" s="58" t="str">
        <f>IF(OR(ISBLANK(F6),ISBLANK(F7),ISBLANK(F8),ISBLANK(F10),ISBLANK(F11),ISBLANK(F12),F7="no value",F7="x &lt; x_M",F7="r &lt; r_0"), "", IF(F16&gt;M16,"ε &lt; ε_min",5*(SQRT(9.81*(F8+F7)))*TANH(0.017*F17*((F8+F11)/F8)^(3*TAN(RADIANS(F10))+2.5)*SQRT(_xlfn.COT(RADIANS(F10))))^0.5))</f>
        <v/>
      </c>
      <c r="G22" s="13" t="s">
        <v>25</v>
      </c>
      <c r="H22" s="3"/>
      <c r="I22" s="23"/>
      <c r="J22" s="23"/>
      <c r="K22" s="23"/>
      <c r="L22" s="23"/>
      <c r="M22" s="23"/>
      <c r="N22" s="23"/>
      <c r="O22" s="23"/>
    </row>
    <row r="23" spans="1:15" s="1" customFormat="1" ht="18" customHeight="1" x14ac:dyDescent="0.45">
      <c r="A23" s="6" t="s">
        <v>277</v>
      </c>
      <c r="B23" s="7"/>
      <c r="C23" s="7"/>
      <c r="D23" s="8" t="s">
        <v>187</v>
      </c>
      <c r="E23" s="7" t="s">
        <v>191</v>
      </c>
      <c r="F23" s="58" t="str">
        <f>IF(OR(ISBLANK(F6),ISBLANK(F7),ISBLANK(F8),ISBLANK(F10),ISBLANK(F11),ISBLANK(F12),F7="no value",F7="x &lt; x_M",F7="r &lt; r_0"), "", IF(F16&gt;M16,"ε &lt; ε_min",1.6*(SQRT(9.81*(F8+F7)))*TANH(2.2*(F17*(F8/(F8+F11)))^0.75)))</f>
        <v/>
      </c>
      <c r="G23" s="13" t="s">
        <v>25</v>
      </c>
      <c r="H23" s="3"/>
      <c r="I23" s="23"/>
      <c r="J23" s="23"/>
      <c r="K23" s="23"/>
      <c r="L23" s="25"/>
      <c r="M23" s="24"/>
      <c r="N23" s="23"/>
      <c r="O23" s="23"/>
    </row>
    <row r="24" spans="1:15" s="1" customFormat="1" ht="18" customHeight="1" x14ac:dyDescent="0.45">
      <c r="A24" s="9" t="s">
        <v>188</v>
      </c>
      <c r="B24" s="10"/>
      <c r="C24" s="10"/>
      <c r="D24" s="17" t="s">
        <v>189</v>
      </c>
      <c r="E24" s="10" t="s">
        <v>289</v>
      </c>
      <c r="F24" s="75" t="str">
        <f>IF(OR(ISBLANK(F6),ISBLANK(F7),ISBLANK(F8),ISBLANK(F10),ISBLANK(F11),ISBLANK(F12),F7="no value",F7="x &lt; x_M",F7="r &lt; r_0"), "", IF(F16&gt;M16,"ε &lt; ε_min",0.83*(SQRT(9.81*(F8+F7)))*F7*TANH(F17/(((F8+F11)/F8)^(1.5*_xlfn.COT(RADIANS(F10)))*_xlfn.COT(RADIANS(F10))^0.5))^0.5))</f>
        <v/>
      </c>
      <c r="G24" s="14" t="s">
        <v>161</v>
      </c>
      <c r="H24" s="3"/>
      <c r="I24" s="23"/>
      <c r="J24" s="23"/>
      <c r="K24" s="23"/>
      <c r="L24" s="25"/>
      <c r="M24" s="35"/>
      <c r="N24" s="23"/>
      <c r="O24" s="23"/>
    </row>
    <row r="25" spans="1:15" s="1" customFormat="1" ht="18" customHeight="1" x14ac:dyDescent="0.45">
      <c r="A25" s="26" t="s">
        <v>164</v>
      </c>
      <c r="B25" s="23"/>
      <c r="C25" s="23"/>
      <c r="D25" s="37"/>
      <c r="E25" s="23"/>
      <c r="F25" s="24"/>
      <c r="G25" s="23"/>
      <c r="H25" s="3"/>
      <c r="I25" s="23"/>
      <c r="J25" s="23"/>
      <c r="K25" s="23"/>
      <c r="L25" s="25"/>
      <c r="M25" s="35"/>
      <c r="N25" s="23"/>
      <c r="O25" s="23"/>
    </row>
    <row r="26" spans="1:15" s="1" customFormat="1" ht="18" customHeight="1" x14ac:dyDescent="0.3">
      <c r="A26" s="23"/>
      <c r="B26" s="23"/>
      <c r="C26" s="23"/>
      <c r="D26" s="25"/>
      <c r="E26" s="23"/>
      <c r="F26" s="38"/>
      <c r="G26" s="23"/>
      <c r="H26" s="3"/>
      <c r="I26" s="23"/>
      <c r="J26" s="23"/>
      <c r="K26" s="23"/>
      <c r="L26" s="25"/>
      <c r="M26" s="35"/>
      <c r="N26" s="23"/>
      <c r="O26" s="23"/>
    </row>
    <row r="27" spans="1:15" s="1" customFormat="1" ht="18" customHeight="1" x14ac:dyDescent="0.3">
      <c r="A27" s="23"/>
      <c r="B27" s="23"/>
      <c r="C27" s="23"/>
      <c r="D27" s="39"/>
      <c r="E27" s="23"/>
      <c r="F27" s="38"/>
      <c r="G27" s="23"/>
      <c r="H27" s="3"/>
      <c r="I27" s="23"/>
      <c r="J27" s="23"/>
      <c r="K27" s="23"/>
      <c r="L27" s="25"/>
      <c r="M27" s="36"/>
      <c r="N27" s="23"/>
      <c r="O27" s="23"/>
    </row>
    <row r="28" spans="1:15" s="1" customFormat="1" ht="18" customHeight="1" x14ac:dyDescent="0.3">
      <c r="A28" s="23"/>
      <c r="B28" s="23"/>
      <c r="C28" s="23"/>
      <c r="D28" s="39"/>
      <c r="E28" s="23"/>
      <c r="F28" s="38"/>
      <c r="G28" s="23"/>
      <c r="H28" s="3"/>
      <c r="I28" s="23"/>
      <c r="J28" s="23"/>
      <c r="K28" s="23"/>
      <c r="L28" s="25"/>
      <c r="M28" s="35"/>
      <c r="N28" s="23"/>
      <c r="O28" s="23"/>
    </row>
    <row r="29" spans="1:15" s="1" customFormat="1" ht="18" customHeight="1" x14ac:dyDescent="0.3">
      <c r="A29" s="23"/>
      <c r="B29" s="23"/>
      <c r="C29" s="23"/>
      <c r="D29" s="39"/>
      <c r="E29" s="23"/>
      <c r="F29" s="38"/>
      <c r="G29" s="23"/>
      <c r="H29" s="3"/>
      <c r="I29" s="23"/>
      <c r="J29" s="23"/>
      <c r="K29" s="23"/>
      <c r="L29" s="25"/>
      <c r="M29" s="35"/>
      <c r="N29" s="23"/>
      <c r="O29" s="23"/>
    </row>
    <row r="30" spans="1:15" s="1" customFormat="1" ht="18" customHeight="1" x14ac:dyDescent="0.3">
      <c r="B30" s="23"/>
      <c r="C30" s="23"/>
      <c r="D30" s="25"/>
      <c r="E30" s="23"/>
      <c r="F30" s="24"/>
      <c r="G30" s="23"/>
      <c r="H30" s="3"/>
      <c r="I30" s="23"/>
      <c r="J30" s="23"/>
      <c r="K30" s="23"/>
      <c r="L30" s="25"/>
      <c r="M30" s="24"/>
      <c r="N30" s="23"/>
      <c r="O30" s="23"/>
    </row>
    <row r="31" spans="1:15" s="1" customFormat="1" ht="18" customHeight="1" x14ac:dyDescent="0.3">
      <c r="A31" s="26"/>
      <c r="H31" s="3"/>
      <c r="I31" s="23"/>
      <c r="J31" s="23"/>
      <c r="K31" s="23"/>
      <c r="L31" s="25"/>
      <c r="M31" s="35"/>
      <c r="N31" s="23"/>
      <c r="O31" s="23"/>
    </row>
    <row r="32" spans="1:15" s="1" customFormat="1" ht="14" x14ac:dyDescent="0.3">
      <c r="H32" s="3"/>
      <c r="I32" s="23"/>
      <c r="J32" s="23"/>
      <c r="K32" s="23"/>
      <c r="L32" s="25"/>
      <c r="M32" s="35"/>
      <c r="N32" s="23"/>
      <c r="O32" s="23"/>
    </row>
    <row r="33" spans="1:15" s="1" customFormat="1" ht="14" x14ac:dyDescent="0.3">
      <c r="H33" s="3"/>
      <c r="I33" s="23"/>
      <c r="J33" s="23"/>
      <c r="K33" s="23"/>
      <c r="L33" s="23"/>
      <c r="M33" s="23"/>
      <c r="N33" s="23"/>
      <c r="O33" s="23"/>
    </row>
    <row r="34" spans="1:15" s="1" customFormat="1" ht="14" x14ac:dyDescent="0.3">
      <c r="A34" s="3"/>
      <c r="B34" s="3"/>
      <c r="C34" s="3"/>
      <c r="D34" s="3"/>
      <c r="E34" s="3"/>
      <c r="F34" s="3"/>
      <c r="G34" s="3"/>
      <c r="H34" s="3"/>
      <c r="O34" s="3"/>
    </row>
    <row r="35" spans="1:15" s="1" customFormat="1" ht="14" x14ac:dyDescent="0.3">
      <c r="A35" s="3"/>
      <c r="B35" s="3"/>
      <c r="C35" s="3"/>
      <c r="D35" s="3"/>
      <c r="E35" s="3"/>
      <c r="F35" s="3"/>
      <c r="G35" s="3"/>
      <c r="H35" s="3"/>
      <c r="O35" s="3"/>
    </row>
    <row r="36" spans="1:15" s="1" customFormat="1" ht="14" x14ac:dyDescent="0.3">
      <c r="A36" s="3"/>
      <c r="B36" s="3"/>
      <c r="C36" s="3"/>
      <c r="D36" s="3"/>
      <c r="E36" s="3"/>
      <c r="F36" s="3"/>
      <c r="G36" s="3"/>
      <c r="H36" s="3"/>
      <c r="O36" s="3"/>
    </row>
    <row r="37" spans="1:15" s="1" customFormat="1" ht="14" x14ac:dyDescent="0.3">
      <c r="A37" s="3"/>
      <c r="B37" s="3"/>
      <c r="C37" s="3"/>
      <c r="D37" s="3"/>
      <c r="E37" s="3"/>
      <c r="F37" s="3"/>
      <c r="G37" s="3"/>
      <c r="H37" s="3"/>
      <c r="O37" s="3"/>
    </row>
    <row r="39" spans="1:15" s="1" customFormat="1" ht="14" x14ac:dyDescent="0.3">
      <c r="I39" s="26"/>
    </row>
  </sheetData>
  <sheetProtection sheet="1" objects="1" scenarios="1"/>
  <protectedRanges>
    <protectedRange sqref="F6 F8 F10:F13" name="Range1"/>
  </protectedRanges>
  <conditionalFormatting sqref="M16">
    <cfRule type="cellIs" dxfId="29" priority="25" operator="between">
      <formula>0.1</formula>
      <formula>0.7</formula>
    </cfRule>
  </conditionalFormatting>
  <conditionalFormatting sqref="M17">
    <cfRule type="cellIs" dxfId="28" priority="23" operator="between">
      <formula>11</formula>
      <formula>34</formula>
    </cfRule>
  </conditionalFormatting>
  <conditionalFormatting sqref="M19">
    <cfRule type="cellIs" dxfId="27" priority="21" operator="between">
      <formula>0</formula>
      <formula>10</formula>
    </cfRule>
  </conditionalFormatting>
  <conditionalFormatting sqref="M18">
    <cfRule type="cellIs" dxfId="26" priority="19" operator="between">
      <formula>0.04</formula>
      <formula>0.56</formula>
    </cfRule>
  </conditionalFormatting>
  <conditionalFormatting sqref="F28">
    <cfRule type="expression" dxfId="25" priority="9">
      <formula>$F$19&gt;#REF!</formula>
    </cfRule>
  </conditionalFormatting>
  <conditionalFormatting sqref="F7">
    <cfRule type="expression" dxfId="24" priority="2">
      <formula>$F$7="r &lt; r_0"</formula>
    </cfRule>
    <cfRule type="expression" dxfId="23" priority="4">
      <formula>$F$7="x &lt; x_M"</formula>
    </cfRule>
    <cfRule type="expression" dxfId="22" priority="7">
      <formula>$F$7="no value"</formula>
    </cfRule>
  </conditionalFormatting>
  <conditionalFormatting sqref="F17:F24">
    <cfRule type="expression" dxfId="21" priority="1">
      <formula>$F$17="ε &lt; ε_min"</formula>
    </cfRule>
  </conditionalFormatting>
  <dataValidations count="1">
    <dataValidation type="list" allowBlank="1" showInputMessage="1" showErrorMessage="1" sqref="F6" xr:uid="{00000000-0002-0000-0400-000000000000}">
      <formula1>"2D, 3D"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&amp;L&amp;"Arial,Standard"&amp;12Landslide-generated Impulse Waves in Reservoirs - Basics and Computation&amp;R&amp;"Arial,Standard"doi:10.5281/zenodo.4715565</oddHeader>
    <oddFooter>&amp;L&amp;"Arial,Standard"Computational tool v1.1&amp;C&amp;"Arial,Standard"&amp;D - &amp;T&amp;R&amp;G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Button 1">
              <controlPr defaultSize="0" print="0" autoFill="0" autoPict="0" macro="[0]!Clear_Overland">
                <anchor moveWithCells="1" sizeWithCells="1">
                  <from>
                    <xdr:col>5</xdr:col>
                    <xdr:colOff>12700</xdr:colOff>
                    <xdr:row>3</xdr:row>
                    <xdr:rowOff>31750</xdr:rowOff>
                  </from>
                  <to>
                    <xdr:col>6</xdr:col>
                    <xdr:colOff>0</xdr:colOff>
                    <xdr:row>3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A42"/>
  <sheetViews>
    <sheetView zoomScaleNormal="100" workbookViewId="0">
      <selection activeCell="F6" sqref="F6"/>
    </sheetView>
  </sheetViews>
  <sheetFormatPr baseColWidth="10" defaultColWidth="9.08984375" defaultRowHeight="14.5" x14ac:dyDescent="0.35"/>
  <cols>
    <col min="1" max="2" width="9.08984375" style="1"/>
    <col min="3" max="3" width="28.7265625" style="1" customWidth="1"/>
    <col min="4" max="4" width="9.36328125" style="1" customWidth="1"/>
    <col min="5" max="5" width="10" style="1" customWidth="1"/>
    <col min="6" max="6" width="14.26953125" style="1" bestFit="1" customWidth="1"/>
    <col min="7" max="7" width="7.08984375" style="1" customWidth="1"/>
    <col min="8" max="8" width="4" style="1" customWidth="1"/>
    <col min="9" max="10" width="9.08984375" style="1"/>
    <col min="11" max="11" width="13.6328125" style="1" customWidth="1"/>
    <col min="12" max="12" width="11.26953125" style="1" customWidth="1"/>
    <col min="13" max="13" width="7.81640625" style="1" customWidth="1"/>
    <col min="14" max="14" width="3.81640625" style="1" customWidth="1"/>
    <col min="15" max="15" width="9.08984375" style="1"/>
    <col min="16" max="16" width="4.26953125" style="1" customWidth="1"/>
    <col min="17" max="17" width="3.81640625" style="1" customWidth="1"/>
    <col min="18" max="27" width="9.08984375" style="1"/>
  </cols>
  <sheetData>
    <row r="1" spans="1:18" ht="17.5" x14ac:dyDescent="0.35">
      <c r="A1" s="2" t="s">
        <v>64</v>
      </c>
    </row>
    <row r="2" spans="1:18" ht="18" customHeight="1" x14ac:dyDescent="0.35">
      <c r="A2" s="1" t="s">
        <v>10</v>
      </c>
      <c r="B2" s="77" t="str">
        <f>IF(ISBLANK(START!B4), "",START!B4)</f>
        <v/>
      </c>
      <c r="C2" s="3"/>
      <c r="D2" s="3"/>
      <c r="E2" s="3"/>
      <c r="F2" s="3"/>
      <c r="G2" s="3"/>
    </row>
    <row r="3" spans="1:18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8" ht="18" customHeight="1" x14ac:dyDescent="0.35">
      <c r="A4" s="4" t="s">
        <v>0</v>
      </c>
      <c r="B4" s="5"/>
      <c r="C4" s="5"/>
      <c r="D4" s="5"/>
      <c r="E4" s="5"/>
      <c r="F4" s="5"/>
      <c r="G4" s="12"/>
      <c r="H4" s="3"/>
      <c r="I4" s="18"/>
      <c r="J4" s="5"/>
      <c r="K4" s="5"/>
      <c r="L4" s="5"/>
      <c r="M4" s="5"/>
      <c r="N4" s="5"/>
      <c r="O4" s="5"/>
      <c r="P4" s="12"/>
      <c r="Q4" s="23"/>
      <c r="R4" s="23"/>
    </row>
    <row r="5" spans="1:18" ht="18" customHeight="1" x14ac:dyDescent="0.35">
      <c r="A5" s="19" t="s">
        <v>220</v>
      </c>
      <c r="B5" s="5"/>
      <c r="C5" s="5"/>
      <c r="D5" s="5"/>
      <c r="E5" s="5"/>
      <c r="F5" s="5"/>
      <c r="G5" s="12"/>
      <c r="H5" s="3"/>
      <c r="I5" s="6"/>
      <c r="J5" s="7"/>
      <c r="K5" s="7"/>
      <c r="L5" s="7"/>
      <c r="M5" s="7"/>
      <c r="N5" s="7"/>
      <c r="O5" s="7"/>
      <c r="P5" s="13"/>
      <c r="Q5" s="23"/>
      <c r="R5" s="23"/>
    </row>
    <row r="6" spans="1:18" ht="18" customHeight="1" x14ac:dyDescent="0.35">
      <c r="A6" s="6" t="s">
        <v>115</v>
      </c>
      <c r="B6" s="7"/>
      <c r="C6" s="7"/>
      <c r="D6" s="7" t="s">
        <v>116</v>
      </c>
      <c r="E6" s="7"/>
      <c r="F6" s="28"/>
      <c r="G6" s="13"/>
      <c r="H6" s="3"/>
      <c r="I6" s="6"/>
      <c r="J6" s="7"/>
      <c r="K6" s="7"/>
      <c r="L6" s="7"/>
      <c r="M6" s="7"/>
      <c r="N6" s="7"/>
      <c r="O6" s="7"/>
      <c r="P6" s="47"/>
      <c r="Q6" s="23"/>
      <c r="R6" s="23"/>
    </row>
    <row r="7" spans="1:18" ht="18" customHeight="1" x14ac:dyDescent="0.35">
      <c r="A7" s="6" t="s">
        <v>118</v>
      </c>
      <c r="B7" s="7"/>
      <c r="C7" s="7"/>
      <c r="D7" s="7" t="s">
        <v>117</v>
      </c>
      <c r="E7" s="7"/>
      <c r="F7" s="58" t="str">
        <f>IF(ISBLANK(F6),"",IF(F6="2D", IF(ISBLANK('Generation | Propagation (2D)'!F6), "no value", 'Generation | Propagation (2D)'!F25), IF(ISBLANK('Generation | Propagation (3D)'!F6),"no value",IF('Generation | Propagation (3D)'!F21&gt;'Generation | Propagation (3D)'!F15,'Generation | Propagation (3D)'!F26,MAX('Generation | Propagation (3D)'!$F$26,'Generation | Propagation (3D)'!$F$28)))))</f>
        <v/>
      </c>
      <c r="G7" s="13" t="s">
        <v>127</v>
      </c>
      <c r="H7" s="3"/>
      <c r="I7" s="6"/>
      <c r="J7" s="7"/>
      <c r="K7" s="7"/>
      <c r="L7" s="7"/>
      <c r="M7" s="7"/>
      <c r="N7" s="7"/>
      <c r="O7" s="7"/>
      <c r="P7" s="13"/>
      <c r="Q7" s="23"/>
      <c r="R7" s="23"/>
    </row>
    <row r="8" spans="1:18" s="1" customFormat="1" ht="18" customHeight="1" x14ac:dyDescent="0.3">
      <c r="A8" s="6" t="s">
        <v>8</v>
      </c>
      <c r="B8" s="7"/>
      <c r="C8" s="7"/>
      <c r="D8" s="7" t="s">
        <v>119</v>
      </c>
      <c r="E8" s="7"/>
      <c r="F8" s="41"/>
      <c r="G8" s="13" t="s">
        <v>28</v>
      </c>
      <c r="H8" s="3"/>
      <c r="I8" s="6"/>
      <c r="J8" s="7"/>
      <c r="K8" s="7"/>
      <c r="L8" s="7"/>
      <c r="M8" s="7"/>
      <c r="N8" s="7"/>
      <c r="O8" s="7"/>
      <c r="P8" s="13"/>
      <c r="Q8" s="23"/>
      <c r="R8" s="23"/>
    </row>
    <row r="9" spans="1:18" s="1" customFormat="1" ht="18" customHeight="1" x14ac:dyDescent="0.35">
      <c r="A9" s="19" t="s">
        <v>224</v>
      </c>
      <c r="B9" s="5"/>
      <c r="C9" s="5"/>
      <c r="D9" s="30"/>
      <c r="E9" s="30"/>
      <c r="F9" s="5"/>
      <c r="G9" s="12"/>
      <c r="H9" s="3"/>
      <c r="I9" s="6"/>
      <c r="J9" s="7"/>
      <c r="K9" s="7"/>
      <c r="L9" s="7"/>
      <c r="M9" s="7"/>
      <c r="N9" s="7"/>
      <c r="O9" s="7"/>
      <c r="P9" s="13"/>
      <c r="Q9" s="23"/>
      <c r="R9" s="23"/>
    </row>
    <row r="10" spans="1:18" s="1" customFormat="1" ht="18" customHeight="1" x14ac:dyDescent="0.3">
      <c r="A10" s="6" t="s">
        <v>125</v>
      </c>
      <c r="B10" s="7"/>
      <c r="C10" s="7"/>
      <c r="D10" s="8" t="s">
        <v>128</v>
      </c>
      <c r="E10" s="8"/>
      <c r="F10" s="20"/>
      <c r="G10" s="13" t="s">
        <v>35</v>
      </c>
      <c r="H10" s="3"/>
      <c r="I10" s="6"/>
      <c r="J10" s="7"/>
      <c r="K10" s="7"/>
      <c r="L10" s="7"/>
      <c r="M10" s="7"/>
      <c r="N10" s="7"/>
      <c r="O10" s="7"/>
      <c r="P10" s="13"/>
      <c r="Q10" s="23"/>
      <c r="R10" s="23"/>
    </row>
    <row r="11" spans="1:18" s="1" customFormat="1" ht="18" customHeight="1" x14ac:dyDescent="0.3">
      <c r="A11" s="9" t="s">
        <v>129</v>
      </c>
      <c r="B11" s="10"/>
      <c r="C11" s="10"/>
      <c r="D11" s="11" t="s">
        <v>130</v>
      </c>
      <c r="E11" s="11"/>
      <c r="F11" s="21"/>
      <c r="G11" s="14" t="s">
        <v>28</v>
      </c>
      <c r="H11" s="3"/>
      <c r="I11" s="6"/>
      <c r="J11" s="7"/>
      <c r="K11" s="7"/>
      <c r="L11" s="7"/>
      <c r="M11" s="7"/>
      <c r="N11" s="7"/>
      <c r="O11" s="7"/>
      <c r="P11" s="13"/>
      <c r="Q11" s="23"/>
      <c r="R11" s="23"/>
    </row>
    <row r="12" spans="1:18" s="1" customFormat="1" ht="18" customHeight="1" x14ac:dyDescent="0.3">
      <c r="A12" s="42"/>
      <c r="B12" s="23"/>
      <c r="C12" s="23"/>
      <c r="D12" s="39"/>
      <c r="E12" s="39"/>
      <c r="F12" s="23"/>
      <c r="G12" s="43"/>
      <c r="H12" s="3"/>
      <c r="I12" s="6"/>
      <c r="J12" s="7"/>
      <c r="K12" s="7"/>
      <c r="L12" s="7"/>
      <c r="M12" s="7"/>
      <c r="N12" s="7"/>
      <c r="O12" s="7"/>
      <c r="P12" s="13"/>
      <c r="Q12" s="23"/>
      <c r="R12" s="23"/>
    </row>
    <row r="13" spans="1:18" s="1" customFormat="1" ht="18" customHeight="1" x14ac:dyDescent="0.3">
      <c r="A13" s="32" t="s">
        <v>11</v>
      </c>
      <c r="B13" s="33"/>
      <c r="C13" s="33"/>
      <c r="D13" s="33"/>
      <c r="E13" s="33"/>
      <c r="F13" s="33"/>
      <c r="G13" s="34"/>
      <c r="H13" s="3"/>
      <c r="I13" s="6"/>
      <c r="J13" s="7"/>
      <c r="K13" s="7"/>
      <c r="L13" s="7"/>
      <c r="M13" s="7"/>
      <c r="N13" s="7"/>
      <c r="O13" s="7"/>
      <c r="P13" s="13"/>
      <c r="Q13" s="23"/>
      <c r="R13" s="23"/>
    </row>
    <row r="14" spans="1:18" s="1" customFormat="1" ht="18" customHeight="1" x14ac:dyDescent="0.45">
      <c r="A14" s="48" t="s">
        <v>200</v>
      </c>
      <c r="B14" s="5"/>
      <c r="C14" s="5"/>
      <c r="D14" s="40" t="s">
        <v>240</v>
      </c>
      <c r="E14" s="5" t="s">
        <v>193</v>
      </c>
      <c r="F14" s="68" t="str">
        <f>IF(OR(ISBLANK(F8)), "", 0.5*1000*9.81*F8^2)</f>
        <v/>
      </c>
      <c r="G14" s="12" t="s">
        <v>196</v>
      </c>
      <c r="H14" s="3"/>
      <c r="I14" s="6"/>
      <c r="J14" s="7"/>
      <c r="K14" s="7"/>
      <c r="L14" s="7"/>
      <c r="M14" s="7"/>
      <c r="N14" s="7"/>
      <c r="O14" s="7"/>
      <c r="P14" s="13"/>
      <c r="Q14" s="23"/>
      <c r="R14" s="23"/>
    </row>
    <row r="15" spans="1:18" s="1" customFormat="1" ht="18" customHeight="1" x14ac:dyDescent="0.45">
      <c r="A15" s="49" t="s">
        <v>201</v>
      </c>
      <c r="B15" s="7"/>
      <c r="C15" s="7"/>
      <c r="D15" s="16" t="s">
        <v>241</v>
      </c>
      <c r="E15" s="7" t="s">
        <v>194</v>
      </c>
      <c r="F15" s="57" t="str">
        <f>IF(OR(ISBLANK(F8),ISBLANK(F10)), "", (0.5*1000*9.81*F8^2)/TAN(RADIANS(F10)))</f>
        <v/>
      </c>
      <c r="G15" s="13" t="s">
        <v>196</v>
      </c>
      <c r="H15" s="3"/>
      <c r="I15" s="9"/>
      <c r="J15" s="10"/>
      <c r="K15" s="10"/>
      <c r="L15" s="10"/>
      <c r="M15" s="10"/>
      <c r="N15" s="10"/>
      <c r="O15" s="10"/>
      <c r="P15" s="14"/>
      <c r="Q15" s="23"/>
      <c r="R15" s="23"/>
    </row>
    <row r="16" spans="1:18" s="1" customFormat="1" ht="18" customHeight="1" x14ac:dyDescent="0.45">
      <c r="A16" s="49" t="s">
        <v>225</v>
      </c>
      <c r="B16" s="7"/>
      <c r="C16" s="7"/>
      <c r="D16" s="16" t="s">
        <v>242</v>
      </c>
      <c r="E16" s="7" t="s">
        <v>234</v>
      </c>
      <c r="F16" s="57" t="str">
        <f>IF(OR(ISBLANK(F6),ISBLANK(F7),ISBLANK(F8),F7="no value",F7="x &lt; x_M",F7="r &lt; r_0"), "", 0.5*1000*9.81*(2*F7+F8)^2)</f>
        <v/>
      </c>
      <c r="G16" s="13" t="s">
        <v>196</v>
      </c>
      <c r="H16" s="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8" s="1" customFormat="1" ht="18" customHeight="1" x14ac:dyDescent="0.45">
      <c r="A17" s="49" t="s">
        <v>290</v>
      </c>
      <c r="B17" s="7"/>
      <c r="C17" s="7"/>
      <c r="D17" s="16" t="s">
        <v>243</v>
      </c>
      <c r="E17" s="7" t="s">
        <v>195</v>
      </c>
      <c r="F17" s="57" t="str">
        <f>IF(OR(ISBLANK(F6),ISBLANK(F7),ISBLANK(F8),F7="no value",F7="x &lt; x_M",F7="r &lt; r_0"), "", (1-1.5*(F7/F8))^(1/6)*F16)</f>
        <v/>
      </c>
      <c r="G17" s="13" t="s">
        <v>196</v>
      </c>
      <c r="H17" s="3"/>
      <c r="I17" s="15" t="s">
        <v>292</v>
      </c>
      <c r="J17" s="5"/>
      <c r="K17" s="5"/>
      <c r="L17" s="5"/>
      <c r="M17" s="5"/>
      <c r="N17" s="12"/>
      <c r="O17" s="23"/>
      <c r="P17" s="23"/>
      <c r="Q17" s="23"/>
      <c r="R17" s="23"/>
    </row>
    <row r="18" spans="1:18" s="1" customFormat="1" ht="18" customHeight="1" x14ac:dyDescent="0.45">
      <c r="A18" s="49" t="s">
        <v>291</v>
      </c>
      <c r="B18" s="7"/>
      <c r="C18" s="7"/>
      <c r="D18" s="16" t="s">
        <v>244</v>
      </c>
      <c r="E18" s="7" t="s">
        <v>199</v>
      </c>
      <c r="F18" s="57" t="str">
        <f>IF(OR(ISBLANK(F6),ISBLANK(F7),ISBLANK(F8),ISBLANK(F10),F7="no value",F7="x &lt; x_M",F7="r &lt; r_0"), "", F17/TAN(RADIANS(F10)))</f>
        <v/>
      </c>
      <c r="G18" s="13" t="s">
        <v>196</v>
      </c>
      <c r="H18" s="3"/>
      <c r="I18" s="44" t="s">
        <v>123</v>
      </c>
      <c r="J18" s="33"/>
      <c r="K18" s="33"/>
      <c r="L18" s="86" t="s">
        <v>275</v>
      </c>
      <c r="M18" s="76" t="str">
        <f>IF(OR(ISBLANK(F6),ISBLANK(F8),F7="no value",F7="x &lt; x_M",F7="r &lt; r_0"),"",F7/F8)</f>
        <v/>
      </c>
      <c r="N18" s="34" t="s">
        <v>38</v>
      </c>
      <c r="O18" s="23"/>
      <c r="P18" s="23"/>
      <c r="Q18" s="23"/>
      <c r="R18" s="23"/>
    </row>
    <row r="19" spans="1:18" s="1" customFormat="1" ht="18" customHeight="1" x14ac:dyDescent="0.45">
      <c r="A19" s="49" t="s">
        <v>202</v>
      </c>
      <c r="B19" s="7"/>
      <c r="C19" s="7"/>
      <c r="D19" s="8" t="s">
        <v>192</v>
      </c>
      <c r="E19" s="7" t="s">
        <v>235</v>
      </c>
      <c r="F19" s="65" t="str">
        <f>IF(OR(ISBLANK(F6),ISBLANK(F7),ISBLANK(F8),ISBLANK(F11),F7="no value",F7="x &lt; x_M",F7="r &lt; r_0"), "", IF((2*F7)&lt;F11, "2a &lt; f", (2*F17)/(2*F7+F8)^2*(2*F7-F11)))</f>
        <v/>
      </c>
      <c r="G19" s="13" t="s">
        <v>197</v>
      </c>
      <c r="H19" s="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s="1" customFormat="1" ht="18" customHeight="1" x14ac:dyDescent="0.45">
      <c r="A20" s="49" t="s">
        <v>203</v>
      </c>
      <c r="B20" s="7"/>
      <c r="C20" s="7"/>
      <c r="D20" s="16" t="s">
        <v>245</v>
      </c>
      <c r="E20" s="7" t="s">
        <v>236</v>
      </c>
      <c r="F20" s="65" t="str">
        <f>IF(OR(ISBLANK(F6),ISBLANK(F7),ISBLANK(F8),ISBLANK(F11),F7="no value",F7="x &lt; x_M",F7="r &lt; r_0"), "", IF((2*F7)&lt;F11, "2a &lt; f", 0.5*(F8+F11)*(F19+((2*F17)/(2*F7+F8)))))</f>
        <v/>
      </c>
      <c r="G20" s="13" t="s">
        <v>196</v>
      </c>
      <c r="H20" s="3"/>
      <c r="O20" s="3"/>
    </row>
    <row r="21" spans="1:18" s="1" customFormat="1" ht="18" customHeight="1" x14ac:dyDescent="0.45">
      <c r="A21" s="49" t="s">
        <v>204</v>
      </c>
      <c r="B21" s="7"/>
      <c r="C21" s="7"/>
      <c r="D21" s="16" t="s">
        <v>246</v>
      </c>
      <c r="E21" s="7" t="s">
        <v>199</v>
      </c>
      <c r="F21" s="65" t="str">
        <f>IF(OR(ISBLANK(F6),ISBLANK(F7),ISBLANK(F8),ISBLANK(F10),ISBLANK(F11),F7="no value",F7="x &lt; x_M",F7="r &lt; r_0"), "", IF((2*F7)&lt;F11, "2a &lt; f", F20/TAN(RADIANS(F10))))</f>
        <v/>
      </c>
      <c r="G21" s="13" t="s">
        <v>196</v>
      </c>
      <c r="H21" s="3"/>
      <c r="O21" s="3"/>
    </row>
    <row r="22" spans="1:18" s="1" customFormat="1" ht="18" customHeight="1" x14ac:dyDescent="0.45">
      <c r="A22" s="50" t="s">
        <v>205</v>
      </c>
      <c r="B22" s="10"/>
      <c r="C22" s="10"/>
      <c r="D22" s="17" t="s">
        <v>276</v>
      </c>
      <c r="E22" s="10" t="s">
        <v>237</v>
      </c>
      <c r="F22" s="75" t="str">
        <f>IF(OR(ISBLANK(F6),ISBLANK(F7),ISBLANK(F8),ISBLANK(F11),F7="no value",F7="x &lt; x_M",F7="r &lt; r_0"), "", IF((2*F7)&lt;F11, "2a &lt; f", ((((2*F17)/(2*F7+F8))-F19)*((F8+F11)^2/6)+(0.5*F19*(F8+F11)^2))/((((2*F17)/(2*F7+F8))-F19)*((F8+F11)*0.5)+(F19*(F8+F11)))  ))</f>
        <v/>
      </c>
      <c r="G22" s="14" t="s">
        <v>28</v>
      </c>
      <c r="H22" s="3"/>
      <c r="O22" s="23"/>
    </row>
    <row r="23" spans="1:18" s="1" customFormat="1" ht="18" customHeight="1" x14ac:dyDescent="0.45">
      <c r="A23" s="26" t="s">
        <v>164</v>
      </c>
      <c r="B23" s="23"/>
      <c r="C23" s="23"/>
      <c r="D23" s="25"/>
      <c r="E23" s="23"/>
      <c r="F23" s="38"/>
      <c r="G23" s="23"/>
      <c r="H23" s="3"/>
      <c r="O23" s="23"/>
    </row>
    <row r="24" spans="1:18" s="1" customFormat="1" ht="18" customHeight="1" x14ac:dyDescent="0.3">
      <c r="A24" s="23"/>
      <c r="B24" s="23"/>
      <c r="C24" s="23"/>
      <c r="D24" s="39"/>
      <c r="E24" s="23"/>
      <c r="F24" s="38"/>
      <c r="G24" s="23"/>
      <c r="H24" s="3"/>
      <c r="O24" s="23"/>
    </row>
    <row r="25" spans="1:18" s="1" customFormat="1" ht="18" customHeight="1" x14ac:dyDescent="0.3">
      <c r="A25" s="23"/>
      <c r="B25" s="23"/>
      <c r="C25" s="23"/>
      <c r="D25" s="25"/>
      <c r="E25" s="23"/>
      <c r="F25" s="38"/>
      <c r="G25" s="23"/>
      <c r="H25" s="3"/>
      <c r="O25" s="23"/>
    </row>
    <row r="26" spans="1:18" s="1" customFormat="1" ht="18" customHeight="1" x14ac:dyDescent="0.3">
      <c r="B26" s="23"/>
      <c r="C26" s="23"/>
      <c r="D26" s="37"/>
      <c r="E26" s="23"/>
      <c r="F26" s="24"/>
      <c r="G26" s="23"/>
      <c r="H26" s="3"/>
      <c r="O26" s="23"/>
    </row>
    <row r="27" spans="1:18" s="1" customFormat="1" ht="18" customHeight="1" x14ac:dyDescent="0.3">
      <c r="H27" s="3"/>
      <c r="O27" s="23"/>
    </row>
    <row r="28" spans="1:18" s="1" customFormat="1" ht="18" customHeight="1" x14ac:dyDescent="0.3">
      <c r="H28" s="3"/>
      <c r="O28" s="23"/>
    </row>
    <row r="29" spans="1:18" s="1" customFormat="1" ht="18" customHeight="1" x14ac:dyDescent="0.3">
      <c r="A29" s="23"/>
      <c r="B29" s="23"/>
      <c r="C29" s="23"/>
      <c r="D29" s="25"/>
      <c r="E29" s="23"/>
      <c r="F29" s="38"/>
      <c r="G29" s="23"/>
      <c r="H29" s="3"/>
      <c r="O29" s="23"/>
    </row>
    <row r="30" spans="1:18" s="1" customFormat="1" ht="18" customHeight="1" x14ac:dyDescent="0.3">
      <c r="A30" s="23"/>
      <c r="B30" s="23"/>
      <c r="C30" s="23"/>
      <c r="D30" s="39"/>
      <c r="E30" s="23"/>
      <c r="F30" s="38"/>
      <c r="G30" s="23"/>
      <c r="H30" s="3"/>
      <c r="I30" s="23"/>
      <c r="J30" s="23"/>
      <c r="K30" s="23"/>
      <c r="L30" s="25"/>
      <c r="M30" s="36"/>
      <c r="N30" s="23"/>
      <c r="O30" s="23"/>
    </row>
    <row r="31" spans="1:18" s="1" customFormat="1" ht="18" customHeight="1" x14ac:dyDescent="0.3">
      <c r="A31" s="23"/>
      <c r="B31" s="23"/>
      <c r="C31" s="23"/>
      <c r="D31" s="39"/>
      <c r="E31" s="23"/>
      <c r="F31" s="38"/>
      <c r="G31" s="23"/>
      <c r="H31" s="3"/>
      <c r="I31" s="23"/>
      <c r="J31" s="23"/>
      <c r="K31" s="23"/>
      <c r="L31" s="25"/>
      <c r="M31" s="35"/>
      <c r="N31" s="23"/>
      <c r="O31" s="23"/>
    </row>
    <row r="32" spans="1:18" s="1" customFormat="1" ht="18" customHeight="1" x14ac:dyDescent="0.3">
      <c r="A32" s="23"/>
      <c r="B32" s="23"/>
      <c r="C32" s="23"/>
      <c r="D32" s="39"/>
      <c r="E32" s="23"/>
      <c r="F32" s="38"/>
      <c r="G32" s="23"/>
      <c r="H32" s="3"/>
      <c r="I32" s="23"/>
      <c r="J32" s="23"/>
      <c r="K32" s="23"/>
      <c r="L32" s="25"/>
      <c r="M32" s="35"/>
      <c r="N32" s="23"/>
      <c r="O32" s="23"/>
    </row>
    <row r="33" spans="1:15" s="1" customFormat="1" ht="18" customHeight="1" x14ac:dyDescent="0.3">
      <c r="B33" s="23"/>
      <c r="C33" s="23"/>
      <c r="D33" s="25"/>
      <c r="E33" s="23"/>
      <c r="F33" s="24"/>
      <c r="G33" s="23"/>
      <c r="H33" s="3"/>
      <c r="I33" s="23"/>
      <c r="J33" s="23"/>
      <c r="K33" s="23"/>
      <c r="L33" s="25"/>
      <c r="M33" s="24"/>
      <c r="N33" s="23"/>
      <c r="O33" s="23"/>
    </row>
    <row r="34" spans="1:15" s="1" customFormat="1" ht="18" customHeight="1" x14ac:dyDescent="0.3">
      <c r="A34" s="26"/>
      <c r="H34" s="3"/>
      <c r="I34" s="23"/>
      <c r="J34" s="23"/>
      <c r="K34" s="23"/>
      <c r="L34" s="25"/>
      <c r="M34" s="35"/>
      <c r="N34" s="23"/>
      <c r="O34" s="23"/>
    </row>
    <row r="35" spans="1:15" s="1" customFormat="1" ht="14" x14ac:dyDescent="0.3">
      <c r="H35" s="3"/>
      <c r="I35" s="23"/>
      <c r="J35" s="23"/>
      <c r="K35" s="23"/>
      <c r="L35" s="25"/>
      <c r="M35" s="35"/>
      <c r="N35" s="23"/>
      <c r="O35" s="23"/>
    </row>
    <row r="36" spans="1:15" s="1" customFormat="1" ht="14" x14ac:dyDescent="0.3">
      <c r="H36" s="3"/>
      <c r="I36" s="23"/>
      <c r="J36" s="23"/>
      <c r="K36" s="23"/>
      <c r="L36" s="23"/>
      <c r="M36" s="23"/>
      <c r="N36" s="23"/>
      <c r="O36" s="23"/>
    </row>
    <row r="37" spans="1:15" s="1" customFormat="1" ht="14" x14ac:dyDescent="0.3">
      <c r="A37" s="3"/>
      <c r="B37" s="3"/>
      <c r="C37" s="3"/>
      <c r="D37" s="3"/>
      <c r="E37" s="3"/>
      <c r="F37" s="3"/>
      <c r="G37" s="3"/>
      <c r="H37" s="3"/>
      <c r="O37" s="3"/>
    </row>
    <row r="38" spans="1:15" s="1" customFormat="1" ht="14" x14ac:dyDescent="0.3">
      <c r="A38" s="3"/>
      <c r="B38" s="3"/>
      <c r="C38" s="3"/>
      <c r="D38" s="3"/>
      <c r="E38" s="3"/>
      <c r="F38" s="3"/>
      <c r="G38" s="3"/>
      <c r="H38" s="3"/>
      <c r="O38" s="3"/>
    </row>
    <row r="39" spans="1:15" s="1" customFormat="1" ht="14" x14ac:dyDescent="0.3">
      <c r="A39" s="3"/>
      <c r="B39" s="3"/>
      <c r="C39" s="3"/>
      <c r="D39" s="3"/>
      <c r="E39" s="3"/>
      <c r="F39" s="3"/>
      <c r="G39" s="3"/>
      <c r="H39" s="3"/>
      <c r="O39" s="3"/>
    </row>
    <row r="40" spans="1:15" s="1" customFormat="1" ht="14" x14ac:dyDescent="0.3">
      <c r="A40" s="3"/>
      <c r="B40" s="3"/>
      <c r="C40" s="3"/>
      <c r="D40" s="3"/>
      <c r="E40" s="3"/>
      <c r="F40" s="3"/>
      <c r="G40" s="3"/>
      <c r="H40" s="3"/>
      <c r="O40" s="3"/>
    </row>
    <row r="42" spans="1:15" s="1" customFormat="1" ht="14" x14ac:dyDescent="0.3">
      <c r="I42" s="26"/>
    </row>
  </sheetData>
  <sheetProtection sheet="1" objects="1" scenarios="1"/>
  <protectedRanges>
    <protectedRange sqref="F6 F8 F10:F11" name="Range1"/>
  </protectedRanges>
  <conditionalFormatting sqref="M18">
    <cfRule type="cellIs" dxfId="20" priority="12" operator="between">
      <formula>0</formula>
      <formula>0.6</formula>
    </cfRule>
  </conditionalFormatting>
  <conditionalFormatting sqref="F24">
    <cfRule type="expression" dxfId="19" priority="8">
      <formula>$F$19&gt;#REF!</formula>
    </cfRule>
  </conditionalFormatting>
  <conditionalFormatting sqref="F7">
    <cfRule type="expression" dxfId="18" priority="1">
      <formula>$F$7="r &lt; r_0"</formula>
    </cfRule>
    <cfRule type="expression" dxfId="17" priority="5">
      <formula>$F$7="x &lt; x_M"</formula>
    </cfRule>
    <cfRule type="expression" dxfId="16" priority="6">
      <formula>$F$7="no value"</formula>
    </cfRule>
  </conditionalFormatting>
  <conditionalFormatting sqref="F31">
    <cfRule type="expression" dxfId="15" priority="31">
      <formula>$F$19&gt;#REF!</formula>
    </cfRule>
  </conditionalFormatting>
  <conditionalFormatting sqref="F19">
    <cfRule type="expression" dxfId="14" priority="4">
      <formula>2*$F$7&lt;$F$11</formula>
    </cfRule>
  </conditionalFormatting>
  <conditionalFormatting sqref="F20:F21">
    <cfRule type="expression" dxfId="13" priority="3">
      <formula>2*$F$7&lt;$F$11</formula>
    </cfRule>
  </conditionalFormatting>
  <conditionalFormatting sqref="F22">
    <cfRule type="expression" dxfId="12" priority="2">
      <formula>2*$F$7&lt;$F$11</formula>
    </cfRule>
  </conditionalFormatting>
  <dataValidations count="1">
    <dataValidation type="list" allowBlank="1" showInputMessage="1" showErrorMessage="1" sqref="F6" xr:uid="{00000000-0002-0000-0500-000000000000}">
      <formula1>"2D, 3D"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&amp;L&amp;"Arial,Standard"&amp;12Landslide-generated Impulse Waves in Reservoirs - Basics and Computation&amp;R&amp;"Arial,Standard"doi:10.5281/zenodo.4715565</oddHeader>
    <oddFooter>&amp;L&amp;"Arial,Standard"Computational tool v1.1&amp;C&amp;"Arial,Standard"&amp;D - &amp;T&amp;R&amp;G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Button 1">
              <controlPr defaultSize="0" print="0" autoFill="0" autoPict="0" macro="[0]!Clear_Wave_Force">
                <anchor moveWithCells="1" sizeWithCells="1">
                  <from>
                    <xdr:col>5</xdr:col>
                    <xdr:colOff>12700</xdr:colOff>
                    <xdr:row>3</xdr:row>
                    <xdr:rowOff>31750</xdr:rowOff>
                  </from>
                  <to>
                    <xdr:col>5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9</vt:i4>
      </vt:variant>
    </vt:vector>
  </HeadingPairs>
  <TitlesOfParts>
    <vt:vector size="15" baseType="lpstr">
      <vt:lpstr>START</vt:lpstr>
      <vt:lpstr>Generation | Propagation (2D)</vt:lpstr>
      <vt:lpstr>Generation | Propagation (3D)</vt:lpstr>
      <vt:lpstr>Run-up | Overtopping</vt:lpstr>
      <vt:lpstr>Overland flow</vt:lpstr>
      <vt:lpstr>Wave force</vt:lpstr>
      <vt:lpstr>'Generation | Propagation (2D)'!Druckbereich</vt:lpstr>
      <vt:lpstr>'Generation | Propagation (3D)'!Druckbereich</vt:lpstr>
      <vt:lpstr>'Overland flow'!Druckbereich</vt:lpstr>
      <vt:lpstr>'Run-up | Overtopping'!Druckbereich</vt:lpstr>
      <vt:lpstr>START!Druckbereich</vt:lpstr>
      <vt:lpstr>'Wave force'!Druckbereich</vt:lpstr>
      <vt:lpstr>'Generation | Propagation (3D)'!Parameters_2D</vt:lpstr>
      <vt:lpstr>Parameters_2D</vt:lpstr>
      <vt:lpstr>Parameters_3D</vt:lpstr>
    </vt:vector>
  </TitlesOfParts>
  <Company>ETH Zuerich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Evers</dc:creator>
  <cp:lastModifiedBy>Frederic Evers</cp:lastModifiedBy>
  <cp:lastPrinted>2022-11-04T13:02:43Z</cp:lastPrinted>
  <dcterms:created xsi:type="dcterms:W3CDTF">2018-12-19T15:36:55Z</dcterms:created>
  <dcterms:modified xsi:type="dcterms:W3CDTF">2023-06-08T14:00:48Z</dcterms:modified>
  <cp:contentStatus/>
</cp:coreProperties>
</file>