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FE-01\u80792676\data\Documents\Kleinwasserkraft\Gesamtdokumentation\"/>
    </mc:Choice>
  </mc:AlternateContent>
  <bookViews>
    <workbookView xWindow="120" yWindow="192" windowWidth="24240" windowHeight="13740" tabRatio="717" activeTab="3"/>
  </bookViews>
  <sheets>
    <sheet name="Eingabemaske" sheetId="1" r:id="rId1"/>
    <sheet name="Resultate Rentabilitätsrg" sheetId="2" r:id="rId2"/>
    <sheet name="Resultate Kapitalwertrg" sheetId="3" r:id="rId3"/>
    <sheet name="Resultate Gestehungskosten" sheetId="4" r:id="rId4"/>
  </sheets>
  <calcPr calcId="171027"/>
</workbook>
</file>

<file path=xl/calcChain.xml><?xml version="1.0" encoding="utf-8"?>
<calcChain xmlns="http://schemas.openxmlformats.org/spreadsheetml/2006/main">
  <c r="D38" i="1" l="1"/>
  <c r="A27" i="4" l="1"/>
  <c r="B27" i="4"/>
  <c r="A28" i="4"/>
  <c r="B28" i="4"/>
  <c r="A29" i="4"/>
  <c r="B29" i="4"/>
  <c r="A34" i="4"/>
  <c r="A35" i="4"/>
  <c r="A36" i="4"/>
  <c r="A37" i="4"/>
  <c r="A38" i="4"/>
  <c r="B30" i="4" l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4" i="3" l="1"/>
  <c r="D27" i="1"/>
  <c r="C9" i="1"/>
  <c r="B11" i="1" s="1"/>
  <c r="B16" i="4" l="1"/>
  <c r="B14" i="4"/>
  <c r="B13" i="4"/>
  <c r="B9" i="4"/>
  <c r="B8" i="4"/>
  <c r="B7" i="4"/>
  <c r="B6" i="4"/>
  <c r="B12" i="4"/>
  <c r="A9" i="4"/>
  <c r="A8" i="4"/>
  <c r="A7" i="4"/>
  <c r="A12" i="4"/>
  <c r="A6" i="4"/>
  <c r="B10" i="4" l="1"/>
  <c r="B31" i="2"/>
  <c r="B27" i="3"/>
  <c r="A27" i="3"/>
  <c r="B24" i="3" l="1"/>
  <c r="B23" i="3"/>
  <c r="B22" i="3"/>
  <c r="B18" i="3"/>
  <c r="B17" i="3"/>
  <c r="B16" i="3"/>
  <c r="B15" i="3"/>
  <c r="B11" i="3"/>
  <c r="A18" i="3"/>
  <c r="A17" i="3"/>
  <c r="A16" i="3"/>
  <c r="A15" i="3"/>
  <c r="A14" i="3"/>
  <c r="B9" i="3"/>
  <c r="A9" i="3"/>
  <c r="B8" i="3"/>
  <c r="A8" i="3"/>
  <c r="B7" i="3"/>
  <c r="A7" i="3"/>
  <c r="B10" i="3" l="1"/>
  <c r="A17" i="2"/>
  <c r="A16" i="2"/>
  <c r="A15" i="2"/>
  <c r="A14" i="2"/>
  <c r="A13" i="2"/>
  <c r="B23" i="2"/>
  <c r="B22" i="2"/>
  <c r="B21" i="2"/>
  <c r="B17" i="2"/>
  <c r="B16" i="2"/>
  <c r="B15" i="2"/>
  <c r="B14" i="2"/>
  <c r="B13" i="2"/>
  <c r="B8" i="2"/>
  <c r="B7" i="2"/>
  <c r="B6" i="2"/>
  <c r="B10" i="2"/>
  <c r="A8" i="2"/>
  <c r="A7" i="2"/>
  <c r="A6" i="2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C43" i="1"/>
  <c r="B19" i="3" l="1"/>
  <c r="B25" i="3"/>
  <c r="B13" i="1"/>
  <c r="X35" i="1"/>
  <c r="AB35" i="1"/>
  <c r="Y35" i="1"/>
  <c r="Z35" i="1"/>
  <c r="AA35" i="1"/>
  <c r="J35" i="1"/>
  <c r="R35" i="1"/>
  <c r="E35" i="1"/>
  <c r="I35" i="1"/>
  <c r="M35" i="1"/>
  <c r="Q35" i="1"/>
  <c r="U35" i="1"/>
  <c r="F35" i="1"/>
  <c r="N35" i="1"/>
  <c r="V35" i="1"/>
  <c r="G35" i="1"/>
  <c r="K35" i="1"/>
  <c r="O35" i="1"/>
  <c r="S35" i="1"/>
  <c r="H35" i="1"/>
  <c r="L35" i="1"/>
  <c r="P35" i="1"/>
  <c r="T35" i="1"/>
  <c r="W35" i="1"/>
  <c r="W43" i="1" s="1"/>
  <c r="D35" i="1"/>
  <c r="B24" i="2"/>
  <c r="B9" i="2"/>
  <c r="B27" i="2" s="1"/>
  <c r="B18" i="2"/>
  <c r="AA37" i="1" l="1"/>
  <c r="AA39" i="1" s="1"/>
  <c r="AA41" i="1" s="1"/>
  <c r="AA43" i="1"/>
  <c r="Z37" i="1"/>
  <c r="Z39" i="1" s="1"/>
  <c r="Z41" i="1" s="1"/>
  <c r="Z43" i="1"/>
  <c r="X37" i="1"/>
  <c r="X39" i="1" s="1"/>
  <c r="X41" i="1" s="1"/>
  <c r="X43" i="1"/>
  <c r="Y37" i="1"/>
  <c r="Y39" i="1" s="1"/>
  <c r="Y41" i="1" s="1"/>
  <c r="Y43" i="1"/>
  <c r="AB37" i="1"/>
  <c r="AB39" i="1" s="1"/>
  <c r="AB41" i="1" s="1"/>
  <c r="AB43" i="1"/>
  <c r="B15" i="4"/>
  <c r="B17" i="4" s="1"/>
  <c r="B19" i="4" s="1"/>
  <c r="B23" i="4"/>
  <c r="B33" i="2"/>
  <c r="W37" i="1"/>
  <c r="W39" i="1" s="1"/>
  <c r="W41" i="1" s="1"/>
  <c r="V37" i="1"/>
  <c r="V39" i="1" s="1"/>
  <c r="V41" i="1" s="1"/>
  <c r="V43" i="1"/>
  <c r="T37" i="1"/>
  <c r="T39" i="1" s="1"/>
  <c r="T41" i="1" s="1"/>
  <c r="T43" i="1"/>
  <c r="S37" i="1"/>
  <c r="S39" i="1" s="1"/>
  <c r="S41" i="1" s="1"/>
  <c r="S43" i="1"/>
  <c r="R37" i="1"/>
  <c r="R39" i="1" s="1"/>
  <c r="R41" i="1" s="1"/>
  <c r="R43" i="1"/>
  <c r="P37" i="1"/>
  <c r="P39" i="1" s="1"/>
  <c r="P41" i="1" s="1"/>
  <c r="P43" i="1"/>
  <c r="O37" i="1"/>
  <c r="O39" i="1" s="1"/>
  <c r="O41" i="1" s="1"/>
  <c r="O43" i="1"/>
  <c r="N37" i="1"/>
  <c r="N39" i="1" s="1"/>
  <c r="N41" i="1" s="1"/>
  <c r="N43" i="1"/>
  <c r="M37" i="1"/>
  <c r="M39" i="1" s="1"/>
  <c r="M41" i="1" s="1"/>
  <c r="M43" i="1"/>
  <c r="J37" i="1"/>
  <c r="J39" i="1" s="1"/>
  <c r="J41" i="1" s="1"/>
  <c r="J43" i="1"/>
  <c r="L37" i="1"/>
  <c r="L39" i="1" s="1"/>
  <c r="L41" i="1" s="1"/>
  <c r="L43" i="1"/>
  <c r="K37" i="1"/>
  <c r="K39" i="1" s="1"/>
  <c r="K41" i="1" s="1"/>
  <c r="K43" i="1"/>
  <c r="F37" i="1"/>
  <c r="F39" i="1" s="1"/>
  <c r="F41" i="1" s="1"/>
  <c r="F43" i="1"/>
  <c r="I37" i="1"/>
  <c r="I39" i="1" s="1"/>
  <c r="I41" i="1" s="1"/>
  <c r="I43" i="1"/>
  <c r="H37" i="1"/>
  <c r="H39" i="1" s="1"/>
  <c r="H41" i="1" s="1"/>
  <c r="H43" i="1"/>
  <c r="G37" i="1"/>
  <c r="G39" i="1" s="1"/>
  <c r="G41" i="1" s="1"/>
  <c r="G43" i="1"/>
  <c r="U37" i="1"/>
  <c r="U39" i="1" s="1"/>
  <c r="U41" i="1" s="1"/>
  <c r="U43" i="1"/>
  <c r="E37" i="1"/>
  <c r="E39" i="1" s="1"/>
  <c r="E41" i="1" s="1"/>
  <c r="E43" i="1"/>
  <c r="Q37" i="1"/>
  <c r="Q39" i="1" s="1"/>
  <c r="Q41" i="1" s="1"/>
  <c r="Q43" i="1"/>
  <c r="D37" i="1"/>
  <c r="D39" i="1" s="1"/>
  <c r="D41" i="1" s="1"/>
  <c r="D43" i="1"/>
  <c r="B28" i="3"/>
  <c r="B26" i="2"/>
  <c r="B41" i="4" l="1"/>
  <c r="B39" i="4"/>
  <c r="B36" i="4"/>
  <c r="B31" i="4"/>
  <c r="B37" i="4"/>
  <c r="B38" i="4"/>
  <c r="B35" i="4"/>
  <c r="B34" i="4"/>
  <c r="B45" i="4"/>
  <c r="B30" i="3"/>
  <c r="B32" i="2"/>
  <c r="B34" i="2" s="1"/>
  <c r="B28" i="2"/>
  <c r="B29" i="2" s="1"/>
  <c r="B43" i="4" l="1"/>
  <c r="B46" i="4" s="1"/>
</calcChain>
</file>

<file path=xl/comments1.xml><?xml version="1.0" encoding="utf-8"?>
<comments xmlns="http://schemas.openxmlformats.org/spreadsheetml/2006/main">
  <authors>
    <author>Ribi, Felix</author>
  </authors>
  <commentList>
    <comment ref="A5" authorId="0" shapeId="0">
      <text>
        <r>
          <rPr>
            <sz val="9"/>
            <color indexed="81"/>
            <rFont val="Tahoma"/>
            <charset val="1"/>
          </rPr>
          <t>Entwicklungs-, Planungs- und Realisierungskosten</t>
        </r>
      </text>
    </comment>
    <comment ref="A10" authorId="0" shapeId="0">
      <text>
        <r>
          <rPr>
            <sz val="9"/>
            <color indexed="81"/>
            <rFont val="Tahoma"/>
            <charset val="1"/>
          </rPr>
          <t>Total Investitionskosten - Total Abschreibungen sollten mit Restwert am Ende der Laufzeit übereinstimmen</t>
        </r>
      </text>
    </comment>
    <comment ref="A15" authorId="0" shapeId="0">
      <text>
        <r>
          <rPr>
            <b/>
            <sz val="9"/>
            <color indexed="81"/>
            <rFont val="Tahoma"/>
            <family val="2"/>
          </rPr>
          <t>Ribi, Felix:</t>
        </r>
        <r>
          <rPr>
            <sz val="9"/>
            <color indexed="81"/>
            <rFont val="Tahoma"/>
            <family val="2"/>
          </rPr>
          <t xml:space="preserve">
Nur für Kapitalwertrechnung relevant</t>
        </r>
      </text>
    </comment>
    <comment ref="A36" authorId="0" shapeId="0">
      <text>
        <r>
          <rPr>
            <b/>
            <sz val="9"/>
            <color indexed="81"/>
            <rFont val="Tahoma"/>
            <charset val="1"/>
          </rPr>
          <t>Total Investitionskosten - Total Abschreibungen sollten mit Restwert am Ende der Laufzeit übereinstimmen</t>
        </r>
      </text>
    </comment>
  </commentList>
</comments>
</file>

<file path=xl/comments2.xml><?xml version="1.0" encoding="utf-8"?>
<comments xmlns="http://schemas.openxmlformats.org/spreadsheetml/2006/main">
  <authors>
    <author>Ribi, Felix</author>
  </authors>
  <commentList>
    <comment ref="A5" authorId="0" shapeId="0">
      <text>
        <r>
          <rPr>
            <sz val="9"/>
            <color indexed="81"/>
            <rFont val="Tahoma"/>
            <charset val="1"/>
          </rPr>
          <t>Entwicklungs-, Planungs- und Realisierungskosten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 xml:space="preserve">vor Steuern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vor Steuern</t>
        </r>
      </text>
    </comment>
    <comment ref="A34" authorId="0" shapeId="0">
      <text>
        <r>
          <rPr>
            <b/>
            <sz val="9"/>
            <color indexed="81"/>
            <rFont val="Tahoma"/>
            <family val="2"/>
          </rPr>
          <t>vor Steuern</t>
        </r>
      </text>
    </comment>
  </commentList>
</comments>
</file>

<file path=xl/comments3.xml><?xml version="1.0" encoding="utf-8"?>
<comments xmlns="http://schemas.openxmlformats.org/spreadsheetml/2006/main">
  <authors>
    <author>Ribi, Felix</author>
  </authors>
  <commentList>
    <comment ref="A6" authorId="0" shapeId="0">
      <text>
        <r>
          <rPr>
            <sz val="9"/>
            <color indexed="81"/>
            <rFont val="Tahoma"/>
            <charset val="1"/>
          </rPr>
          <t>Entwicklungs-, Planungs- und Realisierungskosten</t>
        </r>
      </text>
    </comment>
  </commentList>
</comments>
</file>

<file path=xl/comments4.xml><?xml version="1.0" encoding="utf-8"?>
<comments xmlns="http://schemas.openxmlformats.org/spreadsheetml/2006/main">
  <authors>
    <author>Ribi, Felix</author>
  </authors>
  <commentList>
    <comment ref="A26" authorId="0" shapeId="0">
      <text>
        <r>
          <rPr>
            <sz val="9"/>
            <color indexed="81"/>
            <rFont val="Tahoma"/>
            <charset val="1"/>
          </rPr>
          <t>Entwicklungs-, Planungs- und Realisierungskosten</t>
        </r>
      </text>
    </comment>
  </commentList>
</comments>
</file>

<file path=xl/sharedStrings.xml><?xml version="1.0" encoding="utf-8"?>
<sst xmlns="http://schemas.openxmlformats.org/spreadsheetml/2006/main" count="103" uniqueCount="62">
  <si>
    <t>Ertrag</t>
  </si>
  <si>
    <t>Investionskosten</t>
  </si>
  <si>
    <t>Eingabemaske</t>
  </si>
  <si>
    <t>Total Investitionskosten</t>
  </si>
  <si>
    <t>Wasserzinsen</t>
  </si>
  <si>
    <t>Versicherungen</t>
  </si>
  <si>
    <t>Betriebs- und Unterhaltkosten</t>
  </si>
  <si>
    <t>Übriger Betriebsaufwand</t>
  </si>
  <si>
    <t>Total Betriebsaufwand</t>
  </si>
  <si>
    <t>Verkauf Elektrizität</t>
  </si>
  <si>
    <t>Verkauf HKN (ökolog. Qualität)</t>
  </si>
  <si>
    <t>Übriger Ertrag</t>
  </si>
  <si>
    <t>Total Ertrag</t>
  </si>
  <si>
    <t>Restwert am Ende der Laufzeit</t>
  </si>
  <si>
    <t>Betriebsjahr</t>
  </si>
  <si>
    <t>Resultate Rentabilitätsberechnung</t>
  </si>
  <si>
    <t>Durchschnittlich eingesetztes Kapital</t>
  </si>
  <si>
    <t>Rentabilität</t>
  </si>
  <si>
    <t>EBIT - Gewinn vor Zinsen und Steuern</t>
  </si>
  <si>
    <t>Fremdkapitalzinsen</t>
  </si>
  <si>
    <t>Jährliche Gesamtkapitalrendite</t>
  </si>
  <si>
    <t>Statische Berechnungsmethode</t>
  </si>
  <si>
    <t>Durchschnittlich eingesetztes Eigenkapital</t>
  </si>
  <si>
    <t>Jährliche Eigenkapitalrendite</t>
  </si>
  <si>
    <t>Resultate Kapitalwertberechnung</t>
  </si>
  <si>
    <t>Dynamische Berechnungsmethode</t>
  </si>
  <si>
    <t>Durchschnittlich eingesetztes Fremdkapital</t>
  </si>
  <si>
    <t>Kapitalwert (NPV)</t>
  </si>
  <si>
    <t>Kalkulatorischer Zinssatz</t>
  </si>
  <si>
    <t>Interner Zinssatz (IRR)</t>
  </si>
  <si>
    <t>Barwerte</t>
  </si>
  <si>
    <t>Aufwand</t>
  </si>
  <si>
    <t>Total Aufwand</t>
  </si>
  <si>
    <t>Abschreibungen</t>
  </si>
  <si>
    <t>Steuern</t>
  </si>
  <si>
    <t>Nettogewinn</t>
  </si>
  <si>
    <t>EBT - Gewinn vor Steuern</t>
  </si>
  <si>
    <t>EBITDA - Gewinn vor Zinsen, Steuern und Abschreibungen</t>
  </si>
  <si>
    <t>EBIT -  Gewinn vor Zinsen und Steuern</t>
  </si>
  <si>
    <t>EBT -  Gewinn vor Steuern</t>
  </si>
  <si>
    <t>Operating Cash Flow</t>
  </si>
  <si>
    <t>Resultate Gestehungskosten</t>
  </si>
  <si>
    <t>Betriebsaufwand</t>
  </si>
  <si>
    <t>Eigenkapitalzinsen</t>
  </si>
  <si>
    <t>Jährlicher Durchschnitt</t>
  </si>
  <si>
    <t>Durchschnittliche jährliche Stromerzeugung in GWh</t>
  </si>
  <si>
    <t>Gestehungskosten in Rp./kWh</t>
  </si>
  <si>
    <t>Eigenkapitalzins für Berechnung Gestehungskosten</t>
  </si>
  <si>
    <t>Bauliche Anlageteile</t>
  </si>
  <si>
    <t>Elektromechanische Anlageteile</t>
  </si>
  <si>
    <t>Übrige Investitionskosten</t>
  </si>
  <si>
    <t>Investitionsdauer (Jahre)</t>
  </si>
  <si>
    <t>Vermarktungs- und Verwaltungskosten</t>
  </si>
  <si>
    <t>Leistung in kW</t>
  </si>
  <si>
    <t>Betriebskosten</t>
  </si>
  <si>
    <t>Total Betriebskosten</t>
  </si>
  <si>
    <t>Total Kosten (abzüglich Restwert)</t>
  </si>
  <si>
    <t>Gesamte Energieerzeugung in kWh</t>
  </si>
  <si>
    <t>Kalkulatorischer Zinssatz für FK und EK</t>
  </si>
  <si>
    <t>Fremdkapitalzinsfuss</t>
  </si>
  <si>
    <t>Eingabefelder</t>
  </si>
  <si>
    <t>Automatische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</si>
</sst>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9">
    <font>
      <sz val="10"/>
      <color theme="1"/>
      <name val="Frutiger Light"/>
      <family val="2"/>
    </font>
    <font>
      <sz val="10"/>
      <color theme="1"/>
      <name val="Frutiger Light"/>
      <family val="2"/>
    </font>
    <font>
      <b/>
      <sz val="10"/>
      <color theme="1"/>
      <name val="Frutiger Light"/>
      <family val="2"/>
    </font>
    <font>
      <sz val="9"/>
      <color indexed="81"/>
      <name val="Tahoma"/>
      <charset val="1"/>
    </font>
    <font>
      <b/>
      <sz val="18"/>
      <color theme="1"/>
      <name val="Frutiger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Frutiger Light"/>
      <family val="2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1" xfId="0" applyFont="1" applyFill="1" applyBorder="1"/>
    <xf numFmtId="0" fontId="4" fillId="0" borderId="0" xfId="0" applyFont="1"/>
    <xf numFmtId="0" fontId="0" fillId="0" borderId="1" xfId="0" applyBorder="1"/>
    <xf numFmtId="0" fontId="0" fillId="2" borderId="1" xfId="0" applyFill="1" applyBorder="1"/>
    <xf numFmtId="49" fontId="0" fillId="2" borderId="0" xfId="0" applyNumberFormat="1" applyFill="1"/>
    <xf numFmtId="164" fontId="0" fillId="2" borderId="0" xfId="1" applyNumberFormat="1" applyFont="1" applyFill="1"/>
    <xf numFmtId="164" fontId="0" fillId="2" borderId="1" xfId="1" applyNumberFormat="1" applyFont="1" applyFill="1" applyBorder="1"/>
    <xf numFmtId="164" fontId="0" fillId="2" borderId="0" xfId="0" applyNumberFormat="1" applyFill="1"/>
    <xf numFmtId="0" fontId="7" fillId="0" borderId="0" xfId="0" applyFont="1"/>
    <xf numFmtId="164" fontId="2" fillId="2" borderId="0" xfId="0" applyNumberFormat="1" applyFont="1" applyFill="1"/>
    <xf numFmtId="9" fontId="2" fillId="2" borderId="0" xfId="2" applyFont="1" applyFill="1"/>
    <xf numFmtId="10" fontId="2" fillId="2" borderId="0" xfId="2" applyNumberFormat="1" applyFont="1" applyFill="1"/>
    <xf numFmtId="0" fontId="2" fillId="0" borderId="0" xfId="0" applyFont="1"/>
    <xf numFmtId="164" fontId="2" fillId="2" borderId="0" xfId="1" applyNumberFormat="1" applyFont="1" applyFill="1"/>
    <xf numFmtId="164" fontId="2" fillId="2" borderId="0" xfId="2" applyNumberFormat="1" applyFont="1" applyFill="1"/>
    <xf numFmtId="164" fontId="1" fillId="2" borderId="0" xfId="2" applyNumberFormat="1" applyFont="1" applyFill="1"/>
    <xf numFmtId="0" fontId="0" fillId="0" borderId="0" xfId="0" applyFill="1"/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vertical="top"/>
    </xf>
    <xf numFmtId="164" fontId="2" fillId="2" borderId="1" xfId="1" applyNumberFormat="1" applyFont="1" applyFill="1" applyBorder="1"/>
    <xf numFmtId="0" fontId="2" fillId="2" borderId="0" xfId="0" applyFont="1" applyFill="1" applyBorder="1"/>
    <xf numFmtId="164" fontId="2" fillId="2" borderId="0" xfId="1" applyNumberFormat="1" applyFont="1" applyFill="1" applyBorder="1"/>
    <xf numFmtId="43" fontId="2" fillId="2" borderId="0" xfId="0" applyNumberFormat="1" applyFont="1" applyFill="1"/>
    <xf numFmtId="49" fontId="0" fillId="2" borderId="1" xfId="0" applyNumberFormat="1" applyFill="1" applyBorder="1"/>
    <xf numFmtId="2" fontId="0" fillId="2" borderId="0" xfId="0" applyNumberFormat="1" applyFont="1" applyFill="1"/>
    <xf numFmtId="0" fontId="0" fillId="3" borderId="0" xfId="0" applyFill="1"/>
    <xf numFmtId="164" fontId="0" fillId="3" borderId="0" xfId="1" applyNumberFormat="1" applyFont="1" applyFill="1" applyProtection="1">
      <protection locked="0"/>
    </xf>
    <xf numFmtId="164" fontId="0" fillId="3" borderId="1" xfId="1" applyNumberFormat="1" applyFont="1" applyFill="1" applyBorder="1" applyProtection="1">
      <protection locked="0"/>
    </xf>
    <xf numFmtId="0" fontId="0" fillId="3" borderId="0" xfId="0" applyNumberFormat="1" applyFill="1" applyProtection="1">
      <protection locked="0"/>
    </xf>
    <xf numFmtId="10" fontId="0" fillId="3" borderId="0" xfId="2" applyNumberFormat="1" applyFont="1" applyFill="1" applyProtection="1">
      <protection locked="0"/>
    </xf>
    <xf numFmtId="2" fontId="0" fillId="3" borderId="0" xfId="2" applyNumberFormat="1" applyFont="1" applyFill="1" applyProtection="1">
      <protection locked="0"/>
    </xf>
    <xf numFmtId="164" fontId="0" fillId="3" borderId="0" xfId="1" applyNumberFormat="1" applyFont="1" applyFill="1" applyAlignment="1" applyProtection="1">
      <alignment horizontal="right"/>
      <protection locked="0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2196573</xdr:colOff>
      <xdr:row>1</xdr:row>
      <xdr:rowOff>47625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E0C3BED9-5750-4430-A894-6128C083B4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4" t="11651"/>
        <a:stretch/>
      </xdr:blipFill>
      <xdr:spPr>
        <a:xfrm>
          <a:off x="9524" y="0"/>
          <a:ext cx="2187049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2187049</xdr:colOff>
      <xdr:row>1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529BB31E-1328-4B21-96A0-439F4CCBF4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4" t="11651"/>
        <a:stretch/>
      </xdr:blipFill>
      <xdr:spPr>
        <a:xfrm>
          <a:off x="0" y="0"/>
          <a:ext cx="2187049" cy="866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2187049</xdr:colOff>
      <xdr:row>1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BCA8C92A-5D41-444B-AA30-1FAEC5BA78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4" t="11651"/>
        <a:stretch/>
      </xdr:blipFill>
      <xdr:spPr>
        <a:xfrm>
          <a:off x="0" y="0"/>
          <a:ext cx="2187049" cy="866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2187049</xdr:colOff>
      <xdr:row>1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BDB412EB-1EDD-494A-AFC9-129439AA18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4" t="11651"/>
        <a:stretch/>
      </xdr:blipFill>
      <xdr:spPr>
        <a:xfrm>
          <a:off x="0" y="0"/>
          <a:ext cx="2187049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7"/>
  <sheetViews>
    <sheetView zoomScaleNormal="100" workbookViewId="0">
      <selection activeCell="B1" sqref="B1"/>
    </sheetView>
  </sheetViews>
  <sheetFormatPr baseColWidth="10" defaultColWidth="11.44140625" defaultRowHeight="13.2"/>
  <cols>
    <col min="1" max="1" width="46.6640625" customWidth="1"/>
    <col min="2" max="2" width="12" bestFit="1" customWidth="1"/>
    <col min="3" max="28" width="12" customWidth="1"/>
  </cols>
  <sheetData>
    <row r="1" spans="1:28" ht="64.5" customHeight="1"/>
    <row r="2" spans="1:28" ht="22.8">
      <c r="A2" s="4" t="s">
        <v>2</v>
      </c>
    </row>
    <row r="4" spans="1:28">
      <c r="A4" s="1"/>
      <c r="B4" s="3" t="s">
        <v>14</v>
      </c>
      <c r="C4" s="3">
        <v>0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</row>
    <row r="5" spans="1:28">
      <c r="A5" s="2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>
      <c r="A6" s="1" t="s">
        <v>48</v>
      </c>
      <c r="B6" s="1"/>
      <c r="C6" s="31">
        <v>6500000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>
      <c r="A7" s="1" t="s">
        <v>49</v>
      </c>
      <c r="B7" s="1"/>
      <c r="C7" s="31">
        <v>2200000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s="5" customFormat="1">
      <c r="A8" s="6" t="s">
        <v>50</v>
      </c>
      <c r="B8" s="6"/>
      <c r="C8" s="32">
        <v>1000000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>
      <c r="A9" s="2" t="s">
        <v>3</v>
      </c>
      <c r="B9" s="2"/>
      <c r="C9" s="16">
        <f>SUM(C6:C8)</f>
        <v>9700000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>
      <c r="A10" s="2" t="s">
        <v>13</v>
      </c>
      <c r="B10" s="1"/>
      <c r="C10" s="1"/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1000000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</row>
    <row r="11" spans="1:28">
      <c r="A11" s="2" t="s">
        <v>16</v>
      </c>
      <c r="B11" s="8">
        <f>(C9+SUM(D10:AB10))/2</f>
        <v>5350000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>
      <c r="A12" s="2" t="s">
        <v>26</v>
      </c>
      <c r="B12" s="31">
        <v>3500000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>
      <c r="A13" s="2" t="s">
        <v>22</v>
      </c>
      <c r="B13" s="8">
        <f>(C9+SUM(D10:AB10))/2-B12</f>
        <v>1850000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>
      <c r="A14" s="2" t="s">
        <v>51</v>
      </c>
      <c r="B14" s="33">
        <v>20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>
      <c r="A15" s="2" t="s">
        <v>28</v>
      </c>
      <c r="B15" s="34">
        <v>0.04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>
      <c r="A16" s="2" t="s">
        <v>59</v>
      </c>
      <c r="B16" s="34">
        <v>0.03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>
      <c r="A17" s="2" t="s">
        <v>47</v>
      </c>
      <c r="B17" s="34">
        <v>0.05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>
      <c r="A18" s="2" t="s">
        <v>45</v>
      </c>
      <c r="B18" s="35">
        <v>5.2</v>
      </c>
      <c r="C18" s="2"/>
      <c r="D18" s="29">
        <f>$B$18</f>
        <v>5.2</v>
      </c>
      <c r="E18" s="29">
        <f t="shared" ref="E18:W18" si="0">$B$18</f>
        <v>5.2</v>
      </c>
      <c r="F18" s="29">
        <f t="shared" si="0"/>
        <v>5.2</v>
      </c>
      <c r="G18" s="29">
        <f t="shared" si="0"/>
        <v>5.2</v>
      </c>
      <c r="H18" s="29">
        <f t="shared" si="0"/>
        <v>5.2</v>
      </c>
      <c r="I18" s="29">
        <f t="shared" si="0"/>
        <v>5.2</v>
      </c>
      <c r="J18" s="29">
        <f t="shared" si="0"/>
        <v>5.2</v>
      </c>
      <c r="K18" s="29">
        <f t="shared" si="0"/>
        <v>5.2</v>
      </c>
      <c r="L18" s="29">
        <f t="shared" si="0"/>
        <v>5.2</v>
      </c>
      <c r="M18" s="29">
        <f t="shared" si="0"/>
        <v>5.2</v>
      </c>
      <c r="N18" s="29">
        <f t="shared" si="0"/>
        <v>5.2</v>
      </c>
      <c r="O18" s="29">
        <f t="shared" si="0"/>
        <v>5.2</v>
      </c>
      <c r="P18" s="29">
        <f t="shared" si="0"/>
        <v>5.2</v>
      </c>
      <c r="Q18" s="29">
        <f t="shared" si="0"/>
        <v>5.2</v>
      </c>
      <c r="R18" s="29">
        <f t="shared" si="0"/>
        <v>5.2</v>
      </c>
      <c r="S18" s="29">
        <f t="shared" si="0"/>
        <v>5.2</v>
      </c>
      <c r="T18" s="29">
        <f t="shared" si="0"/>
        <v>5.2</v>
      </c>
      <c r="U18" s="29">
        <f t="shared" si="0"/>
        <v>5.2</v>
      </c>
      <c r="V18" s="29">
        <f t="shared" si="0"/>
        <v>5.2</v>
      </c>
      <c r="W18" s="29">
        <f t="shared" si="0"/>
        <v>5.2</v>
      </c>
      <c r="X18" s="2"/>
      <c r="Y18" s="2"/>
      <c r="Z18" s="2"/>
      <c r="AA18" s="2"/>
      <c r="AB18" s="2"/>
    </row>
    <row r="19" spans="1:28">
      <c r="A19" s="2" t="s">
        <v>53</v>
      </c>
      <c r="B19" s="36">
        <v>1500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>
      <c r="A21" s="2" t="s">
        <v>31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>
      <c r="A22" s="1" t="s">
        <v>6</v>
      </c>
      <c r="B22" s="1"/>
      <c r="C22" s="1"/>
      <c r="D22" s="31">
        <v>120000</v>
      </c>
      <c r="E22" s="31">
        <v>120000</v>
      </c>
      <c r="F22" s="31">
        <v>120000</v>
      </c>
      <c r="G22" s="31">
        <v>120000</v>
      </c>
      <c r="H22" s="31">
        <v>120000</v>
      </c>
      <c r="I22" s="31">
        <v>120000</v>
      </c>
      <c r="J22" s="31">
        <v>120000</v>
      </c>
      <c r="K22" s="31">
        <v>120000</v>
      </c>
      <c r="L22" s="31">
        <v>120000</v>
      </c>
      <c r="M22" s="31">
        <v>120000</v>
      </c>
      <c r="N22" s="31">
        <v>140000</v>
      </c>
      <c r="O22" s="31">
        <v>140000</v>
      </c>
      <c r="P22" s="31">
        <v>140000</v>
      </c>
      <c r="Q22" s="31">
        <v>140000</v>
      </c>
      <c r="R22" s="31">
        <v>140000</v>
      </c>
      <c r="S22" s="31">
        <v>140000</v>
      </c>
      <c r="T22" s="31">
        <v>140000</v>
      </c>
      <c r="U22" s="31">
        <v>140000</v>
      </c>
      <c r="V22" s="31">
        <v>140000</v>
      </c>
      <c r="W22" s="31">
        <v>140000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</row>
    <row r="23" spans="1:28">
      <c r="A23" s="1" t="s">
        <v>4</v>
      </c>
      <c r="B23" s="1"/>
      <c r="C23" s="1"/>
      <c r="D23" s="31">
        <v>82500</v>
      </c>
      <c r="E23" s="31">
        <v>82500</v>
      </c>
      <c r="F23" s="31">
        <v>82500</v>
      </c>
      <c r="G23" s="31">
        <v>82500</v>
      </c>
      <c r="H23" s="31">
        <v>82500</v>
      </c>
      <c r="I23" s="31">
        <v>82500</v>
      </c>
      <c r="J23" s="31">
        <v>82500</v>
      </c>
      <c r="K23" s="31">
        <v>82500</v>
      </c>
      <c r="L23" s="31">
        <v>82500</v>
      </c>
      <c r="M23" s="31">
        <v>82500</v>
      </c>
      <c r="N23" s="31">
        <v>82500</v>
      </c>
      <c r="O23" s="31">
        <v>82500</v>
      </c>
      <c r="P23" s="31">
        <v>82500</v>
      </c>
      <c r="Q23" s="31">
        <v>82500</v>
      </c>
      <c r="R23" s="31">
        <v>82500</v>
      </c>
      <c r="S23" s="31">
        <v>82500</v>
      </c>
      <c r="T23" s="31">
        <v>82500</v>
      </c>
      <c r="U23" s="31">
        <v>82500</v>
      </c>
      <c r="V23" s="31">
        <v>82500</v>
      </c>
      <c r="W23" s="31">
        <v>82500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</row>
    <row r="24" spans="1:28">
      <c r="A24" s="1" t="s">
        <v>5</v>
      </c>
      <c r="B24" s="1"/>
      <c r="C24" s="1"/>
      <c r="D24" s="31">
        <v>20000</v>
      </c>
      <c r="E24" s="31">
        <v>20000</v>
      </c>
      <c r="F24" s="31">
        <v>20000</v>
      </c>
      <c r="G24" s="31">
        <v>20000</v>
      </c>
      <c r="H24" s="31">
        <v>20000</v>
      </c>
      <c r="I24" s="31">
        <v>20000</v>
      </c>
      <c r="J24" s="31">
        <v>20000</v>
      </c>
      <c r="K24" s="31">
        <v>20000</v>
      </c>
      <c r="L24" s="31">
        <v>20000</v>
      </c>
      <c r="M24" s="31">
        <v>20000</v>
      </c>
      <c r="N24" s="31">
        <v>20000</v>
      </c>
      <c r="O24" s="31">
        <v>20000</v>
      </c>
      <c r="P24" s="31">
        <v>20000</v>
      </c>
      <c r="Q24" s="31">
        <v>20000</v>
      </c>
      <c r="R24" s="31">
        <v>20000</v>
      </c>
      <c r="S24" s="31">
        <v>20000</v>
      </c>
      <c r="T24" s="31">
        <v>20000</v>
      </c>
      <c r="U24" s="31">
        <v>20000</v>
      </c>
      <c r="V24" s="31">
        <v>20000</v>
      </c>
      <c r="W24" s="31">
        <v>20000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</row>
    <row r="25" spans="1:28">
      <c r="A25" s="1" t="s">
        <v>52</v>
      </c>
      <c r="B25" s="1"/>
      <c r="C25" s="1"/>
      <c r="D25" s="31">
        <v>20000</v>
      </c>
      <c r="E25" s="31">
        <v>20000</v>
      </c>
      <c r="F25" s="31">
        <v>20000</v>
      </c>
      <c r="G25" s="31">
        <v>20000</v>
      </c>
      <c r="H25" s="31">
        <v>20000</v>
      </c>
      <c r="I25" s="31">
        <v>20000</v>
      </c>
      <c r="J25" s="31">
        <v>20000</v>
      </c>
      <c r="K25" s="31">
        <v>20000</v>
      </c>
      <c r="L25" s="31">
        <v>20000</v>
      </c>
      <c r="M25" s="31">
        <v>20000</v>
      </c>
      <c r="N25" s="31">
        <v>20000</v>
      </c>
      <c r="O25" s="31">
        <v>20000</v>
      </c>
      <c r="P25" s="31">
        <v>20000</v>
      </c>
      <c r="Q25" s="31">
        <v>20000</v>
      </c>
      <c r="R25" s="31">
        <v>20000</v>
      </c>
      <c r="S25" s="31">
        <v>20000</v>
      </c>
      <c r="T25" s="31">
        <v>20000</v>
      </c>
      <c r="U25" s="31">
        <v>20000</v>
      </c>
      <c r="V25" s="31">
        <v>20000</v>
      </c>
      <c r="W25" s="31">
        <v>20000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</row>
    <row r="26" spans="1:28" s="5" customFormat="1">
      <c r="A26" s="6" t="s">
        <v>7</v>
      </c>
      <c r="B26" s="6"/>
      <c r="C26" s="6"/>
      <c r="D26" s="32">
        <v>10000</v>
      </c>
      <c r="E26" s="32">
        <v>10000</v>
      </c>
      <c r="F26" s="32">
        <v>10000</v>
      </c>
      <c r="G26" s="32">
        <v>10000</v>
      </c>
      <c r="H26" s="32">
        <v>10000</v>
      </c>
      <c r="I26" s="32">
        <v>10000</v>
      </c>
      <c r="J26" s="32">
        <v>10000</v>
      </c>
      <c r="K26" s="32">
        <v>10000</v>
      </c>
      <c r="L26" s="32">
        <v>10000</v>
      </c>
      <c r="M26" s="32">
        <v>10000</v>
      </c>
      <c r="N26" s="32">
        <v>10000</v>
      </c>
      <c r="O26" s="32">
        <v>10000</v>
      </c>
      <c r="P26" s="32">
        <v>10000</v>
      </c>
      <c r="Q26" s="32">
        <v>10000</v>
      </c>
      <c r="R26" s="32">
        <v>10000</v>
      </c>
      <c r="S26" s="32">
        <v>10000</v>
      </c>
      <c r="T26" s="32">
        <v>10000</v>
      </c>
      <c r="U26" s="32">
        <v>10000</v>
      </c>
      <c r="V26" s="32">
        <v>10000</v>
      </c>
      <c r="W26" s="32">
        <v>10000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</row>
    <row r="27" spans="1:28" s="15" customFormat="1">
      <c r="A27" s="2" t="s">
        <v>32</v>
      </c>
      <c r="B27" s="2"/>
      <c r="C27" s="2"/>
      <c r="D27" s="16">
        <f>SUM(D22:D26)</f>
        <v>252500</v>
      </c>
      <c r="E27" s="16">
        <f t="shared" ref="E27:AB27" si="1">SUM(E22:E26)</f>
        <v>252500</v>
      </c>
      <c r="F27" s="16">
        <f t="shared" si="1"/>
        <v>252500</v>
      </c>
      <c r="G27" s="16">
        <f t="shared" si="1"/>
        <v>252500</v>
      </c>
      <c r="H27" s="16">
        <f t="shared" si="1"/>
        <v>252500</v>
      </c>
      <c r="I27" s="16">
        <f t="shared" si="1"/>
        <v>252500</v>
      </c>
      <c r="J27" s="16">
        <f t="shared" si="1"/>
        <v>252500</v>
      </c>
      <c r="K27" s="16">
        <f t="shared" si="1"/>
        <v>252500</v>
      </c>
      <c r="L27" s="16">
        <f t="shared" si="1"/>
        <v>252500</v>
      </c>
      <c r="M27" s="16">
        <f t="shared" si="1"/>
        <v>252500</v>
      </c>
      <c r="N27" s="16">
        <f t="shared" si="1"/>
        <v>272500</v>
      </c>
      <c r="O27" s="16">
        <f t="shared" si="1"/>
        <v>272500</v>
      </c>
      <c r="P27" s="16">
        <f t="shared" si="1"/>
        <v>272500</v>
      </c>
      <c r="Q27" s="16">
        <f t="shared" si="1"/>
        <v>272500</v>
      </c>
      <c r="R27" s="16">
        <f t="shared" si="1"/>
        <v>272500</v>
      </c>
      <c r="S27" s="16">
        <f t="shared" si="1"/>
        <v>272500</v>
      </c>
      <c r="T27" s="16">
        <f t="shared" si="1"/>
        <v>272500</v>
      </c>
      <c r="U27" s="16">
        <f t="shared" si="1"/>
        <v>272500</v>
      </c>
      <c r="V27" s="16">
        <f t="shared" si="1"/>
        <v>272500</v>
      </c>
      <c r="W27" s="16">
        <f t="shared" si="1"/>
        <v>272500</v>
      </c>
      <c r="X27" s="16">
        <f t="shared" si="1"/>
        <v>0</v>
      </c>
      <c r="Y27" s="16">
        <f t="shared" si="1"/>
        <v>0</v>
      </c>
      <c r="Z27" s="16">
        <f t="shared" si="1"/>
        <v>0</v>
      </c>
      <c r="AA27" s="16">
        <f t="shared" si="1"/>
        <v>0</v>
      </c>
      <c r="AB27" s="16">
        <f t="shared" si="1"/>
        <v>0</v>
      </c>
    </row>
    <row r="28" spans="1: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>
      <c r="A29" s="2" t="s">
        <v>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>
      <c r="A30" s="1" t="s">
        <v>9</v>
      </c>
      <c r="B30" s="1"/>
      <c r="C30" s="1"/>
      <c r="D30" s="31">
        <v>950000</v>
      </c>
      <c r="E30" s="31">
        <v>950000</v>
      </c>
      <c r="F30" s="31">
        <v>950000</v>
      </c>
      <c r="G30" s="31">
        <v>950000</v>
      </c>
      <c r="H30" s="31">
        <v>950000</v>
      </c>
      <c r="I30" s="31">
        <v>950000</v>
      </c>
      <c r="J30" s="31">
        <v>950000</v>
      </c>
      <c r="K30" s="31">
        <v>950000</v>
      </c>
      <c r="L30" s="31">
        <v>950000</v>
      </c>
      <c r="M30" s="31">
        <v>950000</v>
      </c>
      <c r="N30" s="31">
        <v>950000</v>
      </c>
      <c r="O30" s="31">
        <v>950000</v>
      </c>
      <c r="P30" s="31">
        <v>950000</v>
      </c>
      <c r="Q30" s="31">
        <v>950000</v>
      </c>
      <c r="R30" s="31">
        <v>950000</v>
      </c>
      <c r="S30" s="31">
        <v>950000</v>
      </c>
      <c r="T30" s="31">
        <v>950000</v>
      </c>
      <c r="U30" s="31">
        <v>950000</v>
      </c>
      <c r="V30" s="31">
        <v>950000</v>
      </c>
      <c r="W30" s="31">
        <v>950000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</row>
    <row r="31" spans="1:28">
      <c r="A31" s="1" t="s">
        <v>10</v>
      </c>
      <c r="B31" s="1"/>
      <c r="C31" s="1"/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</row>
    <row r="32" spans="1:28" s="5" customFormat="1">
      <c r="A32" s="6" t="s">
        <v>11</v>
      </c>
      <c r="B32" s="6"/>
      <c r="C32" s="6"/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</row>
    <row r="33" spans="1:28" s="15" customFormat="1">
      <c r="A33" s="2" t="s">
        <v>12</v>
      </c>
      <c r="B33" s="2"/>
      <c r="C33" s="2"/>
      <c r="D33" s="16">
        <f>SUM(D30:D32)</f>
        <v>950000</v>
      </c>
      <c r="E33" s="16">
        <f t="shared" ref="E33:AB33" si="2">SUM(E30:E32)</f>
        <v>950000</v>
      </c>
      <c r="F33" s="16">
        <f t="shared" si="2"/>
        <v>950000</v>
      </c>
      <c r="G33" s="16">
        <f t="shared" si="2"/>
        <v>950000</v>
      </c>
      <c r="H33" s="16">
        <f t="shared" si="2"/>
        <v>950000</v>
      </c>
      <c r="I33" s="16">
        <f t="shared" si="2"/>
        <v>950000</v>
      </c>
      <c r="J33" s="16">
        <f t="shared" si="2"/>
        <v>950000</v>
      </c>
      <c r="K33" s="16">
        <f t="shared" si="2"/>
        <v>950000</v>
      </c>
      <c r="L33" s="16">
        <f t="shared" si="2"/>
        <v>950000</v>
      </c>
      <c r="M33" s="16">
        <f t="shared" si="2"/>
        <v>950000</v>
      </c>
      <c r="N33" s="16">
        <f t="shared" si="2"/>
        <v>950000</v>
      </c>
      <c r="O33" s="16">
        <f t="shared" si="2"/>
        <v>950000</v>
      </c>
      <c r="P33" s="16">
        <f t="shared" si="2"/>
        <v>950000</v>
      </c>
      <c r="Q33" s="16">
        <f t="shared" si="2"/>
        <v>950000</v>
      </c>
      <c r="R33" s="16">
        <f t="shared" si="2"/>
        <v>950000</v>
      </c>
      <c r="S33" s="16">
        <f t="shared" si="2"/>
        <v>950000</v>
      </c>
      <c r="T33" s="16">
        <f t="shared" si="2"/>
        <v>950000</v>
      </c>
      <c r="U33" s="16">
        <f t="shared" si="2"/>
        <v>950000</v>
      </c>
      <c r="V33" s="16">
        <f t="shared" si="2"/>
        <v>950000</v>
      </c>
      <c r="W33" s="16">
        <f t="shared" si="2"/>
        <v>950000</v>
      </c>
      <c r="X33" s="16">
        <f t="shared" si="2"/>
        <v>0</v>
      </c>
      <c r="Y33" s="16">
        <f t="shared" si="2"/>
        <v>0</v>
      </c>
      <c r="Z33" s="16">
        <f t="shared" si="2"/>
        <v>0</v>
      </c>
      <c r="AA33" s="16">
        <f t="shared" si="2"/>
        <v>0</v>
      </c>
      <c r="AB33" s="16">
        <f t="shared" si="2"/>
        <v>0</v>
      </c>
    </row>
    <row r="34" spans="1:28">
      <c r="A34" s="1"/>
      <c r="B34" s="1"/>
      <c r="C34" s="1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s="15" customFormat="1">
      <c r="A35" s="2" t="s">
        <v>37</v>
      </c>
      <c r="B35" s="2"/>
      <c r="C35" s="2"/>
      <c r="D35" s="16">
        <f>D33-D27</f>
        <v>697500</v>
      </c>
      <c r="E35" s="16">
        <f t="shared" ref="E35:AB35" si="3">E33-E27</f>
        <v>697500</v>
      </c>
      <c r="F35" s="16">
        <f t="shared" si="3"/>
        <v>697500</v>
      </c>
      <c r="G35" s="16">
        <f t="shared" si="3"/>
        <v>697500</v>
      </c>
      <c r="H35" s="16">
        <f t="shared" si="3"/>
        <v>697500</v>
      </c>
      <c r="I35" s="16">
        <f t="shared" si="3"/>
        <v>697500</v>
      </c>
      <c r="J35" s="16">
        <f t="shared" si="3"/>
        <v>697500</v>
      </c>
      <c r="K35" s="16">
        <f t="shared" si="3"/>
        <v>697500</v>
      </c>
      <c r="L35" s="16">
        <f t="shared" si="3"/>
        <v>697500</v>
      </c>
      <c r="M35" s="16">
        <f t="shared" si="3"/>
        <v>697500</v>
      </c>
      <c r="N35" s="16">
        <f t="shared" si="3"/>
        <v>677500</v>
      </c>
      <c r="O35" s="16">
        <f t="shared" si="3"/>
        <v>677500</v>
      </c>
      <c r="P35" s="16">
        <f t="shared" si="3"/>
        <v>677500</v>
      </c>
      <c r="Q35" s="16">
        <f t="shared" si="3"/>
        <v>677500</v>
      </c>
      <c r="R35" s="16">
        <f t="shared" si="3"/>
        <v>677500</v>
      </c>
      <c r="S35" s="16">
        <f t="shared" si="3"/>
        <v>677500</v>
      </c>
      <c r="T35" s="16">
        <f t="shared" si="3"/>
        <v>677500</v>
      </c>
      <c r="U35" s="16">
        <f t="shared" si="3"/>
        <v>677500</v>
      </c>
      <c r="V35" s="16">
        <f t="shared" si="3"/>
        <v>677500</v>
      </c>
      <c r="W35" s="16">
        <f t="shared" si="3"/>
        <v>677500</v>
      </c>
      <c r="X35" s="16">
        <f t="shared" si="3"/>
        <v>0</v>
      </c>
      <c r="Y35" s="16">
        <f t="shared" si="3"/>
        <v>0</v>
      </c>
      <c r="Z35" s="16">
        <f t="shared" si="3"/>
        <v>0</v>
      </c>
      <c r="AA35" s="16">
        <f t="shared" si="3"/>
        <v>0</v>
      </c>
      <c r="AB35" s="16">
        <f t="shared" si="3"/>
        <v>0</v>
      </c>
    </row>
    <row r="36" spans="1:28">
      <c r="A36" s="1" t="s">
        <v>33</v>
      </c>
      <c r="B36" s="1"/>
      <c r="C36" s="1"/>
      <c r="D36" s="31">
        <v>435000</v>
      </c>
      <c r="E36" s="31">
        <v>435000</v>
      </c>
      <c r="F36" s="31">
        <v>435000</v>
      </c>
      <c r="G36" s="31">
        <v>435000</v>
      </c>
      <c r="H36" s="31">
        <v>435000</v>
      </c>
      <c r="I36" s="31">
        <v>435000</v>
      </c>
      <c r="J36" s="31">
        <v>435000</v>
      </c>
      <c r="K36" s="31">
        <v>435000</v>
      </c>
      <c r="L36" s="31">
        <v>435000</v>
      </c>
      <c r="M36" s="31">
        <v>435000</v>
      </c>
      <c r="N36" s="31">
        <v>435000</v>
      </c>
      <c r="O36" s="31">
        <v>435000</v>
      </c>
      <c r="P36" s="31">
        <v>435000</v>
      </c>
      <c r="Q36" s="31">
        <v>435000</v>
      </c>
      <c r="R36" s="31">
        <v>435000</v>
      </c>
      <c r="S36" s="31">
        <v>435000</v>
      </c>
      <c r="T36" s="31">
        <v>435000</v>
      </c>
      <c r="U36" s="31">
        <v>435000</v>
      </c>
      <c r="V36" s="31">
        <v>435000</v>
      </c>
      <c r="W36" s="31">
        <v>435000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</row>
    <row r="37" spans="1:28" s="15" customFormat="1">
      <c r="A37" s="2" t="s">
        <v>38</v>
      </c>
      <c r="B37" s="2"/>
      <c r="C37" s="2"/>
      <c r="D37" s="16">
        <f>D35-D36</f>
        <v>262500</v>
      </c>
      <c r="E37" s="16">
        <f t="shared" ref="E37:AB37" si="4">E35-E36</f>
        <v>262500</v>
      </c>
      <c r="F37" s="16">
        <f t="shared" si="4"/>
        <v>262500</v>
      </c>
      <c r="G37" s="16">
        <f t="shared" si="4"/>
        <v>262500</v>
      </c>
      <c r="H37" s="16">
        <f t="shared" si="4"/>
        <v>262500</v>
      </c>
      <c r="I37" s="16">
        <f t="shared" si="4"/>
        <v>262500</v>
      </c>
      <c r="J37" s="16">
        <f t="shared" si="4"/>
        <v>262500</v>
      </c>
      <c r="K37" s="16">
        <f t="shared" si="4"/>
        <v>262500</v>
      </c>
      <c r="L37" s="16">
        <f t="shared" si="4"/>
        <v>262500</v>
      </c>
      <c r="M37" s="16">
        <f t="shared" si="4"/>
        <v>262500</v>
      </c>
      <c r="N37" s="16">
        <f t="shared" si="4"/>
        <v>242500</v>
      </c>
      <c r="O37" s="16">
        <f t="shared" si="4"/>
        <v>242500</v>
      </c>
      <c r="P37" s="16">
        <f t="shared" si="4"/>
        <v>242500</v>
      </c>
      <c r="Q37" s="16">
        <f t="shared" si="4"/>
        <v>242500</v>
      </c>
      <c r="R37" s="16">
        <f t="shared" si="4"/>
        <v>242500</v>
      </c>
      <c r="S37" s="16">
        <f t="shared" si="4"/>
        <v>242500</v>
      </c>
      <c r="T37" s="16">
        <f t="shared" si="4"/>
        <v>242500</v>
      </c>
      <c r="U37" s="16">
        <f t="shared" si="4"/>
        <v>242500</v>
      </c>
      <c r="V37" s="16">
        <f t="shared" si="4"/>
        <v>242500</v>
      </c>
      <c r="W37" s="16">
        <f t="shared" si="4"/>
        <v>242500</v>
      </c>
      <c r="X37" s="16">
        <f t="shared" si="4"/>
        <v>0</v>
      </c>
      <c r="Y37" s="16">
        <f t="shared" si="4"/>
        <v>0</v>
      </c>
      <c r="Z37" s="16">
        <f t="shared" si="4"/>
        <v>0</v>
      </c>
      <c r="AA37" s="16">
        <f t="shared" si="4"/>
        <v>0</v>
      </c>
      <c r="AB37" s="16">
        <f t="shared" si="4"/>
        <v>0</v>
      </c>
    </row>
    <row r="38" spans="1:28">
      <c r="A38" s="1" t="s">
        <v>19</v>
      </c>
      <c r="B38" s="1"/>
      <c r="C38" s="1"/>
      <c r="D38" s="31">
        <f>B12*$B$16</f>
        <v>105000</v>
      </c>
      <c r="E38" s="31">
        <v>105000</v>
      </c>
      <c r="F38" s="31">
        <v>105000</v>
      </c>
      <c r="G38" s="31">
        <v>105000</v>
      </c>
      <c r="H38" s="31">
        <v>105000</v>
      </c>
      <c r="I38" s="31">
        <v>105000</v>
      </c>
      <c r="J38" s="31">
        <v>105000</v>
      </c>
      <c r="K38" s="31">
        <v>105000</v>
      </c>
      <c r="L38" s="31">
        <v>105000</v>
      </c>
      <c r="M38" s="31">
        <v>105000</v>
      </c>
      <c r="N38" s="31">
        <v>105000</v>
      </c>
      <c r="O38" s="31">
        <v>105000</v>
      </c>
      <c r="P38" s="31">
        <v>105000</v>
      </c>
      <c r="Q38" s="31">
        <v>105000</v>
      </c>
      <c r="R38" s="31">
        <v>105000</v>
      </c>
      <c r="S38" s="31">
        <v>105000</v>
      </c>
      <c r="T38" s="31">
        <v>105000</v>
      </c>
      <c r="U38" s="31">
        <v>105000</v>
      </c>
      <c r="V38" s="31">
        <v>105000</v>
      </c>
      <c r="W38" s="31">
        <v>105000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</row>
    <row r="39" spans="1:28" s="15" customFormat="1">
      <c r="A39" s="2" t="s">
        <v>39</v>
      </c>
      <c r="B39" s="2"/>
      <c r="C39" s="2"/>
      <c r="D39" s="16">
        <f>D37-D38</f>
        <v>157500</v>
      </c>
      <c r="E39" s="16">
        <f t="shared" ref="E39:AB39" si="5">E37-E38</f>
        <v>157500</v>
      </c>
      <c r="F39" s="16">
        <f t="shared" si="5"/>
        <v>157500</v>
      </c>
      <c r="G39" s="16">
        <f t="shared" si="5"/>
        <v>157500</v>
      </c>
      <c r="H39" s="16">
        <f t="shared" si="5"/>
        <v>157500</v>
      </c>
      <c r="I39" s="16">
        <f t="shared" si="5"/>
        <v>157500</v>
      </c>
      <c r="J39" s="16">
        <f t="shared" si="5"/>
        <v>157500</v>
      </c>
      <c r="K39" s="16">
        <f t="shared" si="5"/>
        <v>157500</v>
      </c>
      <c r="L39" s="16">
        <f t="shared" si="5"/>
        <v>157500</v>
      </c>
      <c r="M39" s="16">
        <f t="shared" si="5"/>
        <v>157500</v>
      </c>
      <c r="N39" s="16">
        <f t="shared" si="5"/>
        <v>137500</v>
      </c>
      <c r="O39" s="16">
        <f t="shared" si="5"/>
        <v>137500</v>
      </c>
      <c r="P39" s="16">
        <f t="shared" si="5"/>
        <v>137500</v>
      </c>
      <c r="Q39" s="16">
        <f t="shared" si="5"/>
        <v>137500</v>
      </c>
      <c r="R39" s="16">
        <f t="shared" si="5"/>
        <v>137500</v>
      </c>
      <c r="S39" s="16">
        <f t="shared" si="5"/>
        <v>137500</v>
      </c>
      <c r="T39" s="16">
        <f t="shared" si="5"/>
        <v>137500</v>
      </c>
      <c r="U39" s="16">
        <f t="shared" si="5"/>
        <v>137500</v>
      </c>
      <c r="V39" s="16">
        <f t="shared" si="5"/>
        <v>137500</v>
      </c>
      <c r="W39" s="16">
        <f t="shared" si="5"/>
        <v>137500</v>
      </c>
      <c r="X39" s="16">
        <f t="shared" si="5"/>
        <v>0</v>
      </c>
      <c r="Y39" s="16">
        <f t="shared" si="5"/>
        <v>0</v>
      </c>
      <c r="Z39" s="16">
        <f t="shared" si="5"/>
        <v>0</v>
      </c>
      <c r="AA39" s="16">
        <f t="shared" si="5"/>
        <v>0</v>
      </c>
      <c r="AB39" s="16">
        <f t="shared" si="5"/>
        <v>0</v>
      </c>
    </row>
    <row r="40" spans="1:28">
      <c r="A40" s="1" t="s">
        <v>34</v>
      </c>
      <c r="B40" s="1"/>
      <c r="C40" s="1"/>
      <c r="D40" s="31"/>
      <c r="E40" s="31">
        <v>25000</v>
      </c>
      <c r="F40" s="31">
        <v>25000</v>
      </c>
      <c r="G40" s="31">
        <v>25000</v>
      </c>
      <c r="H40" s="31">
        <v>25000</v>
      </c>
      <c r="I40" s="31">
        <v>25000</v>
      </c>
      <c r="J40" s="31">
        <v>25000</v>
      </c>
      <c r="K40" s="31">
        <v>25000</v>
      </c>
      <c r="L40" s="31">
        <v>25000</v>
      </c>
      <c r="M40" s="31">
        <v>25000</v>
      </c>
      <c r="N40" s="31">
        <v>25000</v>
      </c>
      <c r="O40" s="31">
        <v>25000</v>
      </c>
      <c r="P40" s="31">
        <v>25000</v>
      </c>
      <c r="Q40" s="31">
        <v>25000</v>
      </c>
      <c r="R40" s="31">
        <v>25000</v>
      </c>
      <c r="S40" s="31">
        <v>25000</v>
      </c>
      <c r="T40" s="31">
        <v>25000</v>
      </c>
      <c r="U40" s="31">
        <v>25000</v>
      </c>
      <c r="V40" s="31">
        <v>25000</v>
      </c>
      <c r="W40" s="31">
        <v>25000</v>
      </c>
      <c r="X40" s="31">
        <v>25000</v>
      </c>
      <c r="Y40" s="31">
        <v>0</v>
      </c>
      <c r="Z40" s="31">
        <v>0</v>
      </c>
      <c r="AA40" s="31">
        <v>0</v>
      </c>
      <c r="AB40" s="31">
        <v>0</v>
      </c>
    </row>
    <row r="41" spans="1:28" s="15" customFormat="1">
      <c r="A41" s="2" t="s">
        <v>35</v>
      </c>
      <c r="B41" s="2"/>
      <c r="C41" s="2"/>
      <c r="D41" s="16">
        <f>D39-D40</f>
        <v>157500</v>
      </c>
      <c r="E41" s="16">
        <f t="shared" ref="E41:AB41" si="6">E39-E40</f>
        <v>132500</v>
      </c>
      <c r="F41" s="16">
        <f t="shared" si="6"/>
        <v>132500</v>
      </c>
      <c r="G41" s="16">
        <f t="shared" si="6"/>
        <v>132500</v>
      </c>
      <c r="H41" s="16">
        <f t="shared" si="6"/>
        <v>132500</v>
      </c>
      <c r="I41" s="16">
        <f t="shared" si="6"/>
        <v>132500</v>
      </c>
      <c r="J41" s="16">
        <f t="shared" si="6"/>
        <v>132500</v>
      </c>
      <c r="K41" s="16">
        <f t="shared" si="6"/>
        <v>132500</v>
      </c>
      <c r="L41" s="16">
        <f t="shared" si="6"/>
        <v>132500</v>
      </c>
      <c r="M41" s="16">
        <f t="shared" si="6"/>
        <v>132500</v>
      </c>
      <c r="N41" s="16">
        <f t="shared" si="6"/>
        <v>112500</v>
      </c>
      <c r="O41" s="16">
        <f t="shared" si="6"/>
        <v>112500</v>
      </c>
      <c r="P41" s="16">
        <f t="shared" si="6"/>
        <v>112500</v>
      </c>
      <c r="Q41" s="16">
        <f t="shared" si="6"/>
        <v>112500</v>
      </c>
      <c r="R41" s="16">
        <f t="shared" si="6"/>
        <v>112500</v>
      </c>
      <c r="S41" s="16">
        <f t="shared" si="6"/>
        <v>112500</v>
      </c>
      <c r="T41" s="16">
        <f t="shared" si="6"/>
        <v>112500</v>
      </c>
      <c r="U41" s="16">
        <f t="shared" si="6"/>
        <v>112500</v>
      </c>
      <c r="V41" s="16">
        <f t="shared" si="6"/>
        <v>112500</v>
      </c>
      <c r="W41" s="16">
        <f t="shared" si="6"/>
        <v>112500</v>
      </c>
      <c r="X41" s="16">
        <f t="shared" si="6"/>
        <v>-25000</v>
      </c>
      <c r="Y41" s="16">
        <f t="shared" si="6"/>
        <v>0</v>
      </c>
      <c r="Z41" s="16">
        <f t="shared" si="6"/>
        <v>0</v>
      </c>
      <c r="AA41" s="16">
        <f t="shared" si="6"/>
        <v>0</v>
      </c>
      <c r="AB41" s="16">
        <f t="shared" si="6"/>
        <v>0</v>
      </c>
    </row>
    <row r="42" spans="1:28" s="19" customForma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s="15" customFormat="1">
      <c r="A43" s="2" t="s">
        <v>40</v>
      </c>
      <c r="B43" s="2"/>
      <c r="C43" s="16">
        <f>C9*-1</f>
        <v>-9700000</v>
      </c>
      <c r="D43" s="16">
        <f>D35+D10</f>
        <v>697500</v>
      </c>
      <c r="E43" s="16">
        <f t="shared" ref="E43:AB43" si="7">E35+E10</f>
        <v>697500</v>
      </c>
      <c r="F43" s="16">
        <f t="shared" si="7"/>
        <v>697500</v>
      </c>
      <c r="G43" s="16">
        <f t="shared" si="7"/>
        <v>697500</v>
      </c>
      <c r="H43" s="16">
        <f t="shared" si="7"/>
        <v>697500</v>
      </c>
      <c r="I43" s="16">
        <f t="shared" si="7"/>
        <v>697500</v>
      </c>
      <c r="J43" s="16">
        <f t="shared" si="7"/>
        <v>697500</v>
      </c>
      <c r="K43" s="16">
        <f t="shared" si="7"/>
        <v>697500</v>
      </c>
      <c r="L43" s="16">
        <f t="shared" si="7"/>
        <v>697500</v>
      </c>
      <c r="M43" s="16">
        <f t="shared" si="7"/>
        <v>697500</v>
      </c>
      <c r="N43" s="16">
        <f t="shared" si="7"/>
        <v>677500</v>
      </c>
      <c r="O43" s="16">
        <f t="shared" si="7"/>
        <v>677500</v>
      </c>
      <c r="P43" s="16">
        <f t="shared" si="7"/>
        <v>677500</v>
      </c>
      <c r="Q43" s="16">
        <f t="shared" si="7"/>
        <v>677500</v>
      </c>
      <c r="R43" s="16">
        <f t="shared" si="7"/>
        <v>677500</v>
      </c>
      <c r="S43" s="16">
        <f t="shared" si="7"/>
        <v>677500</v>
      </c>
      <c r="T43" s="16">
        <f t="shared" si="7"/>
        <v>677500</v>
      </c>
      <c r="U43" s="16">
        <f t="shared" si="7"/>
        <v>677500</v>
      </c>
      <c r="V43" s="16">
        <f t="shared" si="7"/>
        <v>677500</v>
      </c>
      <c r="W43" s="16">
        <f>W35+W10</f>
        <v>1677500</v>
      </c>
      <c r="X43" s="16">
        <f t="shared" si="7"/>
        <v>0</v>
      </c>
      <c r="Y43" s="16">
        <f t="shared" si="7"/>
        <v>0</v>
      </c>
      <c r="Z43" s="16">
        <f t="shared" si="7"/>
        <v>0</v>
      </c>
      <c r="AA43" s="16">
        <f t="shared" si="7"/>
        <v>0</v>
      </c>
      <c r="AB43" s="16">
        <f t="shared" si="7"/>
        <v>0</v>
      </c>
    </row>
    <row r="46" spans="1:28">
      <c r="A46" s="30" t="s">
        <v>60</v>
      </c>
    </row>
    <row r="47" spans="1:28">
      <c r="A47" s="1" t="s">
        <v>61</v>
      </c>
    </row>
  </sheetData>
  <sheetProtection algorithmName="SHA-512" hashValue="wky7G4rbi0yse9FXpFBwhjLuaVpebp1ddR3EpRGWEk5qMMl1tRppQoZCb9WaZSITKtmoJJS4SHrITY8B4PbzZA==" saltValue="eJM+DkZBkGlDLtiqL+Xl4Q==" spinCount="100000" sheet="1" objects="1" scenarios="1"/>
  <pageMargins left="0.7" right="0.7" top="0.78740157499999996" bottom="0.78740157499999996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7"/>
  <sheetViews>
    <sheetView workbookViewId="0">
      <selection activeCell="F5" sqref="F5"/>
    </sheetView>
  </sheetViews>
  <sheetFormatPr baseColWidth="10" defaultColWidth="11.44140625" defaultRowHeight="13.2"/>
  <cols>
    <col min="1" max="1" width="42.5546875" customWidth="1"/>
    <col min="2" max="2" width="14.5546875" customWidth="1"/>
  </cols>
  <sheetData>
    <row r="1" spans="1:2" ht="68.25" customHeight="1"/>
    <row r="2" spans="1:2" ht="22.8">
      <c r="A2" s="4" t="s">
        <v>15</v>
      </c>
    </row>
    <row r="3" spans="1:2">
      <c r="A3" s="11" t="s">
        <v>21</v>
      </c>
    </row>
    <row r="5" spans="1:2">
      <c r="A5" s="2" t="s">
        <v>1</v>
      </c>
      <c r="B5" s="1"/>
    </row>
    <row r="6" spans="1:2">
      <c r="A6" s="7" t="str">
        <f>Eingabemaske!A6</f>
        <v>Bauliche Anlageteile</v>
      </c>
      <c r="B6" s="8">
        <f>Eingabemaske!C6</f>
        <v>6500000</v>
      </c>
    </row>
    <row r="7" spans="1:2">
      <c r="A7" s="7" t="str">
        <f>Eingabemaske!A7</f>
        <v>Elektromechanische Anlageteile</v>
      </c>
      <c r="B7" s="8">
        <f>Eingabemaske!C7</f>
        <v>2200000</v>
      </c>
    </row>
    <row r="8" spans="1:2">
      <c r="A8" s="28" t="str">
        <f>Eingabemaske!A8</f>
        <v>Übrige Investitionskosten</v>
      </c>
      <c r="B8" s="9">
        <f>Eingabemaske!C8</f>
        <v>1000000</v>
      </c>
    </row>
    <row r="9" spans="1:2">
      <c r="A9" s="2" t="s">
        <v>3</v>
      </c>
      <c r="B9" s="16">
        <f>SUM(B6:B8)</f>
        <v>9700000</v>
      </c>
    </row>
    <row r="10" spans="1:2">
      <c r="A10" s="2" t="s">
        <v>13</v>
      </c>
      <c r="B10" s="16">
        <f>SUM(Eingabemaske!D10:AB10)</f>
        <v>1000000</v>
      </c>
    </row>
    <row r="11" spans="1:2">
      <c r="A11" s="1"/>
      <c r="B11" s="1"/>
    </row>
    <row r="12" spans="1:2">
      <c r="A12" s="2" t="s">
        <v>31</v>
      </c>
      <c r="B12" s="1"/>
    </row>
    <row r="13" spans="1:2">
      <c r="A13" s="1" t="str">
        <f>Eingabemaske!A22</f>
        <v>Betriebs- und Unterhaltkosten</v>
      </c>
      <c r="B13" s="8">
        <f>SUM(Eingabemaske!D22:AB22)</f>
        <v>2600000</v>
      </c>
    </row>
    <row r="14" spans="1:2">
      <c r="A14" s="1" t="str">
        <f>Eingabemaske!A23</f>
        <v>Wasserzinsen</v>
      </c>
      <c r="B14" s="8">
        <f>SUM(Eingabemaske!D23:AB23)</f>
        <v>1650000</v>
      </c>
    </row>
    <row r="15" spans="1:2">
      <c r="A15" s="1" t="str">
        <f>Eingabemaske!A24</f>
        <v>Versicherungen</v>
      </c>
      <c r="B15" s="8">
        <f>SUM(Eingabemaske!D24:AB24)</f>
        <v>400000</v>
      </c>
    </row>
    <row r="16" spans="1:2">
      <c r="A16" s="1" t="str">
        <f>Eingabemaske!A25</f>
        <v>Vermarktungs- und Verwaltungskosten</v>
      </c>
      <c r="B16" s="8">
        <f>SUM(Eingabemaske!D25:AB25)</f>
        <v>400000</v>
      </c>
    </row>
    <row r="17" spans="1:2">
      <c r="A17" s="6" t="str">
        <f>Eingabemaske!A26</f>
        <v>Übriger Betriebsaufwand</v>
      </c>
      <c r="B17" s="9">
        <f>SUM(Eingabemaske!D26:AB26)</f>
        <v>200000</v>
      </c>
    </row>
    <row r="18" spans="1:2">
      <c r="A18" s="2" t="s">
        <v>32</v>
      </c>
      <c r="B18" s="12">
        <f>SUM(B13:B17)</f>
        <v>5250000</v>
      </c>
    </row>
    <row r="19" spans="1:2">
      <c r="A19" s="1"/>
      <c r="B19" s="1"/>
    </row>
    <row r="20" spans="1:2">
      <c r="A20" s="2" t="s">
        <v>0</v>
      </c>
      <c r="B20" s="1"/>
    </row>
    <row r="21" spans="1:2">
      <c r="A21" s="1" t="s">
        <v>9</v>
      </c>
      <c r="B21" s="8">
        <f>SUM(Eingabemaske!D30:AB30)</f>
        <v>19000000</v>
      </c>
    </row>
    <row r="22" spans="1:2">
      <c r="A22" s="1" t="s">
        <v>10</v>
      </c>
      <c r="B22" s="8">
        <f>SUM(Eingabemaske!D31:AB31)</f>
        <v>0</v>
      </c>
    </row>
    <row r="23" spans="1:2">
      <c r="A23" s="6" t="s">
        <v>11</v>
      </c>
      <c r="B23" s="9">
        <f>SUM(Eingabemaske!D32:AB32)</f>
        <v>0</v>
      </c>
    </row>
    <row r="24" spans="1:2">
      <c r="A24" s="2" t="s">
        <v>12</v>
      </c>
      <c r="B24" s="12">
        <f>SUM(B21:B23)</f>
        <v>19000000</v>
      </c>
    </row>
    <row r="25" spans="1:2">
      <c r="A25" s="1"/>
      <c r="B25" s="10"/>
    </row>
    <row r="26" spans="1:2">
      <c r="A26" s="2" t="s">
        <v>18</v>
      </c>
      <c r="B26" s="12">
        <f>B24-B18-B9+B10</f>
        <v>5050000</v>
      </c>
    </row>
    <row r="27" spans="1:2">
      <c r="A27" s="2" t="s">
        <v>16</v>
      </c>
      <c r="B27" s="12">
        <f>(B9+B10)/2</f>
        <v>5350000</v>
      </c>
    </row>
    <row r="28" spans="1:2">
      <c r="A28" s="2" t="s">
        <v>17</v>
      </c>
      <c r="B28" s="13">
        <f>B26/B27</f>
        <v>0.94392523364485981</v>
      </c>
    </row>
    <row r="29" spans="1:2">
      <c r="A29" s="2" t="s">
        <v>20</v>
      </c>
      <c r="B29" s="14">
        <f>B28/Eingabemaske!B14</f>
        <v>4.7196261682242988E-2</v>
      </c>
    </row>
    <row r="30" spans="1:2">
      <c r="A30" s="1"/>
      <c r="B30" s="1"/>
    </row>
    <row r="31" spans="1:2">
      <c r="A31" s="1" t="s">
        <v>19</v>
      </c>
      <c r="B31" s="18">
        <f>SUM(Eingabemaske!D38:AB38)</f>
        <v>2100000</v>
      </c>
    </row>
    <row r="32" spans="1:2">
      <c r="A32" s="2" t="s">
        <v>36</v>
      </c>
      <c r="B32" s="17">
        <f>B26-B31</f>
        <v>2950000</v>
      </c>
    </row>
    <row r="33" spans="1:2">
      <c r="A33" s="2" t="s">
        <v>22</v>
      </c>
      <c r="B33" s="12">
        <f>Eingabemaske!B13</f>
        <v>1850000</v>
      </c>
    </row>
    <row r="34" spans="1:2">
      <c r="A34" s="2" t="s">
        <v>23</v>
      </c>
      <c r="B34" s="14">
        <f>B32/B33/Eingabemaske!B14</f>
        <v>7.972972972972972E-2</v>
      </c>
    </row>
    <row r="36" spans="1:2">
      <c r="A36" s="30" t="s">
        <v>60</v>
      </c>
    </row>
    <row r="37" spans="1:2">
      <c r="A37" s="1" t="s">
        <v>61</v>
      </c>
    </row>
  </sheetData>
  <sheetProtection algorithmName="SHA-512" hashValue="gtmKDmm7iIyH/WLXGu45Ggjf8UQgRXJGjlrZnNBqcMh2A9bWz2+o5DCTFSd8daVjkCOkU0iSWwatYtwQsKgYiw==" saltValue="C+T8auz2EbLyDDOx7kRPVg==" spinCount="100000" sheet="1" objects="1" scenarios="1"/>
  <pageMargins left="0.7" right="0.7" top="0.78740157499999996" bottom="0.78740157499999996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F9" sqref="F9"/>
    </sheetView>
  </sheetViews>
  <sheetFormatPr baseColWidth="10" defaultColWidth="11.44140625" defaultRowHeight="13.2"/>
  <cols>
    <col min="1" max="1" width="42.5546875" customWidth="1"/>
    <col min="2" max="2" width="13.5546875" customWidth="1"/>
  </cols>
  <sheetData>
    <row r="1" spans="1:2" ht="67.5" customHeight="1"/>
    <row r="2" spans="1:2" ht="22.8">
      <c r="A2" s="4" t="s">
        <v>24</v>
      </c>
    </row>
    <row r="3" spans="1:2">
      <c r="A3" s="11" t="s">
        <v>25</v>
      </c>
    </row>
    <row r="4" spans="1:2">
      <c r="A4" s="11"/>
    </row>
    <row r="5" spans="1:2">
      <c r="A5" s="1"/>
      <c r="B5" s="2" t="s">
        <v>30</v>
      </c>
    </row>
    <row r="6" spans="1:2">
      <c r="A6" s="2" t="s">
        <v>1</v>
      </c>
      <c r="B6" s="1"/>
    </row>
    <row r="7" spans="1:2">
      <c r="A7" s="7" t="str">
        <f>Eingabemaske!A6</f>
        <v>Bauliche Anlageteile</v>
      </c>
      <c r="B7" s="8">
        <f>Eingabemaske!C6</f>
        <v>6500000</v>
      </c>
    </row>
    <row r="8" spans="1:2">
      <c r="A8" s="7" t="str">
        <f>Eingabemaske!A7</f>
        <v>Elektromechanische Anlageteile</v>
      </c>
      <c r="B8" s="8">
        <f>Eingabemaske!C7</f>
        <v>2200000</v>
      </c>
    </row>
    <row r="9" spans="1:2">
      <c r="A9" s="28" t="str">
        <f>Eingabemaske!A8</f>
        <v>Übrige Investitionskosten</v>
      </c>
      <c r="B9" s="9">
        <f>Eingabemaske!C8</f>
        <v>1000000</v>
      </c>
    </row>
    <row r="10" spans="1:2">
      <c r="A10" s="2" t="s">
        <v>3</v>
      </c>
      <c r="B10" s="16">
        <f>SUM(B7:B9)</f>
        <v>9700000</v>
      </c>
    </row>
    <row r="11" spans="1:2">
      <c r="A11" s="2" t="s">
        <v>13</v>
      </c>
      <c r="B11" s="16">
        <f>NPV(Eingabemaske!$B$15,Eingabemaske!D10:AB10)</f>
        <v>456386.94620129216</v>
      </c>
    </row>
    <row r="12" spans="1:2">
      <c r="A12" s="1"/>
      <c r="B12" s="1"/>
    </row>
    <row r="13" spans="1:2">
      <c r="A13" s="2" t="s">
        <v>31</v>
      </c>
      <c r="B13" s="1"/>
    </row>
    <row r="14" spans="1:2">
      <c r="A14" s="1" t="str">
        <f>Eingabemaske!A22</f>
        <v>Betriebs- und Unterhaltkosten</v>
      </c>
      <c r="B14" s="8">
        <f>NPV(Eingabemaske!$B$15,Eingabemaske!D22:AB22)</f>
        <v>1740427.7727083748</v>
      </c>
    </row>
    <row r="15" spans="1:2">
      <c r="A15" s="1" t="str">
        <f>Eingabemaske!A23</f>
        <v>Wasserzinsen</v>
      </c>
      <c r="B15" s="8">
        <f>NPV(Eingabemaske!$B$15,Eingabemaske!D23:AB23)</f>
        <v>1121201.9234598342</v>
      </c>
    </row>
    <row r="16" spans="1:2">
      <c r="A16" s="1" t="str">
        <f>Eingabemaske!A24</f>
        <v>Versicherungen</v>
      </c>
      <c r="B16" s="8">
        <f>NPV(Eingabemaske!$B$15,Eingabemaske!D24:AB24)</f>
        <v>271806.52689935372</v>
      </c>
    </row>
    <row r="17" spans="1:2">
      <c r="A17" s="1" t="str">
        <f>Eingabemaske!A25</f>
        <v>Vermarktungs- und Verwaltungskosten</v>
      </c>
      <c r="B17" s="8">
        <f>NPV(Eingabemaske!$B$15,Eingabemaske!D25:AB25)</f>
        <v>271806.52689935372</v>
      </c>
    </row>
    <row r="18" spans="1:2">
      <c r="A18" s="6" t="str">
        <f>Eingabemaske!A26</f>
        <v>Übriger Betriebsaufwand</v>
      </c>
      <c r="B18" s="9">
        <f>NPV(Eingabemaske!$B$15,Eingabemaske!D26:AB26)</f>
        <v>135903.26344967686</v>
      </c>
    </row>
    <row r="19" spans="1:2">
      <c r="A19" s="2" t="s">
        <v>32</v>
      </c>
      <c r="B19" s="16">
        <f>NPV(Eingabemaske!$B$15,Eingabemaske!D27:AB27)</f>
        <v>3541146.0134165934</v>
      </c>
    </row>
    <row r="20" spans="1:2">
      <c r="A20" s="1"/>
      <c r="B20" s="1"/>
    </row>
    <row r="21" spans="1:2">
      <c r="A21" s="2" t="s">
        <v>0</v>
      </c>
      <c r="B21" s="1"/>
    </row>
    <row r="22" spans="1:2">
      <c r="A22" s="1" t="s">
        <v>9</v>
      </c>
      <c r="B22" s="8">
        <f>NPV(Eingabemaske!$B$15,Eingabemaske!D30:AB30)</f>
        <v>12910810.0277193</v>
      </c>
    </row>
    <row r="23" spans="1:2">
      <c r="A23" s="1" t="s">
        <v>10</v>
      </c>
      <c r="B23" s="8">
        <f>NPV(Eingabemaske!$B$15,Eingabemaske!D31:AB31)</f>
        <v>0</v>
      </c>
    </row>
    <row r="24" spans="1:2">
      <c r="A24" s="6" t="s">
        <v>11</v>
      </c>
      <c r="B24" s="9">
        <f>NPV(Eingabemaske!$B$15,Eingabemaske!D32:AB32)</f>
        <v>0</v>
      </c>
    </row>
    <row r="25" spans="1:2">
      <c r="A25" s="2" t="s">
        <v>12</v>
      </c>
      <c r="B25" s="16">
        <f>NPV(Eingabemaske!$B$15,Eingabemaske!D33:AB33)</f>
        <v>12910810.0277193</v>
      </c>
    </row>
    <row r="26" spans="1:2">
      <c r="A26" s="1"/>
      <c r="B26" s="10"/>
    </row>
    <row r="27" spans="1:2">
      <c r="A27" s="2" t="str">
        <f>Eingabemaske!A15</f>
        <v>Kalkulatorischer Zinssatz</v>
      </c>
      <c r="B27" s="14">
        <f>Eingabemaske!B15</f>
        <v>0.04</v>
      </c>
    </row>
    <row r="28" spans="1:2">
      <c r="A28" s="2" t="s">
        <v>27</v>
      </c>
      <c r="B28" s="12">
        <f>B25-B19-B10+B11</f>
        <v>126050.9605039985</v>
      </c>
    </row>
    <row r="29" spans="1:2">
      <c r="A29" s="2"/>
      <c r="B29" s="12"/>
    </row>
    <row r="30" spans="1:2">
      <c r="A30" s="2" t="s">
        <v>29</v>
      </c>
      <c r="B30" s="14">
        <f>IRR(Eingabemaske!C43:AB43,0.07)</f>
        <v>4.1396785912354517E-2</v>
      </c>
    </row>
    <row r="32" spans="1:2">
      <c r="A32" s="30" t="s">
        <v>60</v>
      </c>
    </row>
    <row r="33" spans="1:1">
      <c r="A33" s="1" t="s">
        <v>61</v>
      </c>
    </row>
  </sheetData>
  <sheetProtection algorithmName="SHA-512" hashValue="D6eD0cCtMI6Yzp1HGazIqvfrhplDurNhJESG8aBqzk3uzlcKM8YjUt4YW/32iYyae8dQmgBlUk9x7eS453RTbA==" saltValue="Jgo1bGM9f1fHy7K8TpvdAQ==" spinCount="100000" sheet="1" objects="1" scenarios="1"/>
  <pageMargins left="0.7" right="0.7" top="0.78740157499999996" bottom="0.78740157499999996" header="0.3" footer="0.3"/>
  <pageSetup paperSize="9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D30" sqref="D30"/>
    </sheetView>
  </sheetViews>
  <sheetFormatPr baseColWidth="10" defaultColWidth="11.44140625" defaultRowHeight="13.2"/>
  <cols>
    <col min="1" max="1" width="42.44140625" customWidth="1"/>
    <col min="2" max="2" width="13.88671875" customWidth="1"/>
  </cols>
  <sheetData>
    <row r="1" spans="1:4" ht="67.5" customHeight="1"/>
    <row r="2" spans="1:4" s="15" customFormat="1" ht="22.8">
      <c r="A2" s="4" t="s">
        <v>41</v>
      </c>
    </row>
    <row r="3" spans="1:4">
      <c r="A3" s="11" t="s">
        <v>21</v>
      </c>
    </row>
    <row r="4" spans="1:4">
      <c r="A4" s="20"/>
      <c r="B4" s="21"/>
    </row>
    <row r="5" spans="1:4" ht="26.4">
      <c r="A5" s="23" t="s">
        <v>42</v>
      </c>
      <c r="B5" s="22" t="s">
        <v>44</v>
      </c>
    </row>
    <row r="6" spans="1:4">
      <c r="A6" s="1" t="str">
        <f>Eingabemaske!A22</f>
        <v>Betriebs- und Unterhaltkosten</v>
      </c>
      <c r="B6" s="8">
        <f>SUM(Eingabemaske!D22:AB22)/Eingabemaske!$B$14</f>
        <v>130000</v>
      </c>
    </row>
    <row r="7" spans="1:4">
      <c r="A7" s="1" t="str">
        <f>Eingabemaske!A24</f>
        <v>Versicherungen</v>
      </c>
      <c r="B7" s="8">
        <f>SUM(Eingabemaske!D24:AB24)/Eingabemaske!$B$14</f>
        <v>20000</v>
      </c>
    </row>
    <row r="8" spans="1:4">
      <c r="A8" s="1" t="str">
        <f>Eingabemaske!A25</f>
        <v>Vermarktungs- und Verwaltungskosten</v>
      </c>
      <c r="B8" s="8">
        <f>SUM(Eingabemaske!D25:AB25)/Eingabemaske!$B$14</f>
        <v>20000</v>
      </c>
    </row>
    <row r="9" spans="1:4">
      <c r="A9" s="6" t="str">
        <f>Eingabemaske!A26</f>
        <v>Übriger Betriebsaufwand</v>
      </c>
      <c r="B9" s="9">
        <f>SUM(Eingabemaske!D26:AB26)/Eingabemaske!$B$14</f>
        <v>10000</v>
      </c>
      <c r="D9" s="19"/>
    </row>
    <row r="10" spans="1:4">
      <c r="A10" s="2" t="s">
        <v>8</v>
      </c>
      <c r="B10" s="12">
        <f>SUM(B6:B9)</f>
        <v>180000</v>
      </c>
    </row>
    <row r="11" spans="1:4">
      <c r="A11" s="2"/>
      <c r="B11" s="12"/>
    </row>
    <row r="12" spans="1:4" s="15" customFormat="1">
      <c r="A12" s="2" t="str">
        <f>Eingabemaske!A23</f>
        <v>Wasserzinsen</v>
      </c>
      <c r="B12" s="16">
        <f>SUM(Eingabemaske!D23:AB23)/Eingabemaske!$B$14</f>
        <v>82500</v>
      </c>
    </row>
    <row r="13" spans="1:4">
      <c r="A13" s="2" t="s">
        <v>33</v>
      </c>
      <c r="B13" s="16">
        <f>SUM(Eingabemaske!D36:AB36)/Eingabemaske!$B$14</f>
        <v>435000</v>
      </c>
    </row>
    <row r="14" spans="1:4">
      <c r="A14" s="2" t="s">
        <v>19</v>
      </c>
      <c r="B14" s="16">
        <f>SUM(Eingabemaske!D38:AB38)/Eingabemaske!$B$14</f>
        <v>105000</v>
      </c>
    </row>
    <row r="15" spans="1:4">
      <c r="A15" s="25" t="s">
        <v>43</v>
      </c>
      <c r="B15" s="26">
        <f>Eingabemaske!B13*Eingabemaske!B17</f>
        <v>92500</v>
      </c>
    </row>
    <row r="16" spans="1:4">
      <c r="A16" s="3" t="s">
        <v>34</v>
      </c>
      <c r="B16" s="24">
        <f>SUM(Eingabemaske!D40:AB40)/Eingabemaske!$B$14</f>
        <v>25000</v>
      </c>
    </row>
    <row r="17" spans="1:2">
      <c r="A17" s="2" t="s">
        <v>32</v>
      </c>
      <c r="B17" s="12">
        <f>SUM(B10:B16)</f>
        <v>920000</v>
      </c>
    </row>
    <row r="18" spans="1:2">
      <c r="A18" s="1"/>
      <c r="B18" s="1"/>
    </row>
    <row r="19" spans="1:2">
      <c r="A19" s="2" t="s">
        <v>46</v>
      </c>
      <c r="B19" s="27">
        <f>B17/Eingabemaske!B18/10000</f>
        <v>17.69230769230769</v>
      </c>
    </row>
    <row r="21" spans="1:2">
      <c r="A21" s="11" t="s">
        <v>25</v>
      </c>
    </row>
    <row r="23" spans="1:2">
      <c r="A23" s="2" t="s">
        <v>58</v>
      </c>
      <c r="B23" s="14">
        <f>(Eingabemaske!B16*Eingabemaske!B12+Eingabemaske!B17*Eingabemaske!B13)/Eingabemaske!B11</f>
        <v>3.6915887850467288E-2</v>
      </c>
    </row>
    <row r="24" spans="1:2">
      <c r="A24" s="1"/>
      <c r="B24" s="1"/>
    </row>
    <row r="25" spans="1:2">
      <c r="A25" s="1"/>
      <c r="B25" s="2" t="s">
        <v>30</v>
      </c>
    </row>
    <row r="26" spans="1:2">
      <c r="A26" s="2" t="s">
        <v>1</v>
      </c>
      <c r="B26" s="1"/>
    </row>
    <row r="27" spans="1:2">
      <c r="A27" s="7" t="str">
        <f>Eingabemaske!A6</f>
        <v>Bauliche Anlageteile</v>
      </c>
      <c r="B27" s="8">
        <f>Eingabemaske!C6</f>
        <v>6500000</v>
      </c>
    </row>
    <row r="28" spans="1:2">
      <c r="A28" s="7" t="str">
        <f>Eingabemaske!A7</f>
        <v>Elektromechanische Anlageteile</v>
      </c>
      <c r="B28" s="8">
        <f>Eingabemaske!C7</f>
        <v>2200000</v>
      </c>
    </row>
    <row r="29" spans="1:2">
      <c r="A29" s="28" t="str">
        <f>Eingabemaske!A8</f>
        <v>Übrige Investitionskosten</v>
      </c>
      <c r="B29" s="9">
        <f>Eingabemaske!C8</f>
        <v>1000000</v>
      </c>
    </row>
    <row r="30" spans="1:2">
      <c r="A30" s="2" t="s">
        <v>3</v>
      </c>
      <c r="B30" s="16">
        <f>SUM(B27:B29)</f>
        <v>9700000</v>
      </c>
    </row>
    <row r="31" spans="1:2">
      <c r="A31" s="2" t="s">
        <v>13</v>
      </c>
      <c r="B31" s="16">
        <f>NPV(B23,Eingabemaske!D10:AB10)</f>
        <v>484316.67533613025</v>
      </c>
    </row>
    <row r="32" spans="1:2">
      <c r="A32" s="1"/>
      <c r="B32" s="1"/>
    </row>
    <row r="33" spans="1:2">
      <c r="A33" s="2" t="s">
        <v>54</v>
      </c>
      <c r="B33" s="1"/>
    </row>
    <row r="34" spans="1:2">
      <c r="A34" s="1" t="str">
        <f>Eingabemaske!A22</f>
        <v>Betriebs- und Unterhaltkosten</v>
      </c>
      <c r="B34" s="8">
        <f>NPV(B23,Eingabemaske!D22:AB22)</f>
        <v>1790942.6577814587</v>
      </c>
    </row>
    <row r="35" spans="1:2">
      <c r="A35" s="1" t="str">
        <f>Eingabemaske!A23</f>
        <v>Wasserzinsen</v>
      </c>
      <c r="B35" s="8">
        <f>NPV(B23,Eingabemaske!D23:AB23)</f>
        <v>1152454.3160684295</v>
      </c>
    </row>
    <row r="36" spans="1:2">
      <c r="A36" s="1" t="str">
        <f>Eingabemaske!A24</f>
        <v>Versicherungen</v>
      </c>
      <c r="B36" s="8">
        <f>NPV(B23,Eingabemaske!D24:AB24)</f>
        <v>279382.86450143741</v>
      </c>
    </row>
    <row r="37" spans="1:2">
      <c r="A37" s="1" t="str">
        <f>Eingabemaske!A25</f>
        <v>Vermarktungs- und Verwaltungskosten</v>
      </c>
      <c r="B37" s="8">
        <f>NPV(B23,Eingabemaske!D25:AB25)</f>
        <v>279382.86450143741</v>
      </c>
    </row>
    <row r="38" spans="1:2">
      <c r="A38" s="6" t="str">
        <f>Eingabemaske!A26</f>
        <v>Übriger Betriebsaufwand</v>
      </c>
      <c r="B38" s="9">
        <f>NPV(B23,Eingabemaske!D26:AB26)</f>
        <v>139691.4322507187</v>
      </c>
    </row>
    <row r="39" spans="1:2">
      <c r="A39" s="2" t="s">
        <v>55</v>
      </c>
      <c r="B39" s="16">
        <f>NPV(B23,Eingabemaske!D27:AB27)</f>
        <v>3641854.1351034818</v>
      </c>
    </row>
    <row r="40" spans="1:2">
      <c r="A40" s="2"/>
      <c r="B40" s="16"/>
    </row>
    <row r="41" spans="1:2">
      <c r="A41" s="2" t="s">
        <v>34</v>
      </c>
      <c r="B41" s="16">
        <f>NPV(B23,Eingabemaske!D40:AB40)</f>
        <v>349228.58062679681</v>
      </c>
    </row>
    <row r="42" spans="1:2">
      <c r="A42" s="1"/>
      <c r="B42" s="10"/>
    </row>
    <row r="43" spans="1:2">
      <c r="A43" s="2" t="s">
        <v>56</v>
      </c>
      <c r="B43" s="12">
        <f>B30-B31+B39+B41</f>
        <v>13206766.04039415</v>
      </c>
    </row>
    <row r="44" spans="1:2">
      <c r="A44" s="2"/>
      <c r="B44" s="12"/>
    </row>
    <row r="45" spans="1:2">
      <c r="A45" s="2" t="s">
        <v>57</v>
      </c>
      <c r="B45" s="16">
        <f>NPV(B23,Eingabemaske!D18:AB18)*1000000</f>
        <v>72639544.770373762</v>
      </c>
    </row>
    <row r="46" spans="1:2">
      <c r="A46" s="2" t="s">
        <v>46</v>
      </c>
      <c r="B46" s="27">
        <f>B43*100/B45</f>
        <v>18.181234590804547</v>
      </c>
    </row>
    <row r="48" spans="1:2">
      <c r="A48" s="30" t="s">
        <v>60</v>
      </c>
    </row>
    <row r="49" spans="1:1">
      <c r="A49" s="1" t="s">
        <v>61</v>
      </c>
    </row>
  </sheetData>
  <sheetProtection algorithmName="SHA-512" hashValue="XPXldXw3//GWDjK/paBwR0trOPyZO08khQ8IM6OSGSd3W4CeLtYCfN26OYI7qCpoRrqmbUIVJOusXW+CaHxSgQ==" saltValue="tqCzkZ4mHrY+Xu0jIIm6eQ==" spinCount="100000" sheet="1" objects="1" scenarios="1"/>
  <pageMargins left="0.7" right="0.7" top="0.78740157499999996" bottom="0.78740157499999996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Eingabemaske</vt:lpstr>
      <vt:lpstr>Resultate Rentabilitätsrg</vt:lpstr>
      <vt:lpstr>Resultate Kapitalwertrg</vt:lpstr>
      <vt:lpstr>Resultate Gestehungskosten</vt:lpstr>
    </vt:vector>
  </TitlesOfParts>
  <Company>Ernst Basler &amp; Partner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Ribi, Felix</dc:creator>
  <cp:lastModifiedBy>Petersen Regula BFE</cp:lastModifiedBy>
  <dcterms:created xsi:type="dcterms:W3CDTF">2016-11-01T13:25:07Z</dcterms:created>
  <dcterms:modified xsi:type="dcterms:W3CDTF">2017-08-21T15:01:29Z</dcterms:modified>
</cp:coreProperties>
</file>