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heme/themeOverride2.xml" ContentType="application/vnd.openxmlformats-officedocument.themeOverride+xml"/>
  <Override PartName="/xl/charts/chart8.xml" ContentType="application/vnd.openxmlformats-officedocument.drawingml.chart+xml"/>
  <Override PartName="/xl/theme/themeOverride3.xml" ContentType="application/vnd.openxmlformats-officedocument.themeOverride+xml"/>
  <Override PartName="/xl/charts/chart9.xml" ContentType="application/vnd.openxmlformats-officedocument.drawingml.chart+xml"/>
  <Override PartName="/xl/theme/themeOverride4.xml" ContentType="application/vnd.openxmlformats-officedocument.themeOverride+xml"/>
  <Override PartName="/xl/charts/chart10.xml" ContentType="application/vnd.openxmlformats-officedocument.drawingml.chart+xml"/>
  <Override PartName="/xl/theme/themeOverride5.xml" ContentType="application/vnd.openxmlformats-officedocument.themeOverride+xml"/>
  <Override PartName="/xl/charts/chart11.xml" ContentType="application/vnd.openxmlformats-officedocument.drawingml.chart+xml"/>
  <Override PartName="/xl/drawings/drawing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2016\16 280_Studien\15 282 Energiewirt_ Grundlagen\Zusatzunterlagen\"/>
    </mc:Choice>
  </mc:AlternateContent>
  <bookViews>
    <workbookView xWindow="0" yWindow="0" windowWidth="28800" windowHeight="11535" tabRatio="722" activeTab="1"/>
  </bookViews>
  <sheets>
    <sheet name="Hinweise" sheetId="4" r:id="rId1"/>
    <sheet name="Dateneingabe" sheetId="1" r:id="rId2"/>
    <sheet name="Standardwerte" sheetId="3" r:id="rId3"/>
    <sheet name="Sanierungsvarianten" sheetId="5" r:id="rId4"/>
    <sheet name="Berechnungen" sheetId="6" r:id="rId5"/>
    <sheet name="Sensitivitäten" sheetId="7" r:id="rId6"/>
  </sheets>
  <definedNames>
    <definedName name="_xlnm.Print_Area" localSheetId="1">Dateneingabe!$A$1:$J$31</definedName>
    <definedName name="_xlnm.Print_Area" localSheetId="2">Standardwerte!$A$1:$L$24</definedName>
    <definedName name="Stadt">Standardwerte!$E$10:$E$12</definedName>
    <definedName name="Subvention">Standardwerte!$L$5:$L$7</definedName>
    <definedName name="Überwälzung">Standardwerte!$L$13:$L$16</definedName>
  </definedNames>
  <calcPr calcId="152511"/>
  <customWorkbookViews>
    <customWorkbookView name="Normalansicht" guid="{B8536769-06CC-4563-B2F1-92342C23219E}" maximized="1" xWindow="1" yWindow="1" windowWidth="1916" windowHeight="804" activeSheetId="1"/>
  </customWorkbookViews>
</workbook>
</file>

<file path=xl/calcChain.xml><?xml version="1.0" encoding="utf-8"?>
<calcChain xmlns="http://schemas.openxmlformats.org/spreadsheetml/2006/main">
  <c r="K328" i="6" l="1"/>
  <c r="K238" i="6"/>
  <c r="K219" i="6"/>
  <c r="K200" i="6"/>
  <c r="K180" i="6"/>
  <c r="I359" i="6"/>
  <c r="I358" i="6"/>
  <c r="I357" i="6"/>
  <c r="O304" i="6"/>
  <c r="K299" i="6"/>
  <c r="I92" i="6"/>
  <c r="M92" i="6"/>
  <c r="H85" i="6"/>
  <c r="F104" i="6"/>
  <c r="H248" i="6"/>
  <c r="I248" i="6"/>
  <c r="J248" i="6"/>
  <c r="G248" i="6"/>
  <c r="H242" i="6"/>
  <c r="H241" i="6"/>
  <c r="H240" i="6"/>
  <c r="H337" i="6"/>
  <c r="I337" i="6"/>
  <c r="J337" i="6"/>
  <c r="G337" i="6"/>
  <c r="G168" i="6"/>
  <c r="G165" i="6"/>
  <c r="G162" i="6"/>
  <c r="G159" i="6"/>
  <c r="G163" i="6"/>
  <c r="F131" i="6"/>
  <c r="F156" i="6"/>
  <c r="D42" i="6" l="1"/>
  <c r="H41" i="6"/>
  <c r="I41" i="6"/>
  <c r="J41" i="6"/>
  <c r="K41" i="6"/>
  <c r="L41" i="6"/>
  <c r="M41" i="6"/>
  <c r="N41" i="6"/>
  <c r="H40" i="6"/>
  <c r="I40" i="6"/>
  <c r="J40" i="6"/>
  <c r="K40" i="6"/>
  <c r="L40" i="6"/>
  <c r="M40" i="6"/>
  <c r="N40" i="6"/>
  <c r="G40" i="6"/>
  <c r="G41" i="6"/>
  <c r="H39" i="6"/>
  <c r="I39" i="6"/>
  <c r="J39" i="6"/>
  <c r="K39" i="6"/>
  <c r="L39" i="6"/>
  <c r="M39" i="6"/>
  <c r="N39" i="6"/>
  <c r="G39" i="6"/>
  <c r="F40" i="6"/>
  <c r="F41" i="6"/>
  <c r="F39" i="6"/>
  <c r="D40" i="6"/>
  <c r="D41" i="6"/>
  <c r="D39" i="6"/>
  <c r="J296" i="6"/>
  <c r="B28" i="7"/>
  <c r="B12" i="7"/>
  <c r="Q299" i="6"/>
  <c r="N299" i="6"/>
  <c r="H299" i="6"/>
  <c r="E299" i="6"/>
  <c r="D299" i="6"/>
  <c r="F153" i="5" l="1"/>
  <c r="F195" i="5"/>
  <c r="F237" i="5"/>
  <c r="F280" i="5"/>
  <c r="H308" i="5"/>
  <c r="N136" i="6" s="1"/>
  <c r="N248" i="6" s="1"/>
  <c r="H265" i="5"/>
  <c r="M136" i="6" s="1"/>
  <c r="M248" i="6" s="1"/>
  <c r="H222" i="5"/>
  <c r="L136" i="6" s="1"/>
  <c r="L248" i="6" s="1"/>
  <c r="H180" i="5"/>
  <c r="K136" i="6" s="1"/>
  <c r="K248" i="6" s="1"/>
  <c r="F42" i="5"/>
  <c r="F279" i="5"/>
  <c r="F236" i="5"/>
  <c r="F194" i="5"/>
  <c r="F152" i="5"/>
  <c r="F114" i="5"/>
  <c r="F77" i="5"/>
  <c r="F276" i="5"/>
  <c r="F233" i="5"/>
  <c r="F191" i="5"/>
  <c r="F149" i="5"/>
  <c r="F111" i="5"/>
  <c r="F74" i="5"/>
  <c r="F39" i="5"/>
  <c r="F8" i="5"/>
  <c r="F5" i="5"/>
  <c r="G128" i="5"/>
  <c r="N273" i="6"/>
  <c r="M273" i="6"/>
  <c r="L273" i="6"/>
  <c r="K273" i="6"/>
  <c r="N270" i="6"/>
  <c r="M270" i="6"/>
  <c r="L270" i="6"/>
  <c r="K270" i="6"/>
  <c r="J270" i="6"/>
  <c r="I270" i="6"/>
  <c r="H270" i="6"/>
  <c r="G270" i="6"/>
  <c r="I263" i="6"/>
  <c r="I262" i="6"/>
  <c r="I261" i="6"/>
  <c r="I260" i="6"/>
  <c r="N304" i="6"/>
  <c r="M304" i="6"/>
  <c r="L304" i="6"/>
  <c r="H229" i="6"/>
  <c r="I229" i="6"/>
  <c r="J229" i="6"/>
  <c r="G229" i="6"/>
  <c r="H223" i="6"/>
  <c r="H222" i="6"/>
  <c r="H221" i="6"/>
  <c r="H210" i="6"/>
  <c r="I210" i="6"/>
  <c r="J210" i="6"/>
  <c r="G210" i="6"/>
  <c r="H204" i="6"/>
  <c r="H203" i="6"/>
  <c r="H202" i="6"/>
  <c r="H184" i="6"/>
  <c r="H183" i="6"/>
  <c r="H182" i="6"/>
  <c r="H190" i="6"/>
  <c r="I190" i="6"/>
  <c r="J190" i="6"/>
  <c r="G190" i="6"/>
  <c r="H100" i="6"/>
  <c r="I100" i="6"/>
  <c r="J100" i="6"/>
  <c r="K100" i="6"/>
  <c r="L100" i="6"/>
  <c r="M100" i="6"/>
  <c r="N100" i="6"/>
  <c r="G100" i="6"/>
  <c r="I97" i="6"/>
  <c r="J97" i="6"/>
  <c r="K97" i="6"/>
  <c r="L97" i="6"/>
  <c r="M97" i="6"/>
  <c r="N97" i="6"/>
  <c r="H97" i="6"/>
  <c r="N91" i="6"/>
  <c r="M91" i="6"/>
  <c r="L91" i="6"/>
  <c r="M87" i="6"/>
  <c r="I89" i="6"/>
  <c r="I88" i="6"/>
  <c r="I87" i="6"/>
  <c r="I68" i="6"/>
  <c r="I69" i="6"/>
  <c r="I70" i="6"/>
  <c r="L16" i="6"/>
  <c r="I16" i="6"/>
  <c r="H16" i="6"/>
  <c r="G16" i="6"/>
  <c r="L15" i="6"/>
  <c r="H15" i="6"/>
  <c r="G15" i="6"/>
  <c r="H51" i="6"/>
  <c r="I51" i="6"/>
  <c r="J51" i="6"/>
  <c r="K51" i="6"/>
  <c r="L51" i="6"/>
  <c r="M51" i="6"/>
  <c r="N51" i="6"/>
  <c r="G51" i="6"/>
  <c r="H44" i="6"/>
  <c r="F235" i="5"/>
  <c r="F253" i="5"/>
  <c r="M16" i="6" s="1"/>
  <c r="G251" i="5"/>
  <c r="G252" i="5" s="1"/>
  <c r="H232" i="5"/>
  <c r="F278" i="5"/>
  <c r="G294" i="5"/>
  <c r="G295" i="5" s="1"/>
  <c r="H275" i="5"/>
  <c r="F193" i="5"/>
  <c r="F211" i="5"/>
  <c r="F210" i="5"/>
  <c r="G209" i="5"/>
  <c r="G212" i="5" s="1"/>
  <c r="H190" i="5"/>
  <c r="F151" i="5"/>
  <c r="G167" i="5"/>
  <c r="H148" i="5"/>
  <c r="F113" i="5"/>
  <c r="G127" i="5"/>
  <c r="H110" i="5"/>
  <c r="H92" i="5"/>
  <c r="G90" i="5"/>
  <c r="F76" i="5"/>
  <c r="H73" i="5"/>
  <c r="G55" i="5"/>
  <c r="F41" i="5"/>
  <c r="H38" i="5"/>
  <c r="F7" i="5"/>
  <c r="H4" i="5"/>
  <c r="G254" i="5" l="1"/>
  <c r="L190" i="6"/>
  <c r="L337" i="6"/>
  <c r="M190" i="6"/>
  <c r="M337" i="6"/>
  <c r="N229" i="6"/>
  <c r="N337" i="6"/>
  <c r="K210" i="6"/>
  <c r="K337" i="6"/>
  <c r="N190" i="6"/>
  <c r="L210" i="6"/>
  <c r="K229" i="6"/>
  <c r="K190" i="6"/>
  <c r="M210" i="6"/>
  <c r="L229" i="6"/>
  <c r="N210" i="6"/>
  <c r="M229" i="6"/>
  <c r="G255" i="5"/>
  <c r="G297" i="5"/>
  <c r="G213" i="5"/>
  <c r="G170" i="5"/>
  <c r="G171" i="5" s="1"/>
  <c r="F168" i="5"/>
  <c r="K15" i="6" s="1"/>
  <c r="F169" i="5"/>
  <c r="K16" i="6" s="1"/>
  <c r="G91" i="5"/>
  <c r="G93" i="5" s="1"/>
  <c r="G130" i="5"/>
  <c r="G94" i="5" l="1"/>
  <c r="G298" i="5"/>
  <c r="G131" i="5"/>
  <c r="F26" i="1"/>
  <c r="F18" i="1"/>
  <c r="F11" i="1"/>
  <c r="F299" i="6" s="1"/>
  <c r="H30" i="1"/>
  <c r="H19" i="1"/>
  <c r="F37" i="6" s="1"/>
  <c r="H17" i="1"/>
  <c r="F17" i="3"/>
  <c r="F23" i="1"/>
  <c r="F16" i="1"/>
  <c r="D306" i="5" l="1"/>
  <c r="G306" i="5" s="1"/>
  <c r="D178" i="5"/>
  <c r="G178" i="5" s="1"/>
  <c r="F148" i="5"/>
  <c r="D100" i="5"/>
  <c r="G100" i="5" s="1"/>
  <c r="D99" i="5"/>
  <c r="G99" i="5" s="1"/>
  <c r="F4" i="5"/>
  <c r="F232" i="5"/>
  <c r="D220" i="5"/>
  <c r="G220" i="5" s="1"/>
  <c r="F73" i="5"/>
  <c r="D264" i="5"/>
  <c r="D242" i="5"/>
  <c r="D285" i="5"/>
  <c r="F190" i="5"/>
  <c r="D118" i="5"/>
  <c r="D81" i="5"/>
  <c r="D29" i="5"/>
  <c r="G29" i="5" s="1"/>
  <c r="D305" i="5"/>
  <c r="G305" i="5" s="1"/>
  <c r="D179" i="5"/>
  <c r="F110" i="5"/>
  <c r="D46" i="5"/>
  <c r="F38" i="5"/>
  <c r="M89" i="6"/>
  <c r="D262" i="5"/>
  <c r="G262" i="5" s="1"/>
  <c r="D307" i="5"/>
  <c r="D221" i="5"/>
  <c r="D158" i="5"/>
  <c r="D137" i="5"/>
  <c r="G137" i="5" s="1"/>
  <c r="D64" i="5"/>
  <c r="G64" i="5" s="1"/>
  <c r="D12" i="5"/>
  <c r="D263" i="5"/>
  <c r="G263" i="5" s="1"/>
  <c r="F275" i="5"/>
  <c r="D200" i="5"/>
  <c r="D136" i="5"/>
  <c r="G136" i="5" s="1"/>
  <c r="F256" i="5"/>
  <c r="F214" i="5"/>
  <c r="F299" i="5"/>
  <c r="F172" i="5"/>
  <c r="M88" i="6"/>
  <c r="E242" i="5"/>
  <c r="E12" i="5"/>
  <c r="F12" i="5" s="1"/>
  <c r="E81" i="5"/>
  <c r="G23" i="5"/>
  <c r="E285" i="5"/>
  <c r="F285" i="5" s="1"/>
  <c r="E118" i="5"/>
  <c r="F118" i="5" s="1"/>
  <c r="F277" i="5"/>
  <c r="F192" i="5"/>
  <c r="F112" i="5"/>
  <c r="F40" i="5"/>
  <c r="E46" i="5"/>
  <c r="F46" i="5" s="1"/>
  <c r="E158" i="5"/>
  <c r="F158" i="5" s="1"/>
  <c r="F6" i="5"/>
  <c r="E200" i="5"/>
  <c r="F200" i="5" s="1"/>
  <c r="F234" i="5"/>
  <c r="F150" i="5"/>
  <c r="F75" i="5"/>
  <c r="F135" i="5"/>
  <c r="H272" i="6"/>
  <c r="H274" i="6" s="1"/>
  <c r="M272" i="6"/>
  <c r="M274" i="6" s="1"/>
  <c r="J272" i="6"/>
  <c r="J274" i="6" s="1"/>
  <c r="G272" i="6"/>
  <c r="G274" i="6" s="1"/>
  <c r="K272" i="6"/>
  <c r="K274" i="6" s="1"/>
  <c r="N272" i="6"/>
  <c r="N274" i="6" s="1"/>
  <c r="I272" i="6"/>
  <c r="I274" i="6" s="1"/>
  <c r="L272" i="6"/>
  <c r="L274" i="6" s="1"/>
  <c r="F27" i="1"/>
  <c r="I264" i="6"/>
  <c r="F17" i="1"/>
  <c r="I91" i="6"/>
  <c r="D256" i="5"/>
  <c r="N17" i="6"/>
  <c r="K17" i="6"/>
  <c r="M17" i="6"/>
  <c r="L17" i="6"/>
  <c r="D172" i="5"/>
  <c r="D299" i="5"/>
  <c r="D214" i="5"/>
  <c r="J47" i="6"/>
  <c r="J48" i="6" s="1"/>
  <c r="N47" i="6"/>
  <c r="N48" i="6" s="1"/>
  <c r="I47" i="6"/>
  <c r="I48" i="6" s="1"/>
  <c r="M47" i="6"/>
  <c r="M48" i="6" s="1"/>
  <c r="K47" i="6"/>
  <c r="K48" i="6" s="1"/>
  <c r="L47" i="6"/>
  <c r="L48" i="6" s="1"/>
  <c r="G47" i="6"/>
  <c r="G48" i="6" s="1"/>
  <c r="H47" i="6"/>
  <c r="H48" i="6" s="1"/>
  <c r="F242" i="5" l="1"/>
  <c r="H242" i="5" s="1"/>
  <c r="H254" i="5" s="1"/>
  <c r="E212" i="5"/>
  <c r="F212" i="5" s="1"/>
  <c r="L18" i="6" s="1"/>
  <c r="D207" i="5"/>
  <c r="F207" i="5" s="1"/>
  <c r="L11" i="6" s="1"/>
  <c r="F204" i="5"/>
  <c r="D206" i="5"/>
  <c r="F206" i="5" s="1"/>
  <c r="L10" i="6" s="1"/>
  <c r="D205" i="5"/>
  <c r="F205" i="5" s="1"/>
  <c r="L9" i="6" s="1"/>
  <c r="D208" i="5"/>
  <c r="F208" i="5" s="1"/>
  <c r="L12" i="6" s="1"/>
  <c r="H64" i="5"/>
  <c r="H266" i="6"/>
  <c r="H269" i="6" s="1"/>
  <c r="D53" i="5"/>
  <c r="F53" i="5" s="1"/>
  <c r="H11" i="6" s="1"/>
  <c r="F50" i="5"/>
  <c r="D51" i="5"/>
  <c r="F51" i="5" s="1"/>
  <c r="H9" i="6" s="1"/>
  <c r="D52" i="5"/>
  <c r="F52" i="5" s="1"/>
  <c r="H10" i="6" s="1"/>
  <c r="D54" i="5"/>
  <c r="F54" i="5" s="1"/>
  <c r="H12" i="6" s="1"/>
  <c r="E58" i="5"/>
  <c r="F58" i="5" s="1"/>
  <c r="H19" i="6" s="1"/>
  <c r="H20" i="6" s="1"/>
  <c r="H29" i="5"/>
  <c r="G266" i="6"/>
  <c r="G269" i="6" s="1"/>
  <c r="D291" i="5"/>
  <c r="F291" i="5" s="1"/>
  <c r="N10" i="6" s="1"/>
  <c r="F289" i="5"/>
  <c r="D290" i="5"/>
  <c r="F290" i="5" s="1"/>
  <c r="N9" i="6" s="1"/>
  <c r="D293" i="5"/>
  <c r="F293" i="5" s="1"/>
  <c r="N12" i="6" s="1"/>
  <c r="D292" i="5"/>
  <c r="F292" i="5" s="1"/>
  <c r="N11" i="6" s="1"/>
  <c r="D295" i="5"/>
  <c r="F295" i="5" s="1"/>
  <c r="N15" i="6" s="1"/>
  <c r="N20" i="6" s="1"/>
  <c r="E297" i="5"/>
  <c r="F297" i="5" s="1"/>
  <c r="N18" i="6" s="1"/>
  <c r="E296" i="5"/>
  <c r="F296" i="5" s="1"/>
  <c r="N16" i="6" s="1"/>
  <c r="H220" i="5"/>
  <c r="L266" i="6"/>
  <c r="H100" i="5"/>
  <c r="I267" i="6"/>
  <c r="J267" i="6"/>
  <c r="H137" i="5"/>
  <c r="H262" i="5"/>
  <c r="M266" i="6"/>
  <c r="D89" i="5"/>
  <c r="F89" i="5" s="1"/>
  <c r="I12" i="6" s="1"/>
  <c r="F85" i="5"/>
  <c r="E93" i="5"/>
  <c r="F93" i="5" s="1"/>
  <c r="I18" i="6" s="1"/>
  <c r="D87" i="5"/>
  <c r="F87" i="5" s="1"/>
  <c r="I10" i="6" s="1"/>
  <c r="D86" i="5"/>
  <c r="F86" i="5" s="1"/>
  <c r="I9" i="6" s="1"/>
  <c r="D91" i="5"/>
  <c r="F91" i="5" s="1"/>
  <c r="I15" i="6" s="1"/>
  <c r="D88" i="5"/>
  <c r="F88" i="5" s="1"/>
  <c r="I11" i="6" s="1"/>
  <c r="E254" i="5"/>
  <c r="F254" i="5" s="1"/>
  <c r="M18" i="6" s="1"/>
  <c r="F246" i="5"/>
  <c r="D248" i="5"/>
  <c r="F248" i="5" s="1"/>
  <c r="M10" i="6" s="1"/>
  <c r="D247" i="5"/>
  <c r="F247" i="5" s="1"/>
  <c r="M9" i="6" s="1"/>
  <c r="D252" i="5"/>
  <c r="F252" i="5" s="1"/>
  <c r="M15" i="6" s="1"/>
  <c r="D249" i="5"/>
  <c r="F249" i="5" s="1"/>
  <c r="M11" i="6" s="1"/>
  <c r="D250" i="5"/>
  <c r="F250" i="5" s="1"/>
  <c r="M12" i="6" s="1"/>
  <c r="L20" i="6"/>
  <c r="M20" i="6"/>
  <c r="F81" i="5"/>
  <c r="F98" i="5" s="1"/>
  <c r="H263" i="5"/>
  <c r="M267" i="6"/>
  <c r="D163" i="5"/>
  <c r="F163" i="5" s="1"/>
  <c r="K9" i="6" s="1"/>
  <c r="F162" i="5"/>
  <c r="D166" i="5"/>
  <c r="F166" i="5" s="1"/>
  <c r="K12" i="6" s="1"/>
  <c r="E170" i="5"/>
  <c r="F170" i="5" s="1"/>
  <c r="K18" i="6" s="1"/>
  <c r="K20" i="6" s="1"/>
  <c r="D164" i="5"/>
  <c r="F164" i="5" s="1"/>
  <c r="K10" i="6" s="1"/>
  <c r="D165" i="5"/>
  <c r="F165" i="5" s="1"/>
  <c r="K11" i="6" s="1"/>
  <c r="D125" i="5"/>
  <c r="F125" i="5" s="1"/>
  <c r="J11" i="6" s="1"/>
  <c r="E129" i="5"/>
  <c r="F129" i="5" s="1"/>
  <c r="J16" i="6" s="1"/>
  <c r="D128" i="5"/>
  <c r="F128" i="5" s="1"/>
  <c r="J15" i="6" s="1"/>
  <c r="D124" i="5"/>
  <c r="F124" i="5" s="1"/>
  <c r="J10" i="6" s="1"/>
  <c r="E130" i="5"/>
  <c r="F130" i="5" s="1"/>
  <c r="J18" i="6" s="1"/>
  <c r="F122" i="5"/>
  <c r="D123" i="5"/>
  <c r="F123" i="5" s="1"/>
  <c r="J9" i="6" s="1"/>
  <c r="D126" i="5"/>
  <c r="F126" i="5" s="1"/>
  <c r="J12" i="6" s="1"/>
  <c r="H178" i="5"/>
  <c r="K266" i="6"/>
  <c r="H136" i="5"/>
  <c r="J266" i="6"/>
  <c r="F16" i="5"/>
  <c r="D18" i="5"/>
  <c r="F18" i="5" s="1"/>
  <c r="G10" i="6" s="1"/>
  <c r="D19" i="5"/>
  <c r="F19" i="5" s="1"/>
  <c r="G11" i="6" s="1"/>
  <c r="D17" i="5"/>
  <c r="F17" i="5" s="1"/>
  <c r="G9" i="6" s="1"/>
  <c r="D20" i="5"/>
  <c r="F20" i="5" s="1"/>
  <c r="G12" i="6" s="1"/>
  <c r="E23" i="5"/>
  <c r="F23" i="5" s="1"/>
  <c r="G19" i="6" s="1"/>
  <c r="G20" i="6" s="1"/>
  <c r="H305" i="5"/>
  <c r="N266" i="6"/>
  <c r="H99" i="5"/>
  <c r="I266" i="6"/>
  <c r="H306" i="5"/>
  <c r="N267" i="6"/>
  <c r="H200" i="5"/>
  <c r="H212" i="5" s="1"/>
  <c r="L361" i="6"/>
  <c r="L362" i="6" s="1"/>
  <c r="H118" i="5"/>
  <c r="J361" i="6"/>
  <c r="J362" i="6" s="1"/>
  <c r="J363" i="6"/>
  <c r="J364" i="6" s="1"/>
  <c r="H12" i="5"/>
  <c r="G331" i="6" s="1"/>
  <c r="G361" i="6"/>
  <c r="G362" i="6" s="1"/>
  <c r="H46" i="5"/>
  <c r="H361" i="6"/>
  <c r="H362" i="6" s="1"/>
  <c r="H81" i="5"/>
  <c r="I363" i="6"/>
  <c r="I364" i="6" s="1"/>
  <c r="I361" i="6"/>
  <c r="I362" i="6" s="1"/>
  <c r="H158" i="5"/>
  <c r="H170" i="5" s="1"/>
  <c r="K361" i="6"/>
  <c r="K362" i="6" s="1"/>
  <c r="N361" i="6"/>
  <c r="N362" i="6" s="1"/>
  <c r="M361" i="6"/>
  <c r="M362" i="6" s="1"/>
  <c r="F304" i="5"/>
  <c r="N363" i="6" s="1"/>
  <c r="N364" i="6" s="1"/>
  <c r="H285" i="5"/>
  <c r="H297" i="5" s="1"/>
  <c r="G101" i="5"/>
  <c r="F177" i="5"/>
  <c r="K363" i="6" s="1"/>
  <c r="G179" i="5"/>
  <c r="G24" i="5"/>
  <c r="F28" i="5" s="1"/>
  <c r="G363" i="6" s="1"/>
  <c r="G364" i="6" s="1"/>
  <c r="G58" i="5"/>
  <c r="G59" i="5" s="1"/>
  <c r="F63" i="5" s="1"/>
  <c r="H363" i="6" s="1"/>
  <c r="H364" i="6" s="1"/>
  <c r="G307" i="5"/>
  <c r="F261" i="5"/>
  <c r="M363" i="6" s="1"/>
  <c r="M364" i="6" s="1"/>
  <c r="G264" i="5"/>
  <c r="G221" i="5"/>
  <c r="F219" i="5"/>
  <c r="L363" i="6" s="1"/>
  <c r="L364" i="6" s="1"/>
  <c r="G138" i="5"/>
  <c r="H18" i="5"/>
  <c r="H19" i="5"/>
  <c r="H20" i="5"/>
  <c r="H17" i="5"/>
  <c r="K108" i="6"/>
  <c r="K110" i="6" s="1"/>
  <c r="K112" i="6" s="1"/>
  <c r="G108" i="6"/>
  <c r="G110" i="6" s="1"/>
  <c r="G112" i="6" s="1"/>
  <c r="J108" i="6"/>
  <c r="J110" i="6" s="1"/>
  <c r="J112" i="6" s="1"/>
  <c r="N108" i="6"/>
  <c r="N110" i="6" s="1"/>
  <c r="N112" i="6" s="1"/>
  <c r="I108" i="6"/>
  <c r="M108" i="6"/>
  <c r="M110" i="6" s="1"/>
  <c r="M112" i="6" s="1"/>
  <c r="H108" i="6"/>
  <c r="H110" i="6" s="1"/>
  <c r="H112" i="6" s="1"/>
  <c r="L108" i="6"/>
  <c r="L110" i="6" s="1"/>
  <c r="L112" i="6" s="1"/>
  <c r="K22" i="6" l="1"/>
  <c r="K24" i="6" s="1"/>
  <c r="J8" i="6"/>
  <c r="J13" i="6" s="1"/>
  <c r="F127" i="5"/>
  <c r="F131" i="5" s="1"/>
  <c r="J46" i="6" s="1"/>
  <c r="G8" i="6"/>
  <c r="G13" i="6" s="1"/>
  <c r="G22" i="6" s="1"/>
  <c r="G23" i="6" s="1"/>
  <c r="F24" i="5"/>
  <c r="G46" i="6" s="1"/>
  <c r="M334" i="6"/>
  <c r="M118" i="6"/>
  <c r="G281" i="6"/>
  <c r="G271" i="6"/>
  <c r="G275" i="6"/>
  <c r="H281" i="6"/>
  <c r="H271" i="6"/>
  <c r="H275" i="6"/>
  <c r="H278" i="6" s="1"/>
  <c r="K8" i="6"/>
  <c r="K13" i="6" s="1"/>
  <c r="F167" i="5"/>
  <c r="F171" i="5" s="1"/>
  <c r="F173" i="5" s="1"/>
  <c r="K46" i="6" s="1"/>
  <c r="K186" i="6" s="1"/>
  <c r="K187" i="6" s="1"/>
  <c r="K192" i="6" s="1"/>
  <c r="I20" i="6"/>
  <c r="I8" i="6"/>
  <c r="I13" i="6" s="1"/>
  <c r="F90" i="5"/>
  <c r="F94" i="5" s="1"/>
  <c r="I46" i="6" s="1"/>
  <c r="J334" i="6"/>
  <c r="J118" i="6"/>
  <c r="I334" i="6"/>
  <c r="I118" i="6"/>
  <c r="L8" i="6"/>
  <c r="L13" i="6" s="1"/>
  <c r="L22" i="6" s="1"/>
  <c r="F209" i="5"/>
  <c r="F213" i="5" s="1"/>
  <c r="F215" i="5" s="1"/>
  <c r="L46" i="6" s="1"/>
  <c r="L95" i="6" s="1"/>
  <c r="L98" i="6" s="1"/>
  <c r="L101" i="6" s="1"/>
  <c r="N118" i="6"/>
  <c r="N334" i="6"/>
  <c r="J20" i="6"/>
  <c r="M8" i="6"/>
  <c r="M13" i="6" s="1"/>
  <c r="F251" i="5"/>
  <c r="F255" i="5" s="1"/>
  <c r="F257" i="5" s="1"/>
  <c r="M46" i="6" s="1"/>
  <c r="M95" i="6" s="1"/>
  <c r="M98" i="6" s="1"/>
  <c r="M101" i="6" s="1"/>
  <c r="N8" i="6"/>
  <c r="N13" i="6" s="1"/>
  <c r="N22" i="6" s="1"/>
  <c r="N23" i="6" s="1"/>
  <c r="F294" i="5"/>
  <c r="F298" i="5" s="1"/>
  <c r="F300" i="5" s="1"/>
  <c r="N46" i="6" s="1"/>
  <c r="N339" i="6" s="1"/>
  <c r="H8" i="6"/>
  <c r="H13" i="6" s="1"/>
  <c r="H22" i="6" s="1"/>
  <c r="H23" i="6" s="1"/>
  <c r="F55" i="5"/>
  <c r="F59" i="5" s="1"/>
  <c r="H46" i="6" s="1"/>
  <c r="L331" i="6"/>
  <c r="H331" i="6"/>
  <c r="J331" i="6"/>
  <c r="K331" i="6"/>
  <c r="I331" i="6"/>
  <c r="N331" i="6"/>
  <c r="M331" i="6"/>
  <c r="J365" i="6"/>
  <c r="K364" i="6"/>
  <c r="K365" i="6" s="1"/>
  <c r="M365" i="6"/>
  <c r="N365" i="6"/>
  <c r="I365" i="6"/>
  <c r="L365" i="6"/>
  <c r="H365" i="6"/>
  <c r="G365" i="6"/>
  <c r="K339" i="6"/>
  <c r="M49" i="6"/>
  <c r="K49" i="6"/>
  <c r="N50" i="6"/>
  <c r="N244" i="6" s="1"/>
  <c r="K50" i="6"/>
  <c r="K244" i="6" s="1"/>
  <c r="M54" i="6"/>
  <c r="M55" i="6" s="1"/>
  <c r="M341" i="6" s="1"/>
  <c r="H53" i="5"/>
  <c r="H58" i="5"/>
  <c r="H51" i="5"/>
  <c r="H55" i="5"/>
  <c r="H52" i="5"/>
  <c r="H54" i="5"/>
  <c r="H128" i="5"/>
  <c r="H130" i="5"/>
  <c r="H129" i="5"/>
  <c r="M268" i="6"/>
  <c r="M269" i="6" s="1"/>
  <c r="H264" i="5"/>
  <c r="J268" i="6"/>
  <c r="J269" i="6" s="1"/>
  <c r="H138" i="5"/>
  <c r="L268" i="6"/>
  <c r="L269" i="6" s="1"/>
  <c r="H221" i="5"/>
  <c r="N268" i="6"/>
  <c r="N269" i="6" s="1"/>
  <c r="H307" i="5"/>
  <c r="K268" i="6"/>
  <c r="K269" i="6" s="1"/>
  <c r="H179" i="5"/>
  <c r="H101" i="5"/>
  <c r="I268" i="6"/>
  <c r="I269" i="6" s="1"/>
  <c r="J111" i="6"/>
  <c r="H111" i="6"/>
  <c r="G111" i="6"/>
  <c r="M111" i="6"/>
  <c r="K111" i="6"/>
  <c r="I111" i="6"/>
  <c r="H23" i="5"/>
  <c r="H24" i="5" s="1"/>
  <c r="H28" i="5" s="1"/>
  <c r="N111" i="6"/>
  <c r="L111" i="6"/>
  <c r="H249" i="5"/>
  <c r="H253" i="5"/>
  <c r="H293" i="5"/>
  <c r="H208" i="5"/>
  <c r="H164" i="5"/>
  <c r="H125" i="5"/>
  <c r="H87" i="5"/>
  <c r="H291" i="5"/>
  <c r="H163" i="5"/>
  <c r="H295" i="5"/>
  <c r="H296" i="5"/>
  <c r="H247" i="5"/>
  <c r="H292" i="5"/>
  <c r="H207" i="5"/>
  <c r="H124" i="5"/>
  <c r="H166" i="5"/>
  <c r="H89" i="5"/>
  <c r="H252" i="5"/>
  <c r="H123" i="5"/>
  <c r="H250" i="5"/>
  <c r="H248" i="5"/>
  <c r="H290" i="5"/>
  <c r="H205" i="5"/>
  <c r="H165" i="5"/>
  <c r="H126" i="5"/>
  <c r="H91" i="5"/>
  <c r="H86" i="5"/>
  <c r="H88" i="5"/>
  <c r="H206" i="5"/>
  <c r="H93" i="5"/>
  <c r="M186" i="6"/>
  <c r="J109" i="6"/>
  <c r="N24" i="6"/>
  <c r="I109" i="6"/>
  <c r="I110" i="6"/>
  <c r="I112" i="6" s="1"/>
  <c r="G109" i="6"/>
  <c r="H109" i="6"/>
  <c r="K109" i="6"/>
  <c r="M50" i="6" l="1"/>
  <c r="M339" i="6"/>
  <c r="L54" i="6"/>
  <c r="L55" i="6" s="1"/>
  <c r="L186" i="6"/>
  <c r="L50" i="6"/>
  <c r="L52" i="6" s="1"/>
  <c r="L53" i="6" s="1"/>
  <c r="L72" i="6"/>
  <c r="L138" i="6" s="1"/>
  <c r="L49" i="6"/>
  <c r="L339" i="6"/>
  <c r="N186" i="6"/>
  <c r="N187" i="6" s="1"/>
  <c r="N192" i="6" s="1"/>
  <c r="K54" i="6"/>
  <c r="K55" i="6" s="1"/>
  <c r="K341" i="6" s="1"/>
  <c r="N72" i="6"/>
  <c r="L23" i="6"/>
  <c r="L24" i="6"/>
  <c r="M72" i="6"/>
  <c r="M138" i="6" s="1"/>
  <c r="K72" i="6"/>
  <c r="N54" i="6"/>
  <c r="N55" i="6" s="1"/>
  <c r="N341" i="6" s="1"/>
  <c r="N95" i="6"/>
  <c r="N98" i="6" s="1"/>
  <c r="N101" i="6" s="1"/>
  <c r="N189" i="6" s="1"/>
  <c r="N191" i="6" s="1"/>
  <c r="K95" i="6"/>
  <c r="K98" i="6" s="1"/>
  <c r="K101" i="6" s="1"/>
  <c r="K189" i="6" s="1"/>
  <c r="K191" i="6" s="1"/>
  <c r="H24" i="6"/>
  <c r="H276" i="6"/>
  <c r="H279" i="6" s="1"/>
  <c r="H282" i="6"/>
  <c r="H283" i="6"/>
  <c r="H277" i="6"/>
  <c r="H280" i="6" s="1"/>
  <c r="G72" i="6"/>
  <c r="G138" i="6" s="1"/>
  <c r="G49" i="6"/>
  <c r="G54" i="6"/>
  <c r="G55" i="6" s="1"/>
  <c r="G50" i="6"/>
  <c r="G95" i="6"/>
  <c r="G98" i="6" s="1"/>
  <c r="G101" i="6" s="1"/>
  <c r="G339" i="6"/>
  <c r="G186" i="6"/>
  <c r="J22" i="6"/>
  <c r="J23" i="6" s="1"/>
  <c r="G24" i="6"/>
  <c r="N49" i="6"/>
  <c r="H339" i="6"/>
  <c r="H72" i="6"/>
  <c r="H138" i="6" s="1"/>
  <c r="H186" i="6"/>
  <c r="H54" i="6"/>
  <c r="H55" i="6" s="1"/>
  <c r="H341" i="6" s="1"/>
  <c r="H95" i="6"/>
  <c r="H98" i="6" s="1"/>
  <c r="H101" i="6" s="1"/>
  <c r="H114" i="6" s="1"/>
  <c r="H49" i="6"/>
  <c r="H50" i="6"/>
  <c r="I54" i="6"/>
  <c r="I55" i="6" s="1"/>
  <c r="I341" i="6" s="1"/>
  <c r="I95" i="6"/>
  <c r="I98" i="6" s="1"/>
  <c r="I101" i="6" s="1"/>
  <c r="I114" i="6" s="1"/>
  <c r="I339" i="6"/>
  <c r="I72" i="6"/>
  <c r="I138" i="6" s="1"/>
  <c r="I186" i="6"/>
  <c r="I49" i="6"/>
  <c r="I50" i="6"/>
  <c r="K23" i="6"/>
  <c r="G278" i="6"/>
  <c r="M22" i="6"/>
  <c r="M24" i="6" s="1"/>
  <c r="I22" i="6"/>
  <c r="I24" i="6" s="1"/>
  <c r="I23" i="6"/>
  <c r="G276" i="6"/>
  <c r="G279" i="6" s="1"/>
  <c r="G282" i="6"/>
  <c r="G277" i="6"/>
  <c r="G280" i="6" s="1"/>
  <c r="G283" i="6"/>
  <c r="J54" i="6"/>
  <c r="J55" i="6" s="1"/>
  <c r="J341" i="6" s="1"/>
  <c r="J95" i="6"/>
  <c r="J98" i="6" s="1"/>
  <c r="J101" i="6" s="1"/>
  <c r="J114" i="6" s="1"/>
  <c r="J339" i="6"/>
  <c r="J186" i="6"/>
  <c r="J72" i="6"/>
  <c r="J138" i="6" s="1"/>
  <c r="J49" i="6"/>
  <c r="J50" i="6"/>
  <c r="M345" i="6"/>
  <c r="M244" i="6"/>
  <c r="M245" i="6" s="1"/>
  <c r="M250" i="6" s="1"/>
  <c r="N245" i="6"/>
  <c r="N250" i="6" s="1"/>
  <c r="K245" i="6"/>
  <c r="K250" i="6" s="1"/>
  <c r="G116" i="6"/>
  <c r="G332" i="6"/>
  <c r="G335" i="6" s="1"/>
  <c r="G336" i="6" s="1"/>
  <c r="G338" i="6" s="1"/>
  <c r="I117" i="6"/>
  <c r="I333" i="6"/>
  <c r="K96" i="6"/>
  <c r="K99" i="6" s="1"/>
  <c r="K102" i="6" s="1"/>
  <c r="K345" i="6"/>
  <c r="N96" i="6"/>
  <c r="N99" i="6" s="1"/>
  <c r="N345" i="6"/>
  <c r="N117" i="6"/>
  <c r="N333" i="6"/>
  <c r="J117" i="6"/>
  <c r="J333" i="6"/>
  <c r="K188" i="6"/>
  <c r="K333" i="6"/>
  <c r="K117" i="6"/>
  <c r="L333" i="6"/>
  <c r="L117" i="6"/>
  <c r="M117" i="6"/>
  <c r="M333" i="6"/>
  <c r="L75" i="6"/>
  <c r="L140" i="6" s="1"/>
  <c r="L341" i="6"/>
  <c r="L206" i="6"/>
  <c r="L207" i="6" s="1"/>
  <c r="L212" i="6" s="1"/>
  <c r="L96" i="6"/>
  <c r="L99" i="6" s="1"/>
  <c r="N138" i="6"/>
  <c r="K138" i="6"/>
  <c r="N134" i="6"/>
  <c r="M96" i="6"/>
  <c r="M99" i="6" s="1"/>
  <c r="M102" i="6" s="1"/>
  <c r="M247" i="6" s="1"/>
  <c r="L73" i="6"/>
  <c r="K193" i="6"/>
  <c r="K114" i="6"/>
  <c r="G114" i="6"/>
  <c r="M73" i="6"/>
  <c r="M52" i="6"/>
  <c r="M53" i="6" s="1"/>
  <c r="K52" i="6"/>
  <c r="K53" i="6" s="1"/>
  <c r="N52" i="6"/>
  <c r="N53" i="6" s="1"/>
  <c r="L189" i="6"/>
  <c r="L191" i="6" s="1"/>
  <c r="L134" i="6"/>
  <c r="L209" i="6"/>
  <c r="L211" i="6" s="1"/>
  <c r="M134" i="6"/>
  <c r="M209" i="6"/>
  <c r="M211" i="6" s="1"/>
  <c r="M189" i="6"/>
  <c r="M191" i="6" s="1"/>
  <c r="K73" i="6"/>
  <c r="N73" i="6"/>
  <c r="H294" i="5"/>
  <c r="H298" i="5" s="1"/>
  <c r="H304" i="5" s="1"/>
  <c r="H90" i="5"/>
  <c r="H94" i="5" s="1"/>
  <c r="H98" i="5" s="1"/>
  <c r="H167" i="5"/>
  <c r="H171" i="5" s="1"/>
  <c r="H177" i="5" s="1"/>
  <c r="H30" i="5"/>
  <c r="C28" i="7" s="1"/>
  <c r="N281" i="6"/>
  <c r="N271" i="6"/>
  <c r="N275" i="6"/>
  <c r="J281" i="6"/>
  <c r="J271" i="6"/>
  <c r="J275" i="6"/>
  <c r="I271" i="6"/>
  <c r="I281" i="6"/>
  <c r="I275" i="6"/>
  <c r="K281" i="6"/>
  <c r="K271" i="6"/>
  <c r="K275" i="6"/>
  <c r="L281" i="6"/>
  <c r="L271" i="6"/>
  <c r="L275" i="6"/>
  <c r="M281" i="6"/>
  <c r="M271" i="6"/>
  <c r="M275" i="6"/>
  <c r="H209" i="5"/>
  <c r="H213" i="5" s="1"/>
  <c r="H219" i="5" s="1"/>
  <c r="H127" i="5"/>
  <c r="H131" i="5" s="1"/>
  <c r="H135" i="5" s="1"/>
  <c r="H251" i="5"/>
  <c r="H255" i="5" s="1"/>
  <c r="H261" i="5" s="1"/>
  <c r="H59" i="5"/>
  <c r="H63" i="5" s="1"/>
  <c r="L187" i="6"/>
  <c r="L192" i="6" s="1"/>
  <c r="N206" i="6"/>
  <c r="N207" i="6" s="1"/>
  <c r="N212" i="6" s="1"/>
  <c r="I206" i="6"/>
  <c r="I207" i="6" s="1"/>
  <c r="I212" i="6" s="1"/>
  <c r="M206" i="6"/>
  <c r="M207" i="6" s="1"/>
  <c r="M212" i="6" s="1"/>
  <c r="M187" i="6"/>
  <c r="M192" i="6" s="1"/>
  <c r="L109" i="6"/>
  <c r="I75" i="6"/>
  <c r="I140" i="6" s="1"/>
  <c r="N75" i="6"/>
  <c r="J75" i="6"/>
  <c r="J140" i="6" s="1"/>
  <c r="M75" i="6"/>
  <c r="L244" i="6" l="1"/>
  <c r="L245" i="6" s="1"/>
  <c r="L250" i="6" s="1"/>
  <c r="N193" i="6"/>
  <c r="J206" i="6"/>
  <c r="J207" i="6" s="1"/>
  <c r="J212" i="6" s="1"/>
  <c r="K206" i="6"/>
  <c r="K207" i="6" s="1"/>
  <c r="K212" i="6" s="1"/>
  <c r="L345" i="6"/>
  <c r="K75" i="6"/>
  <c r="H75" i="6"/>
  <c r="H140" i="6" s="1"/>
  <c r="H206" i="6"/>
  <c r="H207" i="6" s="1"/>
  <c r="H212" i="6" s="1"/>
  <c r="K209" i="6"/>
  <c r="K211" i="6" s="1"/>
  <c r="N209" i="6"/>
  <c r="N211" i="6" s="1"/>
  <c r="N213" i="6" s="1"/>
  <c r="K134" i="6"/>
  <c r="K137" i="6" s="1"/>
  <c r="I187" i="6"/>
  <c r="I192" i="6" s="1"/>
  <c r="G187" i="6"/>
  <c r="G192" i="6" s="1"/>
  <c r="G341" i="6"/>
  <c r="G342" i="6" s="1"/>
  <c r="L56" i="6"/>
  <c r="I56" i="6"/>
  <c r="N56" i="6"/>
  <c r="N59" i="6" s="1"/>
  <c r="N78" i="6" s="1"/>
  <c r="N165" i="6" s="1"/>
  <c r="M56" i="6"/>
  <c r="M59" i="6" s="1"/>
  <c r="M78" i="6" s="1"/>
  <c r="M165" i="6" s="1"/>
  <c r="G206" i="6"/>
  <c r="K56" i="6"/>
  <c r="J56" i="6"/>
  <c r="H56" i="6"/>
  <c r="G75" i="6"/>
  <c r="G140" i="6" s="1"/>
  <c r="G56" i="6"/>
  <c r="H157" i="6" s="1"/>
  <c r="J187" i="6"/>
  <c r="J192" i="6" s="1"/>
  <c r="H244" i="6"/>
  <c r="H96" i="6"/>
  <c r="H99" i="6" s="1"/>
  <c r="H102" i="6" s="1"/>
  <c r="H345" i="6"/>
  <c r="H52" i="6"/>
  <c r="H53" i="6" s="1"/>
  <c r="H73" i="6"/>
  <c r="H145" i="6" s="1"/>
  <c r="H187" i="6"/>
  <c r="H192" i="6" s="1"/>
  <c r="J244" i="6"/>
  <c r="J345" i="6"/>
  <c r="J73" i="6"/>
  <c r="J145" i="6" s="1"/>
  <c r="J96" i="6"/>
  <c r="J99" i="6" s="1"/>
  <c r="J102" i="6" s="1"/>
  <c r="J52" i="6"/>
  <c r="J53" i="6" s="1"/>
  <c r="I244" i="6"/>
  <c r="I345" i="6"/>
  <c r="I52" i="6"/>
  <c r="I53" i="6" s="1"/>
  <c r="I73" i="6"/>
  <c r="I145" i="6" s="1"/>
  <c r="I96" i="6"/>
  <c r="I99" i="6" s="1"/>
  <c r="I102" i="6" s="1"/>
  <c r="I228" i="6" s="1"/>
  <c r="I230" i="6" s="1"/>
  <c r="J24" i="6"/>
  <c r="G189" i="6"/>
  <c r="G191" i="6" s="1"/>
  <c r="G134" i="6"/>
  <c r="G137" i="6" s="1"/>
  <c r="G209" i="6"/>
  <c r="G211" i="6" s="1"/>
  <c r="J189" i="6"/>
  <c r="J191" i="6" s="1"/>
  <c r="J134" i="6"/>
  <c r="J137" i="6" s="1"/>
  <c r="J139" i="6" s="1"/>
  <c r="H307" i="6" s="1"/>
  <c r="J209" i="6"/>
  <c r="J211" i="6" s="1"/>
  <c r="I209" i="6"/>
  <c r="I211" i="6" s="1"/>
  <c r="I213" i="6" s="1"/>
  <c r="I134" i="6"/>
  <c r="I137" i="6" s="1"/>
  <c r="I139" i="6" s="1"/>
  <c r="I189" i="6"/>
  <c r="I191" i="6" s="1"/>
  <c r="H209" i="6"/>
  <c r="H211" i="6" s="1"/>
  <c r="H213" i="6" s="1"/>
  <c r="H134" i="6"/>
  <c r="H137" i="6" s="1"/>
  <c r="H139" i="6" s="1"/>
  <c r="H305" i="6" s="1"/>
  <c r="H189" i="6"/>
  <c r="H191" i="6" s="1"/>
  <c r="G244" i="6"/>
  <c r="G245" i="6" s="1"/>
  <c r="G250" i="6" s="1"/>
  <c r="G96" i="6"/>
  <c r="G99" i="6" s="1"/>
  <c r="G102" i="6" s="1"/>
  <c r="G52" i="6"/>
  <c r="G53" i="6" s="1"/>
  <c r="G345" i="6"/>
  <c r="G73" i="6"/>
  <c r="G145" i="6" s="1"/>
  <c r="M23" i="6"/>
  <c r="K228" i="6"/>
  <c r="K230" i="6" s="1"/>
  <c r="K247" i="6"/>
  <c r="N246" i="6"/>
  <c r="K246" i="6"/>
  <c r="L246" i="6"/>
  <c r="M246" i="6"/>
  <c r="G246" i="6"/>
  <c r="G346" i="6"/>
  <c r="G340" i="6"/>
  <c r="H116" i="6"/>
  <c r="H332" i="6"/>
  <c r="H335" i="6" s="1"/>
  <c r="H336" i="6" s="1"/>
  <c r="H338" i="6" s="1"/>
  <c r="I332" i="6"/>
  <c r="I335" i="6" s="1"/>
  <c r="I336" i="6" s="1"/>
  <c r="I338" i="6" s="1"/>
  <c r="I116" i="6"/>
  <c r="I120" i="6" s="1"/>
  <c r="I121" i="6" s="1"/>
  <c r="K59" i="6"/>
  <c r="K78" i="6" s="1"/>
  <c r="K165" i="6" s="1"/>
  <c r="K343" i="6"/>
  <c r="L59" i="6"/>
  <c r="L78" i="6" s="1"/>
  <c r="L165" i="6" s="1"/>
  <c r="L343" i="6"/>
  <c r="L332" i="6"/>
  <c r="L335" i="6" s="1"/>
  <c r="L336" i="6" s="1"/>
  <c r="L338" i="6" s="1"/>
  <c r="L116" i="6"/>
  <c r="H181" i="5"/>
  <c r="G28" i="7" s="1"/>
  <c r="K116" i="6"/>
  <c r="K332" i="6"/>
  <c r="K335" i="6" s="1"/>
  <c r="K336" i="6" s="1"/>
  <c r="K338" i="6" s="1"/>
  <c r="K74" i="6"/>
  <c r="K143" i="6" s="1"/>
  <c r="K225" i="6"/>
  <c r="N343" i="6"/>
  <c r="H139" i="5"/>
  <c r="F28" i="7" s="1"/>
  <c r="J332" i="6"/>
  <c r="J335" i="6" s="1"/>
  <c r="J336" i="6" s="1"/>
  <c r="J338" i="6" s="1"/>
  <c r="J116" i="6"/>
  <c r="M332" i="6"/>
  <c r="M335" i="6" s="1"/>
  <c r="M336" i="6" s="1"/>
  <c r="M338" i="6" s="1"/>
  <c r="M116" i="6"/>
  <c r="N332" i="6"/>
  <c r="N335" i="6" s="1"/>
  <c r="N336" i="6" s="1"/>
  <c r="N338" i="6" s="1"/>
  <c r="N116" i="6"/>
  <c r="M343" i="6"/>
  <c r="K194" i="6"/>
  <c r="L208" i="6"/>
  <c r="H306" i="6"/>
  <c r="L213" i="6"/>
  <c r="M135" i="6"/>
  <c r="M142" i="6" s="1"/>
  <c r="M228" i="6"/>
  <c r="M230" i="6" s="1"/>
  <c r="N137" i="6"/>
  <c r="N139" i="6" s="1"/>
  <c r="L145" i="6"/>
  <c r="M140" i="6"/>
  <c r="N140" i="6"/>
  <c r="K140" i="6"/>
  <c r="K141" i="6" s="1"/>
  <c r="M145" i="6"/>
  <c r="K115" i="6"/>
  <c r="K135" i="6"/>
  <c r="K142" i="6" s="1"/>
  <c r="M193" i="6"/>
  <c r="M225" i="6"/>
  <c r="M226" i="6" s="1"/>
  <c r="M231" i="6" s="1"/>
  <c r="K139" i="6"/>
  <c r="K145" i="6"/>
  <c r="N145" i="6"/>
  <c r="M213" i="6"/>
  <c r="K213" i="6"/>
  <c r="L193" i="6"/>
  <c r="L114" i="6"/>
  <c r="G120" i="6"/>
  <c r="M137" i="6"/>
  <c r="L137" i="6"/>
  <c r="I74" i="6"/>
  <c r="I143" i="6" s="1"/>
  <c r="N102" i="6"/>
  <c r="N247" i="6" s="1"/>
  <c r="L102" i="6"/>
  <c r="H309" i="5"/>
  <c r="J28" i="7" s="1"/>
  <c r="L278" i="6"/>
  <c r="N278" i="6"/>
  <c r="K278" i="6"/>
  <c r="H102" i="5"/>
  <c r="E28" i="7" s="1"/>
  <c r="H65" i="5"/>
  <c r="D28" i="7" s="1"/>
  <c r="K282" i="6"/>
  <c r="K283" i="6"/>
  <c r="K277" i="6"/>
  <c r="K280" i="6" s="1"/>
  <c r="K276" i="6"/>
  <c r="K279" i="6" s="1"/>
  <c r="I276" i="6"/>
  <c r="I279" i="6" s="1"/>
  <c r="I277" i="6"/>
  <c r="I280" i="6" s="1"/>
  <c r="I282" i="6"/>
  <c r="I283" i="6"/>
  <c r="H223" i="5"/>
  <c r="H28" i="7" s="1"/>
  <c r="M283" i="6"/>
  <c r="M277" i="6"/>
  <c r="M280" i="6" s="1"/>
  <c r="M276" i="6"/>
  <c r="M279" i="6" s="1"/>
  <c r="M282" i="6"/>
  <c r="J277" i="6"/>
  <c r="J280" i="6" s="1"/>
  <c r="J282" i="6"/>
  <c r="J276" i="6"/>
  <c r="J279" i="6" s="1"/>
  <c r="J283" i="6"/>
  <c r="I278" i="6"/>
  <c r="H266" i="5"/>
  <c r="I28" i="7" s="1"/>
  <c r="L283" i="6"/>
  <c r="L277" i="6"/>
  <c r="L280" i="6" s="1"/>
  <c r="L282" i="6"/>
  <c r="L276" i="6"/>
  <c r="L279" i="6" s="1"/>
  <c r="N283" i="6"/>
  <c r="N276" i="6"/>
  <c r="N279" i="6" s="1"/>
  <c r="N282" i="6"/>
  <c r="N277" i="6"/>
  <c r="N280" i="6" s="1"/>
  <c r="M278" i="6"/>
  <c r="J278" i="6"/>
  <c r="H208" i="6"/>
  <c r="I208" i="6"/>
  <c r="M188" i="6"/>
  <c r="N188" i="6"/>
  <c r="L188" i="6"/>
  <c r="L225" i="6"/>
  <c r="K226" i="6"/>
  <c r="K231" i="6" s="1"/>
  <c r="J208" i="6"/>
  <c r="M208" i="6"/>
  <c r="K208" i="6"/>
  <c r="N208" i="6"/>
  <c r="L74" i="6"/>
  <c r="M109" i="6"/>
  <c r="M74" i="6"/>
  <c r="J213" i="6" l="1"/>
  <c r="H193" i="6"/>
  <c r="N214" i="6"/>
  <c r="Q310" i="6" s="1"/>
  <c r="I115" i="6"/>
  <c r="I247" i="6"/>
  <c r="I249" i="6" s="1"/>
  <c r="G193" i="6"/>
  <c r="H188" i="6"/>
  <c r="I135" i="6"/>
  <c r="I142" i="6" s="1"/>
  <c r="H194" i="6"/>
  <c r="P305" i="6" s="1"/>
  <c r="H214" i="6"/>
  <c r="Q305" i="6" s="1"/>
  <c r="G343" i="6"/>
  <c r="G344" i="6" s="1"/>
  <c r="G74" i="6"/>
  <c r="G143" i="6" s="1"/>
  <c r="G225" i="6"/>
  <c r="G226" i="6" s="1"/>
  <c r="G231" i="6" s="1"/>
  <c r="G139" i="6"/>
  <c r="H304" i="6" s="1"/>
  <c r="G141" i="6"/>
  <c r="I304" i="6" s="1"/>
  <c r="J343" i="6"/>
  <c r="J344" i="6" s="1"/>
  <c r="J225" i="6"/>
  <c r="J226" i="6" s="1"/>
  <c r="J231" i="6" s="1"/>
  <c r="J59" i="6"/>
  <c r="J74" i="6"/>
  <c r="J143" i="6" s="1"/>
  <c r="J245" i="6"/>
  <c r="J250" i="6" s="1"/>
  <c r="J246" i="6"/>
  <c r="H247" i="6"/>
  <c r="H135" i="6"/>
  <c r="H142" i="6" s="1"/>
  <c r="H115" i="6"/>
  <c r="H125" i="6" s="1"/>
  <c r="H228" i="6"/>
  <c r="H230" i="6" s="1"/>
  <c r="J141" i="6"/>
  <c r="I307" i="6" s="1"/>
  <c r="J58" i="6"/>
  <c r="J60" i="6"/>
  <c r="J57" i="6"/>
  <c r="N57" i="6"/>
  <c r="N60" i="6"/>
  <c r="N58" i="6"/>
  <c r="G188" i="6"/>
  <c r="G194" i="6" s="1"/>
  <c r="P304" i="6" s="1"/>
  <c r="G247" i="6"/>
  <c r="G115" i="6"/>
  <c r="G125" i="6" s="1"/>
  <c r="G135" i="6"/>
  <c r="G142" i="6" s="1"/>
  <c r="G228" i="6"/>
  <c r="G230" i="6" s="1"/>
  <c r="I343" i="6"/>
  <c r="I59" i="6"/>
  <c r="I78" i="6" s="1"/>
  <c r="I165" i="6" s="1"/>
  <c r="J247" i="6"/>
  <c r="J135" i="6"/>
  <c r="J142" i="6" s="1"/>
  <c r="J228" i="6"/>
  <c r="J230" i="6" s="1"/>
  <c r="J115" i="6"/>
  <c r="H245" i="6"/>
  <c r="H250" i="6" s="1"/>
  <c r="K60" i="6"/>
  <c r="K57" i="6"/>
  <c r="K58" i="6"/>
  <c r="I58" i="6"/>
  <c r="I57" i="6"/>
  <c r="I60" i="6"/>
  <c r="J214" i="6"/>
  <c r="Q307" i="6" s="1"/>
  <c r="I193" i="6"/>
  <c r="H141" i="6"/>
  <c r="I305" i="6" s="1"/>
  <c r="I141" i="6"/>
  <c r="I306" i="6" s="1"/>
  <c r="H343" i="6"/>
  <c r="H344" i="6" s="1"/>
  <c r="H59" i="6"/>
  <c r="H225" i="6"/>
  <c r="H226" i="6" s="1"/>
  <c r="H231" i="6" s="1"/>
  <c r="H232" i="6" s="1"/>
  <c r="H74" i="6"/>
  <c r="H143" i="6" s="1"/>
  <c r="J188" i="6"/>
  <c r="G207" i="6"/>
  <c r="G212" i="6" s="1"/>
  <c r="G213" i="6" s="1"/>
  <c r="G208" i="6"/>
  <c r="L58" i="6"/>
  <c r="L57" i="6"/>
  <c r="L60" i="6"/>
  <c r="I188" i="6"/>
  <c r="I214" i="6"/>
  <c r="Q306" i="6" s="1"/>
  <c r="I245" i="6"/>
  <c r="I250" i="6" s="1"/>
  <c r="J193" i="6"/>
  <c r="J194" i="6" s="1"/>
  <c r="P307" i="6" s="1"/>
  <c r="H58" i="6"/>
  <c r="H57" i="6"/>
  <c r="H60" i="6"/>
  <c r="M57" i="6"/>
  <c r="M60" i="6"/>
  <c r="M58" i="6"/>
  <c r="K232" i="6"/>
  <c r="I125" i="6"/>
  <c r="I126" i="6" s="1"/>
  <c r="G306" i="6" s="1"/>
  <c r="L228" i="6"/>
  <c r="L230" i="6" s="1"/>
  <c r="L247" i="6"/>
  <c r="M340" i="6"/>
  <c r="M346" i="6"/>
  <c r="M344" i="6"/>
  <c r="M342" i="6"/>
  <c r="K346" i="6"/>
  <c r="K344" i="6"/>
  <c r="K342" i="6"/>
  <c r="K340" i="6"/>
  <c r="L340" i="6"/>
  <c r="L346" i="6"/>
  <c r="L344" i="6"/>
  <c r="L342" i="6"/>
  <c r="H340" i="6"/>
  <c r="H346" i="6"/>
  <c r="H342" i="6"/>
  <c r="N346" i="6"/>
  <c r="N344" i="6"/>
  <c r="N342" i="6"/>
  <c r="N340" i="6"/>
  <c r="J340" i="6"/>
  <c r="J346" i="6"/>
  <c r="J342" i="6"/>
  <c r="I340" i="6"/>
  <c r="I346" i="6"/>
  <c r="I344" i="6"/>
  <c r="I342" i="6"/>
  <c r="K166" i="6"/>
  <c r="K167" i="6" s="1"/>
  <c r="L214" i="6"/>
  <c r="Q308" i="6" s="1"/>
  <c r="M146" i="6"/>
  <c r="K309" i="6" s="1"/>
  <c r="N194" i="6"/>
  <c r="P310" i="6" s="1"/>
  <c r="H310" i="6"/>
  <c r="N135" i="6"/>
  <c r="N142" i="6" s="1"/>
  <c r="N146" i="6" s="1"/>
  <c r="K310" i="6" s="1"/>
  <c r="N228" i="6"/>
  <c r="N230" i="6" s="1"/>
  <c r="K125" i="6"/>
  <c r="K126" i="6" s="1"/>
  <c r="N141" i="6"/>
  <c r="I310" i="6" s="1"/>
  <c r="L194" i="6"/>
  <c r="P308" i="6" s="1"/>
  <c r="M143" i="6"/>
  <c r="M144" i="6" s="1"/>
  <c r="J309" i="6" s="1"/>
  <c r="L143" i="6"/>
  <c r="I146" i="6"/>
  <c r="K306" i="6" s="1"/>
  <c r="I144" i="6"/>
  <c r="J306" i="6" s="1"/>
  <c r="K146" i="6"/>
  <c r="K144" i="6"/>
  <c r="L115" i="6"/>
  <c r="L125" i="6" s="1"/>
  <c r="L135" i="6"/>
  <c r="L142" i="6" s="1"/>
  <c r="M194" i="6"/>
  <c r="P309" i="6" s="1"/>
  <c r="M214" i="6"/>
  <c r="Q309" i="6" s="1"/>
  <c r="M139" i="6"/>
  <c r="K214" i="6"/>
  <c r="J120" i="6"/>
  <c r="J122" i="6" s="1"/>
  <c r="J123" i="6" s="1"/>
  <c r="M114" i="6"/>
  <c r="M120" i="6" s="1"/>
  <c r="M115" i="6"/>
  <c r="M125" i="6" s="1"/>
  <c r="J125" i="6"/>
  <c r="J126" i="6" s="1"/>
  <c r="G307" i="6" s="1"/>
  <c r="K120" i="6"/>
  <c r="K121" i="6" s="1"/>
  <c r="K249" i="6" s="1"/>
  <c r="K251" i="6" s="1"/>
  <c r="K252" i="6" s="1"/>
  <c r="H120" i="6"/>
  <c r="L120" i="6"/>
  <c r="M232" i="6"/>
  <c r="L141" i="6"/>
  <c r="I308" i="6" s="1"/>
  <c r="L139" i="6"/>
  <c r="M141" i="6"/>
  <c r="I309" i="6" s="1"/>
  <c r="I122" i="6"/>
  <c r="I123" i="6" s="1"/>
  <c r="N225" i="6"/>
  <c r="N226" i="6" s="1"/>
  <c r="N231" i="6" s="1"/>
  <c r="N232" i="6" s="1"/>
  <c r="I225" i="6"/>
  <c r="I226" i="6" s="1"/>
  <c r="I231" i="6" s="1"/>
  <c r="I232" i="6" s="1"/>
  <c r="N74" i="6"/>
  <c r="N166" i="6"/>
  <c r="F306" i="6"/>
  <c r="E12" i="7"/>
  <c r="K227" i="6"/>
  <c r="L226" i="6"/>
  <c r="L231" i="6" s="1"/>
  <c r="L232" i="6" s="1"/>
  <c r="M227" i="6"/>
  <c r="L166" i="6"/>
  <c r="M166" i="6"/>
  <c r="M167" i="6" s="1"/>
  <c r="I166" i="6"/>
  <c r="I167" i="6" s="1"/>
  <c r="G127" i="6"/>
  <c r="G128" i="6" s="1"/>
  <c r="G126" i="6"/>
  <c r="G304" i="6" s="1"/>
  <c r="G122" i="6"/>
  <c r="G123" i="6" s="1"/>
  <c r="G121" i="6"/>
  <c r="G249" i="6" s="1"/>
  <c r="G251" i="6" s="1"/>
  <c r="G252" i="6" s="1"/>
  <c r="S304" i="6" s="1"/>
  <c r="N109" i="6"/>
  <c r="K127" i="6"/>
  <c r="K128" i="6" s="1"/>
  <c r="I246" i="6" l="1"/>
  <c r="J227" i="6"/>
  <c r="G227" i="6"/>
  <c r="H227" i="6"/>
  <c r="H233" i="6" s="1"/>
  <c r="R305" i="6" s="1"/>
  <c r="M76" i="6"/>
  <c r="M159" i="6" s="1"/>
  <c r="M160" i="6"/>
  <c r="L77" i="6"/>
  <c r="L168" i="6" s="1"/>
  <c r="L170" i="6" s="1"/>
  <c r="O308" i="6" s="1"/>
  <c r="L169" i="6"/>
  <c r="I79" i="6"/>
  <c r="I162" i="6" s="1"/>
  <c r="I163" i="6"/>
  <c r="K76" i="6"/>
  <c r="K159" i="6" s="1"/>
  <c r="K161" i="6" s="1"/>
  <c r="K160" i="6"/>
  <c r="G144" i="6"/>
  <c r="J304" i="6" s="1"/>
  <c r="G146" i="6"/>
  <c r="K304" i="6" s="1"/>
  <c r="N169" i="6"/>
  <c r="N170" i="6" s="1"/>
  <c r="O310" i="6" s="1"/>
  <c r="N77" i="6"/>
  <c r="N168" i="6" s="1"/>
  <c r="J79" i="6"/>
  <c r="J162" i="6" s="1"/>
  <c r="J163" i="6"/>
  <c r="H79" i="6"/>
  <c r="H162" i="6" s="1"/>
  <c r="H164" i="6" s="1"/>
  <c r="M305" i="6" s="1"/>
  <c r="H163" i="6"/>
  <c r="I76" i="6"/>
  <c r="I159" i="6" s="1"/>
  <c r="I160" i="6"/>
  <c r="K79" i="6"/>
  <c r="K162" i="6" s="1"/>
  <c r="K164" i="6" s="1"/>
  <c r="K163" i="6"/>
  <c r="N79" i="6"/>
  <c r="N162" i="6" s="1"/>
  <c r="N163" i="6"/>
  <c r="J169" i="6"/>
  <c r="J77" i="6"/>
  <c r="J168" i="6" s="1"/>
  <c r="H146" i="6"/>
  <c r="K305" i="6" s="1"/>
  <c r="H144" i="6"/>
  <c r="J305" i="6" s="1"/>
  <c r="M77" i="6"/>
  <c r="M168" i="6" s="1"/>
  <c r="M169" i="6"/>
  <c r="H76" i="6"/>
  <c r="H159" i="6" s="1"/>
  <c r="H160" i="6"/>
  <c r="L79" i="6"/>
  <c r="L162" i="6" s="1"/>
  <c r="L163" i="6"/>
  <c r="H78" i="6"/>
  <c r="H165" i="6" s="1"/>
  <c r="H166" i="6"/>
  <c r="I194" i="6"/>
  <c r="P306" i="6" s="1"/>
  <c r="I77" i="6"/>
  <c r="I168" i="6" s="1"/>
  <c r="I169" i="6"/>
  <c r="H246" i="6"/>
  <c r="J146" i="6"/>
  <c r="K307" i="6" s="1"/>
  <c r="J144" i="6"/>
  <c r="J307" i="6" s="1"/>
  <c r="N76" i="6"/>
  <c r="N159" i="6" s="1"/>
  <c r="N160" i="6"/>
  <c r="J78" i="6"/>
  <c r="J165" i="6" s="1"/>
  <c r="J166" i="6"/>
  <c r="I251" i="6"/>
  <c r="I252" i="6" s="1"/>
  <c r="S306" i="6" s="1"/>
  <c r="M79" i="6"/>
  <c r="M162" i="6" s="1"/>
  <c r="M163" i="6"/>
  <c r="H77" i="6"/>
  <c r="H168" i="6" s="1"/>
  <c r="H169" i="6"/>
  <c r="L76" i="6"/>
  <c r="L159" i="6" s="1"/>
  <c r="L160" i="6"/>
  <c r="K77" i="6"/>
  <c r="K168" i="6" s="1"/>
  <c r="K169" i="6"/>
  <c r="J160" i="6"/>
  <c r="J76" i="6"/>
  <c r="J159" i="6" s="1"/>
  <c r="J232" i="6"/>
  <c r="J233" i="6" s="1"/>
  <c r="R307" i="6" s="1"/>
  <c r="G232" i="6"/>
  <c r="G233" i="6" s="1"/>
  <c r="R304" i="6" s="1"/>
  <c r="I127" i="6"/>
  <c r="I128" i="6" s="1"/>
  <c r="K233" i="6"/>
  <c r="K122" i="6"/>
  <c r="K123" i="6" s="1"/>
  <c r="H309" i="6"/>
  <c r="H308" i="6"/>
  <c r="N167" i="6"/>
  <c r="N310" i="6" s="1"/>
  <c r="N143" i="6"/>
  <c r="N144" i="6" s="1"/>
  <c r="J310" i="6" s="1"/>
  <c r="M233" i="6"/>
  <c r="R309" i="6" s="1"/>
  <c r="L167" i="6"/>
  <c r="N308" i="6" s="1"/>
  <c r="L146" i="6"/>
  <c r="K308" i="6" s="1"/>
  <c r="L144" i="6"/>
  <c r="J308" i="6" s="1"/>
  <c r="J121" i="6"/>
  <c r="I227" i="6"/>
  <c r="I233" i="6" s="1"/>
  <c r="R306" i="6" s="1"/>
  <c r="N114" i="6"/>
  <c r="N120" i="6" s="1"/>
  <c r="N115" i="6"/>
  <c r="N125" i="6" s="1"/>
  <c r="N227" i="6"/>
  <c r="N233" i="6" s="1"/>
  <c r="R310" i="6" s="1"/>
  <c r="J127" i="6"/>
  <c r="J128" i="6" s="1"/>
  <c r="F304" i="6"/>
  <c r="C12" i="7"/>
  <c r="G12" i="7"/>
  <c r="H122" i="6"/>
  <c r="H123" i="6" s="1"/>
  <c r="H121" i="6"/>
  <c r="H249" i="6" s="1"/>
  <c r="H251" i="6" s="1"/>
  <c r="H127" i="6"/>
  <c r="H128" i="6" s="1"/>
  <c r="H126" i="6"/>
  <c r="G305" i="6" s="1"/>
  <c r="N309" i="6"/>
  <c r="N306" i="6"/>
  <c r="L227" i="6"/>
  <c r="L233" i="6" s="1"/>
  <c r="R308" i="6" s="1"/>
  <c r="L127" i="6"/>
  <c r="L128" i="6" s="1"/>
  <c r="L126" i="6"/>
  <c r="G308" i="6" s="1"/>
  <c r="L122" i="6"/>
  <c r="L123" i="6" s="1"/>
  <c r="L121" i="6"/>
  <c r="L249" i="6" s="1"/>
  <c r="L251" i="6" s="1"/>
  <c r="L252" i="6" s="1"/>
  <c r="S308" i="6" s="1"/>
  <c r="J167" i="6" l="1"/>
  <c r="N307" i="6" s="1"/>
  <c r="L161" i="6"/>
  <c r="L308" i="6" s="1"/>
  <c r="M164" i="6"/>
  <c r="M309" i="6" s="1"/>
  <c r="H167" i="6"/>
  <c r="N305" i="6" s="1"/>
  <c r="N164" i="6"/>
  <c r="M310" i="6" s="1"/>
  <c r="N161" i="6"/>
  <c r="L310" i="6" s="1"/>
  <c r="H161" i="6"/>
  <c r="L305" i="6" s="1"/>
  <c r="K170" i="6"/>
  <c r="H170" i="6"/>
  <c r="O305" i="6" s="1"/>
  <c r="I170" i="6"/>
  <c r="O306" i="6" s="1"/>
  <c r="I161" i="6"/>
  <c r="L306" i="6" s="1"/>
  <c r="J164" i="6"/>
  <c r="M307" i="6" s="1"/>
  <c r="I164" i="6"/>
  <c r="M306" i="6" s="1"/>
  <c r="M161" i="6"/>
  <c r="L309" i="6" s="1"/>
  <c r="H252" i="6"/>
  <c r="S305" i="6" s="1"/>
  <c r="J161" i="6"/>
  <c r="L307" i="6" s="1"/>
  <c r="L164" i="6"/>
  <c r="M308" i="6" s="1"/>
  <c r="M170" i="6"/>
  <c r="O309" i="6" s="1"/>
  <c r="J170" i="6"/>
  <c r="O307" i="6" s="1"/>
  <c r="F307" i="6"/>
  <c r="J249" i="6"/>
  <c r="J251" i="6" s="1"/>
  <c r="J252" i="6" s="1"/>
  <c r="S307" i="6" s="1"/>
  <c r="F12" i="7"/>
  <c r="F305" i="6"/>
  <c r="D12" i="7"/>
  <c r="F308" i="6"/>
  <c r="H12" i="7"/>
  <c r="N127" i="6"/>
  <c r="N128" i="6" s="1"/>
  <c r="N122" i="6"/>
  <c r="N123" i="6" s="1"/>
  <c r="M127" i="6"/>
  <c r="M128" i="6" s="1"/>
  <c r="M126" i="6"/>
  <c r="G309" i="6" s="1"/>
  <c r="M122" i="6"/>
  <c r="M123" i="6" s="1"/>
  <c r="M121" i="6"/>
  <c r="M249" i="6" s="1"/>
  <c r="M251" i="6" s="1"/>
  <c r="M252" i="6" s="1"/>
  <c r="S309" i="6" s="1"/>
  <c r="F309" i="6" l="1"/>
  <c r="I12" i="7"/>
  <c r="N126" i="6"/>
  <c r="G310" i="6" s="1"/>
  <c r="N121" i="6"/>
  <c r="N249" i="6" s="1"/>
  <c r="N251" i="6" s="1"/>
  <c r="N252" i="6" s="1"/>
  <c r="S310" i="6" s="1"/>
  <c r="G214" i="6"/>
  <c r="Q304" i="6" s="1"/>
  <c r="F310" i="6" l="1"/>
  <c r="J12" i="7"/>
</calcChain>
</file>

<file path=xl/comments1.xml><?xml version="1.0" encoding="utf-8"?>
<comments xmlns="http://schemas.openxmlformats.org/spreadsheetml/2006/main">
  <authors>
    <author>Karl</author>
  </authors>
  <commentList>
    <comment ref="F9" authorId="0" shapeId="0">
      <text>
        <r>
          <rPr>
            <b/>
            <sz val="9"/>
            <color indexed="81"/>
            <rFont val="Tahoma"/>
            <family val="2"/>
          </rPr>
          <t>siehe Farbcode des Eingabefeldes</t>
        </r>
      </text>
    </comment>
  </commentList>
</comments>
</file>

<file path=xl/comments2.xml><?xml version="1.0" encoding="utf-8"?>
<comments xmlns="http://schemas.openxmlformats.org/spreadsheetml/2006/main">
  <authors>
    <author>Karl</author>
  </authors>
  <commentList>
    <comment ref="F3" authorId="0" shapeId="0">
      <text>
        <r>
          <rPr>
            <b/>
            <sz val="9"/>
            <color indexed="81"/>
            <rFont val="Tahoma"/>
            <family val="2"/>
          </rPr>
          <t>siehe Farbcode des Eingabefeldes</t>
        </r>
      </text>
    </comment>
    <comment ref="L5" authorId="0" shapeId="0">
      <text>
        <r>
          <rPr>
            <b/>
            <sz val="9"/>
            <color indexed="81"/>
            <rFont val="Tahoma"/>
            <family val="2"/>
          </rPr>
          <t>siehe Dropdown im Blatt "Dateneingabe"</t>
        </r>
      </text>
    </comment>
    <comment ref="G10" authorId="0" shapeId="0">
      <text>
        <r>
          <rPr>
            <b/>
            <sz val="9"/>
            <color indexed="81"/>
            <rFont val="Tahoma"/>
            <family val="2"/>
          </rPr>
          <t>siehe Dropdown im Blatt "Dateneingabe"</t>
        </r>
      </text>
    </comment>
    <comment ref="L13" authorId="0" shapeId="0">
      <text>
        <r>
          <rPr>
            <b/>
            <sz val="9"/>
            <color indexed="81"/>
            <rFont val="Tahoma"/>
            <family val="2"/>
          </rPr>
          <t>siehe Dropdown im Blatt "Dateneingabe</t>
        </r>
      </text>
    </comment>
  </commentList>
</comments>
</file>

<file path=xl/comments3.xml><?xml version="1.0" encoding="utf-8"?>
<comments xmlns="http://schemas.openxmlformats.org/spreadsheetml/2006/main">
  <authors>
    <author>Karl</author>
  </authors>
  <commentList>
    <comment ref="G58" authorId="0" shapeId="0">
      <text>
        <r>
          <rPr>
            <b/>
            <sz val="9"/>
            <color indexed="81"/>
            <rFont val="Tahoma"/>
            <family val="2"/>
          </rPr>
          <t>Der neue Ölkessel spart 10% der nach der Dämmung noch benötigten Restenergie von 27%, d.h. auf den ursprünglichen Bedarf bezogen nochmals 2.7%.</t>
        </r>
      </text>
    </comment>
    <comment ref="G91" authorId="0" shapeId="0">
      <text>
        <r>
          <rPr>
            <b/>
            <sz val="9"/>
            <color indexed="81"/>
            <rFont val="Tahoma"/>
            <family val="2"/>
          </rPr>
          <t>Die Komfortlüftung spart 32% der nach der Dämmung noch benötigten Restenergie von 31%, d.h. auf den ursprünglichen Bedarf bezogen nochmals 10%.</t>
        </r>
      </text>
    </comment>
    <comment ref="G93" authorId="0" shapeId="0">
      <text>
        <r>
          <rPr>
            <b/>
            <sz val="9"/>
            <color indexed="81"/>
            <rFont val="Tahoma"/>
            <family val="2"/>
          </rPr>
          <t>Um 100% des ursprünglichen Energiebedarfs abzudecken, muss die WP die Restenergie von 21% erbringen</t>
        </r>
      </text>
    </comment>
    <comment ref="G101"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=F81*G93*10 / 3.5</t>
        </r>
      </text>
    </comment>
    <comment ref="G128" authorId="0" shapeId="0">
      <text>
        <r>
          <rPr>
            <b/>
            <sz val="9"/>
            <color indexed="81"/>
            <rFont val="Tahoma"/>
            <family val="2"/>
          </rPr>
          <t>Die Komfortlüftung spart 32% der nach der Dämmung noch benötigten Restenergie von 27%, d.h. auf den ursprünglichen Bedarf bezogen nochmals 9%.</t>
        </r>
      </text>
    </comment>
    <comment ref="G130" authorId="0" shapeId="0">
      <text>
        <r>
          <rPr>
            <b/>
            <sz val="9"/>
            <color indexed="81"/>
            <rFont val="Tahoma"/>
            <family val="2"/>
          </rPr>
          <t>Um 100% des ursprünglichen Energiebedarfs abzudecken, muss die WP die Restenergie von 17% erbringen</t>
        </r>
      </text>
    </comment>
    <comment ref="G138"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=F118*G130*10 / 3.5</t>
        </r>
      </text>
    </comment>
    <comment ref="G170" authorId="0" shapeId="0">
      <text>
        <r>
          <rPr>
            <b/>
            <sz val="9"/>
            <color indexed="81"/>
            <rFont val="Tahoma"/>
            <family val="2"/>
          </rPr>
          <t>Um 100% des ursprünglichen Energiebedarfs abzudecken, muss die WP die Restenergie von 70% erbringen</t>
        </r>
      </text>
    </comment>
    <comment ref="G179"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=F158*G170*10 / 3.5</t>
        </r>
      </text>
    </comment>
    <comment ref="G180" authorId="0" shapeId="0">
      <text>
        <r>
          <rPr>
            <b/>
            <sz val="9"/>
            <color indexed="81"/>
            <rFont val="Tahoma"/>
            <family val="2"/>
          </rPr>
          <t>Ansatz: 50kWp installierte Leistung bringt ca 50000 kWh pro Jahr</t>
        </r>
      </text>
    </comment>
    <comment ref="G212" authorId="0" shapeId="0">
      <text>
        <r>
          <rPr>
            <b/>
            <sz val="9"/>
            <color indexed="81"/>
            <rFont val="Tahoma"/>
            <family val="2"/>
          </rPr>
          <t>Um 100% des ursprünglichen Energiebedarfs abzudecken, muss die WP die Restenergie von 27% erbringen</t>
        </r>
      </text>
    </comment>
    <comment ref="G221"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=F200*G212*10 / 3.5</t>
        </r>
      </text>
    </comment>
    <comment ref="G222" authorId="0" shapeId="0">
      <text>
        <r>
          <rPr>
            <b/>
            <sz val="9"/>
            <color indexed="81"/>
            <rFont val="Tahoma"/>
            <family val="2"/>
          </rPr>
          <t>Ansatz: 50kWp installierte Leistung bringt ca 50000 kWh pro Jahr</t>
        </r>
      </text>
    </comment>
    <comment ref="G252" authorId="0" shapeId="0">
      <text>
        <r>
          <rPr>
            <b/>
            <sz val="9"/>
            <color indexed="81"/>
            <rFont val="Tahoma"/>
            <family val="2"/>
          </rPr>
          <t>Die Komfortlüftung spart 32% der nach der Dämmung noch benötigten Restenergie von 31%, d.h. auf den ursprünglichen Bedarf bezogen nochmals 10%.</t>
        </r>
      </text>
    </comment>
    <comment ref="G254" authorId="0" shapeId="0">
      <text>
        <r>
          <rPr>
            <b/>
            <sz val="9"/>
            <color indexed="81"/>
            <rFont val="Tahoma"/>
            <family val="2"/>
          </rPr>
          <t>Um 100% des ursprünglichen Energiebedarfs abzudecken, muss die WP die Restenergie von 21% erbringen</t>
        </r>
      </text>
    </comment>
    <comment ref="G264"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=F242*G254*10 / 3.5</t>
        </r>
      </text>
    </comment>
    <comment ref="G265" authorId="0" shapeId="0">
      <text>
        <r>
          <rPr>
            <b/>
            <sz val="9"/>
            <color indexed="81"/>
            <rFont val="Tahoma"/>
            <family val="2"/>
          </rPr>
          <t>Ansatz: 50kWp installierte Leistung bringt ca 50000 kWh pro Jahr</t>
        </r>
      </text>
    </comment>
    <comment ref="G295" authorId="0" shapeId="0">
      <text>
        <r>
          <rPr>
            <b/>
            <sz val="9"/>
            <color indexed="81"/>
            <rFont val="Tahoma"/>
            <family val="2"/>
          </rPr>
          <t>Die Komfortlüftung spart 32% der nach der Dämmung noch benötigten Restenergie von 27%, d.h. auf den ursprünglichen Bedarf bezogen nochmals 9%.</t>
        </r>
      </text>
    </comment>
    <comment ref="G297" authorId="0" shapeId="0">
      <text>
        <r>
          <rPr>
            <b/>
            <sz val="9"/>
            <color indexed="81"/>
            <rFont val="Tahoma"/>
            <family val="2"/>
          </rPr>
          <t>Um 100% des ursprünglichen Energiebedarfs abzudecken, muss die WP die Restenergie von 17% erbringen</t>
        </r>
      </text>
    </comment>
    <comment ref="G307" authorId="0" shapeId="0">
      <text>
        <r>
          <rPr>
            <b/>
            <sz val="9"/>
            <color indexed="81"/>
            <rFont val="Tahoma"/>
            <family val="2"/>
          </rPr>
          <t>Der Strombedarf für die WP errechnet sich aus der zu erbringenden Restenergie dividiert durch die JAZ. Die Restenergie in lt. Öl wird mit dem Faktor 10 in kWh umgerechnet.</t>
        </r>
        <r>
          <rPr>
            <sz val="9"/>
            <color indexed="81"/>
            <rFont val="Tahoma"/>
            <family val="2"/>
          </rPr>
          <t xml:space="preserve">
=F285*G297*10 / 3.5</t>
        </r>
      </text>
    </comment>
    <comment ref="G308" authorId="0" shapeId="0">
      <text>
        <r>
          <rPr>
            <b/>
            <sz val="9"/>
            <color indexed="81"/>
            <rFont val="Tahoma"/>
            <family val="2"/>
          </rPr>
          <t>Ansatz: 50kWp installierte Leistung bringt ca 50000 kWh pro Jahr</t>
        </r>
      </text>
    </comment>
  </commentList>
</comments>
</file>

<file path=xl/sharedStrings.xml><?xml version="1.0" encoding="utf-8"?>
<sst xmlns="http://schemas.openxmlformats.org/spreadsheetml/2006/main" count="1485" uniqueCount="620">
  <si>
    <t>Mehrfamilienhaus</t>
  </si>
  <si>
    <t>Kosten des Heizöls als Endenergie</t>
  </si>
  <si>
    <t>Kosten der Elektrizität aus dem Netz</t>
  </si>
  <si>
    <t>Rückvergütung für Elektrizität aus der Photovoltaik</t>
  </si>
  <si>
    <t>Geschossfläche pro Wohnung</t>
  </si>
  <si>
    <t>Energiebezugsfläche total</t>
  </si>
  <si>
    <t>Bruttomiete vor der Sanierung</t>
  </si>
  <si>
    <t>Jahresarbeitszahl JAZ der Wärmepumpe</t>
  </si>
  <si>
    <t>CHF pro 100 lt Heizöl</t>
  </si>
  <si>
    <t>-</t>
  </si>
  <si>
    <t>CHF</t>
  </si>
  <si>
    <t>kWp</t>
  </si>
  <si>
    <t>CHF/kWp</t>
  </si>
  <si>
    <t>kWh</t>
  </si>
  <si>
    <t>CHF/kWh</t>
  </si>
  <si>
    <t>lt Heizöl pro m² und Jahr</t>
  </si>
  <si>
    <t>m²</t>
  </si>
  <si>
    <t>Überwälzung</t>
  </si>
  <si>
    <t>Dropdownlisten</t>
  </si>
  <si>
    <t>Bern</t>
  </si>
  <si>
    <t>Farbcode Eingabefelder:</t>
  </si>
  <si>
    <t>Berechnung der Wirtschaftlichkeit von Energiemassnahmen</t>
  </si>
  <si>
    <t>Wert aus Liste wählen</t>
  </si>
  <si>
    <t>Eigenen Wert eingeben</t>
  </si>
  <si>
    <t>Basisparameter</t>
  </si>
  <si>
    <t>Grundannahmen für die Berechnung</t>
  </si>
  <si>
    <t>Eingabe</t>
  </si>
  <si>
    <t>* inkl. Allg.verbrauch</t>
  </si>
  <si>
    <t>Ölverbrauch vor der Renovation</t>
  </si>
  <si>
    <t>Anzahl Wohnungen im MFH</t>
  </si>
  <si>
    <t>Photovoltaik_Installierte Nennleistung</t>
  </si>
  <si>
    <t>Finanzierung_Anteil des Fremdkapitals</t>
  </si>
  <si>
    <t>Finanzierung_Zinssatz für Fremdkapital</t>
  </si>
  <si>
    <t>Standard-Wert oder abgeleitet (überschreibbar)</t>
  </si>
  <si>
    <t>Zürich</t>
  </si>
  <si>
    <t>Lyss</t>
  </si>
  <si>
    <t>Photovoltaik_Gesamtfläche</t>
  </si>
  <si>
    <t>Photovoltaik_pro kWp benötigte Fläche</t>
  </si>
  <si>
    <t>Elektrizitätsverbrauch eines Haushalts pro Jahr *</t>
  </si>
  <si>
    <t>Elektrizitätsverbrauch eines Sparhaushalts pro Jahr *</t>
  </si>
  <si>
    <t>Subvention</t>
  </si>
  <si>
    <t>Photovoltaik_Investitionskosten</t>
  </si>
  <si>
    <t>Einsparung durch sparsame Haushaltung</t>
  </si>
  <si>
    <t>Standardwerte für die Eingabeparameter</t>
  </si>
  <si>
    <t>Standardwert</t>
  </si>
  <si>
    <t>auf Mietzins</t>
  </si>
  <si>
    <t>Massnahmen:</t>
  </si>
  <si>
    <t>Grundannahmen:</t>
  </si>
  <si>
    <t>Energiebezugsfläche [m²]</t>
  </si>
  <si>
    <t>Wohnungen</t>
  </si>
  <si>
    <t>Position</t>
  </si>
  <si>
    <t>Planung</t>
  </si>
  <si>
    <t>Dach/Estrich</t>
  </si>
  <si>
    <t>Kellerdecke</t>
  </si>
  <si>
    <t>Lüftung</t>
  </si>
  <si>
    <t>Luftdichtigkeit</t>
  </si>
  <si>
    <t>Total</t>
  </si>
  <si>
    <t>Angaben zu den Sanierungsvarianten</t>
  </si>
  <si>
    <t>Variante</t>
  </si>
  <si>
    <t>2 MuKEn</t>
  </si>
  <si>
    <t>4 Minergie-P</t>
  </si>
  <si>
    <t>Berechnet oder abgeleitet
(nicht überschreibbar)</t>
  </si>
  <si>
    <t>Wand streichen</t>
  </si>
  <si>
    <t>Fenster streichen</t>
  </si>
  <si>
    <t>Sanierungsmassnahmen: Investitionskosten und erzielte Wirkung</t>
  </si>
  <si>
    <t>Spezif. Kosten [CHF/m²]</t>
  </si>
  <si>
    <t>Fläche
 [m²]</t>
  </si>
  <si>
    <t>Änderung Kosten pro Jahr [CHF/a]</t>
  </si>
  <si>
    <t>Totale Kosten 
pro Jahr [CHF/a]</t>
  </si>
  <si>
    <t>Spezif. Verbrauch pro Jahr [lt/m² a]</t>
  </si>
  <si>
    <t>Ölverbrauch 
pro Jahr [lt/a]</t>
  </si>
  <si>
    <t>Änderung Ölverbrauch [lt/a]</t>
  </si>
  <si>
    <t>Heizöl</t>
  </si>
  <si>
    <t>Betriebskosten pro Jahr vor der Sanierung</t>
  </si>
  <si>
    <t>Änderung Strom-bedarf [kWh/a]</t>
  </si>
  <si>
    <t>Verbrauch Neubaustandard</t>
  </si>
  <si>
    <t>Wand</t>
  </si>
  <si>
    <t>Fenster</t>
  </si>
  <si>
    <t>Total Wärmedämmung</t>
  </si>
  <si>
    <t>Kosten Heizöl</t>
  </si>
  <si>
    <t>Komfortlüftung</t>
  </si>
  <si>
    <t>Einsatz Wärmepumpe</t>
  </si>
  <si>
    <t>Strom für Wärmepumpe</t>
  </si>
  <si>
    <t>Strom für Komfortlüftung</t>
  </si>
  <si>
    <t>kWh/lt Öl</t>
  </si>
  <si>
    <t>Heizung: Neuer Ölkessel</t>
  </si>
  <si>
    <t xml:space="preserve"> </t>
  </si>
  <si>
    <t>Verbrauch vor Sanierung</t>
  </si>
  <si>
    <t>Verbrauch nach Sanierung</t>
  </si>
  <si>
    <t>Strompreis für Gebäudebetrieb</t>
  </si>
  <si>
    <t>Erlös für Photovoltaik</t>
  </si>
  <si>
    <t>Strom aus Photovoltaik</t>
  </si>
  <si>
    <t>Total Stufe 1</t>
  </si>
  <si>
    <t>m²/kWp</t>
  </si>
  <si>
    <t>Total Stufe 2</t>
  </si>
  <si>
    <t>Betriebskosten pro Jahr nach der Sanierung</t>
  </si>
  <si>
    <t>Angaben zu den Subventionsvarianten</t>
  </si>
  <si>
    <t>CHF/m²</t>
  </si>
  <si>
    <t>«Pinsel-Renovation»</t>
  </si>
  <si>
    <t>MuKEn</t>
  </si>
  <si>
    <t>MINERGIE</t>
  </si>
  <si>
    <t>MINERGIE-P</t>
  </si>
  <si>
    <t xml:space="preserve">Plusenergie "MuKEn" </t>
  </si>
  <si>
    <t>Plusenergie "Minergie"</t>
  </si>
  <si>
    <t>Plusenergie "Minergie-P"</t>
  </si>
  <si>
    <t>CH Standard 0-25%</t>
  </si>
  <si>
    <t>Subventionsvariante?</t>
  </si>
  <si>
    <t>CH Standard 0 - 25%</t>
  </si>
  <si>
    <t>CH und Kanton Bern *)</t>
  </si>
  <si>
    <t>*) gültig für &gt;250 bis 1000 m² EBF</t>
  </si>
  <si>
    <t>Steuerabzug Grenzsteuersatz</t>
  </si>
  <si>
    <t>Schema</t>
  </si>
  <si>
    <t>Einheit</t>
  </si>
  <si>
    <t>[CHF]</t>
  </si>
  <si>
    <t>[%]</t>
  </si>
  <si>
    <t>[CHF/m2]</t>
  </si>
  <si>
    <t xml:space="preserve"> 1 - 11 </t>
  </si>
  <si>
    <t xml:space="preserve">Berechnung mit Subventionsvariante Nr. </t>
  </si>
  <si>
    <t>Subventionen in %</t>
  </si>
  <si>
    <t>Grenzsteuersatz für Steuerabzug</t>
  </si>
  <si>
    <t>Annahmen</t>
  </si>
  <si>
    <t>Prozent</t>
  </si>
  <si>
    <t>[CHF/a]</t>
  </si>
  <si>
    <t>Subventionsvariante</t>
  </si>
  <si>
    <t>Sanierungsvariante</t>
  </si>
  <si>
    <t>Plusenergie MuKEn Opt</t>
  </si>
  <si>
    <t>Nr.</t>
  </si>
  <si>
    <t>Investitionskosten ohne und mit Subventionen, ohne und mit Steuerabzügen</t>
  </si>
  <si>
    <t>Investitionen</t>
  </si>
  <si>
    <t>Gebäudehülle</t>
  </si>
  <si>
    <t>Gebäudetechnik</t>
  </si>
  <si>
    <t>Dach / Estrich</t>
  </si>
  <si>
    <t>Photovoltaik</t>
  </si>
  <si>
    <t>Wärmepumpe</t>
  </si>
  <si>
    <t>Heizkessel</t>
  </si>
  <si>
    <t>Anteil Gebäudehülle</t>
  </si>
  <si>
    <t>Anteil Gebäudetechnik</t>
  </si>
  <si>
    <t>Gebäudehülle total</t>
  </si>
  <si>
    <t>Gebäudetechnik total</t>
  </si>
  <si>
    <t>Investitionen total</t>
  </si>
  <si>
    <t>%</t>
  </si>
  <si>
    <t>Investitionskosten total für die Sanierungsvarianten</t>
  </si>
  <si>
    <t xml:space="preserve">Kosten Heizöl  </t>
  </si>
  <si>
    <t>Annuität der Investitionskosten</t>
  </si>
  <si>
    <t xml:space="preserve">CHF/kWh </t>
  </si>
  <si>
    <t>Anzahl Wohnungen</t>
  </si>
  <si>
    <t>CHF/100 lt</t>
  </si>
  <si>
    <t>Energiebezugsfläche</t>
  </si>
  <si>
    <t>Bruttomiete vor Sanierung</t>
  </si>
  <si>
    <t>CHF/Monat</t>
  </si>
  <si>
    <t>Nettomiete</t>
  </si>
  <si>
    <t>1 * 3</t>
  </si>
  <si>
    <t>2 * 3</t>
  </si>
  <si>
    <t>4 * 6</t>
  </si>
  <si>
    <t>5 * 6</t>
  </si>
  <si>
    <t>0.8 * 9</t>
  </si>
  <si>
    <t>Nettomiete alt 80%</t>
  </si>
  <si>
    <t>Nebenkosten alt 20%</t>
  </si>
  <si>
    <t>7 + 10</t>
  </si>
  <si>
    <t>Kosten Elektrizität aus dem Netz</t>
  </si>
  <si>
    <t>Rückvergütung Elektrizität aus PV</t>
  </si>
  <si>
    <t>NK</t>
  </si>
  <si>
    <t>Aufteilung Bruttomiete:</t>
  </si>
  <si>
    <t>0.2 * 9</t>
  </si>
  <si>
    <t>Sanierungs-
varianten</t>
  </si>
  <si>
    <t>Sonstige Nebenkosten</t>
  </si>
  <si>
    <t>Kosten Heizöl
nach der Sanierung</t>
  </si>
  <si>
    <t>dito</t>
  </si>
  <si>
    <t>[CHF/Mt]</t>
  </si>
  <si>
    <t>Bruttomiete Whg neu</t>
  </si>
  <si>
    <t>Bruttomiete MFH neu</t>
  </si>
  <si>
    <t>Erlös Photovoltaik</t>
  </si>
  <si>
    <t>Nettorendite 1A</t>
  </si>
  <si>
    <t>Nettorendite 1B</t>
  </si>
  <si>
    <t>Nettorendite 1C</t>
  </si>
  <si>
    <t>Nettorendite 2A</t>
  </si>
  <si>
    <t>Nettorendite 2B</t>
  </si>
  <si>
    <t>Nettorendite 2C</t>
  </si>
  <si>
    <t>*</t>
  </si>
  <si>
    <r>
      <t xml:space="preserve">G5.1 </t>
    </r>
    <r>
      <rPr>
        <sz val="14"/>
        <color theme="1"/>
        <rFont val="Calibri"/>
        <family val="2"/>
        <scheme val="minor"/>
      </rPr>
      <t>(G24.1)</t>
    </r>
  </si>
  <si>
    <t>Rückvergütung für Elektrizität aus der Photovoltaik ins Netz</t>
  </si>
  <si>
    <t>Investionen minus Pinselrenovation</t>
  </si>
  <si>
    <t>Eigenkapital Anteil</t>
  </si>
  <si>
    <t>Fremdkapital Anteil</t>
  </si>
  <si>
    <t>Fremdkapital Zinssatz</t>
  </si>
  <si>
    <t>Photovoltaik Erlös</t>
  </si>
  <si>
    <t>Mietzinsüberwälzung pro Jahr plus Erlös PV</t>
  </si>
  <si>
    <t>Eigenkapitalrendite 3A</t>
  </si>
  <si>
    <t>Eigenkapitalrendite 3B</t>
  </si>
  <si>
    <t>Eigenkapitalrendite 3C</t>
  </si>
  <si>
    <t>VAO Pinselrenovation / Referenz</t>
  </si>
  <si>
    <t>V1A MuKEn Musterverordnung Kt.</t>
  </si>
  <si>
    <t>V2A Minergie Neubau-Standard</t>
  </si>
  <si>
    <t>V3A Minergie-P Neubau-Standard</t>
  </si>
  <si>
    <t>V1B MuKEn Plusenergie</t>
  </si>
  <si>
    <t>V2B Minergie Plusenergie</t>
  </si>
  <si>
    <t>V3B Minergie-P Plusenergie</t>
  </si>
  <si>
    <t>Bezeichnung der Variante</t>
  </si>
  <si>
    <t>Kennwerte Mieterschaft</t>
  </si>
  <si>
    <t>Mietzins
neu 1</t>
  </si>
  <si>
    <t>Mietzins
neu 2</t>
  </si>
  <si>
    <t>1A</t>
  </si>
  <si>
    <t>1B</t>
  </si>
  <si>
    <t>1C</t>
  </si>
  <si>
    <t>Kapitalrendite</t>
  </si>
  <si>
    <t>2A</t>
  </si>
  <si>
    <t>2B</t>
  </si>
  <si>
    <t>2C</t>
  </si>
  <si>
    <t>Eigenkapitalrendite</t>
  </si>
  <si>
    <t>3A</t>
  </si>
  <si>
    <t>3B</t>
  </si>
  <si>
    <t>3C</t>
  </si>
  <si>
    <t>Annuität</t>
  </si>
  <si>
    <t>Rendite1A</t>
  </si>
  <si>
    <t>Rendite1B</t>
  </si>
  <si>
    <t>Rendite1C</t>
  </si>
  <si>
    <t>Rendite2A</t>
  </si>
  <si>
    <t>Rendite2B</t>
  </si>
  <si>
    <t>Rendite3C</t>
  </si>
  <si>
    <t>Rendite2C</t>
  </si>
  <si>
    <t>Rendite3A</t>
  </si>
  <si>
    <t>Rendite3B</t>
  </si>
  <si>
    <r>
      <t xml:space="preserve">Nettorendite </t>
    </r>
    <r>
      <rPr>
        <sz val="11"/>
        <color rgb="FF0000FF"/>
        <rFont val="Calibri"/>
        <family val="2"/>
        <scheme val="minor"/>
      </rPr>
      <t>ohne</t>
    </r>
    <r>
      <rPr>
        <sz val="11"/>
        <color theme="1"/>
        <rFont val="Calibri"/>
        <family val="2"/>
        <scheme val="minor"/>
      </rPr>
      <t xml:space="preserve"> Subventionen </t>
    </r>
    <r>
      <rPr>
        <sz val="11"/>
        <color rgb="FF0000FF"/>
        <rFont val="Calibri"/>
        <family val="2"/>
        <scheme val="minor"/>
      </rPr>
      <t>ohne</t>
    </r>
    <r>
      <rPr>
        <sz val="11"/>
        <color theme="1"/>
        <rFont val="Calibri"/>
        <family val="2"/>
        <scheme val="minor"/>
      </rPr>
      <t xml:space="preserve"> Steuerabzüge</t>
    </r>
  </si>
  <si>
    <r>
      <t xml:space="preserve">Rendite auf Eigenkapital </t>
    </r>
    <r>
      <rPr>
        <sz val="11"/>
        <color rgb="FF0000FF"/>
        <rFont val="Calibri"/>
        <family val="2"/>
        <scheme val="minor"/>
      </rPr>
      <t>ohne</t>
    </r>
    <r>
      <rPr>
        <sz val="11"/>
        <color theme="1"/>
        <rFont val="Calibri"/>
        <family val="2"/>
        <scheme val="minor"/>
      </rPr>
      <t xml:space="preserve"> Subventionen </t>
    </r>
    <r>
      <rPr>
        <sz val="11"/>
        <color rgb="FF0000FF"/>
        <rFont val="Calibri"/>
        <family val="2"/>
        <scheme val="minor"/>
      </rPr>
      <t>ohne</t>
    </r>
    <r>
      <rPr>
        <sz val="11"/>
        <color theme="1"/>
        <rFont val="Calibri"/>
        <family val="2"/>
        <scheme val="minor"/>
      </rPr>
      <t xml:space="preserve"> Steuerabzüge</t>
    </r>
  </si>
  <si>
    <r>
      <t xml:space="preserve">Rendite auf Eigenkapital </t>
    </r>
    <r>
      <rPr>
        <sz val="11"/>
        <color rgb="FF0000FF"/>
        <rFont val="Calibri"/>
        <family val="2"/>
        <scheme val="minor"/>
      </rPr>
      <t>ohne</t>
    </r>
    <r>
      <rPr>
        <sz val="11"/>
        <color theme="1"/>
        <rFont val="Calibri"/>
        <family val="2"/>
        <scheme val="minor"/>
      </rPr>
      <t xml:space="preserve"> Subventionen </t>
    </r>
    <r>
      <rPr>
        <sz val="11"/>
        <color rgb="FFFF0000"/>
        <rFont val="Calibri"/>
        <family val="2"/>
        <scheme val="minor"/>
      </rPr>
      <t>mit</t>
    </r>
    <r>
      <rPr>
        <sz val="11"/>
        <color theme="1"/>
        <rFont val="Calibri"/>
        <family val="2"/>
        <scheme val="minor"/>
      </rPr>
      <t xml:space="preserve"> Steuerabzüge</t>
    </r>
  </si>
  <si>
    <r>
      <t xml:space="preserve">Rendite auf Eigenkapital </t>
    </r>
    <r>
      <rPr>
        <sz val="11"/>
        <color rgb="FFFF0000"/>
        <rFont val="Calibri"/>
        <family val="2"/>
        <scheme val="minor"/>
      </rPr>
      <t>mit</t>
    </r>
    <r>
      <rPr>
        <sz val="11"/>
        <color theme="1"/>
        <rFont val="Calibri"/>
        <family val="2"/>
        <scheme val="minor"/>
      </rPr>
      <t xml:space="preserve"> Subventionen </t>
    </r>
    <r>
      <rPr>
        <sz val="11"/>
        <color rgb="FFFF0000"/>
        <rFont val="Calibri"/>
        <family val="2"/>
        <scheme val="minor"/>
      </rPr>
      <t>mit</t>
    </r>
    <r>
      <rPr>
        <sz val="11"/>
        <color theme="1"/>
        <rFont val="Calibri"/>
        <family val="2"/>
        <scheme val="minor"/>
      </rPr>
      <t xml:space="preserve"> Steuerabzüge</t>
    </r>
  </si>
  <si>
    <t>Bilanz Elektrizität mit Gebäudebetrieb Haushalt und Photovoltaik PV</t>
  </si>
  <si>
    <t>Vorzeichen -</t>
  </si>
  <si>
    <t>Vorzeichen +</t>
  </si>
  <si>
    <t>Haushalte</t>
  </si>
  <si>
    <t>* Allgemeinverbrauch inklusive</t>
  </si>
  <si>
    <t>[kWh/a]</t>
  </si>
  <si>
    <t xml:space="preserve">Verbrauch Gebäudebetrieb </t>
  </si>
  <si>
    <t xml:space="preserve">Verbrauch Haushalt  </t>
  </si>
  <si>
    <t xml:space="preserve"> 4 + 5</t>
  </si>
  <si>
    <t xml:space="preserve">Reduktion Sparen </t>
  </si>
  <si>
    <t xml:space="preserve"> 7 + 8</t>
  </si>
  <si>
    <t xml:space="preserve"> 4 + 8</t>
  </si>
  <si>
    <t xml:space="preserve"> 6 + 8</t>
  </si>
  <si>
    <t xml:space="preserve"> 6 + 9</t>
  </si>
  <si>
    <t xml:space="preserve"> 10 / 6</t>
  </si>
  <si>
    <t xml:space="preserve"> 11 / 6</t>
  </si>
  <si>
    <t xml:space="preserve"> 12 / 7</t>
  </si>
  <si>
    <t>Mietzins</t>
  </si>
  <si>
    <t>neu 2</t>
  </si>
  <si>
    <t>neu 1</t>
  </si>
  <si>
    <t>ohne Steuerabzug für die Mieterschaft</t>
  </si>
  <si>
    <t>Zellbezüge sind hier erkennbar:</t>
  </si>
  <si>
    <r>
      <t xml:space="preserve">T zu S2 </t>
    </r>
    <r>
      <rPr>
        <sz val="11"/>
        <color theme="1"/>
        <rFont val="Calibri"/>
        <family val="2"/>
        <scheme val="minor"/>
      </rPr>
      <t>(S16)</t>
    </r>
  </si>
  <si>
    <r>
      <t xml:space="preserve">T zu S1 </t>
    </r>
    <r>
      <rPr>
        <sz val="11"/>
        <color theme="1"/>
        <rFont val="Calibri"/>
        <family val="2"/>
        <scheme val="minor"/>
      </rPr>
      <t>(S7)</t>
    </r>
  </si>
  <si>
    <t>Kapitalkosten (ohne Subventionen, ohne Steuerabzüge) + Betriebskosten nach der Sanierung als Funktion der Annuität</t>
  </si>
  <si>
    <t>Betriebskosten = Heizölkosten + Elektrizitätskosten für Gebäudebetrieb</t>
  </si>
  <si>
    <t>Heizölpreis
CHF/ 100 lt</t>
  </si>
  <si>
    <t>Bruttomiete NEU ohne Subventionen und ohne Steuerabzüge einzurechnen</t>
  </si>
  <si>
    <t>Überwälzung auf Mietzins</t>
  </si>
  <si>
    <t>Heizölpreis [CHF/100 lt]</t>
  </si>
  <si>
    <t>Verbrauch [lt/m2 Jahr]</t>
  </si>
  <si>
    <t>Strom aus Netz [Rp./kWh]</t>
  </si>
  <si>
    <t>PV in das Netz [Rp./kWh]</t>
  </si>
  <si>
    <t>Investitionskosten für PV [CHF/kWp]</t>
  </si>
  <si>
    <t>Mietzins neu in Prozent bezogen auf</t>
  </si>
  <si>
    <t>den Mietzins vor der Sanierung</t>
  </si>
  <si>
    <t>Mietzins ohne Anrechnung von Subventionen,</t>
  </si>
  <si>
    <t>Mietzins mit Anrechnung von Subventionen,</t>
  </si>
  <si>
    <t>San.var.</t>
  </si>
  <si>
    <t>5*Spar%</t>
  </si>
  <si>
    <t>Sensitivitätsanalysen für Bern</t>
  </si>
  <si>
    <t>Fremdkapital</t>
  </si>
  <si>
    <t>Eigenkapital</t>
  </si>
  <si>
    <t>Kapitalkosten Fremdkapital</t>
  </si>
  <si>
    <t xml:space="preserve">Berechnungstabelle für Zusammenstellung: </t>
  </si>
  <si>
    <t>Wirtschaftlichkeit der verschiedenen Sanierungsvarianten für MFH in</t>
  </si>
  <si>
    <t>Finanzierung_Annuität der Investitionskosten</t>
  </si>
  <si>
    <t>3 Minergie Neubau</t>
  </si>
  <si>
    <t>Verbrauch Neubau-Standard</t>
  </si>
  <si>
    <t xml:space="preserve">Stufe 2: Installation Photovoltaik; </t>
  </si>
  <si>
    <t>Wände und Fensterrahmen streichen; Heizung: Neuer Ölkessel</t>
  </si>
  <si>
    <t>Pinsel-Renovation</t>
  </si>
  <si>
    <t>Annuität: 6%</t>
  </si>
  <si>
    <t>Heizölpreis: 100 CHF/100 lt</t>
  </si>
  <si>
    <t>CH und Kanton BE</t>
  </si>
  <si>
    <t>CH und Kanton ZH</t>
  </si>
  <si>
    <t>CH und Kanton Zürich</t>
  </si>
  <si>
    <t>Subventionen pro m2</t>
  </si>
  <si>
    <t>Subventionen Betrag</t>
  </si>
  <si>
    <t>Steuerabzug in %</t>
  </si>
  <si>
    <t>Kosten Pinsel-Renov. 
mit Steuerabzügen</t>
  </si>
  <si>
    <t>3 / 1</t>
  </si>
  <si>
    <t>1 - 3</t>
  </si>
  <si>
    <t xml:space="preserve"> 5 - 7</t>
  </si>
  <si>
    <t>1 * 6</t>
  </si>
  <si>
    <t xml:space="preserve"> 1 - 9</t>
  </si>
  <si>
    <t>G55</t>
  </si>
  <si>
    <t>5 - 11</t>
  </si>
  <si>
    <t xml:space="preserve">8 - 11 </t>
  </si>
  <si>
    <t>10 - 11</t>
  </si>
  <si>
    <t>Jährliche Kapitalkosten ohne und mit Subventionen, ohne und mit Steuerabzügen</t>
  </si>
  <si>
    <t>Finanzierung_Kapitalisierungsfaktor für Mietzinsüberwälzung</t>
  </si>
  <si>
    <t>Kapitalisierungsfaktor</t>
  </si>
  <si>
    <t>Investitionskosten: wert-
vermehrender Anteil</t>
  </si>
  <si>
    <t>Mietzinsüberwälzung Kapitalisierungsfaktor</t>
  </si>
  <si>
    <t>Belastung Mietende vor der Sanierung</t>
  </si>
  <si>
    <t>Belastung Mietende nach der Sanierung</t>
  </si>
  <si>
    <t>davon Kosten Heizöl alt</t>
  </si>
  <si>
    <t>8 + 10</t>
  </si>
  <si>
    <t>14 + 16 + 17 
+ 18 + 13</t>
  </si>
  <si>
    <t xml:space="preserve"> 19 / 9</t>
  </si>
  <si>
    <t xml:space="preserve"> 19 / [12]</t>
  </si>
  <si>
    <t>21 / # Whg</t>
  </si>
  <si>
    <t>15 + 16 + 17 
+ 18 + 13</t>
  </si>
  <si>
    <t xml:space="preserve"> 23 / 9</t>
  </si>
  <si>
    <t xml:space="preserve"> 23 / [12]</t>
  </si>
  <si>
    <t>25 / # Whg</t>
  </si>
  <si>
    <t>Berechnung der Nettorenditen für:</t>
  </si>
  <si>
    <t>Nettorendite 1D</t>
  </si>
  <si>
    <t xml:space="preserve"> aus T 2_Z11</t>
  </si>
  <si>
    <t>Nettorendite 2D</t>
  </si>
  <si>
    <t xml:space="preserve"> 1 + 3</t>
  </si>
  <si>
    <t>2 + 3</t>
  </si>
  <si>
    <t xml:space="preserve"> (4 - 13) / 14</t>
  </si>
  <si>
    <t>(4 - 16) / 17</t>
  </si>
  <si>
    <t xml:space="preserve"> (9 - 19) / 20</t>
  </si>
  <si>
    <t xml:space="preserve"> (9 - 22) / 23</t>
  </si>
  <si>
    <r>
      <t xml:space="preserve">Nettorendite Investitionen 1A = ( Mietzinsüberwälzung plus Erlös PV minus Kapitalkosten) dividiert durch Investitionskosten </t>
    </r>
    <r>
      <rPr>
        <b/>
        <sz val="11"/>
        <color rgb="FF0000FF"/>
        <rFont val="Calibri"/>
        <family val="2"/>
        <scheme val="minor"/>
      </rPr>
      <t>ohne</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t>
    </r>
  </si>
  <si>
    <r>
      <t xml:space="preserve">Nettorendite Investitionen 1B = ( Mietzinsüberwälzung plus Erlös PV minus Kapitalkosten) dividiert durch Investitionskosten </t>
    </r>
    <r>
      <rPr>
        <b/>
        <sz val="11"/>
        <color rgb="FF0000FF"/>
        <rFont val="Calibri"/>
        <family val="2"/>
        <scheme val="minor"/>
      </rPr>
      <t>ohne</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t>
    </r>
  </si>
  <si>
    <r>
      <t xml:space="preserve">Nettorendite Investitionen 1C = ( Mietzinsüberwälzung plus Erlös PV minus Kapitalkosten) dividiert durch Investitionskosten </t>
    </r>
    <r>
      <rPr>
        <b/>
        <sz val="11"/>
        <color rgb="FFFF0000"/>
        <rFont val="Calibri"/>
        <family val="2"/>
        <scheme val="minor"/>
      </rPr>
      <t>mit</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t>
    </r>
  </si>
  <si>
    <r>
      <t xml:space="preserve">Nettorendite Investitionen 1D = ( Mietzinsüberwälzung plus Erlös PV minus Kapitalkosten) dividiert durch Investitionskosten </t>
    </r>
    <r>
      <rPr>
        <b/>
        <sz val="11"/>
        <color rgb="FFFF0000"/>
        <rFont val="Calibri"/>
        <family val="2"/>
        <scheme val="minor"/>
      </rPr>
      <t>mit</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t>
    </r>
  </si>
  <si>
    <r>
      <t xml:space="preserve">Nettorendite Investitionen 2A = ( Mietzinsüberwälzung plus Erlös PV minus Kapitalkosten) dividiert durch (Investitionskosten </t>
    </r>
    <r>
      <rPr>
        <b/>
        <sz val="11"/>
        <color rgb="FF0000FF"/>
        <rFont val="Calibri"/>
        <family val="2"/>
        <scheme val="minor"/>
      </rPr>
      <t>ohne</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 </t>
    </r>
    <r>
      <rPr>
        <b/>
        <sz val="11"/>
        <color rgb="FF00B050"/>
        <rFont val="Calibri"/>
        <family val="2"/>
        <scheme val="minor"/>
      </rPr>
      <t>minus</t>
    </r>
    <r>
      <rPr>
        <b/>
        <sz val="11"/>
        <rFont val="Calibri"/>
        <family val="2"/>
        <scheme val="minor"/>
      </rPr>
      <t xml:space="preserve"> Pinselrenovation) </t>
    </r>
    <r>
      <rPr>
        <b/>
        <sz val="12"/>
        <color indexed="10"/>
        <rFont val="Arial"/>
        <family val="2"/>
      </rPr>
      <t/>
    </r>
  </si>
  <si>
    <r>
      <t xml:space="preserve">Nettorendite Investitionen 2B = ( Mietzinsüberwälzung plus Erlös PV minus Kapitalkosten) dividiert durch (Investitionskosten </t>
    </r>
    <r>
      <rPr>
        <b/>
        <sz val="11"/>
        <color rgb="FF0000FF"/>
        <rFont val="Calibri"/>
        <family val="2"/>
        <scheme val="minor"/>
      </rPr>
      <t>ohne</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 </t>
    </r>
    <r>
      <rPr>
        <b/>
        <sz val="11"/>
        <color rgb="FF00B050"/>
        <rFont val="Calibri"/>
        <family val="2"/>
        <scheme val="minor"/>
      </rPr>
      <t>minus</t>
    </r>
    <r>
      <rPr>
        <b/>
        <sz val="11"/>
        <rFont val="Calibri"/>
        <family val="2"/>
        <scheme val="minor"/>
      </rPr>
      <t xml:space="preserve"> Pinselrenovation) </t>
    </r>
    <r>
      <rPr>
        <b/>
        <sz val="12"/>
        <color indexed="12"/>
        <rFont val="Arial"/>
        <family val="2"/>
      </rPr>
      <t/>
    </r>
  </si>
  <si>
    <r>
      <t xml:space="preserve">Nettorendite Investitionen 2C = ( Mietzinsüberwälzung plus Erlös PV minus Kapitalkosten) dividiert durch (Investitionskosten </t>
    </r>
    <r>
      <rPr>
        <b/>
        <sz val="11"/>
        <color rgb="FFFF0000"/>
        <rFont val="Calibri"/>
        <family val="2"/>
        <scheme val="minor"/>
      </rPr>
      <t>mit</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 </t>
    </r>
    <r>
      <rPr>
        <b/>
        <sz val="11"/>
        <color rgb="FF00B050"/>
        <rFont val="Calibri"/>
        <family val="2"/>
        <scheme val="minor"/>
      </rPr>
      <t>minus</t>
    </r>
    <r>
      <rPr>
        <b/>
        <sz val="11"/>
        <rFont val="Calibri"/>
        <family val="2"/>
        <scheme val="minor"/>
      </rPr>
      <t xml:space="preserve"> Pinselrenovation) </t>
    </r>
    <r>
      <rPr>
        <b/>
        <sz val="12"/>
        <color indexed="12"/>
        <rFont val="Arial"/>
        <family val="2"/>
      </rPr>
      <t/>
    </r>
  </si>
  <si>
    <r>
      <t xml:space="preserve">Nettorendite Investitionen 2D = ( Mietzinsüberwälzung plus Erlös PV minus Kapitalkosten) dividiert durch (Investitionskosten </t>
    </r>
    <r>
      <rPr>
        <b/>
        <sz val="11"/>
        <color rgb="FFFF0000"/>
        <rFont val="Calibri"/>
        <family val="2"/>
        <scheme val="minor"/>
      </rPr>
      <t>mit</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 </t>
    </r>
    <r>
      <rPr>
        <b/>
        <sz val="11"/>
        <color rgb="FF00B050"/>
        <rFont val="Calibri"/>
        <family val="2"/>
        <scheme val="minor"/>
      </rPr>
      <t>minus</t>
    </r>
    <r>
      <rPr>
        <b/>
        <sz val="11"/>
        <rFont val="Calibri"/>
        <family val="2"/>
        <scheme val="minor"/>
      </rPr>
      <t xml:space="preserve"> Pinselrenovation) </t>
    </r>
    <r>
      <rPr>
        <b/>
        <sz val="12"/>
        <color indexed="12"/>
        <rFont val="Arial"/>
        <family val="2"/>
      </rPr>
      <t/>
    </r>
  </si>
  <si>
    <t>Berechnung der Renditen auf Eigenkapital, ohne Subventionen, ohne Steuerabzüge</t>
  </si>
  <si>
    <t>FK * 1</t>
  </si>
  <si>
    <t xml:space="preserve"> 1 - 2</t>
  </si>
  <si>
    <t>4 + 5</t>
  </si>
  <si>
    <t>FK% * 2</t>
  </si>
  <si>
    <t xml:space="preserve">  6 - 7</t>
  </si>
  <si>
    <t>Berechnung der Renditen auf Eigenkapital, ohne Subventionen, mit Steuerabzügen</t>
  </si>
  <si>
    <t xml:space="preserve"> 6 - 7</t>
  </si>
  <si>
    <t xml:space="preserve"> 8 / 3</t>
  </si>
  <si>
    <r>
      <rPr>
        <b/>
        <sz val="11"/>
        <rFont val="Calibri"/>
        <family val="2"/>
        <scheme val="minor"/>
      </rPr>
      <t xml:space="preserve">Renditen auf Eigenkapital 3A = (Nettoertrag - Fremdkapitalkosten) dividiert durch Eigenkapitalanteil der Investitionskosten, </t>
    </r>
    <r>
      <rPr>
        <b/>
        <sz val="11"/>
        <color rgb="FF0000FF"/>
        <rFont val="Calibri"/>
        <family val="2"/>
        <scheme val="minor"/>
      </rPr>
      <t>ohne</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 </t>
    </r>
  </si>
  <si>
    <r>
      <rPr>
        <b/>
        <sz val="11"/>
        <rFont val="Calibri"/>
        <family val="2"/>
        <scheme val="minor"/>
      </rPr>
      <t xml:space="preserve">Renditen auf Eigenkapital 3B = (Nettoertrag - Fremdkapitalkosten) dividiert durch Eigenkapitalanteil der Investitionskosten, </t>
    </r>
    <r>
      <rPr>
        <b/>
        <sz val="11"/>
        <color rgb="FF0000FF"/>
        <rFont val="Calibri"/>
        <family val="2"/>
        <scheme val="minor"/>
      </rPr>
      <t>ohne</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 </t>
    </r>
  </si>
  <si>
    <t>Berechnung der Renditen auf Eigenkapital, mit Subventionen, mit Steuerabzügen</t>
  </si>
  <si>
    <r>
      <rPr>
        <b/>
        <sz val="11"/>
        <rFont val="Calibri"/>
        <family val="2"/>
        <scheme val="minor"/>
      </rPr>
      <t xml:space="preserve">Renditen auf Eigenkapital 3C = (Nettoertrag - Fremdkapitalkosten) dividiert durch Eigenkapitalanteil der Investitionskosten, </t>
    </r>
    <r>
      <rPr>
        <b/>
        <sz val="11"/>
        <color rgb="FFFF0000"/>
        <rFont val="Calibri"/>
        <family val="2"/>
        <scheme val="minor"/>
      </rPr>
      <t>mit</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 </t>
    </r>
  </si>
  <si>
    <t>Energiekosten vor Sanierung</t>
  </si>
  <si>
    <t>Heizöl nach Sanierung</t>
  </si>
  <si>
    <t>Strom Wärmepumpe</t>
  </si>
  <si>
    <t>Strom Komfortlüftung</t>
  </si>
  <si>
    <t>Energiekosten nach Sanierung</t>
  </si>
  <si>
    <t>Energierendite 1A</t>
  </si>
  <si>
    <t>Energierendite 1B</t>
  </si>
  <si>
    <t>Energierendite 1C</t>
  </si>
  <si>
    <t>Energierendite 1D</t>
  </si>
  <si>
    <t>Einsparung durch Sanierung</t>
  </si>
  <si>
    <t>6 + 7</t>
  </si>
  <si>
    <t>Energieproduktion: 
Erlös Photovoltaik</t>
  </si>
  <si>
    <t>Energiebilanz total</t>
  </si>
  <si>
    <t xml:space="preserve"> 8 / 9</t>
  </si>
  <si>
    <t xml:space="preserve"> 8 / 11</t>
  </si>
  <si>
    <t xml:space="preserve"> 8 / 13</t>
  </si>
  <si>
    <t xml:space="preserve"> 8 / 15</t>
  </si>
  <si>
    <t>2 + 3 + 4</t>
  </si>
  <si>
    <t>Berechnung der Renditen auf Eigenkapital, mit Subventionen, ohne Steuerabzüge</t>
  </si>
  <si>
    <r>
      <rPr>
        <b/>
        <sz val="11"/>
        <rFont val="Calibri"/>
        <family val="2"/>
        <scheme val="minor"/>
      </rPr>
      <t xml:space="preserve">Renditen auf Eigenkapital 3D = (Nettoertrag - Fremdkapitalkosten) dividiert durch Eigenkapitalanteil der Investitionskosten, </t>
    </r>
    <r>
      <rPr>
        <b/>
        <sz val="11"/>
        <color rgb="FFFF0000"/>
        <rFont val="Calibri"/>
        <family val="2"/>
        <scheme val="minor"/>
      </rPr>
      <t>mit</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 </t>
    </r>
  </si>
  <si>
    <t>Eigenkapitalrendite 3D</t>
  </si>
  <si>
    <t>T7</t>
  </si>
  <si>
    <r>
      <t xml:space="preserve">Energierendite 1A = (Energiekosteneinsparung plus Erlös PV) dividiert durch Investitionskosten, </t>
    </r>
    <r>
      <rPr>
        <b/>
        <sz val="11"/>
        <color rgb="FF0000FF"/>
        <rFont val="Calibri"/>
        <family val="2"/>
        <scheme val="minor"/>
      </rPr>
      <t>ohne</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t>
    </r>
  </si>
  <si>
    <r>
      <t xml:space="preserve">Energierendite 1C = (Energiekosteneinsparung plus Erlös PV) dividiert durch Investitionskosten, </t>
    </r>
    <r>
      <rPr>
        <b/>
        <sz val="11"/>
        <color rgb="FF0000FF"/>
        <rFont val="Calibri"/>
        <family val="2"/>
        <scheme val="minor"/>
      </rPr>
      <t>ohne</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t>
    </r>
  </si>
  <si>
    <r>
      <t xml:space="preserve">Energierendite 1C = (Energiekosteneinsparung plus Erlös PV) dividiert durch Investitionskosten, </t>
    </r>
    <r>
      <rPr>
        <b/>
        <sz val="11"/>
        <color rgb="FFFF0000"/>
        <rFont val="Calibri"/>
        <family val="2"/>
        <scheme val="minor"/>
      </rPr>
      <t>mit</t>
    </r>
    <r>
      <rPr>
        <b/>
        <sz val="11"/>
        <rFont val="Calibri"/>
        <family val="2"/>
        <scheme val="minor"/>
      </rPr>
      <t xml:space="preserve"> Subventionen, </t>
    </r>
    <r>
      <rPr>
        <b/>
        <sz val="11"/>
        <color rgb="FFFF0000"/>
        <rFont val="Calibri"/>
        <family val="2"/>
        <scheme val="minor"/>
      </rPr>
      <t>mit</t>
    </r>
    <r>
      <rPr>
        <b/>
        <sz val="11"/>
        <rFont val="Calibri"/>
        <family val="2"/>
        <scheme val="minor"/>
      </rPr>
      <t xml:space="preserve"> Steuerabzügen</t>
    </r>
  </si>
  <si>
    <r>
      <t xml:space="preserve">Energierendite 1D = (Energiekosteneinsparung plus Erlös PV) dividiert durch Investitionskosten, </t>
    </r>
    <r>
      <rPr>
        <b/>
        <sz val="11"/>
        <color rgb="FFFF0000"/>
        <rFont val="Calibri"/>
        <family val="2"/>
        <scheme val="minor"/>
      </rPr>
      <t>mit</t>
    </r>
    <r>
      <rPr>
        <b/>
        <sz val="11"/>
        <rFont val="Calibri"/>
        <family val="2"/>
        <scheme val="minor"/>
      </rPr>
      <t xml:space="preserve"> Subventionen, </t>
    </r>
    <r>
      <rPr>
        <b/>
        <sz val="11"/>
        <color rgb="FF0000FF"/>
        <rFont val="Calibri"/>
        <family val="2"/>
        <scheme val="minor"/>
      </rPr>
      <t>ohne</t>
    </r>
    <r>
      <rPr>
        <b/>
        <sz val="11"/>
        <rFont val="Calibri"/>
        <family val="2"/>
        <scheme val="minor"/>
      </rPr>
      <t xml:space="preserve"> Steuerabzüge</t>
    </r>
  </si>
  <si>
    <t>Bruttomiete MFH alt</t>
  </si>
  <si>
    <t>3.1 Pinsel-Renovation</t>
  </si>
  <si>
    <t>Strompreis Gebäudebetrieb</t>
  </si>
  <si>
    <t>Investitions-
kosten [CHF]</t>
  </si>
  <si>
    <t>Strom Umwälzpumpen</t>
  </si>
  <si>
    <t>3.2 Erneuerung nach Musterverordnung der Kantone (MuKEn)</t>
  </si>
  <si>
    <t>3.3 Erneuerung MINERGIE Neubau-Standard</t>
  </si>
  <si>
    <t>Wärmedämmung; Heizung: Neuer Ölkessel</t>
  </si>
  <si>
    <t>Wärmedämmung; Ersatz Ölkessel durch Wärmepumpe + Komfortlüftung</t>
  </si>
  <si>
    <t>3.4 Erneuerung MINERGIE-P Neubau-Standard</t>
  </si>
  <si>
    <t>Umfassende Wärmedämmung; Ersatz Ölkessel durch WP + Komfortlüftung + Luftdicht</t>
  </si>
  <si>
    <t xml:space="preserve">Stufe 2: Installation Photovoltaik </t>
  </si>
  <si>
    <t>Verbrauch nach Stufe 1</t>
  </si>
  <si>
    <t>Install. PV 50kWp</t>
  </si>
  <si>
    <t>Stufe 1: Umfassende Wärmedämmung; Ersatz Ölkessel durch Wärmepumpe</t>
  </si>
  <si>
    <t>Stufe 1: Umfassende Wärmedämmung; Ersatz Ölkessel durch WP + Komfortlüftung</t>
  </si>
  <si>
    <t>Stufe 2: Installation Photovoltaik</t>
  </si>
  <si>
    <t>Stufe 1: Umfass. Dämmung; Ersatz Ölkessel durch WP + Komfortlüftung + Luftdicht</t>
  </si>
  <si>
    <r>
      <t xml:space="preserve">Investitionskosten, 
</t>
    </r>
    <r>
      <rPr>
        <b/>
        <sz val="12"/>
        <color indexed="12"/>
        <rFont val="Calibri"/>
        <family val="2"/>
        <scheme val="minor"/>
      </rPr>
      <t>ohne</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t>
    </r>
  </si>
  <si>
    <r>
      <t xml:space="preserve">Investitionskosten, 
</t>
    </r>
    <r>
      <rPr>
        <b/>
        <sz val="12"/>
        <color rgb="FFFF0000"/>
        <rFont val="Calibri"/>
        <family val="2"/>
        <scheme val="minor"/>
      </rPr>
      <t>mit</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t>
    </r>
  </si>
  <si>
    <r>
      <t xml:space="preserve">Steuerabzug auf Investitionen </t>
    </r>
    <r>
      <rPr>
        <sz val="12"/>
        <color rgb="FFFF0000"/>
        <rFont val="Calibri"/>
        <family val="2"/>
        <scheme val="minor"/>
      </rPr>
      <t>mit</t>
    </r>
    <r>
      <rPr>
        <sz val="12"/>
        <color indexed="8"/>
        <rFont val="Calibri"/>
        <family val="2"/>
        <scheme val="minor"/>
      </rPr>
      <t xml:space="preserve"> Subventionen  </t>
    </r>
  </si>
  <si>
    <r>
      <t xml:space="preserve">Investitionskosten,
</t>
    </r>
    <r>
      <rPr>
        <b/>
        <sz val="12"/>
        <color rgb="FFFF0000"/>
        <rFont val="Calibri"/>
        <family val="2"/>
        <scheme val="minor"/>
      </rPr>
      <t>mit</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t>
    </r>
    <r>
      <rPr>
        <b/>
        <sz val="12"/>
        <rFont val="Calibri"/>
        <family val="2"/>
        <scheme val="minor"/>
      </rPr>
      <t>n</t>
    </r>
  </si>
  <si>
    <r>
      <t xml:space="preserve">Steuerabzug auf Investitionen </t>
    </r>
    <r>
      <rPr>
        <sz val="12"/>
        <color rgb="FF0000FF"/>
        <rFont val="Calibri"/>
        <family val="2"/>
        <scheme val="minor"/>
      </rPr>
      <t>ohne</t>
    </r>
    <r>
      <rPr>
        <sz val="12"/>
        <color indexed="8"/>
        <rFont val="Calibri"/>
        <family val="2"/>
        <scheme val="minor"/>
      </rPr>
      <t xml:space="preserve"> Subventionen  </t>
    </r>
  </si>
  <si>
    <r>
      <t xml:space="preserve">Investitionskosten,
</t>
    </r>
    <r>
      <rPr>
        <b/>
        <sz val="12"/>
        <color rgb="FF0000FF"/>
        <rFont val="Calibri"/>
        <family val="2"/>
        <scheme val="minor"/>
      </rPr>
      <t>ohne</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t>
    </r>
    <r>
      <rPr>
        <b/>
        <sz val="12"/>
        <rFont val="Calibri"/>
        <family val="2"/>
        <scheme val="minor"/>
      </rPr>
      <t>n</t>
    </r>
  </si>
  <si>
    <r>
      <t xml:space="preserve">Investitionskosten,
</t>
    </r>
    <r>
      <rPr>
        <b/>
        <sz val="12"/>
        <color indexed="12"/>
        <rFont val="Calibri"/>
        <family val="2"/>
        <scheme val="minor"/>
      </rPr>
      <t>ohne</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 
</t>
    </r>
    <r>
      <rPr>
        <b/>
        <sz val="12"/>
        <color rgb="FF00B050"/>
        <rFont val="Calibri"/>
        <family val="2"/>
        <scheme val="minor"/>
      </rPr>
      <t>minus</t>
    </r>
    <r>
      <rPr>
        <b/>
        <sz val="12"/>
        <color indexed="8"/>
        <rFont val="Calibri"/>
        <family val="2"/>
        <scheme val="minor"/>
      </rPr>
      <t xml:space="preserve"> Pinsel-Renov.</t>
    </r>
  </si>
  <si>
    <r>
      <t xml:space="preserve">Investitionskosten,
</t>
    </r>
    <r>
      <rPr>
        <b/>
        <sz val="12"/>
        <color rgb="FFFF0000"/>
        <rFont val="Calibri"/>
        <family val="2"/>
        <scheme val="minor"/>
      </rPr>
      <t>mit</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Steuerabzügen, 
</t>
    </r>
    <r>
      <rPr>
        <b/>
        <sz val="12"/>
        <color rgb="FF00B050"/>
        <rFont val="Calibri"/>
        <family val="2"/>
        <scheme val="minor"/>
      </rPr>
      <t>minus</t>
    </r>
    <r>
      <rPr>
        <b/>
        <sz val="12"/>
        <color indexed="8"/>
        <rFont val="Calibri"/>
        <family val="2"/>
        <scheme val="minor"/>
      </rPr>
      <t xml:space="preserve"> Pinsel-Renov.</t>
    </r>
  </si>
  <si>
    <r>
      <t xml:space="preserve">Investitionskosten, 
</t>
    </r>
    <r>
      <rPr>
        <b/>
        <sz val="12"/>
        <color rgb="FFFF0000"/>
        <rFont val="Calibri"/>
        <family val="2"/>
        <scheme val="minor"/>
      </rPr>
      <t>mit</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Steuerabzügen, 
</t>
    </r>
    <r>
      <rPr>
        <b/>
        <sz val="12"/>
        <color rgb="FF00B050"/>
        <rFont val="Calibri"/>
        <family val="2"/>
        <scheme val="minor"/>
      </rPr>
      <t>minus</t>
    </r>
    <r>
      <rPr>
        <b/>
        <sz val="12"/>
        <color indexed="8"/>
        <rFont val="Calibri"/>
        <family val="2"/>
        <scheme val="minor"/>
      </rPr>
      <t xml:space="preserve"> Pinsel-Renov.</t>
    </r>
  </si>
  <si>
    <r>
      <t xml:space="preserve">Investitionskosten,
</t>
    </r>
    <r>
      <rPr>
        <b/>
        <sz val="12"/>
        <color rgb="FF0000FF"/>
        <rFont val="Calibri"/>
        <family val="2"/>
        <scheme val="minor"/>
      </rPr>
      <t>ohne</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Steuerabzügen, 
</t>
    </r>
    <r>
      <rPr>
        <b/>
        <sz val="12"/>
        <color rgb="FF00B050"/>
        <rFont val="Calibri"/>
        <family val="2"/>
        <scheme val="minor"/>
      </rPr>
      <t>minus</t>
    </r>
    <r>
      <rPr>
        <b/>
        <sz val="12"/>
        <color indexed="8"/>
        <rFont val="Calibri"/>
        <family val="2"/>
        <scheme val="minor"/>
      </rPr>
      <t xml:space="preserve"> Pinsel-Renov.</t>
    </r>
  </si>
  <si>
    <r>
      <t xml:space="preserve">Kapitalkosten,
</t>
    </r>
    <r>
      <rPr>
        <b/>
        <sz val="12"/>
        <color indexed="12"/>
        <rFont val="Calibri"/>
        <family val="2"/>
        <scheme val="minor"/>
      </rPr>
      <t>ohne</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t>
    </r>
  </si>
  <si>
    <r>
      <t xml:space="preserve">Kapitalkosten,
</t>
    </r>
    <r>
      <rPr>
        <b/>
        <sz val="12"/>
        <color rgb="FFFF0000"/>
        <rFont val="Calibri"/>
        <family val="2"/>
        <scheme val="minor"/>
      </rPr>
      <t>mit</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t>
    </r>
  </si>
  <si>
    <r>
      <t xml:space="preserve">Kapitalkosten,
</t>
    </r>
    <r>
      <rPr>
        <b/>
        <sz val="12"/>
        <color rgb="FFFF0000"/>
        <rFont val="Calibri"/>
        <family val="2"/>
        <scheme val="minor"/>
      </rPr>
      <t>mit</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t>
    </r>
    <r>
      <rPr>
        <b/>
        <sz val="12"/>
        <rFont val="Calibri"/>
        <family val="2"/>
        <scheme val="minor"/>
      </rPr>
      <t>n</t>
    </r>
  </si>
  <si>
    <r>
      <t xml:space="preserve">Kapitalkosten,
</t>
    </r>
    <r>
      <rPr>
        <b/>
        <sz val="12"/>
        <color rgb="FF0000FF"/>
        <rFont val="Calibri"/>
        <family val="2"/>
        <scheme val="minor"/>
      </rPr>
      <t>ohne</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t>
    </r>
    <r>
      <rPr>
        <b/>
        <sz val="12"/>
        <rFont val="Calibri"/>
        <family val="2"/>
        <scheme val="minor"/>
      </rPr>
      <t>n</t>
    </r>
  </si>
  <si>
    <r>
      <t xml:space="preserve">Kapitalkosten,
</t>
    </r>
    <r>
      <rPr>
        <b/>
        <sz val="12"/>
        <color indexed="12"/>
        <rFont val="Calibri"/>
        <family val="2"/>
        <scheme val="minor"/>
      </rPr>
      <t>ohne</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 
</t>
    </r>
    <r>
      <rPr>
        <b/>
        <sz val="12"/>
        <color rgb="FF00B050"/>
        <rFont val="Calibri"/>
        <family val="2"/>
        <scheme val="minor"/>
      </rPr>
      <t>minus</t>
    </r>
    <r>
      <rPr>
        <b/>
        <sz val="12"/>
        <color indexed="8"/>
        <rFont val="Calibri"/>
        <family val="2"/>
        <scheme val="minor"/>
      </rPr>
      <t xml:space="preserve"> Pinsel-Renov.</t>
    </r>
  </si>
  <si>
    <r>
      <t xml:space="preserve">Kapitalkosten,
</t>
    </r>
    <r>
      <rPr>
        <b/>
        <sz val="12"/>
        <color rgb="FFFF0000"/>
        <rFont val="Calibri"/>
        <family val="2"/>
        <scheme val="minor"/>
      </rPr>
      <t>mit</t>
    </r>
    <r>
      <rPr>
        <b/>
        <sz val="12"/>
        <color indexed="8"/>
        <rFont val="Calibri"/>
        <family val="2"/>
        <scheme val="minor"/>
      </rPr>
      <t xml:space="preserve"> Subventionen, 
</t>
    </r>
    <r>
      <rPr>
        <b/>
        <sz val="12"/>
        <color rgb="FF0000FF"/>
        <rFont val="Calibri"/>
        <family val="2"/>
        <scheme val="minor"/>
      </rPr>
      <t>ohne</t>
    </r>
    <r>
      <rPr>
        <b/>
        <sz val="12"/>
        <color indexed="8"/>
        <rFont val="Calibri"/>
        <family val="2"/>
        <scheme val="minor"/>
      </rPr>
      <t xml:space="preserve"> Steuerabzügen, 
</t>
    </r>
    <r>
      <rPr>
        <b/>
        <sz val="12"/>
        <color rgb="FF00B050"/>
        <rFont val="Calibri"/>
        <family val="2"/>
        <scheme val="minor"/>
      </rPr>
      <t>minus</t>
    </r>
    <r>
      <rPr>
        <b/>
        <sz val="12"/>
        <color indexed="8"/>
        <rFont val="Calibri"/>
        <family val="2"/>
        <scheme val="minor"/>
      </rPr>
      <t xml:space="preserve"> Pinsel-Renov.</t>
    </r>
  </si>
  <si>
    <r>
      <t xml:space="preserve">Kapitalkosten,
</t>
    </r>
    <r>
      <rPr>
        <b/>
        <sz val="12"/>
        <color rgb="FFFF0000"/>
        <rFont val="Calibri"/>
        <family val="2"/>
        <scheme val="minor"/>
      </rPr>
      <t>mit</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Steuerabzügen, 
</t>
    </r>
    <r>
      <rPr>
        <b/>
        <sz val="12"/>
        <color rgb="FF00B050"/>
        <rFont val="Calibri"/>
        <family val="2"/>
        <scheme val="minor"/>
      </rPr>
      <t>minus</t>
    </r>
    <r>
      <rPr>
        <b/>
        <sz val="12"/>
        <color indexed="8"/>
        <rFont val="Calibri"/>
        <family val="2"/>
        <scheme val="minor"/>
      </rPr>
      <t xml:space="preserve"> Pinsel-Renov.</t>
    </r>
  </si>
  <si>
    <r>
      <t xml:space="preserve">Kapitalkosten,
</t>
    </r>
    <r>
      <rPr>
        <b/>
        <sz val="12"/>
        <color rgb="FF0000FF"/>
        <rFont val="Calibri"/>
        <family val="2"/>
        <scheme val="minor"/>
      </rPr>
      <t>ohne</t>
    </r>
    <r>
      <rPr>
        <b/>
        <sz val="12"/>
        <color indexed="8"/>
        <rFont val="Calibri"/>
        <family val="2"/>
        <scheme val="minor"/>
      </rPr>
      <t xml:space="preserve"> Subventionen, 
</t>
    </r>
    <r>
      <rPr>
        <b/>
        <sz val="12"/>
        <color rgb="FFFF0000"/>
        <rFont val="Calibri"/>
        <family val="2"/>
        <scheme val="minor"/>
      </rPr>
      <t>mit</t>
    </r>
    <r>
      <rPr>
        <b/>
        <sz val="12"/>
        <color indexed="8"/>
        <rFont val="Calibri"/>
        <family val="2"/>
        <scheme val="minor"/>
      </rPr>
      <t xml:space="preserve"> Steuerabzüge</t>
    </r>
    <r>
      <rPr>
        <b/>
        <sz val="12"/>
        <rFont val="Calibri"/>
        <family val="2"/>
        <scheme val="minor"/>
      </rPr>
      <t xml:space="preserve">n,
</t>
    </r>
    <r>
      <rPr>
        <b/>
        <sz val="12"/>
        <color rgb="FF00B050"/>
        <rFont val="Calibri"/>
        <family val="2"/>
        <scheme val="minor"/>
      </rPr>
      <t>minus</t>
    </r>
    <r>
      <rPr>
        <b/>
        <sz val="12"/>
        <rFont val="Calibri"/>
        <family val="2"/>
        <scheme val="minor"/>
      </rPr>
      <t xml:space="preserve"> Pinsel-Renov.</t>
    </r>
  </si>
  <si>
    <r>
      <t>Investitionskosten</t>
    </r>
    <r>
      <rPr>
        <sz val="12"/>
        <color rgb="FF00B050"/>
        <rFont val="Calibri"/>
        <family val="2"/>
        <scheme val="minor"/>
      </rPr>
      <t xml:space="preserve"> ohne PV</t>
    </r>
    <r>
      <rPr>
        <sz val="12"/>
        <color indexed="8"/>
        <rFont val="Calibri"/>
        <family val="2"/>
        <scheme val="minor"/>
      </rPr>
      <t xml:space="preserve">, </t>
    </r>
    <r>
      <rPr>
        <sz val="12"/>
        <color indexed="12"/>
        <rFont val="Calibri"/>
        <family val="2"/>
        <scheme val="minor"/>
      </rPr>
      <t>ohne</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t>
    </r>
  </si>
  <si>
    <r>
      <t>Investitionskosten</t>
    </r>
    <r>
      <rPr>
        <sz val="12"/>
        <color rgb="FF00B050"/>
        <rFont val="Calibri"/>
        <family val="2"/>
        <scheme val="minor"/>
      </rPr>
      <t xml:space="preserve"> ohne PV</t>
    </r>
    <r>
      <rPr>
        <sz val="12"/>
        <color indexed="8"/>
        <rFont val="Calibri"/>
        <family val="2"/>
        <scheme val="minor"/>
      </rPr>
      <t xml:space="preserve">, </t>
    </r>
    <r>
      <rPr>
        <sz val="12"/>
        <color rgb="FFFF0000"/>
        <rFont val="Calibri"/>
        <family val="2"/>
        <scheme val="minor"/>
      </rPr>
      <t>mit</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t>
    </r>
  </si>
  <si>
    <r>
      <t xml:space="preserve">Mietwirksame Investitionskosten,
</t>
    </r>
    <r>
      <rPr>
        <sz val="12"/>
        <color indexed="12"/>
        <rFont val="Calibri"/>
        <family val="2"/>
        <scheme val="minor"/>
      </rPr>
      <t>ohne</t>
    </r>
    <r>
      <rPr>
        <sz val="12"/>
        <rFont val="Calibri"/>
        <family val="2"/>
        <scheme val="minor"/>
      </rPr>
      <t xml:space="preserve"> Subventionen</t>
    </r>
    <r>
      <rPr>
        <sz val="11"/>
        <color rgb="FF0000FF"/>
        <rFont val="Calibri"/>
        <family val="2"/>
        <scheme val="minor"/>
      </rPr>
      <t/>
    </r>
  </si>
  <si>
    <r>
      <t xml:space="preserve">Mietwirksame Investitionskosten,
</t>
    </r>
    <r>
      <rPr>
        <sz val="12"/>
        <color rgb="FFFF0000"/>
        <rFont val="Calibri"/>
        <family val="2"/>
        <scheme val="minor"/>
      </rPr>
      <t>mit</t>
    </r>
    <r>
      <rPr>
        <sz val="12"/>
        <rFont val="Calibri"/>
        <family val="2"/>
        <scheme val="minor"/>
      </rPr>
      <t xml:space="preserve"> Subventionen</t>
    </r>
  </si>
  <si>
    <r>
      <t xml:space="preserve">Mietzinsüberwälzung 
</t>
    </r>
    <r>
      <rPr>
        <b/>
        <sz val="12"/>
        <color rgb="FF0000FF"/>
        <rFont val="Calibri"/>
        <family val="2"/>
        <scheme val="minor"/>
      </rPr>
      <t>ohne</t>
    </r>
    <r>
      <rPr>
        <b/>
        <sz val="12"/>
        <rFont val="Calibri"/>
        <family val="2"/>
        <scheme val="minor"/>
      </rPr>
      <t xml:space="preserve"> Subventionen</t>
    </r>
    <r>
      <rPr>
        <sz val="11"/>
        <color rgb="FF0000FF"/>
        <rFont val="Calibri"/>
        <family val="2"/>
        <scheme val="minor"/>
      </rPr>
      <t/>
    </r>
  </si>
  <si>
    <r>
      <t xml:space="preserve">Mietzinsüberwälzung 
</t>
    </r>
    <r>
      <rPr>
        <b/>
        <sz val="12"/>
        <color rgb="FFFF0000"/>
        <rFont val="Calibri"/>
        <family val="2"/>
        <scheme val="minor"/>
      </rPr>
      <t>mit</t>
    </r>
    <r>
      <rPr>
        <b/>
        <sz val="12"/>
        <rFont val="Calibri"/>
        <family val="2"/>
        <scheme val="minor"/>
      </rPr>
      <t xml:space="preserve"> Subventionen</t>
    </r>
    <r>
      <rPr>
        <sz val="11"/>
        <color indexed="12"/>
        <rFont val="Calibri"/>
        <family val="2"/>
        <scheme val="minor"/>
      </rPr>
      <t/>
    </r>
  </si>
  <si>
    <t>Mietzinsüberwälzung ohne und mit Subventionen für:</t>
  </si>
  <si>
    <t>Bruttomiete neu für:</t>
  </si>
  <si>
    <r>
      <t>lt / m</t>
    </r>
    <r>
      <rPr>
        <b/>
        <vertAlign val="superscript"/>
        <sz val="12"/>
        <rFont val="Calibri"/>
        <family val="2"/>
        <scheme val="minor"/>
      </rPr>
      <t>2</t>
    </r>
    <r>
      <rPr>
        <b/>
        <sz val="12"/>
        <rFont val="Calibri"/>
        <family val="2"/>
        <scheme val="minor"/>
      </rPr>
      <t xml:space="preserve"> a</t>
    </r>
  </si>
  <si>
    <r>
      <t>m</t>
    </r>
    <r>
      <rPr>
        <b/>
        <vertAlign val="superscript"/>
        <sz val="12"/>
        <rFont val="Calibri"/>
        <family val="2"/>
        <scheme val="minor"/>
      </rPr>
      <t>2</t>
    </r>
  </si>
  <si>
    <t>Mietzinsüberwälzung</t>
  </si>
  <si>
    <t>Standard:</t>
  </si>
  <si>
    <r>
      <t xml:space="preserve">Nettomiete neu inklusive Überwälzung, 
</t>
    </r>
    <r>
      <rPr>
        <sz val="12"/>
        <color rgb="FF0000FF"/>
        <rFont val="Calibri"/>
        <family val="2"/>
        <scheme val="minor"/>
      </rPr>
      <t>ohne</t>
    </r>
    <r>
      <rPr>
        <sz val="12"/>
        <rFont val="Calibri"/>
        <family val="2"/>
        <scheme val="minor"/>
      </rPr>
      <t xml:space="preserve"> Subventionen</t>
    </r>
    <r>
      <rPr>
        <sz val="11"/>
        <color rgb="FF0000FF"/>
        <rFont val="Calibri"/>
        <family val="2"/>
        <scheme val="minor"/>
      </rPr>
      <t/>
    </r>
  </si>
  <si>
    <r>
      <t xml:space="preserve">Nettomiete neu inklusive Überwälzung, 
</t>
    </r>
    <r>
      <rPr>
        <sz val="12"/>
        <color rgb="FFFF0000"/>
        <rFont val="Calibri"/>
        <family val="2"/>
        <scheme val="minor"/>
      </rPr>
      <t>mit</t>
    </r>
    <r>
      <rPr>
        <sz val="12"/>
        <rFont val="Calibri"/>
        <family val="2"/>
        <scheme val="minor"/>
      </rPr>
      <t xml:space="preserve"> Subventionen</t>
    </r>
    <r>
      <rPr>
        <sz val="11"/>
        <color rgb="FF0000FF"/>
        <rFont val="Calibri"/>
        <family val="2"/>
        <scheme val="minor"/>
      </rPr>
      <t/>
    </r>
  </si>
  <si>
    <r>
      <t xml:space="preserve">Bruttomiete neu </t>
    </r>
    <r>
      <rPr>
        <sz val="12"/>
        <color rgb="FF0000FF"/>
        <rFont val="Calibri"/>
        <family val="2"/>
        <scheme val="minor"/>
      </rPr>
      <t>ohne</t>
    </r>
    <r>
      <rPr>
        <sz val="12"/>
        <rFont val="Calibri"/>
        <family val="2"/>
        <scheme val="minor"/>
      </rPr>
      <t xml:space="preserve"> Anrechnung von Subventionen</t>
    </r>
  </si>
  <si>
    <r>
      <t xml:space="preserve">Bruttomiete MFH neu 
</t>
    </r>
    <r>
      <rPr>
        <b/>
        <sz val="12"/>
        <color rgb="FF0000FF"/>
        <rFont val="Calibri"/>
        <family val="2"/>
        <scheme val="minor"/>
      </rPr>
      <t>ohne</t>
    </r>
    <r>
      <rPr>
        <b/>
        <sz val="12"/>
        <rFont val="Calibri"/>
        <family val="2"/>
        <scheme val="minor"/>
      </rPr>
      <t xml:space="preserve"> Subventionen</t>
    </r>
  </si>
  <si>
    <r>
      <t xml:space="preserve">Bruttomiete MFH neu 
</t>
    </r>
    <r>
      <rPr>
        <sz val="12"/>
        <color rgb="FF0000FF"/>
        <rFont val="Calibri"/>
        <family val="2"/>
        <scheme val="minor"/>
      </rPr>
      <t>ohne</t>
    </r>
    <r>
      <rPr>
        <sz val="12"/>
        <rFont val="Calibri"/>
        <family val="2"/>
        <scheme val="minor"/>
      </rPr>
      <t xml:space="preserve"> Subventionen</t>
    </r>
  </si>
  <si>
    <r>
      <t xml:space="preserve">Bruttomiete neu </t>
    </r>
    <r>
      <rPr>
        <sz val="12"/>
        <color rgb="FFFF0000"/>
        <rFont val="Calibri"/>
        <family val="2"/>
        <scheme val="minor"/>
      </rPr>
      <t>mit</t>
    </r>
    <r>
      <rPr>
        <sz val="12"/>
        <rFont val="Calibri"/>
        <family val="2"/>
        <scheme val="minor"/>
      </rPr>
      <t xml:space="preserve"> Anrechnung von Subventionen</t>
    </r>
  </si>
  <si>
    <r>
      <t xml:space="preserve">Bruttomiete MFH neu 
</t>
    </r>
    <r>
      <rPr>
        <b/>
        <sz val="12"/>
        <color rgb="FFFF0000"/>
        <rFont val="Calibri"/>
        <family val="2"/>
        <scheme val="minor"/>
      </rPr>
      <t>mit</t>
    </r>
    <r>
      <rPr>
        <b/>
        <sz val="12"/>
        <rFont val="Calibri"/>
        <family val="2"/>
        <scheme val="minor"/>
      </rPr>
      <t xml:space="preserve"> Subventionen</t>
    </r>
  </si>
  <si>
    <r>
      <t xml:space="preserve">Bruttomiete MFH neu 
</t>
    </r>
    <r>
      <rPr>
        <sz val="12"/>
        <color rgb="FFFF0000"/>
        <rFont val="Calibri"/>
        <family val="2"/>
        <scheme val="minor"/>
      </rPr>
      <t>mit</t>
    </r>
    <r>
      <rPr>
        <sz val="12"/>
        <rFont val="Calibri"/>
        <family val="2"/>
        <scheme val="minor"/>
      </rPr>
      <t xml:space="preserve"> Subventionen</t>
    </r>
  </si>
  <si>
    <r>
      <t xml:space="preserve">Mietzinsüberwälzung 
</t>
    </r>
    <r>
      <rPr>
        <sz val="12"/>
        <color rgb="FF0000FF"/>
        <rFont val="Calibri"/>
        <family val="2"/>
        <scheme val="minor"/>
      </rPr>
      <t>ohne</t>
    </r>
    <r>
      <rPr>
        <sz val="12"/>
        <rFont val="Calibri"/>
        <family val="2"/>
        <scheme val="minor"/>
      </rPr>
      <t xml:space="preserve"> Subventionen</t>
    </r>
    <r>
      <rPr>
        <sz val="11"/>
        <color rgb="FF0000FF"/>
        <rFont val="Calibri"/>
        <family val="2"/>
        <scheme val="minor"/>
      </rPr>
      <t/>
    </r>
  </si>
  <si>
    <r>
      <t xml:space="preserve">Mietzinsüberwälzung 
</t>
    </r>
    <r>
      <rPr>
        <sz val="12"/>
        <color rgb="FFFF0000"/>
        <rFont val="Calibri"/>
        <family val="2"/>
        <scheme val="minor"/>
      </rPr>
      <t>mit</t>
    </r>
    <r>
      <rPr>
        <sz val="12"/>
        <rFont val="Calibri"/>
        <family val="2"/>
        <scheme val="minor"/>
      </rPr>
      <t xml:space="preserve"> Subventionen</t>
    </r>
    <r>
      <rPr>
        <sz val="11"/>
        <color indexed="12"/>
        <rFont val="Calibri"/>
        <family val="2"/>
        <scheme val="minor"/>
      </rPr>
      <t/>
    </r>
  </si>
  <si>
    <r>
      <t xml:space="preserve">Mietzinsüberwälzung </t>
    </r>
    <r>
      <rPr>
        <sz val="12"/>
        <color rgb="FF0000FF"/>
        <rFont val="Calibri"/>
        <family val="2"/>
        <scheme val="minor"/>
      </rPr>
      <t>ohne</t>
    </r>
    <r>
      <rPr>
        <sz val="12"/>
        <rFont val="Calibri"/>
        <family val="2"/>
        <scheme val="minor"/>
      </rPr>
      <t xml:space="preserve"> Subv. plus Erlös PV</t>
    </r>
  </si>
  <si>
    <r>
      <t xml:space="preserve">Jährliche Kapitalkosten,
</t>
    </r>
    <r>
      <rPr>
        <sz val="12"/>
        <color indexed="12"/>
        <rFont val="Calibri"/>
        <family val="2"/>
        <scheme val="minor"/>
      </rPr>
      <t>ohne</t>
    </r>
    <r>
      <rPr>
        <sz val="12"/>
        <rFont val="Calibri"/>
        <family val="2"/>
        <scheme val="minor"/>
      </rPr>
      <t xml:space="preserve"> Subventionen, 
</t>
    </r>
    <r>
      <rPr>
        <sz val="12"/>
        <color rgb="FF0000FF"/>
        <rFont val="Calibri"/>
        <family val="2"/>
        <scheme val="minor"/>
      </rPr>
      <t>ohne</t>
    </r>
    <r>
      <rPr>
        <sz val="12"/>
        <rFont val="Calibri"/>
        <family val="2"/>
        <scheme val="minor"/>
      </rPr>
      <t xml:space="preserve"> Steuerabzüge </t>
    </r>
  </si>
  <si>
    <r>
      <t xml:space="preserve">Jährliche Kapitalkosten,
</t>
    </r>
    <r>
      <rPr>
        <sz val="12"/>
        <color rgb="FF0000FF"/>
        <rFont val="Calibri"/>
        <family val="2"/>
        <scheme val="minor"/>
      </rPr>
      <t>ohne</t>
    </r>
    <r>
      <rPr>
        <sz val="12"/>
        <rFont val="Calibri"/>
        <family val="2"/>
        <scheme val="minor"/>
      </rPr>
      <t xml:space="preserve"> Subventionen, 
</t>
    </r>
    <r>
      <rPr>
        <sz val="12"/>
        <color rgb="FFFF0000"/>
        <rFont val="Calibri"/>
        <family val="2"/>
        <scheme val="minor"/>
      </rPr>
      <t>mit</t>
    </r>
    <r>
      <rPr>
        <sz val="12"/>
        <rFont val="Calibri"/>
        <family val="2"/>
        <scheme val="minor"/>
      </rPr>
      <t xml:space="preserve"> Steuerabzügen </t>
    </r>
  </si>
  <si>
    <r>
      <t xml:space="preserve">Mietzinsüberwälzung </t>
    </r>
    <r>
      <rPr>
        <sz val="12"/>
        <color rgb="FFFF0000"/>
        <rFont val="Calibri"/>
        <family val="2"/>
        <scheme val="minor"/>
      </rPr>
      <t>mit</t>
    </r>
    <r>
      <rPr>
        <sz val="12"/>
        <rFont val="Calibri"/>
        <family val="2"/>
        <scheme val="minor"/>
      </rPr>
      <t xml:space="preserve"> Subv. plus Erlös PV</t>
    </r>
  </si>
  <si>
    <r>
      <t xml:space="preserve">Jährliche Kapitalkosten,
</t>
    </r>
    <r>
      <rPr>
        <sz val="12"/>
        <color rgb="FFFF0000"/>
        <rFont val="Calibri"/>
        <family val="2"/>
        <scheme val="minor"/>
      </rPr>
      <t>mit</t>
    </r>
    <r>
      <rPr>
        <sz val="12"/>
        <rFont val="Calibri"/>
        <family val="2"/>
        <scheme val="minor"/>
      </rPr>
      <t xml:space="preserve"> Subventionen, 
</t>
    </r>
    <r>
      <rPr>
        <sz val="12"/>
        <color rgb="FFFF0000"/>
        <rFont val="Calibri"/>
        <family val="2"/>
        <scheme val="minor"/>
      </rPr>
      <t>mit</t>
    </r>
    <r>
      <rPr>
        <sz val="12"/>
        <rFont val="Calibri"/>
        <family val="2"/>
        <scheme val="minor"/>
      </rPr>
      <t xml:space="preserve"> Steuerabzügen </t>
    </r>
  </si>
  <si>
    <r>
      <t xml:space="preserve">Jährliche Kapitalkosten,
</t>
    </r>
    <r>
      <rPr>
        <sz val="12"/>
        <color rgb="FFFF0000"/>
        <rFont val="Calibri"/>
        <family val="2"/>
        <scheme val="minor"/>
      </rPr>
      <t>mit</t>
    </r>
    <r>
      <rPr>
        <sz val="12"/>
        <rFont val="Calibri"/>
        <family val="2"/>
        <scheme val="minor"/>
      </rPr>
      <t xml:space="preserve"> Subventionen, 
</t>
    </r>
    <r>
      <rPr>
        <sz val="12"/>
        <color rgb="FF0000FF"/>
        <rFont val="Calibri"/>
        <family val="2"/>
        <scheme val="minor"/>
      </rPr>
      <t>ohne</t>
    </r>
    <r>
      <rPr>
        <sz val="12"/>
        <rFont val="Calibri"/>
        <family val="2"/>
        <scheme val="minor"/>
      </rPr>
      <t xml:space="preserve"> Steuerabzüge </t>
    </r>
  </si>
  <si>
    <r>
      <t xml:space="preserve">Kapitalkosten,
</t>
    </r>
    <r>
      <rPr>
        <sz val="12"/>
        <color indexed="12"/>
        <rFont val="Calibri"/>
        <family val="2"/>
        <scheme val="minor"/>
      </rPr>
      <t>ohne</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 
</t>
    </r>
    <r>
      <rPr>
        <sz val="12"/>
        <color rgb="FF00B050"/>
        <rFont val="Calibri"/>
        <family val="2"/>
        <scheme val="minor"/>
      </rPr>
      <t>minus</t>
    </r>
    <r>
      <rPr>
        <sz val="12"/>
        <color indexed="8"/>
        <rFont val="Calibri"/>
        <family val="2"/>
        <scheme val="minor"/>
      </rPr>
      <t xml:space="preserve"> Pinsel-Renov.</t>
    </r>
  </si>
  <si>
    <r>
      <t xml:space="preserve">Investitionskosten,
</t>
    </r>
    <r>
      <rPr>
        <sz val="12"/>
        <color indexed="12"/>
        <rFont val="Calibri"/>
        <family val="2"/>
        <scheme val="minor"/>
      </rPr>
      <t>ohne</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 
</t>
    </r>
    <r>
      <rPr>
        <sz val="12"/>
        <color rgb="FF00B050"/>
        <rFont val="Calibri"/>
        <family val="2"/>
        <scheme val="minor"/>
      </rPr>
      <t>minus</t>
    </r>
    <r>
      <rPr>
        <sz val="12"/>
        <color indexed="8"/>
        <rFont val="Calibri"/>
        <family val="2"/>
        <scheme val="minor"/>
      </rPr>
      <t xml:space="preserve"> Pinsel-Renov.</t>
    </r>
  </si>
  <si>
    <r>
      <t xml:space="preserve">Kapitalkosten,
</t>
    </r>
    <r>
      <rPr>
        <sz val="12"/>
        <color rgb="FF0000FF"/>
        <rFont val="Calibri"/>
        <family val="2"/>
        <scheme val="minor"/>
      </rPr>
      <t>ohne</t>
    </r>
    <r>
      <rPr>
        <sz val="12"/>
        <color indexed="8"/>
        <rFont val="Calibri"/>
        <family val="2"/>
        <scheme val="minor"/>
      </rPr>
      <t xml:space="preserve"> Subventionen, 
</t>
    </r>
    <r>
      <rPr>
        <sz val="12"/>
        <color rgb="FFFF0000"/>
        <rFont val="Calibri"/>
        <family val="2"/>
        <scheme val="minor"/>
      </rPr>
      <t>mit</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</si>
  <si>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Investitionskosten,
</t>
    </r>
    <r>
      <rPr>
        <sz val="12"/>
        <color rgb="FF0000FF"/>
        <rFont val="Calibri"/>
        <family val="2"/>
        <scheme val="minor"/>
      </rPr>
      <t>ohne</t>
    </r>
    <r>
      <rPr>
        <sz val="12"/>
        <color indexed="8"/>
        <rFont val="Calibri"/>
        <family val="2"/>
        <scheme val="minor"/>
      </rPr>
      <t xml:space="preserve"> Subventionen, 
</t>
    </r>
    <r>
      <rPr>
        <sz val="12"/>
        <color rgb="FFFF0000"/>
        <rFont val="Calibri"/>
        <family val="2"/>
        <scheme val="minor"/>
      </rPr>
      <t>mit</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</si>
  <si>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Kapitalkosten, 
</t>
    </r>
    <r>
      <rPr>
        <sz val="12"/>
        <color rgb="FFFF0000"/>
        <rFont val="Calibri"/>
        <family val="2"/>
        <scheme val="minor"/>
      </rPr>
      <t>mit</t>
    </r>
    <r>
      <rPr>
        <sz val="12"/>
        <color indexed="8"/>
        <rFont val="Calibri"/>
        <family val="2"/>
        <scheme val="minor"/>
      </rPr>
      <t xml:space="preserve"> Subventionen, 
</t>
    </r>
    <r>
      <rPr>
        <sz val="12"/>
        <color rgb="FFFF0000"/>
        <rFont val="Calibri"/>
        <family val="2"/>
        <scheme val="minor"/>
      </rPr>
      <t>mit</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</si>
  <si>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Investitionskosten, 
</t>
    </r>
    <r>
      <rPr>
        <sz val="12"/>
        <color rgb="FFFF0000"/>
        <rFont val="Calibri"/>
        <family val="2"/>
        <scheme val="minor"/>
      </rPr>
      <t>mit</t>
    </r>
    <r>
      <rPr>
        <sz val="12"/>
        <color indexed="8"/>
        <rFont val="Calibri"/>
        <family val="2"/>
        <scheme val="minor"/>
      </rPr>
      <t xml:space="preserve"> Subventionen, 
</t>
    </r>
    <r>
      <rPr>
        <sz val="12"/>
        <color rgb="FFFF0000"/>
        <rFont val="Calibri"/>
        <family val="2"/>
        <scheme val="minor"/>
      </rPr>
      <t>mit</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</si>
  <si>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Kapitalkosten,
</t>
    </r>
    <r>
      <rPr>
        <sz val="12"/>
        <color rgb="FFFF0000"/>
        <rFont val="Calibri"/>
        <family val="2"/>
        <scheme val="minor"/>
      </rPr>
      <t>mit</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</si>
  <si>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Investitionskosten,
</t>
    </r>
    <r>
      <rPr>
        <sz val="12"/>
        <color rgb="FFFF0000"/>
        <rFont val="Calibri"/>
        <family val="2"/>
        <scheme val="minor"/>
      </rPr>
      <t>mit</t>
    </r>
    <r>
      <rPr>
        <sz val="12"/>
        <color indexed="8"/>
        <rFont val="Calibri"/>
        <family val="2"/>
        <scheme val="minor"/>
      </rPr>
      <t xml:space="preserve"> Subventionen, 
</t>
    </r>
    <r>
      <rPr>
        <sz val="12"/>
        <color rgb="FF0000FF"/>
        <rFont val="Calibri"/>
        <family val="2"/>
        <scheme val="minor"/>
      </rPr>
      <t>ohne</t>
    </r>
    <r>
      <rPr>
        <sz val="12"/>
        <color indexed="8"/>
        <rFont val="Calibri"/>
        <family val="2"/>
        <scheme val="minor"/>
      </rPr>
      <t xml:space="preserve"> Steuerabzügen, 
</t>
    </r>
    <r>
      <rPr>
        <sz val="12"/>
        <color rgb="FF00B050"/>
        <rFont val="Calibri"/>
        <family val="2"/>
        <scheme val="minor"/>
      </rPr>
      <t>minus</t>
    </r>
    <r>
      <rPr>
        <sz val="12"/>
        <color indexed="8"/>
        <rFont val="Calibri"/>
        <family val="2"/>
        <scheme val="minor"/>
      </rPr>
      <t xml:space="preserve"> Pinsel-Renov.</t>
    </r>
  </si>
  <si>
    <r>
      <t xml:space="preserve">Investitionskosten </t>
    </r>
    <r>
      <rPr>
        <sz val="12"/>
        <color rgb="FFFF0000"/>
        <rFont val="Calibri"/>
        <family val="2"/>
        <scheme val="minor"/>
      </rPr>
      <t>mit</t>
    </r>
    <r>
      <rPr>
        <sz val="12"/>
        <rFont val="Calibri"/>
        <family val="2"/>
        <scheme val="minor"/>
      </rPr>
      <t xml:space="preserve"> PV </t>
    </r>
    <r>
      <rPr>
        <sz val="12"/>
        <color indexed="12"/>
        <rFont val="Calibri"/>
        <family val="2"/>
        <scheme val="minor"/>
      </rPr>
      <t>ohne</t>
    </r>
    <r>
      <rPr>
        <sz val="12"/>
        <rFont val="Calibri"/>
        <family val="2"/>
        <scheme val="minor"/>
      </rPr>
      <t xml:space="preserve"> Subventionen,
</t>
    </r>
    <r>
      <rPr>
        <sz val="12"/>
        <color rgb="FF0000FF"/>
        <rFont val="Calibri"/>
        <family val="2"/>
        <scheme val="minor"/>
      </rPr>
      <t>ohne</t>
    </r>
    <r>
      <rPr>
        <sz val="12"/>
        <rFont val="Calibri"/>
        <family val="2"/>
        <scheme val="minor"/>
      </rPr>
      <t xml:space="preserve"> Steuerabzüge </t>
    </r>
  </si>
  <si>
    <r>
      <t xml:space="preserve">Netto-Ertrag = Mietzinsüberwälzung + Erlös PV </t>
    </r>
    <r>
      <rPr>
        <sz val="12"/>
        <color rgb="FF00B050"/>
        <rFont val="Calibri"/>
        <family val="2"/>
        <scheme val="minor"/>
      </rPr>
      <t>-</t>
    </r>
    <r>
      <rPr>
        <sz val="12"/>
        <rFont val="Calibri"/>
        <family val="2"/>
        <scheme val="minor"/>
      </rPr>
      <t xml:space="preserve"> Kapitalkosten Fremdkapital</t>
    </r>
    <r>
      <rPr>
        <sz val="11"/>
        <color rgb="FF0000FF"/>
        <rFont val="Calibri"/>
        <family val="2"/>
        <scheme val="minor"/>
      </rPr>
      <t/>
    </r>
  </si>
  <si>
    <r>
      <t xml:space="preserve">Investitionskosten </t>
    </r>
    <r>
      <rPr>
        <sz val="12"/>
        <color rgb="FFFF0000"/>
        <rFont val="Calibri"/>
        <family val="2"/>
        <scheme val="minor"/>
      </rPr>
      <t>mit</t>
    </r>
    <r>
      <rPr>
        <sz val="12"/>
        <rFont val="Calibri"/>
        <family val="2"/>
        <scheme val="minor"/>
      </rPr>
      <t xml:space="preserve"> PV </t>
    </r>
    <r>
      <rPr>
        <sz val="12"/>
        <color rgb="FF0000FF"/>
        <rFont val="Calibri"/>
        <family val="2"/>
        <scheme val="minor"/>
      </rPr>
      <t>ohne</t>
    </r>
    <r>
      <rPr>
        <sz val="12"/>
        <rFont val="Calibri"/>
        <family val="2"/>
        <scheme val="minor"/>
      </rPr>
      <t xml:space="preserve"> Subventionen 
</t>
    </r>
    <r>
      <rPr>
        <sz val="12"/>
        <color rgb="FFFF0000"/>
        <rFont val="Calibri"/>
        <family val="2"/>
        <scheme val="minor"/>
      </rPr>
      <t>mit</t>
    </r>
    <r>
      <rPr>
        <sz val="12"/>
        <rFont val="Calibri"/>
        <family val="2"/>
        <scheme val="minor"/>
      </rPr>
      <t xml:space="preserve"> Steuerabzügen </t>
    </r>
  </si>
  <si>
    <r>
      <t xml:space="preserve">Investitionskosten </t>
    </r>
    <r>
      <rPr>
        <sz val="12"/>
        <color rgb="FFFF0000"/>
        <rFont val="Calibri"/>
        <family val="2"/>
        <scheme val="minor"/>
      </rPr>
      <t>mit</t>
    </r>
    <r>
      <rPr>
        <sz val="12"/>
        <rFont val="Calibri"/>
        <family val="2"/>
        <scheme val="minor"/>
      </rPr>
      <t xml:space="preserve"> PV </t>
    </r>
    <r>
      <rPr>
        <sz val="12"/>
        <color indexed="10"/>
        <rFont val="Calibri"/>
        <family val="2"/>
        <scheme val="minor"/>
      </rPr>
      <t>mit</t>
    </r>
    <r>
      <rPr>
        <sz val="12"/>
        <rFont val="Calibri"/>
        <family val="2"/>
        <scheme val="minor"/>
      </rPr>
      <t xml:space="preserve"> Subventionen 
</t>
    </r>
    <r>
      <rPr>
        <sz val="12"/>
        <color rgb="FFFF0000"/>
        <rFont val="Calibri"/>
        <family val="2"/>
        <scheme val="minor"/>
      </rPr>
      <t>mit</t>
    </r>
    <r>
      <rPr>
        <sz val="12"/>
        <rFont val="Calibri"/>
        <family val="2"/>
        <scheme val="minor"/>
      </rPr>
      <t xml:space="preserve"> Steuerabzügen </t>
    </r>
  </si>
  <si>
    <r>
      <t xml:space="preserve">Netto-Ertrag = Mietzinsüberwälzung + Erlös PV </t>
    </r>
    <r>
      <rPr>
        <sz val="12"/>
        <color rgb="FF00B050"/>
        <rFont val="Calibri"/>
        <family val="2"/>
        <scheme val="minor"/>
      </rPr>
      <t>-</t>
    </r>
    <r>
      <rPr>
        <sz val="12"/>
        <rFont val="Calibri"/>
        <family val="2"/>
        <scheme val="minor"/>
      </rPr>
      <t xml:space="preserve"> Kapitalkosten Fremdkapital</t>
    </r>
  </si>
  <si>
    <r>
      <t xml:space="preserve">Investitionskosten </t>
    </r>
    <r>
      <rPr>
        <sz val="12"/>
        <color rgb="FFFF0000"/>
        <rFont val="Calibri"/>
        <family val="2"/>
        <scheme val="minor"/>
      </rPr>
      <t>mit</t>
    </r>
    <r>
      <rPr>
        <sz val="12"/>
        <rFont val="Calibri"/>
        <family val="2"/>
        <scheme val="minor"/>
      </rPr>
      <t xml:space="preserve"> PV </t>
    </r>
    <r>
      <rPr>
        <sz val="12"/>
        <color indexed="10"/>
        <rFont val="Calibri"/>
        <family val="2"/>
        <scheme val="minor"/>
      </rPr>
      <t>mit</t>
    </r>
    <r>
      <rPr>
        <sz val="12"/>
        <rFont val="Calibri"/>
        <family val="2"/>
        <scheme val="minor"/>
      </rPr>
      <t xml:space="preserve"> Subventionen 
</t>
    </r>
    <r>
      <rPr>
        <sz val="12"/>
        <color rgb="FF0000FF"/>
        <rFont val="Calibri"/>
        <family val="2"/>
        <scheme val="minor"/>
      </rPr>
      <t>ohne</t>
    </r>
    <r>
      <rPr>
        <sz val="12"/>
        <rFont val="Calibri"/>
        <family val="2"/>
        <scheme val="minor"/>
      </rPr>
      <t xml:space="preserve"> Steuerabzüge </t>
    </r>
  </si>
  <si>
    <t>Berechnung der Energierenditen ohne/mit Subventionen, ohne/mit Steuerabzügen</t>
  </si>
  <si>
    <t>1D</t>
  </si>
  <si>
    <t>2D</t>
  </si>
  <si>
    <t>3D</t>
  </si>
  <si>
    <t>Kennwerte für Besitzer / Investoren</t>
  </si>
  <si>
    <t>Mietzinse:</t>
  </si>
  <si>
    <r>
      <t xml:space="preserve">Nettorendite </t>
    </r>
    <r>
      <rPr>
        <sz val="11"/>
        <color rgb="FF0000FF"/>
        <rFont val="Calibri"/>
        <family val="2"/>
        <scheme val="minor"/>
      </rPr>
      <t>ohne</t>
    </r>
    <r>
      <rPr>
        <sz val="11"/>
        <color theme="1"/>
        <rFont val="Calibri"/>
        <family val="2"/>
        <scheme val="minor"/>
      </rPr>
      <t xml:space="preserve"> Subv. </t>
    </r>
    <r>
      <rPr>
        <sz val="11"/>
        <color rgb="FF0000FF"/>
        <rFont val="Calibri"/>
        <family val="2"/>
        <scheme val="minor"/>
      </rPr>
      <t>ohne</t>
    </r>
    <r>
      <rPr>
        <sz val="11"/>
        <color theme="1"/>
        <rFont val="Calibri"/>
        <family val="2"/>
        <scheme val="minor"/>
      </rPr>
      <t xml:space="preserve"> Steuerabzüge </t>
    </r>
    <r>
      <rPr>
        <sz val="11"/>
        <color rgb="FF00B050"/>
        <rFont val="Calibri"/>
        <family val="2"/>
        <scheme val="minor"/>
      </rPr>
      <t>minus</t>
    </r>
    <r>
      <rPr>
        <sz val="11"/>
        <color theme="1"/>
        <rFont val="Calibri"/>
        <family val="2"/>
        <scheme val="minor"/>
      </rPr>
      <t xml:space="preserve"> Pinsel-Renov.</t>
    </r>
  </si>
  <si>
    <r>
      <t xml:space="preserve">Nettorendite </t>
    </r>
    <r>
      <rPr>
        <sz val="11"/>
        <color rgb="FF0000FF"/>
        <rFont val="Calibri"/>
        <family val="2"/>
        <scheme val="minor"/>
      </rPr>
      <t>ohne</t>
    </r>
    <r>
      <rPr>
        <sz val="11"/>
        <color theme="1"/>
        <rFont val="Calibri"/>
        <family val="2"/>
        <scheme val="minor"/>
      </rPr>
      <t xml:space="preserve"> Subv. </t>
    </r>
    <r>
      <rPr>
        <sz val="11"/>
        <color rgb="FFFF0000"/>
        <rFont val="Calibri"/>
        <family val="2"/>
        <scheme val="minor"/>
      </rPr>
      <t>mit</t>
    </r>
    <r>
      <rPr>
        <sz val="11"/>
        <color theme="1"/>
        <rFont val="Calibri"/>
        <family val="2"/>
        <scheme val="minor"/>
      </rPr>
      <t xml:space="preserve"> Steuerabzügen </t>
    </r>
    <r>
      <rPr>
        <sz val="11"/>
        <color rgb="FF00B050"/>
        <rFont val="Calibri"/>
        <family val="2"/>
        <scheme val="minor"/>
      </rPr>
      <t>minus</t>
    </r>
    <r>
      <rPr>
        <sz val="11"/>
        <color theme="1"/>
        <rFont val="Calibri"/>
        <family val="2"/>
        <scheme val="minor"/>
      </rPr>
      <t xml:space="preserve"> Pinsel-Renov.</t>
    </r>
  </si>
  <si>
    <r>
      <t xml:space="preserve">Nettorendite </t>
    </r>
    <r>
      <rPr>
        <sz val="11"/>
        <color rgb="FFFF0000"/>
        <rFont val="Calibri"/>
        <family val="2"/>
        <scheme val="minor"/>
      </rPr>
      <t>mit</t>
    </r>
    <r>
      <rPr>
        <sz val="11"/>
        <color theme="1"/>
        <rFont val="Calibri"/>
        <family val="2"/>
        <scheme val="minor"/>
      </rPr>
      <t xml:space="preserve"> Subv. </t>
    </r>
    <r>
      <rPr>
        <sz val="11"/>
        <color rgb="FFFF0000"/>
        <rFont val="Calibri"/>
        <family val="2"/>
        <scheme val="minor"/>
      </rPr>
      <t>mit</t>
    </r>
    <r>
      <rPr>
        <sz val="11"/>
        <color theme="1"/>
        <rFont val="Calibri"/>
        <family val="2"/>
        <scheme val="minor"/>
      </rPr>
      <t xml:space="preserve"> Steuerabzügen </t>
    </r>
    <r>
      <rPr>
        <sz val="11"/>
        <color rgb="FF00B050"/>
        <rFont val="Calibri"/>
        <family val="2"/>
        <scheme val="minor"/>
      </rPr>
      <t>minus</t>
    </r>
    <r>
      <rPr>
        <sz val="11"/>
        <color theme="1"/>
        <rFont val="Calibri"/>
        <family val="2"/>
        <scheme val="minor"/>
      </rPr>
      <t xml:space="preserve"> Pinsel-Renov.</t>
    </r>
  </si>
  <si>
    <t>Rendite1D</t>
  </si>
  <si>
    <r>
      <t xml:space="preserve">Nettorendite </t>
    </r>
    <r>
      <rPr>
        <sz val="11"/>
        <color rgb="FFFF0000"/>
        <rFont val="Calibri"/>
        <family val="2"/>
        <scheme val="minor"/>
      </rPr>
      <t>mit</t>
    </r>
    <r>
      <rPr>
        <sz val="11"/>
        <color theme="1"/>
        <rFont val="Calibri"/>
        <family val="2"/>
        <scheme val="minor"/>
      </rPr>
      <t xml:space="preserve"> Subventionen </t>
    </r>
    <r>
      <rPr>
        <sz val="11"/>
        <color rgb="FF0000FF"/>
        <rFont val="Calibri"/>
        <family val="2"/>
        <scheme val="minor"/>
      </rPr>
      <t>ohne</t>
    </r>
    <r>
      <rPr>
        <sz val="11"/>
        <color theme="1"/>
        <rFont val="Calibri"/>
        <family val="2"/>
        <scheme val="minor"/>
      </rPr>
      <t xml:space="preserve"> Steuerabzüge</t>
    </r>
  </si>
  <si>
    <r>
      <t xml:space="preserve">Nettorendite </t>
    </r>
    <r>
      <rPr>
        <sz val="11"/>
        <color rgb="FFFF0000"/>
        <rFont val="Calibri"/>
        <family val="2"/>
        <scheme val="minor"/>
      </rPr>
      <t>mit</t>
    </r>
    <r>
      <rPr>
        <sz val="11"/>
        <color theme="1"/>
        <rFont val="Calibri"/>
        <family val="2"/>
        <scheme val="minor"/>
      </rPr>
      <t xml:space="preserve"> Subventionen </t>
    </r>
    <r>
      <rPr>
        <sz val="11"/>
        <color rgb="FFFF0000"/>
        <rFont val="Calibri"/>
        <family val="2"/>
        <scheme val="minor"/>
      </rPr>
      <t>mit</t>
    </r>
    <r>
      <rPr>
        <sz val="11"/>
        <color theme="1"/>
        <rFont val="Calibri"/>
        <family val="2"/>
        <scheme val="minor"/>
      </rPr>
      <t xml:space="preserve"> Steuerabzügen</t>
    </r>
  </si>
  <si>
    <r>
      <t xml:space="preserve">Nettorendite </t>
    </r>
    <r>
      <rPr>
        <sz val="11"/>
        <color rgb="FF0000FF"/>
        <rFont val="Calibri"/>
        <family val="2"/>
        <scheme val="minor"/>
      </rPr>
      <t>ohne</t>
    </r>
    <r>
      <rPr>
        <sz val="11"/>
        <color theme="1"/>
        <rFont val="Calibri"/>
        <family val="2"/>
        <scheme val="minor"/>
      </rPr>
      <t xml:space="preserve"> Subventionen </t>
    </r>
    <r>
      <rPr>
        <sz val="11"/>
        <color rgb="FFFF0000"/>
        <rFont val="Calibri"/>
        <family val="2"/>
        <scheme val="minor"/>
      </rPr>
      <t>mit</t>
    </r>
    <r>
      <rPr>
        <sz val="11"/>
        <color theme="1"/>
        <rFont val="Calibri"/>
        <family val="2"/>
        <scheme val="minor"/>
      </rPr>
      <t xml:space="preserve"> Steuerabzügen</t>
    </r>
  </si>
  <si>
    <t>Rendite2D</t>
  </si>
  <si>
    <r>
      <t xml:space="preserve">Nettorendite </t>
    </r>
    <r>
      <rPr>
        <sz val="11"/>
        <color rgb="FFFF0000"/>
        <rFont val="Calibri"/>
        <family val="2"/>
        <scheme val="minor"/>
      </rPr>
      <t>mit</t>
    </r>
    <r>
      <rPr>
        <sz val="11"/>
        <color theme="1"/>
        <rFont val="Calibri"/>
        <family val="2"/>
        <scheme val="minor"/>
      </rPr>
      <t xml:space="preserve"> Subv. </t>
    </r>
    <r>
      <rPr>
        <sz val="11"/>
        <color rgb="FF0000FF"/>
        <rFont val="Calibri"/>
        <family val="2"/>
        <scheme val="minor"/>
      </rPr>
      <t>ohne</t>
    </r>
    <r>
      <rPr>
        <sz val="11"/>
        <color theme="1"/>
        <rFont val="Calibri"/>
        <family val="2"/>
        <scheme val="minor"/>
      </rPr>
      <t xml:space="preserve"> Steuerabzüge </t>
    </r>
    <r>
      <rPr>
        <sz val="11"/>
        <color rgb="FF00B050"/>
        <rFont val="Calibri"/>
        <family val="2"/>
        <scheme val="minor"/>
      </rPr>
      <t>minus</t>
    </r>
    <r>
      <rPr>
        <sz val="11"/>
        <color theme="1"/>
        <rFont val="Calibri"/>
        <family val="2"/>
        <scheme val="minor"/>
      </rPr>
      <t xml:space="preserve"> Pinsel-Renov.</t>
    </r>
  </si>
  <si>
    <t>Rendite3D</t>
  </si>
  <si>
    <r>
      <t xml:space="preserve">Rendite auf Eigenkapital </t>
    </r>
    <r>
      <rPr>
        <sz val="11"/>
        <color rgb="FFFF0000"/>
        <rFont val="Calibri"/>
        <family val="2"/>
        <scheme val="minor"/>
      </rPr>
      <t>mit</t>
    </r>
    <r>
      <rPr>
        <sz val="11"/>
        <color theme="1"/>
        <rFont val="Calibri"/>
        <family val="2"/>
        <scheme val="minor"/>
      </rPr>
      <t xml:space="preserve"> Subventionen </t>
    </r>
    <r>
      <rPr>
        <sz val="11"/>
        <color rgb="FF0000FF"/>
        <rFont val="Calibri"/>
        <family val="2"/>
        <scheme val="minor"/>
      </rPr>
      <t>ohne</t>
    </r>
    <r>
      <rPr>
        <sz val="11"/>
        <color theme="1"/>
        <rFont val="Calibri"/>
        <family val="2"/>
        <scheme val="minor"/>
      </rPr>
      <t xml:space="preserve"> Steuerabzüge</t>
    </r>
  </si>
  <si>
    <t>Finanzierung_Anteil der Mietzinsüberwälzung</t>
  </si>
  <si>
    <t>Bruttomiete NEU (ohne Subventionen, ohne Steuerabzüge) als Funktion der Betriebskosten nach der Sanierung (Heizölpreis)</t>
  </si>
  <si>
    <t>Kapitalkosten (ohne Subventionen, ohne Steuerabzüge) + Betriebskosten nach der Sanierung</t>
  </si>
  <si>
    <t>Mietzinsüberwälzung (70%) auf der Basis von Investitionskosten ohne PV</t>
  </si>
  <si>
    <t>Umrechnungsfaktor: Heizöl zu kWh</t>
  </si>
  <si>
    <t>t / 1000 lt Öl</t>
  </si>
  <si>
    <t>*) gemäss BAFU "Energieinhalte und CO2-Emissionsfaktoren von fossilen Energieträgern"</t>
  </si>
  <si>
    <t>T10</t>
  </si>
  <si>
    <t>CO2 - Reduktion pro Jahr bei den verschiedenen Sanierungsvarianten</t>
  </si>
  <si>
    <t>Fläche pro Wohnung</t>
  </si>
  <si>
    <t>Umrechnungsfaktor CO2-Ausstoss</t>
  </si>
  <si>
    <t>Ölverbrauch 
vor der Sanierung</t>
  </si>
  <si>
    <t>lt / a</t>
  </si>
  <si>
    <t>CO2-Ausstoss 
vor der Sanierung</t>
  </si>
  <si>
    <t>t / a</t>
  </si>
  <si>
    <t>Ölverbrauch 
nach der Sanierung</t>
  </si>
  <si>
    <t>CO2-Ausstoss 
nach der Sanierung</t>
  </si>
  <si>
    <t>CO2-Einsparung
durch die Sanierung</t>
  </si>
  <si>
    <t>Ölverbrauch nach Sanierung Gebäudehülle</t>
  </si>
  <si>
    <t>für:</t>
  </si>
  <si>
    <t>T4.2_Z1 * Annuität
Investition</t>
  </si>
  <si>
    <t>T4.2_Z5 * Annuität
Investition</t>
  </si>
  <si>
    <t>T4.2_Z8 * Annuität
Investition</t>
  </si>
  <si>
    <t>T4.2_Z10 * Annuität
Investition</t>
  </si>
  <si>
    <t>T4.2_Z12 * Annuität
Investition</t>
  </si>
  <si>
    <t>T4.2_Z13 * Annuität
Investition</t>
  </si>
  <si>
    <t>T4.2_Z14 * Annuität
Investition</t>
  </si>
  <si>
    <t>T4.2_Z15 * Annuität
Investition</t>
  </si>
  <si>
    <t>T4.2_Z1 - Invest PV</t>
  </si>
  <si>
    <t>T4.2_Z5 - Invest PV</t>
  </si>
  <si>
    <t xml:space="preserve"> T5.1_Z7</t>
  </si>
  <si>
    <t xml:space="preserve"> T5.1_Z8</t>
  </si>
  <si>
    <t xml:space="preserve"> T4.3_Z1</t>
  </si>
  <si>
    <t>T4.3_Z4</t>
  </si>
  <si>
    <t xml:space="preserve"> T4.3_Z3</t>
  </si>
  <si>
    <t xml:space="preserve"> T4.3_Z2</t>
  </si>
  <si>
    <t>(4-7)/T4_Z10</t>
  </si>
  <si>
    <r>
      <t>(4-5)/T</t>
    </r>
    <r>
      <rPr>
        <sz val="9"/>
        <rFont val="Calibri"/>
        <family val="2"/>
        <scheme val="minor"/>
      </rPr>
      <t>4</t>
    </r>
    <r>
      <rPr>
        <sz val="11"/>
        <rFont val="Calibri"/>
        <family val="2"/>
        <scheme val="minor"/>
      </rPr>
      <t>_Z1</t>
    </r>
  </si>
  <si>
    <t>(9-10)/T4_Z8</t>
  </si>
  <si>
    <t>(9-12)/T4_Z5</t>
  </si>
  <si>
    <t xml:space="preserve"> T4.3_Z5</t>
  </si>
  <si>
    <t>T4.2_Z12</t>
  </si>
  <si>
    <t xml:space="preserve"> T4.3_Z8</t>
  </si>
  <si>
    <t>T4.2_Z15</t>
  </si>
  <si>
    <t xml:space="preserve"> T4.3_Z7</t>
  </si>
  <si>
    <t>T4.2_Z14</t>
  </si>
  <si>
    <t>T4.2_Z13</t>
  </si>
  <si>
    <t xml:space="preserve"> T4.2_Z1</t>
  </si>
  <si>
    <t xml:space="preserve"> T6.1_Z3</t>
  </si>
  <si>
    <t xml:space="preserve"> T4.2_Z10</t>
  </si>
  <si>
    <t xml:space="preserve"> T4.2_Z8</t>
  </si>
  <si>
    <t xml:space="preserve"> T4.2_Z5</t>
  </si>
  <si>
    <t>T4.2_Z8</t>
  </si>
  <si>
    <t>T4.2_Z5</t>
  </si>
  <si>
    <t>T4.2_Z10</t>
  </si>
  <si>
    <t>T4.2_Z1</t>
  </si>
  <si>
    <t>T6.1_Z3</t>
  </si>
  <si>
    <t>T5.2_Z16</t>
  </si>
  <si>
    <t>T5.2_Z17</t>
  </si>
  <si>
    <t>T5.2_Z18</t>
  </si>
  <si>
    <t>Sanierungs-varianten
1 - 8</t>
  </si>
  <si>
    <t>Z</t>
  </si>
  <si>
    <t>1 - 5</t>
  </si>
  <si>
    <t xml:space="preserve">Strom Umwälzpumpe </t>
  </si>
  <si>
    <t>Verbrauch total</t>
  </si>
  <si>
    <t>Produktion Photovoltaik</t>
  </si>
  <si>
    <t xml:space="preserve">Reduktion Sparen und Photovoltaik total </t>
  </si>
  <si>
    <t>Verbrauch Betrieb
und Produktion PV *</t>
  </si>
  <si>
    <t>Verbrauch total 
und Produktion PV **</t>
  </si>
  <si>
    <t>Verbrauch mit Sparen 
und Produktion PV ***</t>
  </si>
  <si>
    <t>Verbrauch Betrieb 
und Produktion PV !</t>
  </si>
  <si>
    <t>Verbrauch total 
und Produktion PV !!</t>
  </si>
  <si>
    <t>Verbrauch mit Sparen 
und Produktion PV !!!</t>
  </si>
  <si>
    <t>Kosten Betrieb 
und Erlös aus PV *</t>
  </si>
  <si>
    <t>Kosten total 
und Erlös aus PV **</t>
  </si>
  <si>
    <t>Kosten mit Sparen 
und Erlös aus PV ***</t>
  </si>
  <si>
    <r>
      <t xml:space="preserve">*    Bilanz Gebäude total mit Deckung Elektrizität für Gebäudebetrieb </t>
    </r>
    <r>
      <rPr>
        <sz val="11"/>
        <color indexed="12"/>
        <rFont val="Calibri"/>
        <family val="2"/>
        <scheme val="minor"/>
      </rPr>
      <t>ohne</t>
    </r>
    <r>
      <rPr>
        <sz val="11"/>
        <rFont val="Calibri"/>
        <family val="2"/>
        <scheme val="minor"/>
      </rPr>
      <t xml:space="preserve"> Haushaltstrom, </t>
    </r>
    <r>
      <rPr>
        <sz val="11"/>
        <color indexed="12"/>
        <rFont val="Calibri"/>
        <family val="2"/>
        <scheme val="minor"/>
      </rPr>
      <t>ohne</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t>
    </r>
  </si>
  <si>
    <r>
      <t xml:space="preserve">**  Bilanz Gebäude total mit Deckung Elektrizität für Gebäudebetrieb </t>
    </r>
    <r>
      <rPr>
        <sz val="11"/>
        <color rgb="FFFF0000"/>
        <rFont val="Calibri"/>
        <family val="2"/>
        <scheme val="minor"/>
      </rPr>
      <t>mit</t>
    </r>
    <r>
      <rPr>
        <sz val="11"/>
        <rFont val="Calibri"/>
        <family val="2"/>
        <scheme val="minor"/>
      </rPr>
      <t xml:space="preserve"> Haushaltstrom, </t>
    </r>
    <r>
      <rPr>
        <sz val="11"/>
        <color indexed="12"/>
        <rFont val="Calibri"/>
        <family val="2"/>
        <scheme val="minor"/>
      </rPr>
      <t>ohne</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t>
    </r>
  </si>
  <si>
    <r>
      <t xml:space="preserve">*** Bilanz Gebäude total mit Deckung Elektrizität für Gebäudebetrieb </t>
    </r>
    <r>
      <rPr>
        <sz val="11"/>
        <color rgb="FFFF0000"/>
        <rFont val="Calibri"/>
        <family val="2"/>
        <scheme val="minor"/>
      </rPr>
      <t>mit</t>
    </r>
    <r>
      <rPr>
        <sz val="11"/>
        <rFont val="Calibri"/>
        <family val="2"/>
        <scheme val="minor"/>
      </rPr>
      <t xml:space="preserve"> Haushaltstrom, </t>
    </r>
    <r>
      <rPr>
        <sz val="11"/>
        <color rgb="FFFF0000"/>
        <rFont val="Calibri"/>
        <family val="2"/>
        <scheme val="minor"/>
      </rPr>
      <t>mit</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t>
    </r>
  </si>
  <si>
    <r>
      <t xml:space="preserve">!    Verhältnis Elektrizität für Gebäudebetrieb </t>
    </r>
    <r>
      <rPr>
        <sz val="11"/>
        <color indexed="12"/>
        <rFont val="Calibri"/>
        <family val="2"/>
        <scheme val="minor"/>
      </rPr>
      <t>ohne</t>
    </r>
    <r>
      <rPr>
        <sz val="11"/>
        <rFont val="Calibri"/>
        <family val="2"/>
        <scheme val="minor"/>
      </rPr>
      <t xml:space="preserve"> Haushaltstrom, </t>
    </r>
    <r>
      <rPr>
        <sz val="11"/>
        <color indexed="12"/>
        <rFont val="Calibri"/>
        <family val="2"/>
        <scheme val="minor"/>
      </rPr>
      <t>ohne</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 zu Gesamtverbrauch </t>
    </r>
  </si>
  <si>
    <r>
      <t xml:space="preserve">!!   Verhältnis Elektrizität für Gebäudebetrieb </t>
    </r>
    <r>
      <rPr>
        <sz val="11"/>
        <color rgb="FFFF0000"/>
        <rFont val="Calibri"/>
        <family val="2"/>
        <scheme val="minor"/>
      </rPr>
      <t>mit</t>
    </r>
    <r>
      <rPr>
        <sz val="11"/>
        <rFont val="Calibri"/>
        <family val="2"/>
        <scheme val="minor"/>
      </rPr>
      <t xml:space="preserve"> Haushaltstrom, </t>
    </r>
    <r>
      <rPr>
        <sz val="11"/>
        <color indexed="12"/>
        <rFont val="Calibri"/>
        <family val="2"/>
        <scheme val="minor"/>
      </rPr>
      <t>ohne</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 zu Gesamtverbrauch </t>
    </r>
  </si>
  <si>
    <r>
      <t xml:space="preserve">!!!  Verhältnis Elektrizität für Gebäudebetrieb </t>
    </r>
    <r>
      <rPr>
        <sz val="11"/>
        <color rgb="FFFF0000"/>
        <rFont val="Calibri"/>
        <family val="2"/>
        <scheme val="minor"/>
      </rPr>
      <t>mit</t>
    </r>
    <r>
      <rPr>
        <sz val="11"/>
        <rFont val="Calibri"/>
        <family val="2"/>
        <scheme val="minor"/>
      </rPr>
      <t xml:space="preserve"> Haushaltstrom, </t>
    </r>
    <r>
      <rPr>
        <sz val="11"/>
        <color rgb="FFFF0000"/>
        <rFont val="Calibri"/>
        <family val="2"/>
        <scheme val="minor"/>
      </rPr>
      <t>mit</t>
    </r>
    <r>
      <rPr>
        <sz val="11"/>
        <rFont val="Calibri"/>
        <family val="2"/>
        <scheme val="minor"/>
      </rPr>
      <t xml:space="preserve"> Gewinn Sparpotenzial, </t>
    </r>
    <r>
      <rPr>
        <sz val="11"/>
        <color rgb="FFFF0000"/>
        <rFont val="Calibri"/>
        <family val="2"/>
        <scheme val="minor"/>
      </rPr>
      <t>mit</t>
    </r>
    <r>
      <rPr>
        <sz val="11"/>
        <rFont val="Calibri"/>
        <family val="2"/>
        <scheme val="minor"/>
      </rPr>
      <t xml:space="preserve"> Erlös aus Photovoltaik zu Gesamtverbrauch </t>
    </r>
  </si>
  <si>
    <t>T4.1</t>
  </si>
  <si>
    <t>Abb. 4.1</t>
  </si>
  <si>
    <t>T4.2</t>
  </si>
  <si>
    <t>Abb. 4.2</t>
  </si>
  <si>
    <t>T4.3</t>
  </si>
  <si>
    <t>Abb. 4.3</t>
  </si>
  <si>
    <t>Abb. 4.4</t>
  </si>
  <si>
    <t>T5.1</t>
  </si>
  <si>
    <t>T5.2</t>
  </si>
  <si>
    <t>Abb. 5.1</t>
  </si>
  <si>
    <t>Abb. 5.2</t>
  </si>
  <si>
    <t>T6.1</t>
  </si>
  <si>
    <t>Abb. 6.1</t>
  </si>
  <si>
    <t>T6.2</t>
  </si>
  <si>
    <t>Abb. 6.2</t>
  </si>
  <si>
    <t>T6.3A</t>
  </si>
  <si>
    <t>T6.3B</t>
  </si>
  <si>
    <t>T6.3C</t>
  </si>
  <si>
    <t>T6.3D</t>
  </si>
  <si>
    <t>Abb. 6.3</t>
  </si>
  <si>
    <t>T8.1</t>
  </si>
  <si>
    <t>T8.2</t>
  </si>
  <si>
    <t>Abb. 8.1</t>
  </si>
  <si>
    <t>Abb. 8.2</t>
  </si>
  <si>
    <t xml:space="preserve"> 1 + 2 + 3</t>
  </si>
  <si>
    <t>Kosten Strom aus Netz</t>
  </si>
  <si>
    <t>Vergütung Strom ins Netz</t>
  </si>
  <si>
    <t># Wohnungen = # Haushalte</t>
  </si>
  <si>
    <t>Elektrizitätsverbrauch pro Haushalt *</t>
  </si>
  <si>
    <t>kWh/a</t>
  </si>
  <si>
    <t xml:space="preserve">Elektrizität Sparpotenzial * </t>
  </si>
  <si>
    <t>4*Kost.Strom+8*Vergütng</t>
  </si>
  <si>
    <t>(6+7)*Kosten+8*Vergütng</t>
  </si>
  <si>
    <t>6*Kost.Strom+8*Vergütng</t>
  </si>
  <si>
    <t>Jahresarbeitszahl (JAZ) der Wärmepumpe</t>
  </si>
  <si>
    <t>Umrechnungsfaktor CO2-Ausstoss **):</t>
  </si>
  <si>
    <t>Änderung Heizölbedarf [%]</t>
  </si>
  <si>
    <t xml:space="preserve">Stufe 1: Wärmedämmung; Ersatz Ölkessel durch Wärmepumpe 
</t>
  </si>
  <si>
    <t>Verbrauch nach Dämmung</t>
  </si>
  <si>
    <t>fixer Betrag</t>
  </si>
  <si>
    <t>Heizöl vor Sanierung</t>
  </si>
  <si>
    <t xml:space="preserve">  </t>
  </si>
  <si>
    <t>Anteil Überwälzung Investitionskosten auf Mietzinse</t>
  </si>
  <si>
    <t>MuKEn ohne Hülle mit PV</t>
  </si>
  <si>
    <t>MuKEn PV</t>
  </si>
  <si>
    <t>MINERGIE  mit PV</t>
  </si>
  <si>
    <t>MINERGIE-P mit PV</t>
  </si>
  <si>
    <t>5 MuKEn ohne Hülle mit PV</t>
  </si>
  <si>
    <t>6 MuKEn PV</t>
  </si>
  <si>
    <t>7 Minergie mit PV</t>
  </si>
  <si>
    <t>8 MINERGIE-P mit PV</t>
  </si>
  <si>
    <t>3.5 Erneuerung MuKEn ohne Hülle mit PV</t>
  </si>
  <si>
    <t>3.6 Erneuerung MuKEn PV</t>
  </si>
  <si>
    <t>3.7 Erneuerung MINERGIE mit PV</t>
  </si>
  <si>
    <t>3.8 Erneuerung MINERGIE-P mit PV</t>
  </si>
  <si>
    <t>Referenz</t>
  </si>
  <si>
    <t>0,25 rp ewb Bern Naturstrom</t>
  </si>
  <si>
    <t>Auswertung www.energybox.ch über 13'000 Haushalte</t>
  </si>
  <si>
    <t>http://helion-solar.ch/referenzen/referenzengalerie</t>
  </si>
  <si>
    <t>Elektrizitätsverbrauch eines Haushalts pro Jahr inkl. allg. Verbrauch</t>
  </si>
  <si>
    <t>http://helion-solar.ch/photovoltaik/einmalverguetung-kev
ab 01.10.2015 KEV &lt; 30KWp</t>
  </si>
  <si>
    <t>http://www.solarenergie-vergleich.ch/onlinerechner/</t>
  </si>
  <si>
    <t>www.homegate.ch</t>
  </si>
  <si>
    <t>www.migrol-heizöl.ch</t>
  </si>
  <si>
    <t>http://www.mietrecht.ch/?id=30</t>
  </si>
  <si>
    <t>http://www.fin.be.ch/fin/de/index/steuern/steuern_berechnen/steueranlagen.html</t>
  </si>
  <si>
    <t>https://www.comparis.ch/hypotheken/zinssatz/laufzeiten.aspx?cantoncode=BE</t>
  </si>
  <si>
    <t>http://www.bfs.admin.ch/bfs/portal/de/index/themen/09/01/key.html</t>
  </si>
  <si>
    <t>http://energie-cluster.ch/ecweb5/de/ecweb_site/veranstaltungen/energie-aperos/energie-aperos-2015/bern_grossen.pdf</t>
  </si>
  <si>
    <t>http://www.energie-cluster.ch/ecweb5/de/ecweb_site/veranstaltungen/energie-aperos/energie-aperos-2014/referate-2014-13-energie-apero-muensingen/05_zehnder_20140424_energieapero_mzehnder.pdf</t>
  </si>
  <si>
    <t>http://www.energie-cluster.ch/ecweb5/de/ecweb_site/wissenstransfer/innovationsgruppen/ig-peg/history/peg-zwischenbericht-bfe-2014_neu.pdf</t>
  </si>
  <si>
    <t>http://www.energie-cluster.ch/ecweb5/de/ecweb_site/veranstaltungen/energie-aperos/energie-aperos-2015/meiringen_christen.pdf</t>
  </si>
  <si>
    <t>1 Pinsel-Renovation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</si>
</sst>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0.0%"/>
    <numFmt numFmtId="166" formatCode="#,##0.0"/>
    <numFmt numFmtId="167" formatCode="###\'###"/>
    <numFmt numFmtId="168" formatCode="0.000"/>
  </numFmts>
  <fonts count="62" x14ac:knownFonts="1">
    <font>
      <sz val="11"/>
      <color theme="1"/>
      <name val="Calibri"/>
      <family val="2"/>
      <scheme val="minor"/>
    </font>
    <font>
      <b/>
      <sz val="11"/>
      <color theme="3"/>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sz val="16"/>
      <color rgb="FFFF0000"/>
      <name val="Calibri"/>
      <family val="2"/>
      <scheme val="minor"/>
    </font>
    <font>
      <b/>
      <sz val="11"/>
      <name val="Calibri"/>
      <family val="2"/>
      <scheme val="minor"/>
    </font>
    <font>
      <sz val="11"/>
      <name val="Calibri"/>
      <family val="2"/>
      <scheme val="minor"/>
    </font>
    <font>
      <b/>
      <sz val="12"/>
      <name val="Calibri"/>
      <family val="2"/>
      <scheme val="minor"/>
    </font>
    <font>
      <b/>
      <sz val="9"/>
      <color indexed="81"/>
      <name val="Tahoma"/>
      <family val="2"/>
    </font>
    <font>
      <sz val="9"/>
      <color theme="1"/>
      <name val="Calibri"/>
      <family val="2"/>
      <scheme val="minor"/>
    </font>
    <font>
      <b/>
      <sz val="11"/>
      <color rgb="FF0070C0"/>
      <name val="Calibri"/>
      <family val="2"/>
      <scheme val="minor"/>
    </font>
    <font>
      <b/>
      <sz val="12"/>
      <color theme="1"/>
      <name val="Calibri"/>
      <family val="2"/>
      <scheme val="minor"/>
    </font>
    <font>
      <b/>
      <sz val="11"/>
      <color rgb="FFFF0000"/>
      <name val="Calibri"/>
      <family val="2"/>
      <scheme val="minor"/>
    </font>
    <font>
      <sz val="9"/>
      <color indexed="81"/>
      <name val="Tahoma"/>
      <family val="2"/>
    </font>
    <font>
      <sz val="11"/>
      <color indexed="10"/>
      <name val="Calibri"/>
      <family val="2"/>
      <scheme val="minor"/>
    </font>
    <font>
      <b/>
      <sz val="11"/>
      <color indexed="12"/>
      <name val="Calibri"/>
      <family val="2"/>
      <scheme val="minor"/>
    </font>
    <font>
      <sz val="11"/>
      <color indexed="8"/>
      <name val="Calibri"/>
      <family val="2"/>
      <scheme val="minor"/>
    </font>
    <font>
      <b/>
      <sz val="11"/>
      <color rgb="FF0000FF"/>
      <name val="Calibri"/>
      <family val="2"/>
      <scheme val="minor"/>
    </font>
    <font>
      <b/>
      <sz val="11"/>
      <color rgb="FF00B050"/>
      <name val="Calibri"/>
      <family val="2"/>
      <scheme val="minor"/>
    </font>
    <font>
      <sz val="11"/>
      <color rgb="FFFF0000"/>
      <name val="Calibri"/>
      <family val="2"/>
      <scheme val="minor"/>
    </font>
    <font>
      <b/>
      <sz val="14"/>
      <color theme="1"/>
      <name val="Calibri"/>
      <family val="2"/>
      <scheme val="minor"/>
    </font>
    <font>
      <b/>
      <sz val="14"/>
      <name val="Calibri"/>
      <family val="2"/>
      <scheme val="minor"/>
    </font>
    <font>
      <sz val="14"/>
      <name val="Calibri"/>
      <family val="2"/>
      <scheme val="minor"/>
    </font>
    <font>
      <b/>
      <sz val="12"/>
      <name val="Arial"/>
      <family val="2"/>
    </font>
    <font>
      <b/>
      <sz val="11"/>
      <name val="Arial"/>
      <family val="2"/>
    </font>
    <font>
      <b/>
      <sz val="10"/>
      <name val="Arial"/>
      <family val="2"/>
    </font>
    <font>
      <sz val="10"/>
      <name val="Arial"/>
      <family val="2"/>
    </font>
    <font>
      <sz val="11"/>
      <color indexed="12"/>
      <name val="Calibri"/>
      <family val="2"/>
      <scheme val="minor"/>
    </font>
    <font>
      <b/>
      <sz val="11"/>
      <color indexed="62"/>
      <name val="Calibri"/>
      <family val="2"/>
      <scheme val="minor"/>
    </font>
    <font>
      <sz val="11"/>
      <color rgb="FF0000FF"/>
      <name val="Calibri"/>
      <family val="2"/>
      <scheme val="minor"/>
    </font>
    <font>
      <b/>
      <sz val="11"/>
      <name val="Arial Narrow"/>
      <family val="2"/>
    </font>
    <font>
      <sz val="14"/>
      <name val="Arial"/>
      <family val="2"/>
    </font>
    <font>
      <b/>
      <sz val="12"/>
      <color indexed="10"/>
      <name val="Arial"/>
      <family val="2"/>
    </font>
    <font>
      <b/>
      <sz val="11"/>
      <color indexed="10"/>
      <name val="Arial"/>
      <family val="2"/>
    </font>
    <font>
      <b/>
      <sz val="12"/>
      <color indexed="12"/>
      <name val="Arial"/>
      <family val="2"/>
    </font>
    <font>
      <sz val="11"/>
      <color rgb="FF00B050"/>
      <name val="Calibri"/>
      <family val="2"/>
      <scheme val="minor"/>
    </font>
    <font>
      <sz val="14"/>
      <color theme="1"/>
      <name val="Calibri"/>
      <family val="2"/>
      <scheme val="minor"/>
    </font>
    <font>
      <b/>
      <sz val="14"/>
      <color indexed="62"/>
      <name val="Arial"/>
      <family val="2"/>
    </font>
    <font>
      <i/>
      <sz val="11"/>
      <color theme="1"/>
      <name val="Calibri"/>
      <family val="2"/>
      <scheme val="minor"/>
    </font>
    <font>
      <b/>
      <sz val="11"/>
      <color indexed="53"/>
      <name val="Calibri"/>
      <family val="2"/>
      <scheme val="minor"/>
    </font>
    <font>
      <sz val="12"/>
      <color theme="1"/>
      <name val="Calibri"/>
      <family val="2"/>
      <scheme val="minor"/>
    </font>
    <font>
      <b/>
      <sz val="12"/>
      <color theme="3"/>
      <name val="Calibri"/>
      <family val="2"/>
      <scheme val="minor"/>
    </font>
    <font>
      <sz val="12"/>
      <name val="Calibri"/>
      <family val="2"/>
      <scheme val="minor"/>
    </font>
    <font>
      <b/>
      <sz val="12"/>
      <color indexed="8"/>
      <name val="Calibri"/>
      <family val="2"/>
      <scheme val="minor"/>
    </font>
    <font>
      <b/>
      <sz val="12"/>
      <color indexed="12"/>
      <name val="Calibri"/>
      <family val="2"/>
      <scheme val="minor"/>
    </font>
    <font>
      <b/>
      <sz val="12"/>
      <color rgb="FF0000FF"/>
      <name val="Calibri"/>
      <family val="2"/>
      <scheme val="minor"/>
    </font>
    <font>
      <sz val="12"/>
      <color indexed="8"/>
      <name val="Calibri"/>
      <family val="2"/>
      <scheme val="minor"/>
    </font>
    <font>
      <b/>
      <sz val="12"/>
      <color rgb="FFFF0000"/>
      <name val="Calibri"/>
      <family val="2"/>
      <scheme val="minor"/>
    </font>
    <font>
      <sz val="12"/>
      <color rgb="FFFF0000"/>
      <name val="Calibri"/>
      <family val="2"/>
      <scheme val="minor"/>
    </font>
    <font>
      <sz val="12"/>
      <color rgb="FF0000FF"/>
      <name val="Calibri"/>
      <family val="2"/>
      <scheme val="minor"/>
    </font>
    <font>
      <b/>
      <sz val="12"/>
      <color rgb="FF00B050"/>
      <name val="Calibri"/>
      <family val="2"/>
      <scheme val="minor"/>
    </font>
    <font>
      <sz val="12"/>
      <color rgb="FF00B050"/>
      <name val="Calibri"/>
      <family val="2"/>
      <scheme val="minor"/>
    </font>
    <font>
      <sz val="12"/>
      <color indexed="12"/>
      <name val="Calibri"/>
      <family val="2"/>
      <scheme val="minor"/>
    </font>
    <font>
      <b/>
      <vertAlign val="superscript"/>
      <sz val="12"/>
      <name val="Calibri"/>
      <family val="2"/>
      <scheme val="minor"/>
    </font>
    <font>
      <b/>
      <sz val="12"/>
      <color indexed="22"/>
      <name val="Calibri"/>
      <family val="2"/>
      <scheme val="minor"/>
    </font>
    <font>
      <sz val="12"/>
      <color indexed="10"/>
      <name val="Calibri"/>
      <family val="2"/>
      <scheme val="minor"/>
    </font>
    <font>
      <i/>
      <sz val="12"/>
      <color theme="1"/>
      <name val="Calibri"/>
      <family val="2"/>
      <scheme val="minor"/>
    </font>
    <font>
      <i/>
      <sz val="12"/>
      <color rgb="FFFF0000"/>
      <name val="Calibri"/>
      <family val="2"/>
      <scheme val="minor"/>
    </font>
    <font>
      <sz val="9"/>
      <name val="Calibri"/>
      <family val="2"/>
      <scheme val="minor"/>
    </font>
    <font>
      <sz val="12"/>
      <color theme="0" tint="-0.249977111117893"/>
      <name val="Calibri"/>
      <family val="2"/>
      <scheme val="minor"/>
    </font>
    <font>
      <u/>
      <sz val="11"/>
      <color theme="1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rgb="FFFFFF97"/>
        <bgColor indexed="64"/>
      </patternFill>
    </fill>
    <fill>
      <patternFill patternType="solid">
        <fgColor rgb="FFBEFFB9"/>
        <bgColor indexed="64"/>
      </patternFill>
    </fill>
    <fill>
      <patternFill patternType="solid">
        <fgColor rgb="FFFFDBB7"/>
        <bgColor indexed="64"/>
      </patternFill>
    </fill>
    <fill>
      <patternFill patternType="solid">
        <fgColor rgb="FFD0EBF4"/>
        <bgColor indexed="64"/>
      </patternFill>
    </fill>
    <fill>
      <patternFill patternType="solid">
        <fgColor rgb="FF8DB4E3"/>
        <bgColor indexed="64"/>
      </patternFill>
    </fill>
    <fill>
      <patternFill patternType="solid">
        <fgColor rgb="FFD0E0F4"/>
        <bgColor indexed="64"/>
      </patternFill>
    </fill>
    <fill>
      <patternFill patternType="solid">
        <fgColor rgb="FFFFFF00"/>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9" fontId="3" fillId="0" borderId="0" applyFont="0" applyFill="0" applyBorder="0" applyAlignment="0" applyProtection="0"/>
    <xf numFmtId="43" fontId="3" fillId="0" borderId="0" applyFont="0" applyFill="0" applyBorder="0" applyAlignment="0" applyProtection="0"/>
    <xf numFmtId="0" fontId="27" fillId="0" borderId="0"/>
    <xf numFmtId="0" fontId="61" fillId="0" borderId="0" applyNumberFormat="0" applyFill="0" applyBorder="0" applyAlignment="0" applyProtection="0"/>
  </cellStyleXfs>
  <cellXfs count="712">
    <xf numFmtId="0" fontId="0" fillId="0" borderId="0" xfId="0"/>
    <xf numFmtId="0" fontId="2" fillId="0" borderId="0" xfId="0" applyFont="1"/>
    <xf numFmtId="0" fontId="0" fillId="0" borderId="0" xfId="0" applyAlignment="1">
      <alignment horizontal="center"/>
    </xf>
    <xf numFmtId="9" fontId="0" fillId="0" borderId="0" xfId="1" applyFon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6" fillId="8" borderId="8" xfId="0" applyFont="1" applyFill="1" applyBorder="1" applyAlignment="1">
      <alignment vertical="center"/>
    </xf>
    <xf numFmtId="0" fontId="1" fillId="8" borderId="10" xfId="0" applyFont="1" applyFill="1" applyBorder="1" applyAlignment="1">
      <alignment vertical="center"/>
    </xf>
    <xf numFmtId="0" fontId="0" fillId="8" borderId="10" xfId="0" applyFill="1" applyBorder="1" applyAlignment="1">
      <alignment vertical="center"/>
    </xf>
    <xf numFmtId="0" fontId="0" fillId="8" borderId="9" xfId="0" applyFill="1" applyBorder="1" applyAlignment="1">
      <alignment vertical="center"/>
    </xf>
    <xf numFmtId="0" fontId="6" fillId="8" borderId="1" xfId="0" applyFont="1" applyFill="1" applyBorder="1" applyAlignment="1">
      <alignment horizontal="center" vertical="center"/>
    </xf>
    <xf numFmtId="0" fontId="0" fillId="0" borderId="0" xfId="0" applyBorder="1" applyAlignment="1">
      <alignment horizontal="center"/>
    </xf>
    <xf numFmtId="0" fontId="8" fillId="0" borderId="13" xfId="0" applyFont="1" applyBorder="1" applyAlignment="1">
      <alignment horizontal="left"/>
    </xf>
    <xf numFmtId="0" fontId="8" fillId="0" borderId="0" xfId="0" applyFont="1" applyBorder="1" applyAlignment="1">
      <alignment horizontal="left"/>
    </xf>
    <xf numFmtId="0" fontId="7" fillId="0" borderId="0" xfId="0" applyFont="1" applyBorder="1" applyAlignment="1">
      <alignment horizontal="left"/>
    </xf>
    <xf numFmtId="0" fontId="0" fillId="0" borderId="0" xfId="0" applyBorder="1"/>
    <xf numFmtId="0" fontId="0" fillId="0" borderId="14" xfId="0" applyBorder="1" applyAlignment="1">
      <alignment horizontal="center"/>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2" fillId="0" borderId="0" xfId="0" applyFont="1" applyAlignment="1">
      <alignment horizontal="center"/>
    </xf>
    <xf numFmtId="0" fontId="12" fillId="0" borderId="0" xfId="0" applyFont="1"/>
    <xf numFmtId="0" fontId="11" fillId="0" borderId="0" xfId="0" applyFont="1" applyAlignment="1">
      <alignment horizontal="left"/>
    </xf>
    <xf numFmtId="0" fontId="0" fillId="0" borderId="0" xfId="0" applyAlignment="1">
      <alignment horizontal="right"/>
    </xf>
    <xf numFmtId="2" fontId="7" fillId="11" borderId="25" xfId="0" applyNumberFormat="1" applyFont="1" applyFill="1" applyBorder="1" applyAlignment="1">
      <alignment horizontal="center"/>
    </xf>
    <xf numFmtId="2" fontId="7" fillId="11" borderId="28" xfId="0" applyNumberFormat="1" applyFont="1" applyFill="1" applyBorder="1" applyAlignment="1">
      <alignment horizontal="center"/>
    </xf>
    <xf numFmtId="2" fontId="7" fillId="11" borderId="1" xfId="0" applyNumberFormat="1" applyFont="1" applyFill="1" applyBorder="1" applyAlignment="1">
      <alignment horizontal="center"/>
    </xf>
    <xf numFmtId="2" fontId="7" fillId="11" borderId="29" xfId="0" applyNumberFormat="1" applyFont="1" applyFill="1" applyBorder="1" applyAlignment="1">
      <alignment horizontal="center"/>
    </xf>
    <xf numFmtId="2" fontId="7" fillId="11" borderId="30" xfId="0" applyNumberFormat="1" applyFont="1" applyFill="1" applyBorder="1" applyAlignment="1">
      <alignment horizontal="center"/>
    </xf>
    <xf numFmtId="2" fontId="7" fillId="11" borderId="31" xfId="0" applyNumberFormat="1" applyFont="1" applyFill="1" applyBorder="1" applyAlignment="1">
      <alignment horizontal="center"/>
    </xf>
    <xf numFmtId="0" fontId="0" fillId="0" borderId="15" xfId="0" applyBorder="1" applyAlignment="1">
      <alignment horizontal="left"/>
    </xf>
    <xf numFmtId="0" fontId="0" fillId="0" borderId="12" xfId="0" applyBorder="1" applyAlignment="1">
      <alignment horizontal="left"/>
    </xf>
    <xf numFmtId="0" fontId="0" fillId="0" borderId="11" xfId="0" applyBorder="1" applyAlignment="1">
      <alignment horizontal="left"/>
    </xf>
    <xf numFmtId="2" fontId="7" fillId="11" borderId="32" xfId="0" applyNumberFormat="1" applyFont="1" applyFill="1" applyBorder="1" applyAlignment="1">
      <alignment horizontal="center"/>
    </xf>
    <xf numFmtId="0" fontId="0" fillId="0" borderId="1" xfId="0" applyBorder="1"/>
    <xf numFmtId="2" fontId="7" fillId="11" borderId="9" xfId="0" applyNumberFormat="1" applyFont="1" applyFill="1" applyBorder="1" applyAlignment="1">
      <alignment horizontal="center"/>
    </xf>
    <xf numFmtId="2" fontId="7" fillId="11" borderId="33" xfId="0" applyNumberFormat="1" applyFont="1" applyFill="1" applyBorder="1" applyAlignment="1">
      <alignment horizontal="center"/>
    </xf>
    <xf numFmtId="0" fontId="12" fillId="0" borderId="8" xfId="0" applyFont="1" applyBorder="1"/>
    <xf numFmtId="0" fontId="0" fillId="0" borderId="10" xfId="0" applyBorder="1"/>
    <xf numFmtId="0" fontId="12" fillId="0" borderId="9" xfId="0" applyFont="1" applyBorder="1" applyAlignment="1">
      <alignment horizontal="right" vertical="top"/>
    </xf>
    <xf numFmtId="0" fontId="0" fillId="0" borderId="0" xfId="0" applyFont="1"/>
    <xf numFmtId="0" fontId="6" fillId="0" borderId="0" xfId="0" applyFont="1"/>
    <xf numFmtId="0" fontId="7" fillId="0" borderId="0" xfId="0" applyFont="1"/>
    <xf numFmtId="9" fontId="6" fillId="11" borderId="16" xfId="0" applyNumberFormat="1" applyFont="1" applyFill="1" applyBorder="1" applyAlignment="1">
      <alignment horizontal="center"/>
    </xf>
    <xf numFmtId="0" fontId="7" fillId="0" borderId="1" xfId="0" applyFont="1" applyBorder="1" applyAlignment="1">
      <alignment horizontal="center" vertical="center"/>
    </xf>
    <xf numFmtId="0" fontId="12" fillId="0" borderId="2" xfId="0" applyFont="1" applyBorder="1"/>
    <xf numFmtId="0" fontId="7" fillId="0" borderId="0" xfId="0" applyFont="1" applyBorder="1" applyAlignment="1">
      <alignment horizontal="center" vertical="top" wrapText="1"/>
    </xf>
    <xf numFmtId="0" fontId="0" fillId="0" borderId="0" xfId="0" applyFont="1" applyFill="1" applyBorder="1" applyAlignment="1">
      <alignment vertical="top"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top" wrapText="1"/>
    </xf>
    <xf numFmtId="49" fontId="7" fillId="12"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21" fillId="0" borderId="0" xfId="0" applyFont="1"/>
    <xf numFmtId="0" fontId="23" fillId="0" borderId="0" xfId="0" applyFont="1"/>
    <xf numFmtId="0" fontId="22" fillId="0" borderId="0" xfId="0" applyFont="1"/>
    <xf numFmtId="0" fontId="24" fillId="0" borderId="0" xfId="0" applyFont="1" applyAlignment="1">
      <alignment horizontal="center"/>
    </xf>
    <xf numFmtId="0" fontId="21" fillId="0" borderId="0" xfId="0" applyFont="1" applyAlignment="1">
      <alignment horizontal="right"/>
    </xf>
    <xf numFmtId="0" fontId="7" fillId="12" borderId="8" xfId="0" applyFont="1" applyFill="1" applyBorder="1" applyAlignment="1">
      <alignment horizontal="center" vertical="center"/>
    </xf>
    <xf numFmtId="0" fontId="29" fillId="0" borderId="0" xfId="0" applyFont="1"/>
    <xf numFmtId="0" fontId="24" fillId="0" borderId="0" xfId="0" applyFont="1"/>
    <xf numFmtId="0" fontId="31" fillId="0" borderId="0" xfId="0" applyFont="1"/>
    <xf numFmtId="3" fontId="25" fillId="11" borderId="0" xfId="0" applyNumberFormat="1" applyFont="1" applyFill="1" applyAlignment="1">
      <alignment horizontal="center"/>
    </xf>
    <xf numFmtId="0" fontId="32" fillId="0" borderId="0" xfId="0" applyFont="1"/>
    <xf numFmtId="0" fontId="26" fillId="0" borderId="0" xfId="0" applyFont="1"/>
    <xf numFmtId="0" fontId="34" fillId="0" borderId="0" xfId="0" applyFont="1"/>
    <xf numFmtId="0" fontId="38" fillId="0" borderId="0" xfId="0" applyFont="1"/>
    <xf numFmtId="0" fontId="16" fillId="0" borderId="0" xfId="0" applyFont="1"/>
    <xf numFmtId="9" fontId="6" fillId="11" borderId="0" xfId="0" applyNumberFormat="1" applyFont="1" applyFill="1"/>
    <xf numFmtId="0" fontId="7" fillId="0" borderId="36" xfId="0" applyFont="1" applyBorder="1"/>
    <xf numFmtId="0" fontId="7" fillId="0" borderId="36" xfId="0" applyFont="1" applyBorder="1" applyAlignment="1">
      <alignment vertical="top" wrapText="1"/>
    </xf>
    <xf numFmtId="0" fontId="0" fillId="0" borderId="0" xfId="0" applyAlignment="1">
      <alignment horizontal="center"/>
    </xf>
    <xf numFmtId="0" fontId="40" fillId="0" borderId="0" xfId="0" applyFont="1" applyFill="1" applyBorder="1" applyAlignment="1">
      <alignment vertical="top"/>
    </xf>
    <xf numFmtId="2" fontId="6" fillId="11" borderId="0" xfId="0" applyNumberFormat="1" applyFont="1" applyFill="1"/>
    <xf numFmtId="0" fontId="6" fillId="11" borderId="0" xfId="0" applyFont="1" applyFill="1"/>
    <xf numFmtId="1" fontId="7"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0" fontId="22" fillId="0" borderId="0" xfId="0" applyFont="1" applyFill="1" applyBorder="1" applyAlignment="1">
      <alignment vertical="top"/>
    </xf>
    <xf numFmtId="0" fontId="6" fillId="0" borderId="1" xfId="0" applyFont="1" applyBorder="1" applyAlignment="1">
      <alignment horizontal="center" vertical="center"/>
    </xf>
    <xf numFmtId="0" fontId="7" fillId="0" borderId="0" xfId="0" applyFont="1" applyFill="1" applyBorder="1"/>
    <xf numFmtId="0" fontId="7" fillId="0" borderId="0" xfId="0" applyFont="1" applyFill="1" applyBorder="1" applyAlignment="1">
      <alignment vertical="top"/>
    </xf>
    <xf numFmtId="0" fontId="7" fillId="7" borderId="34" xfId="0" applyFont="1" applyFill="1" applyBorder="1" applyAlignment="1">
      <alignment horizontal="center" vertical="top" wrapText="1"/>
    </xf>
    <xf numFmtId="0" fontId="7" fillId="7" borderId="26" xfId="0" applyFont="1" applyFill="1" applyBorder="1" applyAlignment="1">
      <alignment horizontal="center" vertical="top" wrapText="1"/>
    </xf>
    <xf numFmtId="0" fontId="7" fillId="7" borderId="27" xfId="0" applyFont="1" applyFill="1" applyBorder="1" applyAlignment="1">
      <alignment horizontal="center" vertical="top" wrapText="1"/>
    </xf>
    <xf numFmtId="0" fontId="7" fillId="7" borderId="38" xfId="0" applyFont="1" applyFill="1" applyBorder="1" applyAlignment="1">
      <alignment horizontal="center" vertical="center" wrapText="1"/>
    </xf>
    <xf numFmtId="0" fontId="12" fillId="0" borderId="10" xfId="0" applyFont="1" applyBorder="1" applyAlignment="1">
      <alignment horizontal="right" vertical="top"/>
    </xf>
    <xf numFmtId="0" fontId="7" fillId="7" borderId="37" xfId="0" applyFont="1" applyFill="1" applyBorder="1" applyAlignment="1">
      <alignment horizontal="center" vertical="top" wrapText="1"/>
    </xf>
    <xf numFmtId="167" fontId="6" fillId="0" borderId="30" xfId="0" applyNumberFormat="1" applyFont="1" applyBorder="1" applyAlignment="1">
      <alignment vertical="center"/>
    </xf>
    <xf numFmtId="167" fontId="6" fillId="0" borderId="31" xfId="0" applyNumberFormat="1" applyFont="1" applyBorder="1" applyAlignment="1">
      <alignment vertical="center"/>
    </xf>
    <xf numFmtId="0" fontId="7" fillId="7" borderId="38" xfId="0" applyFont="1" applyFill="1" applyBorder="1" applyAlignment="1">
      <alignment horizontal="center" vertical="top" wrapText="1"/>
    </xf>
    <xf numFmtId="0" fontId="7" fillId="7" borderId="49" xfId="0" applyFont="1" applyFill="1" applyBorder="1" applyAlignment="1">
      <alignment horizontal="center" vertical="top" wrapText="1"/>
    </xf>
    <xf numFmtId="0" fontId="0" fillId="0" borderId="0" xfId="0" applyFill="1"/>
    <xf numFmtId="0" fontId="6" fillId="0" borderId="1" xfId="0" applyFont="1" applyFill="1" applyBorder="1" applyAlignment="1">
      <alignment horizontal="center" vertical="center"/>
    </xf>
    <xf numFmtId="0" fontId="7" fillId="0" borderId="36" xfId="0" applyFont="1" applyBorder="1" applyAlignment="1">
      <alignment wrapText="1"/>
    </xf>
    <xf numFmtId="0" fontId="6" fillId="0" borderId="36" xfId="0" applyFont="1" applyBorder="1"/>
    <xf numFmtId="0" fontId="7" fillId="0" borderId="12" xfId="0" applyFont="1" applyBorder="1" applyAlignment="1">
      <alignment horizontal="center" vertical="center"/>
    </xf>
    <xf numFmtId="0" fontId="6" fillId="0" borderId="30" xfId="0" applyFont="1" applyFill="1" applyBorder="1" applyAlignment="1">
      <alignment horizontal="center" vertical="center"/>
    </xf>
    <xf numFmtId="0" fontId="21" fillId="0" borderId="0" xfId="0" applyFont="1" applyBorder="1"/>
    <xf numFmtId="0" fontId="39" fillId="6" borderId="1" xfId="0" applyFont="1" applyFill="1" applyBorder="1"/>
    <xf numFmtId="0" fontId="39" fillId="8" borderId="1" xfId="0" applyFont="1" applyFill="1" applyBorder="1"/>
    <xf numFmtId="0" fontId="39" fillId="7" borderId="1" xfId="0" applyFont="1" applyFill="1" applyBorder="1"/>
    <xf numFmtId="167" fontId="0" fillId="0" borderId="0" xfId="0" applyNumberFormat="1"/>
    <xf numFmtId="9" fontId="0" fillId="0" borderId="0" xfId="1" applyFont="1" applyAlignment="1">
      <alignment horizontal="center"/>
    </xf>
    <xf numFmtId="0" fontId="0" fillId="0" borderId="0" xfId="0" applyAlignment="1">
      <alignment horizontal="center" wrapText="1"/>
    </xf>
    <xf numFmtId="1" fontId="0" fillId="0" borderId="0" xfId="1" applyNumberFormat="1" applyFont="1" applyAlignment="1">
      <alignment horizontal="center"/>
    </xf>
    <xf numFmtId="165" fontId="0" fillId="0" borderId="0" xfId="1" applyNumberFormat="1" applyFont="1"/>
    <xf numFmtId="0" fontId="7" fillId="12" borderId="1" xfId="0" applyFont="1" applyFill="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9" fontId="0" fillId="0" borderId="15" xfId="1" applyFont="1" applyBorder="1" applyAlignment="1">
      <alignment horizontal="center"/>
    </xf>
    <xf numFmtId="0" fontId="11" fillId="0" borderId="0" xfId="0" applyFont="1" applyAlignment="1">
      <alignment horizontal="center"/>
    </xf>
    <xf numFmtId="0" fontId="21" fillId="0" borderId="0" xfId="0" applyFont="1" applyAlignment="1">
      <alignment horizontal="left"/>
    </xf>
    <xf numFmtId="0" fontId="6" fillId="0" borderId="0" xfId="3" applyFont="1" applyBorder="1" applyAlignment="1">
      <alignment wrapText="1"/>
    </xf>
    <xf numFmtId="0" fontId="6" fillId="0" borderId="0" xfId="3" applyFont="1" applyBorder="1" applyAlignment="1">
      <alignment horizontal="center" vertical="center"/>
    </xf>
    <xf numFmtId="167" fontId="6" fillId="12" borderId="0" xfId="3" applyNumberFormat="1" applyFont="1" applyFill="1" applyBorder="1" applyAlignment="1">
      <alignment vertical="center"/>
    </xf>
    <xf numFmtId="0" fontId="7" fillId="12" borderId="29" xfId="0" applyFont="1" applyFill="1" applyBorder="1" applyAlignment="1">
      <alignment horizontal="center" vertical="center"/>
    </xf>
    <xf numFmtId="0" fontId="7" fillId="0" borderId="8" xfId="0" applyFont="1" applyBorder="1" applyAlignment="1">
      <alignment horizontal="center" vertical="center"/>
    </xf>
    <xf numFmtId="0" fontId="22" fillId="0" borderId="0" xfId="0" applyFont="1" applyAlignment="1">
      <alignment horizontal="center"/>
    </xf>
    <xf numFmtId="0" fontId="0" fillId="0" borderId="1" xfId="0" applyBorder="1" applyAlignment="1">
      <alignment horizontal="center"/>
    </xf>
    <xf numFmtId="0" fontId="41" fillId="0" borderId="13" xfId="0" applyFont="1" applyBorder="1"/>
    <xf numFmtId="0" fontId="41" fillId="0" borderId="5" xfId="0" applyFont="1" applyFill="1" applyBorder="1"/>
    <xf numFmtId="0" fontId="41" fillId="0" borderId="0" xfId="0" applyFont="1" applyBorder="1"/>
    <xf numFmtId="0" fontId="41" fillId="3" borderId="11" xfId="0" applyFont="1" applyFill="1" applyBorder="1" applyAlignment="1">
      <alignment horizontal="right"/>
    </xf>
    <xf numFmtId="0" fontId="41" fillId="0" borderId="14" xfId="0" applyFont="1" applyBorder="1" applyAlignment="1">
      <alignment horizontal="center"/>
    </xf>
    <xf numFmtId="0" fontId="41" fillId="0" borderId="0" xfId="0" applyFont="1" applyFill="1" applyBorder="1"/>
    <xf numFmtId="2" fontId="41" fillId="3" borderId="11" xfId="0" applyNumberFormat="1" applyFont="1" applyFill="1" applyBorder="1" applyAlignment="1">
      <alignment horizontal="right"/>
    </xf>
    <xf numFmtId="0" fontId="41" fillId="0" borderId="14" xfId="0" applyFont="1" applyBorder="1"/>
    <xf numFmtId="0" fontId="41" fillId="5" borderId="11" xfId="0" applyFont="1" applyFill="1" applyBorder="1" applyAlignment="1">
      <alignment horizontal="right"/>
    </xf>
    <xf numFmtId="0" fontId="41" fillId="6" borderId="0" xfId="0" applyFont="1" applyFill="1" applyBorder="1" applyAlignment="1">
      <alignment horizontal="center"/>
    </xf>
    <xf numFmtId="0" fontId="41" fillId="0" borderId="0" xfId="0" applyFont="1"/>
    <xf numFmtId="0" fontId="41" fillId="6" borderId="11" xfId="0" applyFont="1" applyFill="1" applyBorder="1" applyAlignment="1">
      <alignment horizontal="right"/>
    </xf>
    <xf numFmtId="0" fontId="41" fillId="0" borderId="0" xfId="0" applyFont="1" applyBorder="1" applyAlignment="1">
      <alignment horizontal="center"/>
    </xf>
    <xf numFmtId="165" fontId="41" fillId="3" borderId="11" xfId="0" applyNumberFormat="1" applyFont="1" applyFill="1" applyBorder="1" applyAlignment="1">
      <alignment horizontal="right"/>
    </xf>
    <xf numFmtId="9" fontId="41" fillId="0" borderId="0" xfId="0" applyNumberFormat="1" applyFont="1" applyBorder="1" applyAlignment="1">
      <alignment horizontal="center"/>
    </xf>
    <xf numFmtId="1" fontId="41" fillId="5" borderId="11" xfId="0" applyNumberFormat="1" applyFont="1" applyFill="1" applyBorder="1" applyAlignment="1">
      <alignment horizontal="right"/>
    </xf>
    <xf numFmtId="9" fontId="41" fillId="3" borderId="11" xfId="0" applyNumberFormat="1" applyFont="1" applyFill="1" applyBorder="1" applyAlignment="1">
      <alignment horizontal="right"/>
    </xf>
    <xf numFmtId="165" fontId="41" fillId="0" borderId="0" xfId="0" applyNumberFormat="1" applyFont="1" applyBorder="1"/>
    <xf numFmtId="9" fontId="41" fillId="6" borderId="11" xfId="0" applyNumberFormat="1" applyFont="1" applyFill="1" applyBorder="1" applyAlignment="1">
      <alignment horizontal="right"/>
    </xf>
    <xf numFmtId="0" fontId="41" fillId="0" borderId="6" xfId="0" applyFont="1" applyBorder="1"/>
    <xf numFmtId="10" fontId="41" fillId="3" borderId="12" xfId="1" applyNumberFormat="1" applyFont="1" applyFill="1" applyBorder="1"/>
    <xf numFmtId="0" fontId="41" fillId="0" borderId="7" xfId="0" applyFont="1" applyBorder="1"/>
    <xf numFmtId="0" fontId="41" fillId="0" borderId="3" xfId="0" applyFont="1" applyBorder="1"/>
    <xf numFmtId="0" fontId="41" fillId="0" borderId="4" xfId="0" applyFont="1" applyBorder="1"/>
    <xf numFmtId="0" fontId="41" fillId="0" borderId="5" xfId="0" applyFont="1" applyBorder="1"/>
    <xf numFmtId="0" fontId="8" fillId="8" borderId="8" xfId="0" applyFont="1" applyFill="1" applyBorder="1" applyAlignment="1">
      <alignment vertical="center"/>
    </xf>
    <xf numFmtId="0" fontId="42" fillId="8" borderId="10" xfId="0" applyFont="1" applyFill="1" applyBorder="1" applyAlignment="1">
      <alignment vertical="center"/>
    </xf>
    <xf numFmtId="0" fontId="41" fillId="8" borderId="10" xfId="0" applyFont="1" applyFill="1" applyBorder="1" applyAlignment="1">
      <alignment vertical="center"/>
    </xf>
    <xf numFmtId="0" fontId="8" fillId="8" borderId="1" xfId="0" applyFont="1" applyFill="1" applyBorder="1" applyAlignment="1">
      <alignment horizontal="center" vertical="center"/>
    </xf>
    <xf numFmtId="0" fontId="41" fillId="8" borderId="9" xfId="0" applyFont="1" applyFill="1" applyBorder="1" applyAlignment="1">
      <alignment vertical="center"/>
    </xf>
    <xf numFmtId="0" fontId="41" fillId="0" borderId="15" xfId="0" applyFont="1" applyBorder="1"/>
    <xf numFmtId="0" fontId="41" fillId="0" borderId="11" xfId="0" applyFont="1" applyBorder="1"/>
    <xf numFmtId="0" fontId="41" fillId="0" borderId="12" xfId="0" applyFont="1" applyBorder="1"/>
    <xf numFmtId="0" fontId="12" fillId="8" borderId="8" xfId="0" applyFont="1" applyFill="1" applyBorder="1"/>
    <xf numFmtId="0" fontId="41" fillId="8" borderId="9" xfId="0" applyFont="1" applyFill="1" applyBorder="1"/>
    <xf numFmtId="0" fontId="12" fillId="0" borderId="2" xfId="0" applyFont="1" applyBorder="1" applyAlignment="1">
      <alignment horizontal="left"/>
    </xf>
    <xf numFmtId="0" fontId="12" fillId="0" borderId="13" xfId="0" applyFont="1" applyBorder="1"/>
    <xf numFmtId="0" fontId="41" fillId="5" borderId="0" xfId="0" applyFont="1" applyFill="1" applyBorder="1" applyAlignment="1">
      <alignment horizontal="right"/>
    </xf>
    <xf numFmtId="0" fontId="41" fillId="0" borderId="0" xfId="0" applyFont="1" applyBorder="1" applyAlignment="1">
      <alignment horizontal="right"/>
    </xf>
    <xf numFmtId="0" fontId="41" fillId="5" borderId="14" xfId="0" applyFont="1" applyFill="1" applyBorder="1" applyAlignment="1">
      <alignment horizontal="right"/>
    </xf>
    <xf numFmtId="0" fontId="41" fillId="0" borderId="0" xfId="0" applyFont="1" applyBorder="1" applyAlignment="1">
      <alignment horizontal="left"/>
    </xf>
    <xf numFmtId="164" fontId="41" fillId="5" borderId="0" xfId="0" applyNumberFormat="1" applyFont="1" applyFill="1" applyBorder="1" applyAlignment="1">
      <alignment horizontal="right"/>
    </xf>
    <xf numFmtId="2" fontId="41" fillId="5" borderId="6" xfId="0" applyNumberFormat="1" applyFont="1" applyFill="1" applyBorder="1" applyAlignment="1">
      <alignment horizontal="right"/>
    </xf>
    <xf numFmtId="0" fontId="41" fillId="0" borderId="6" xfId="0" applyFont="1" applyBorder="1" applyAlignment="1">
      <alignment horizontal="left"/>
    </xf>
    <xf numFmtId="2" fontId="41" fillId="0" borderId="0" xfId="0" applyNumberFormat="1" applyFont="1" applyFill="1" applyAlignment="1">
      <alignment horizontal="right"/>
    </xf>
    <xf numFmtId="0" fontId="41" fillId="0" borderId="0" xfId="0" applyFont="1" applyAlignment="1">
      <alignment horizontal="left"/>
    </xf>
    <xf numFmtId="0" fontId="41" fillId="10" borderId="16" xfId="0" applyFont="1" applyFill="1" applyBorder="1" applyAlignment="1">
      <alignment vertical="top"/>
    </xf>
    <xf numFmtId="0" fontId="41" fillId="10" borderId="16" xfId="0" applyFont="1" applyFill="1" applyBorder="1" applyAlignment="1">
      <alignment horizontal="right" vertical="top" wrapText="1"/>
    </xf>
    <xf numFmtId="3" fontId="41" fillId="0" borderId="13" xfId="0" applyNumberFormat="1" applyFont="1" applyBorder="1"/>
    <xf numFmtId="3" fontId="41" fillId="0" borderId="0" xfId="0" applyNumberFormat="1" applyFont="1" applyBorder="1" applyAlignment="1">
      <alignment horizontal="right"/>
    </xf>
    <xf numFmtId="164" fontId="41" fillId="0" borderId="0" xfId="0" applyNumberFormat="1" applyFont="1" applyFill="1" applyAlignment="1">
      <alignment horizontal="right"/>
    </xf>
    <xf numFmtId="3" fontId="12" fillId="0" borderId="15" xfId="0" applyNumberFormat="1" applyFont="1" applyFill="1" applyBorder="1" applyAlignment="1">
      <alignment horizontal="right"/>
    </xf>
    <xf numFmtId="3" fontId="41" fillId="0" borderId="15" xfId="0" applyNumberFormat="1" applyFont="1" applyFill="1" applyBorder="1" applyAlignment="1">
      <alignment horizontal="right"/>
    </xf>
    <xf numFmtId="3" fontId="12" fillId="0" borderId="14" xfId="0" applyNumberFormat="1" applyFont="1" applyBorder="1" applyAlignment="1">
      <alignment horizontal="right"/>
    </xf>
    <xf numFmtId="3" fontId="41" fillId="0" borderId="10" xfId="0" applyNumberFormat="1" applyFont="1" applyBorder="1"/>
    <xf numFmtId="3" fontId="41" fillId="0" borderId="10" xfId="0" applyNumberFormat="1" applyFont="1" applyBorder="1" applyAlignment="1">
      <alignment horizontal="right"/>
    </xf>
    <xf numFmtId="3" fontId="41" fillId="0" borderId="10" xfId="0" applyNumberFormat="1" applyFont="1" applyFill="1" applyBorder="1" applyAlignment="1">
      <alignment horizontal="right"/>
    </xf>
    <xf numFmtId="9" fontId="41" fillId="0" borderId="10" xfId="0" applyNumberFormat="1" applyFont="1" applyBorder="1" applyAlignment="1">
      <alignment horizontal="right"/>
    </xf>
    <xf numFmtId="3" fontId="41" fillId="0" borderId="13" xfId="0" applyNumberFormat="1" applyFont="1" applyFill="1" applyBorder="1"/>
    <xf numFmtId="3" fontId="41" fillId="0" borderId="0" xfId="0" applyNumberFormat="1" applyFont="1" applyFill="1" applyBorder="1" applyAlignment="1">
      <alignment horizontal="right"/>
    </xf>
    <xf numFmtId="3" fontId="41" fillId="0" borderId="0" xfId="0" applyNumberFormat="1" applyFont="1" applyFill="1" applyBorder="1"/>
    <xf numFmtId="3" fontId="41" fillId="5" borderId="11" xfId="0" applyNumberFormat="1" applyFont="1" applyFill="1" applyBorder="1" applyAlignment="1">
      <alignment horizontal="right"/>
    </xf>
    <xf numFmtId="9" fontId="41" fillId="0" borderId="0" xfId="0" applyNumberFormat="1" applyFont="1" applyBorder="1" applyAlignment="1">
      <alignment horizontal="right"/>
    </xf>
    <xf numFmtId="3" fontId="41" fillId="0" borderId="14" xfId="0" applyNumberFormat="1" applyFont="1" applyBorder="1"/>
    <xf numFmtId="9" fontId="41" fillId="0" borderId="0" xfId="0" applyNumberFormat="1" applyFont="1" applyFill="1" applyBorder="1" applyAlignment="1">
      <alignment horizontal="right"/>
    </xf>
    <xf numFmtId="3" fontId="41" fillId="0" borderId="14" xfId="0" applyNumberFormat="1" applyFont="1" applyBorder="1" applyAlignment="1">
      <alignment horizontal="right"/>
    </xf>
    <xf numFmtId="3" fontId="8" fillId="0" borderId="13" xfId="0" applyNumberFormat="1" applyFont="1" applyFill="1" applyBorder="1"/>
    <xf numFmtId="3" fontId="41" fillId="0" borderId="7" xfId="0" applyNumberFormat="1" applyFont="1" applyBorder="1" applyAlignment="1">
      <alignment horizontal="right"/>
    </xf>
    <xf numFmtId="3" fontId="12" fillId="0" borderId="2" xfId="0" applyNumberFormat="1" applyFont="1" applyBorder="1"/>
    <xf numFmtId="3" fontId="12" fillId="0" borderId="3" xfId="0" applyNumberFormat="1" applyFont="1" applyBorder="1" applyAlignment="1">
      <alignment horizontal="right"/>
    </xf>
    <xf numFmtId="3" fontId="12" fillId="0" borderId="3" xfId="0" applyNumberFormat="1" applyFont="1" applyBorder="1"/>
    <xf numFmtId="3" fontId="12" fillId="5" borderId="15" xfId="0" applyNumberFormat="1" applyFont="1" applyFill="1" applyBorder="1" applyAlignment="1">
      <alignment horizontal="right"/>
    </xf>
    <xf numFmtId="9" fontId="12" fillId="0" borderId="3" xfId="0" applyNumberFormat="1" applyFont="1" applyBorder="1" applyAlignment="1">
      <alignment horizontal="right"/>
    </xf>
    <xf numFmtId="3" fontId="12" fillId="0" borderId="9" xfId="0" applyNumberFormat="1" applyFont="1" applyFill="1" applyBorder="1"/>
    <xf numFmtId="3" fontId="12" fillId="0" borderId="10" xfId="0" applyNumberFormat="1" applyFont="1" applyBorder="1"/>
    <xf numFmtId="3" fontId="12" fillId="0" borderId="10" xfId="0" applyNumberFormat="1" applyFont="1" applyBorder="1" applyAlignment="1">
      <alignment horizontal="right"/>
    </xf>
    <xf numFmtId="3" fontId="12" fillId="0" borderId="10" xfId="0" applyNumberFormat="1" applyFont="1" applyFill="1" applyBorder="1" applyAlignment="1">
      <alignment horizontal="right"/>
    </xf>
    <xf numFmtId="9" fontId="12" fillId="0" borderId="10" xfId="0" applyNumberFormat="1" applyFont="1" applyBorder="1" applyAlignment="1">
      <alignment horizontal="right"/>
    </xf>
    <xf numFmtId="3" fontId="41" fillId="0" borderId="20" xfId="0" applyNumberFormat="1" applyFont="1" applyBorder="1"/>
    <xf numFmtId="3" fontId="41" fillId="0" borderId="21" xfId="0" applyNumberFormat="1" applyFont="1" applyBorder="1"/>
    <xf numFmtId="3" fontId="41" fillId="0" borderId="21" xfId="0" applyNumberFormat="1" applyFont="1" applyFill="1" applyBorder="1" applyAlignment="1">
      <alignment horizontal="right"/>
    </xf>
    <xf numFmtId="3" fontId="12" fillId="0" borderId="25" xfId="0" applyNumberFormat="1" applyFont="1" applyFill="1" applyBorder="1" applyAlignment="1">
      <alignment vertical="top"/>
    </xf>
    <xf numFmtId="3" fontId="41" fillId="0" borderId="22" xfId="0" applyNumberFormat="1" applyFont="1" applyBorder="1" applyAlignment="1">
      <alignment vertical="top"/>
    </xf>
    <xf numFmtId="3" fontId="41" fillId="0" borderId="23" xfId="0" applyNumberFormat="1" applyFont="1" applyBorder="1" applyAlignment="1">
      <alignment horizontal="right" vertical="top"/>
    </xf>
    <xf numFmtId="3" fontId="41" fillId="0" borderId="23" xfId="0" applyNumberFormat="1" applyFont="1" applyBorder="1" applyAlignment="1">
      <alignment vertical="top"/>
    </xf>
    <xf numFmtId="3" fontId="12" fillId="0" borderId="23" xfId="0" applyNumberFormat="1" applyFont="1" applyBorder="1" applyAlignment="1">
      <alignment vertical="top"/>
    </xf>
    <xf numFmtId="3" fontId="12" fillId="0" borderId="24" xfId="0" applyNumberFormat="1" applyFont="1" applyFill="1" applyBorder="1" applyAlignment="1">
      <alignment vertical="top"/>
    </xf>
    <xf numFmtId="0" fontId="12" fillId="0" borderId="18" xfId="0" applyFont="1" applyBorder="1"/>
    <xf numFmtId="0" fontId="41" fillId="0" borderId="19" xfId="0" applyFont="1" applyBorder="1"/>
    <xf numFmtId="3" fontId="41" fillId="0" borderId="19" xfId="0" applyNumberFormat="1" applyFont="1" applyBorder="1"/>
    <xf numFmtId="3" fontId="12" fillId="0" borderId="17" xfId="0" applyNumberFormat="1" applyFont="1" applyFill="1" applyBorder="1"/>
    <xf numFmtId="9" fontId="41" fillId="9" borderId="0" xfId="0" applyNumberFormat="1" applyFont="1" applyFill="1" applyBorder="1" applyAlignment="1">
      <alignment horizontal="right"/>
    </xf>
    <xf numFmtId="3" fontId="12" fillId="0" borderId="13" xfId="0" applyNumberFormat="1" applyFont="1" applyFill="1" applyBorder="1"/>
    <xf numFmtId="3" fontId="12" fillId="5" borderId="11" xfId="0" applyNumberFormat="1" applyFont="1" applyFill="1" applyBorder="1" applyAlignment="1">
      <alignment horizontal="right"/>
    </xf>
    <xf numFmtId="9" fontId="12" fillId="0" borderId="0" xfId="0" applyNumberFormat="1" applyFont="1" applyBorder="1" applyAlignment="1">
      <alignment horizontal="right"/>
    </xf>
    <xf numFmtId="0" fontId="41" fillId="0" borderId="0" xfId="0" applyFont="1" applyAlignment="1">
      <alignment horizontal="right"/>
    </xf>
    <xf numFmtId="166" fontId="41" fillId="0" borderId="0" xfId="0" applyNumberFormat="1" applyFont="1" applyBorder="1"/>
    <xf numFmtId="9" fontId="12" fillId="9" borderId="0" xfId="0" applyNumberFormat="1" applyFont="1" applyFill="1" applyBorder="1" applyAlignment="1">
      <alignment horizontal="right"/>
    </xf>
    <xf numFmtId="3" fontId="41" fillId="0" borderId="13" xfId="0" applyNumberFormat="1" applyFont="1" applyBorder="1" applyAlignment="1">
      <alignment vertical="top"/>
    </xf>
    <xf numFmtId="3" fontId="41" fillId="0" borderId="0" xfId="0" applyNumberFormat="1" applyFont="1" applyBorder="1" applyAlignment="1">
      <alignment horizontal="right" vertical="top"/>
    </xf>
    <xf numFmtId="3" fontId="41" fillId="0" borderId="0" xfId="0" applyNumberFormat="1" applyFont="1" applyBorder="1" applyAlignment="1">
      <alignment vertical="top"/>
    </xf>
    <xf numFmtId="3" fontId="12" fillId="0" borderId="0" xfId="0" applyNumberFormat="1" applyFont="1" applyBorder="1" applyAlignment="1">
      <alignment vertical="top"/>
    </xf>
    <xf numFmtId="3" fontId="12" fillId="0" borderId="11" xfId="0" applyNumberFormat="1" applyFont="1" applyFill="1" applyBorder="1" applyAlignment="1">
      <alignment vertical="top"/>
    </xf>
    <xf numFmtId="0" fontId="12" fillId="0" borderId="13" xfId="0" applyFont="1" applyBorder="1" applyAlignment="1">
      <alignment horizontal="left"/>
    </xf>
    <xf numFmtId="2" fontId="41" fillId="5" borderId="0" xfId="0" applyNumberFormat="1" applyFont="1" applyFill="1" applyBorder="1" applyAlignment="1">
      <alignment horizontal="right"/>
    </xf>
    <xf numFmtId="3" fontId="12" fillId="0" borderId="4" xfId="0" applyNumberFormat="1" applyFont="1" applyFill="1" applyBorder="1"/>
    <xf numFmtId="3" fontId="41" fillId="0" borderId="5" xfId="0" applyNumberFormat="1" applyFont="1" applyBorder="1"/>
    <xf numFmtId="3" fontId="41" fillId="0" borderId="6" xfId="0" applyNumberFormat="1" applyFont="1" applyBorder="1" applyAlignment="1">
      <alignment horizontal="right"/>
    </xf>
    <xf numFmtId="3" fontId="41" fillId="0" borderId="6" xfId="0" applyNumberFormat="1" applyFont="1" applyBorder="1"/>
    <xf numFmtId="3" fontId="41" fillId="5" borderId="12" xfId="0" applyNumberFormat="1" applyFont="1" applyFill="1" applyBorder="1" applyAlignment="1">
      <alignment horizontal="right"/>
    </xf>
    <xf numFmtId="9" fontId="12" fillId="0" borderId="6" xfId="0" applyNumberFormat="1" applyFont="1" applyBorder="1" applyAlignment="1">
      <alignment horizontal="right"/>
    </xf>
    <xf numFmtId="3" fontId="12" fillId="0" borderId="8" xfId="0" applyNumberFormat="1" applyFont="1" applyBorder="1"/>
    <xf numFmtId="3" fontId="41" fillId="0" borderId="0" xfId="0" applyNumberFormat="1" applyFont="1" applyBorder="1"/>
    <xf numFmtId="3" fontId="12" fillId="0" borderId="0" xfId="0" applyNumberFormat="1" applyFont="1" applyBorder="1"/>
    <xf numFmtId="0" fontId="21" fillId="0" borderId="0" xfId="0" applyFont="1" applyAlignment="1">
      <alignment horizontal="center"/>
    </xf>
    <xf numFmtId="0" fontId="12" fillId="0" borderId="35" xfId="0" applyFont="1" applyFill="1" applyBorder="1" applyAlignment="1">
      <alignment vertical="top" wrapText="1"/>
    </xf>
    <xf numFmtId="0" fontId="43" fillId="0" borderId="12" xfId="0" applyFont="1" applyFill="1" applyBorder="1" applyAlignment="1">
      <alignment horizontal="center" vertical="center" wrapText="1"/>
    </xf>
    <xf numFmtId="0" fontId="43" fillId="0" borderId="12" xfId="0" applyFont="1" applyFill="1" applyBorder="1" applyAlignment="1">
      <alignment horizontal="center" vertical="top" wrapText="1"/>
    </xf>
    <xf numFmtId="0" fontId="41" fillId="0" borderId="36" xfId="0" applyFont="1" applyFill="1" applyBorder="1" applyAlignment="1">
      <alignment vertical="top" wrapText="1"/>
    </xf>
    <xf numFmtId="0" fontId="43" fillId="0" borderId="1" xfId="0" applyFont="1" applyFill="1" applyBorder="1" applyAlignment="1">
      <alignment horizontal="center" vertical="center" wrapText="1"/>
    </xf>
    <xf numFmtId="3" fontId="43" fillId="0" borderId="1" xfId="0" applyNumberFormat="1" applyFont="1" applyFill="1" applyBorder="1" applyAlignment="1">
      <alignment horizontal="center" vertical="top" wrapText="1"/>
    </xf>
    <xf numFmtId="3" fontId="43" fillId="0" borderId="29" xfId="0" applyNumberFormat="1" applyFont="1" applyFill="1" applyBorder="1" applyAlignment="1">
      <alignment horizontal="center" vertical="top" wrapText="1"/>
    </xf>
    <xf numFmtId="0" fontId="12" fillId="6" borderId="36" xfId="0" applyFont="1" applyFill="1" applyBorder="1" applyAlignment="1">
      <alignment vertical="top" wrapText="1"/>
    </xf>
    <xf numFmtId="0" fontId="43" fillId="6" borderId="1" xfId="0" applyFont="1" applyFill="1" applyBorder="1" applyAlignment="1">
      <alignment horizontal="center" vertical="center" wrapText="1"/>
    </xf>
    <xf numFmtId="3" fontId="43" fillId="6" borderId="1" xfId="0" applyNumberFormat="1" applyFont="1" applyFill="1" applyBorder="1" applyAlignment="1">
      <alignment horizontal="center" vertical="top" wrapText="1"/>
    </xf>
    <xf numFmtId="3" fontId="43" fillId="6" borderId="29" xfId="0" applyNumberFormat="1" applyFont="1" applyFill="1" applyBorder="1" applyAlignment="1">
      <alignment horizontal="center" vertical="top" wrapText="1"/>
    </xf>
    <xf numFmtId="0" fontId="12" fillId="0" borderId="36" xfId="0" applyFont="1" applyFill="1" applyBorder="1" applyAlignment="1">
      <alignment vertical="top" wrapText="1"/>
    </xf>
    <xf numFmtId="0" fontId="43" fillId="0" borderId="1" xfId="0" applyFont="1" applyFill="1" applyBorder="1" applyAlignment="1">
      <alignment horizontal="center" vertical="top" wrapText="1"/>
    </xf>
    <xf numFmtId="0" fontId="43" fillId="0" borderId="29" xfId="0" applyFont="1" applyFill="1" applyBorder="1" applyAlignment="1">
      <alignment horizontal="center" vertical="top" wrapText="1"/>
    </xf>
    <xf numFmtId="0" fontId="12" fillId="8" borderId="36" xfId="0" applyFont="1" applyFill="1" applyBorder="1" applyAlignment="1">
      <alignment vertical="top" wrapText="1"/>
    </xf>
    <xf numFmtId="0" fontId="43" fillId="8" borderId="1" xfId="0" applyFont="1" applyFill="1" applyBorder="1" applyAlignment="1">
      <alignment horizontal="center" vertical="center" wrapText="1"/>
    </xf>
    <xf numFmtId="3" fontId="43" fillId="8" borderId="1" xfId="0" applyNumberFormat="1" applyFont="1" applyFill="1" applyBorder="1" applyAlignment="1">
      <alignment horizontal="center" vertical="top" wrapText="1"/>
    </xf>
    <xf numFmtId="3" fontId="43" fillId="8" borderId="29" xfId="0" applyNumberFormat="1" applyFont="1" applyFill="1" applyBorder="1" applyAlignment="1">
      <alignment horizontal="center" vertical="top" wrapText="1"/>
    </xf>
    <xf numFmtId="165" fontId="43" fillId="0" borderId="1" xfId="1" applyNumberFormat="1" applyFont="1" applyFill="1" applyBorder="1" applyAlignment="1">
      <alignment horizontal="center" vertical="top" wrapText="1"/>
    </xf>
    <xf numFmtId="165" fontId="43" fillId="0" borderId="29" xfId="1" applyNumberFormat="1" applyFont="1" applyFill="1" applyBorder="1" applyAlignment="1">
      <alignment horizontal="center" vertical="top" wrapText="1"/>
    </xf>
    <xf numFmtId="0" fontId="41" fillId="0" borderId="43" xfId="0" applyFont="1" applyFill="1" applyBorder="1" applyAlignment="1">
      <alignment vertical="top" wrapText="1"/>
    </xf>
    <xf numFmtId="0" fontId="43" fillId="0" borderId="30" xfId="0" applyFont="1" applyFill="1" applyBorder="1" applyAlignment="1">
      <alignment horizontal="center" vertical="center" wrapText="1"/>
    </xf>
    <xf numFmtId="165" fontId="43" fillId="0" borderId="30" xfId="1" applyNumberFormat="1" applyFont="1" applyFill="1" applyBorder="1" applyAlignment="1">
      <alignment horizontal="center" vertical="top" wrapText="1"/>
    </xf>
    <xf numFmtId="165" fontId="43" fillId="0" borderId="31" xfId="1" applyNumberFormat="1" applyFont="1" applyFill="1" applyBorder="1" applyAlignment="1">
      <alignment horizontal="center" vertical="top" wrapText="1"/>
    </xf>
    <xf numFmtId="0" fontId="41" fillId="0" borderId="1" xfId="0" applyFont="1" applyBorder="1" applyAlignment="1">
      <alignment horizontal="center"/>
    </xf>
    <xf numFmtId="0" fontId="41" fillId="0" borderId="8" xfId="0" applyFont="1" applyBorder="1" applyAlignment="1">
      <alignment horizontal="center"/>
    </xf>
    <xf numFmtId="2" fontId="43" fillId="11" borderId="12" xfId="0" applyNumberFormat="1" applyFont="1" applyFill="1" applyBorder="1" applyAlignment="1">
      <alignment horizontal="center"/>
    </xf>
    <xf numFmtId="2" fontId="43" fillId="11" borderId="1" xfId="0" applyNumberFormat="1" applyFont="1" applyFill="1" applyBorder="1" applyAlignment="1">
      <alignment horizontal="center"/>
    </xf>
    <xf numFmtId="0" fontId="44" fillId="0" borderId="35" xfId="0" applyFont="1" applyBorder="1" applyAlignment="1">
      <alignment vertical="top" wrapText="1"/>
    </xf>
    <xf numFmtId="0" fontId="44" fillId="0" borderId="25" xfId="0" applyFont="1" applyBorder="1" applyAlignment="1">
      <alignment horizontal="center" vertical="center" wrapText="1"/>
    </xf>
    <xf numFmtId="3" fontId="8" fillId="12" borderId="25" xfId="0" applyNumberFormat="1" applyFont="1" applyFill="1" applyBorder="1" applyAlignment="1">
      <alignment horizontal="right" vertical="center"/>
    </xf>
    <xf numFmtId="167" fontId="44" fillId="0" borderId="25" xfId="0" applyNumberFormat="1" applyFont="1" applyBorder="1" applyAlignment="1">
      <alignment horizontal="right" vertical="center" wrapText="1"/>
    </xf>
    <xf numFmtId="167" fontId="44" fillId="0" borderId="52" xfId="0" applyNumberFormat="1" applyFont="1" applyBorder="1" applyAlignment="1">
      <alignment horizontal="right" vertical="center" wrapText="1"/>
    </xf>
    <xf numFmtId="167" fontId="44" fillId="0" borderId="28" xfId="0" applyNumberFormat="1" applyFont="1" applyBorder="1" applyAlignment="1">
      <alignment horizontal="right" vertical="center" wrapText="1"/>
    </xf>
    <xf numFmtId="0" fontId="43" fillId="0" borderId="41" xfId="0" applyFont="1" applyBorder="1" applyAlignment="1">
      <alignment vertical="center" wrapText="1"/>
    </xf>
    <xf numFmtId="0" fontId="47" fillId="0" borderId="1" xfId="0" applyFont="1" applyBorder="1" applyAlignment="1">
      <alignment horizontal="center" vertical="center" wrapText="1"/>
    </xf>
    <xf numFmtId="2" fontId="43" fillId="12" borderId="1" xfId="0" applyNumberFormat="1" applyFont="1" applyFill="1" applyBorder="1" applyAlignment="1">
      <alignment horizontal="right" vertical="center"/>
    </xf>
    <xf numFmtId="2" fontId="43" fillId="12" borderId="29" xfId="0" applyNumberFormat="1" applyFont="1" applyFill="1" applyBorder="1" applyAlignment="1">
      <alignment horizontal="right" vertical="center"/>
    </xf>
    <xf numFmtId="0" fontId="47" fillId="0" borderId="36" xfId="0" applyFont="1" applyBorder="1" applyAlignment="1">
      <alignment vertical="top" wrapText="1"/>
    </xf>
    <xf numFmtId="3" fontId="43" fillId="12" borderId="1" xfId="0" applyNumberFormat="1" applyFont="1" applyFill="1" applyBorder="1" applyAlignment="1">
      <alignment horizontal="right" vertical="center"/>
    </xf>
    <xf numFmtId="3" fontId="43" fillId="12" borderId="29" xfId="0" applyNumberFormat="1" applyFont="1" applyFill="1" applyBorder="1" applyAlignment="1">
      <alignment horizontal="right" vertical="center"/>
    </xf>
    <xf numFmtId="9" fontId="41" fillId="0" borderId="1" xfId="1" applyFont="1" applyBorder="1" applyAlignment="1">
      <alignment horizontal="right" vertical="top"/>
    </xf>
    <xf numFmtId="9" fontId="41" fillId="0" borderId="29" xfId="1" applyFont="1" applyBorder="1" applyAlignment="1">
      <alignment horizontal="right" vertical="top"/>
    </xf>
    <xf numFmtId="0" fontId="44" fillId="0" borderId="36" xfId="0" applyFont="1" applyBorder="1" applyAlignment="1">
      <alignment vertical="top" wrapText="1"/>
    </xf>
    <xf numFmtId="0" fontId="44" fillId="0" borderId="1" xfId="0" applyFont="1" applyBorder="1" applyAlignment="1">
      <alignment horizontal="center" vertical="center" wrapText="1"/>
    </xf>
    <xf numFmtId="3" fontId="44" fillId="0" borderId="1" xfId="0" applyNumberFormat="1" applyFont="1" applyBorder="1" applyAlignment="1">
      <alignment horizontal="right" vertical="center" wrapText="1"/>
    </xf>
    <xf numFmtId="3" fontId="44" fillId="0" borderId="29" xfId="0" applyNumberFormat="1" applyFont="1" applyBorder="1" applyAlignment="1">
      <alignment horizontal="right" vertical="center" wrapText="1"/>
    </xf>
    <xf numFmtId="9" fontId="43" fillId="0" borderId="8" xfId="0" applyNumberFormat="1" applyFont="1" applyBorder="1" applyAlignment="1">
      <alignment horizontal="right" vertical="top" wrapText="1"/>
    </xf>
    <xf numFmtId="9" fontId="43" fillId="0" borderId="29" xfId="0" applyNumberFormat="1" applyFont="1" applyBorder="1" applyAlignment="1">
      <alignment horizontal="right" vertical="top" wrapText="1"/>
    </xf>
    <xf numFmtId="167" fontId="43" fillId="0" borderId="1" xfId="0" applyNumberFormat="1" applyFont="1" applyBorder="1" applyAlignment="1">
      <alignment vertical="center"/>
    </xf>
    <xf numFmtId="167" fontId="43" fillId="0" borderId="29" xfId="0" applyNumberFormat="1" applyFont="1" applyBorder="1" applyAlignment="1">
      <alignment vertical="center"/>
    </xf>
    <xf numFmtId="167" fontId="8" fillId="0" borderId="1" xfId="0" applyNumberFormat="1" applyFont="1" applyBorder="1" applyAlignment="1">
      <alignment horizontal="right" vertical="center" wrapText="1"/>
    </xf>
    <xf numFmtId="167" fontId="8" fillId="0" borderId="29" xfId="0" applyNumberFormat="1" applyFont="1" applyBorder="1" applyAlignment="1">
      <alignment horizontal="right" vertical="center" wrapText="1"/>
    </xf>
    <xf numFmtId="167" fontId="44" fillId="0" borderId="1" xfId="0" applyNumberFormat="1" applyFont="1" applyBorder="1" applyAlignment="1">
      <alignment horizontal="right" vertical="center" wrapText="1"/>
    </xf>
    <xf numFmtId="167" fontId="44" fillId="0" borderId="29" xfId="0" applyNumberFormat="1" applyFont="1" applyBorder="1" applyAlignment="1">
      <alignment horizontal="right" vertical="center" wrapText="1"/>
    </xf>
    <xf numFmtId="167" fontId="43" fillId="0" borderId="1" xfId="0" applyNumberFormat="1" applyFont="1" applyBorder="1" applyAlignment="1">
      <alignment horizontal="right" vertical="center" wrapText="1"/>
    </xf>
    <xf numFmtId="167" fontId="43" fillId="0" borderId="29" xfId="0" applyNumberFormat="1" applyFont="1" applyBorder="1" applyAlignment="1">
      <alignment horizontal="right" vertical="center" wrapText="1"/>
    </xf>
    <xf numFmtId="3" fontId="8" fillId="0" borderId="1" xfId="0" applyNumberFormat="1" applyFont="1" applyBorder="1" applyAlignment="1">
      <alignment horizontal="center" vertical="center"/>
    </xf>
    <xf numFmtId="3" fontId="8" fillId="0" borderId="1" xfId="0" applyNumberFormat="1" applyFont="1" applyBorder="1" applyAlignment="1">
      <alignment vertical="center"/>
    </xf>
    <xf numFmtId="3" fontId="8" fillId="0" borderId="29" xfId="0" applyNumberFormat="1" applyFont="1" applyBorder="1" applyAlignment="1">
      <alignment vertical="center"/>
    </xf>
    <xf numFmtId="0" fontId="44" fillId="0" borderId="43" xfId="0" applyFont="1" applyBorder="1" applyAlignment="1">
      <alignment vertical="top" wrapText="1"/>
    </xf>
    <xf numFmtId="0" fontId="44" fillId="0" borderId="30" xfId="0" applyFont="1" applyBorder="1" applyAlignment="1">
      <alignment horizontal="center" vertical="center" wrapText="1"/>
    </xf>
    <xf numFmtId="3" fontId="8" fillId="0" borderId="30" xfId="0" applyNumberFormat="1" applyFont="1" applyBorder="1" applyAlignment="1">
      <alignment horizontal="center" vertical="center"/>
    </xf>
    <xf numFmtId="3" fontId="8" fillId="0" borderId="30" xfId="0" applyNumberFormat="1" applyFont="1" applyBorder="1" applyAlignment="1">
      <alignment vertical="center"/>
    </xf>
    <xf numFmtId="3" fontId="8" fillId="0" borderId="31" xfId="0" applyNumberFormat="1" applyFont="1" applyBorder="1" applyAlignment="1">
      <alignment vertical="center"/>
    </xf>
    <xf numFmtId="0" fontId="8" fillId="0" borderId="0" xfId="0" applyFont="1"/>
    <xf numFmtId="0" fontId="43" fillId="0" borderId="25" xfId="0" applyFont="1" applyBorder="1" applyAlignment="1">
      <alignment horizontal="center" vertical="center" wrapText="1"/>
    </xf>
    <xf numFmtId="167" fontId="43" fillId="0" borderId="25" xfId="0" applyNumberFormat="1" applyFont="1" applyBorder="1" applyAlignment="1">
      <alignment horizontal="right" vertical="center" wrapText="1"/>
    </xf>
    <xf numFmtId="167" fontId="43" fillId="0" borderId="28" xfId="0" applyNumberFormat="1" applyFont="1" applyBorder="1" applyAlignment="1">
      <alignment horizontal="right" vertical="center" wrapText="1"/>
    </xf>
    <xf numFmtId="0" fontId="43" fillId="0" borderId="1" xfId="0" applyFont="1" applyBorder="1" applyAlignment="1">
      <alignment horizontal="center" vertical="center" wrapText="1"/>
    </xf>
    <xf numFmtId="167" fontId="43" fillId="0" borderId="12" xfId="0" applyNumberFormat="1" applyFont="1" applyBorder="1" applyAlignment="1">
      <alignment horizontal="center" vertical="center" wrapText="1"/>
    </xf>
    <xf numFmtId="167" fontId="43" fillId="0" borderId="12" xfId="0" applyNumberFormat="1" applyFont="1" applyBorder="1" applyAlignment="1">
      <alignment horizontal="right" vertical="center" wrapText="1"/>
    </xf>
    <xf numFmtId="1" fontId="43" fillId="0" borderId="1" xfId="0" applyNumberFormat="1" applyFont="1" applyBorder="1" applyAlignment="1">
      <alignment horizontal="center" vertical="center" wrapText="1"/>
    </xf>
    <xf numFmtId="0" fontId="43" fillId="0" borderId="30" xfId="0" applyFont="1" applyBorder="1" applyAlignment="1">
      <alignment horizontal="center" vertical="center" wrapText="1"/>
    </xf>
    <xf numFmtId="167" fontId="43" fillId="0" borderId="30" xfId="0" applyNumberFormat="1" applyFont="1" applyBorder="1" applyAlignment="1">
      <alignment horizontal="center" vertical="center" wrapText="1"/>
    </xf>
    <xf numFmtId="167" fontId="43" fillId="0" borderId="30" xfId="0" applyNumberFormat="1" applyFont="1" applyBorder="1" applyAlignment="1">
      <alignment horizontal="right" vertical="center" wrapText="1"/>
    </xf>
    <xf numFmtId="167" fontId="43" fillId="0" borderId="31" xfId="0" applyNumberFormat="1" applyFont="1" applyBorder="1" applyAlignment="1">
      <alignment horizontal="right" vertical="center" wrapText="1"/>
    </xf>
    <xf numFmtId="0" fontId="47" fillId="0" borderId="35" xfId="0" applyFont="1" applyBorder="1" applyAlignment="1">
      <alignment vertical="top" wrapText="1"/>
    </xf>
    <xf numFmtId="0" fontId="43" fillId="0" borderId="25" xfId="3" applyFont="1" applyBorder="1" applyAlignment="1">
      <alignment horizontal="center" vertical="center"/>
    </xf>
    <xf numFmtId="167" fontId="43" fillId="12" borderId="25" xfId="0" applyNumberFormat="1" applyFont="1" applyFill="1" applyBorder="1" applyAlignment="1">
      <alignment horizontal="right" vertical="center" wrapText="1"/>
    </xf>
    <xf numFmtId="167" fontId="43" fillId="12" borderId="28" xfId="0" applyNumberFormat="1" applyFont="1" applyFill="1" applyBorder="1" applyAlignment="1">
      <alignment horizontal="right" vertical="center" wrapText="1"/>
    </xf>
    <xf numFmtId="0" fontId="43" fillId="0" borderId="12" xfId="3" applyFont="1" applyBorder="1" applyAlignment="1">
      <alignment horizontal="center" vertical="center"/>
    </xf>
    <xf numFmtId="3" fontId="43" fillId="0" borderId="12" xfId="2" applyNumberFormat="1" applyFont="1" applyBorder="1" applyAlignment="1">
      <alignment vertical="center"/>
    </xf>
    <xf numFmtId="3" fontId="43" fillId="0" borderId="45" xfId="2" applyNumberFormat="1" applyFont="1" applyBorder="1" applyAlignment="1">
      <alignment vertical="center"/>
    </xf>
    <xf numFmtId="0" fontId="43" fillId="0" borderId="42" xfId="3" applyFont="1" applyBorder="1" applyAlignment="1">
      <alignment vertical="top" wrapText="1"/>
    </xf>
    <xf numFmtId="0" fontId="43" fillId="0" borderId="1" xfId="3" applyFont="1" applyBorder="1" applyAlignment="1">
      <alignment horizontal="center" vertical="center"/>
    </xf>
    <xf numFmtId="9" fontId="43" fillId="0" borderId="1" xfId="1" applyFont="1" applyFill="1" applyBorder="1" applyAlignment="1">
      <alignment vertical="center"/>
    </xf>
    <xf numFmtId="9" fontId="43" fillId="12" borderId="1" xfId="1" applyFont="1" applyFill="1" applyBorder="1" applyAlignment="1">
      <alignment vertical="center"/>
    </xf>
    <xf numFmtId="9" fontId="43" fillId="12" borderId="29" xfId="1" applyFont="1" applyFill="1" applyBorder="1" applyAlignment="1">
      <alignment vertical="center"/>
    </xf>
    <xf numFmtId="0" fontId="43" fillId="0" borderId="36" xfId="3" applyFont="1" applyBorder="1" applyAlignment="1">
      <alignment wrapText="1"/>
    </xf>
    <xf numFmtId="167" fontId="43" fillId="0" borderId="1" xfId="2" applyNumberFormat="1" applyFont="1" applyBorder="1" applyAlignment="1">
      <alignment vertical="center"/>
    </xf>
    <xf numFmtId="167" fontId="43" fillId="0" borderId="29" xfId="2" applyNumberFormat="1" applyFont="1" applyBorder="1" applyAlignment="1">
      <alignment vertical="center"/>
    </xf>
    <xf numFmtId="0" fontId="43" fillId="0" borderId="36" xfId="3" applyFont="1" applyBorder="1" applyAlignment="1">
      <alignment vertical="center" wrapText="1"/>
    </xf>
    <xf numFmtId="165" fontId="43" fillId="0" borderId="1" xfId="1" applyNumberFormat="1" applyFont="1" applyBorder="1" applyAlignment="1">
      <alignment vertical="center"/>
    </xf>
    <xf numFmtId="165" fontId="43" fillId="0" borderId="29" xfId="1" applyNumberFormat="1" applyFont="1" applyBorder="1" applyAlignment="1">
      <alignment vertical="center"/>
    </xf>
    <xf numFmtId="0" fontId="8" fillId="0" borderId="36" xfId="3" applyFont="1" applyBorder="1" applyAlignment="1">
      <alignment wrapText="1"/>
    </xf>
    <xf numFmtId="0" fontId="8" fillId="0" borderId="1" xfId="3" applyFont="1" applyBorder="1" applyAlignment="1">
      <alignment horizontal="center" vertical="center"/>
    </xf>
    <xf numFmtId="167" fontId="8" fillId="0" borderId="1" xfId="3" applyNumberFormat="1" applyFont="1" applyBorder="1" applyAlignment="1">
      <alignment vertical="center"/>
    </xf>
    <xf numFmtId="167" fontId="8" fillId="0" borderId="48" xfId="3" applyNumberFormat="1" applyFont="1" applyBorder="1" applyAlignment="1">
      <alignment vertical="center"/>
    </xf>
    <xf numFmtId="0" fontId="8" fillId="0" borderId="43" xfId="3" applyFont="1" applyBorder="1" applyAlignment="1">
      <alignment wrapText="1"/>
    </xf>
    <xf numFmtId="0" fontId="8" fillId="0" borderId="30" xfId="3" applyFont="1" applyBorder="1" applyAlignment="1">
      <alignment horizontal="center" vertical="center"/>
    </xf>
    <xf numFmtId="167" fontId="8" fillId="12" borderId="30" xfId="3" applyNumberFormat="1" applyFont="1" applyFill="1" applyBorder="1" applyAlignment="1">
      <alignment vertical="center"/>
    </xf>
    <xf numFmtId="167" fontId="8" fillId="12" borderId="47" xfId="3" applyNumberFormat="1" applyFont="1" applyFill="1" applyBorder="1" applyAlignment="1">
      <alignment vertical="center"/>
    </xf>
    <xf numFmtId="0" fontId="47" fillId="0" borderId="42" xfId="0" applyFont="1" applyBorder="1" applyAlignment="1">
      <alignment vertical="top" wrapText="1"/>
    </xf>
    <xf numFmtId="9" fontId="8" fillId="11" borderId="0" xfId="1" applyFont="1" applyFill="1" applyBorder="1" applyAlignment="1">
      <alignment vertical="center"/>
    </xf>
    <xf numFmtId="0" fontId="43" fillId="0" borderId="0" xfId="0" applyFont="1" applyBorder="1"/>
    <xf numFmtId="0" fontId="8" fillId="0" borderId="0" xfId="0" applyFont="1" applyBorder="1"/>
    <xf numFmtId="9" fontId="8" fillId="11" borderId="0" xfId="0" applyNumberFormat="1" applyFont="1" applyFill="1" applyBorder="1" applyAlignment="1">
      <alignment horizontal="center"/>
    </xf>
    <xf numFmtId="0" fontId="43" fillId="0" borderId="1" xfId="0" applyFont="1" applyBorder="1" applyAlignment="1">
      <alignment horizontal="center"/>
    </xf>
    <xf numFmtId="0" fontId="43" fillId="0" borderId="1" xfId="0" applyFont="1" applyFill="1" applyBorder="1" applyAlignment="1">
      <alignment horizontal="center"/>
    </xf>
    <xf numFmtId="2" fontId="8" fillId="11" borderId="0" xfId="0" applyNumberFormat="1" applyFont="1" applyFill="1" applyBorder="1"/>
    <xf numFmtId="0" fontId="44" fillId="0" borderId="0" xfId="0" applyFont="1" applyBorder="1"/>
    <xf numFmtId="0" fontId="8" fillId="11" borderId="0" xfId="0" applyFont="1" applyFill="1" applyBorder="1"/>
    <xf numFmtId="164" fontId="8" fillId="11" borderId="0" xfId="0" applyNumberFormat="1" applyFont="1" applyFill="1" applyBorder="1"/>
    <xf numFmtId="167" fontId="8" fillId="0" borderId="0" xfId="0" applyNumberFormat="1" applyFont="1" applyFill="1" applyBorder="1"/>
    <xf numFmtId="0" fontId="55" fillId="0" borderId="0" xfId="0" applyFont="1" applyBorder="1" applyAlignment="1">
      <alignment horizontal="center"/>
    </xf>
    <xf numFmtId="0" fontId="43" fillId="0" borderId="6" xfId="0" applyFont="1" applyBorder="1"/>
    <xf numFmtId="0" fontId="8" fillId="0" borderId="6" xfId="0" applyFont="1" applyBorder="1"/>
    <xf numFmtId="0" fontId="8" fillId="0" borderId="6" xfId="0" applyFont="1" applyBorder="1" applyAlignment="1">
      <alignment horizontal="right"/>
    </xf>
    <xf numFmtId="9" fontId="8" fillId="11" borderId="6" xfId="0" applyNumberFormat="1" applyFont="1" applyFill="1" applyBorder="1" applyAlignment="1">
      <alignment horizontal="center"/>
    </xf>
    <xf numFmtId="0" fontId="8" fillId="0" borderId="2" xfId="0" applyFont="1" applyBorder="1"/>
    <xf numFmtId="0" fontId="8" fillId="0" borderId="3" xfId="0" applyFont="1" applyBorder="1"/>
    <xf numFmtId="2" fontId="8" fillId="11" borderId="3" xfId="0" applyNumberFormat="1" applyFont="1" applyFill="1" applyBorder="1"/>
    <xf numFmtId="0" fontId="8" fillId="11" borderId="3" xfId="0" applyFont="1" applyFill="1" applyBorder="1" applyAlignment="1">
      <alignment horizontal="right"/>
    </xf>
    <xf numFmtId="0" fontId="44" fillId="0" borderId="4" xfId="0" applyFont="1" applyBorder="1"/>
    <xf numFmtId="0" fontId="8" fillId="0" borderId="14" xfId="0" applyFont="1" applyBorder="1"/>
    <xf numFmtId="0" fontId="8" fillId="0" borderId="13" xfId="0" applyFont="1" applyBorder="1"/>
    <xf numFmtId="0" fontId="43" fillId="0" borderId="13" xfId="0" applyFont="1" applyBorder="1"/>
    <xf numFmtId="0" fontId="43" fillId="0" borderId="14" xfId="0" applyFont="1" applyBorder="1"/>
    <xf numFmtId="0" fontId="44" fillId="0" borderId="3" xfId="0" applyFont="1" applyBorder="1"/>
    <xf numFmtId="2" fontId="8" fillId="11" borderId="0" xfId="0" applyNumberFormat="1" applyFont="1" applyFill="1" applyBorder="1" applyAlignment="1">
      <alignment horizontal="right"/>
    </xf>
    <xf numFmtId="165" fontId="8" fillId="11" borderId="6" xfId="0" applyNumberFormat="1" applyFont="1" applyFill="1" applyBorder="1" applyAlignment="1">
      <alignment horizontal="right"/>
    </xf>
    <xf numFmtId="9" fontId="8" fillId="11" borderId="6" xfId="0" applyNumberFormat="1" applyFont="1" applyFill="1" applyBorder="1" applyAlignment="1">
      <alignment horizontal="right"/>
    </xf>
    <xf numFmtId="0" fontId="8" fillId="8" borderId="35" xfId="3" applyFont="1" applyFill="1" applyBorder="1"/>
    <xf numFmtId="167" fontId="43" fillId="8" borderId="25" xfId="3" applyNumberFormat="1" applyFont="1" applyFill="1" applyBorder="1" applyAlignment="1">
      <alignment vertical="center"/>
    </xf>
    <xf numFmtId="167" fontId="43" fillId="8" borderId="51" xfId="3" applyNumberFormat="1" applyFont="1" applyFill="1" applyBorder="1" applyAlignment="1">
      <alignment vertical="center"/>
    </xf>
    <xf numFmtId="0" fontId="8" fillId="0" borderId="42" xfId="3" applyFont="1" applyBorder="1"/>
    <xf numFmtId="0" fontId="8" fillId="0" borderId="12" xfId="3" applyFont="1" applyBorder="1" applyAlignment="1">
      <alignment horizontal="center" vertical="center"/>
    </xf>
    <xf numFmtId="167" fontId="8" fillId="0" borderId="12" xfId="2" applyNumberFormat="1" applyFont="1" applyBorder="1" applyAlignment="1">
      <alignment vertical="center"/>
    </xf>
    <xf numFmtId="167" fontId="8" fillId="0" borderId="29" xfId="2" applyNumberFormat="1" applyFont="1" applyBorder="1" applyAlignment="1">
      <alignment vertical="center"/>
    </xf>
    <xf numFmtId="167" fontId="43" fillId="0" borderId="12" xfId="3" applyNumberFormat="1" applyFont="1" applyBorder="1" applyAlignment="1">
      <alignment vertical="center"/>
    </xf>
    <xf numFmtId="167" fontId="43" fillId="0" borderId="1" xfId="3" applyNumberFormat="1" applyFont="1" applyBorder="1" applyAlignment="1">
      <alignment vertical="center"/>
    </xf>
    <xf numFmtId="167" fontId="43" fillId="0" borderId="50" xfId="3" applyNumberFormat="1" applyFont="1" applyBorder="1" applyAlignment="1">
      <alignment vertical="center"/>
    </xf>
    <xf numFmtId="167" fontId="43" fillId="0" borderId="29" xfId="3" applyNumberFormat="1" applyFont="1" applyBorder="1" applyAlignment="1">
      <alignment vertical="center"/>
    </xf>
    <xf numFmtId="0" fontId="43" fillId="12" borderId="42" xfId="3" applyFont="1" applyFill="1" applyBorder="1" applyAlignment="1">
      <alignment vertical="center" wrapText="1"/>
    </xf>
    <xf numFmtId="167" fontId="43" fillId="12" borderId="5" xfId="3" applyNumberFormat="1" applyFont="1" applyFill="1" applyBorder="1" applyAlignment="1">
      <alignment vertical="center"/>
    </xf>
    <xf numFmtId="167" fontId="43" fillId="12" borderId="45" xfId="3" applyNumberFormat="1" applyFont="1" applyFill="1" applyBorder="1" applyAlignment="1">
      <alignment vertical="center"/>
    </xf>
    <xf numFmtId="0" fontId="8" fillId="8" borderId="36" xfId="3" applyFont="1" applyFill="1" applyBorder="1"/>
    <xf numFmtId="167" fontId="43" fillId="8" borderId="1" xfId="3" applyNumberFormat="1" applyFont="1" applyFill="1" applyBorder="1" applyAlignment="1">
      <alignment vertical="center"/>
    </xf>
    <xf numFmtId="167" fontId="43" fillId="8" borderId="48" xfId="3" applyNumberFormat="1" applyFont="1" applyFill="1" applyBorder="1" applyAlignment="1">
      <alignment vertical="center"/>
    </xf>
    <xf numFmtId="167" fontId="43" fillId="0" borderId="48" xfId="2" applyNumberFormat="1" applyFont="1" applyBorder="1" applyAlignment="1">
      <alignment vertical="center"/>
    </xf>
    <xf numFmtId="1" fontId="43" fillId="0" borderId="1" xfId="2" applyNumberFormat="1" applyFont="1" applyBorder="1" applyAlignment="1">
      <alignment vertical="center"/>
    </xf>
    <xf numFmtId="1" fontId="43" fillId="0" borderId="48" xfId="2" applyNumberFormat="1" applyFont="1" applyBorder="1" applyAlignment="1">
      <alignment vertical="center"/>
    </xf>
    <xf numFmtId="3" fontId="41" fillId="0" borderId="36" xfId="0" applyNumberFormat="1" applyFont="1" applyBorder="1" applyAlignment="1">
      <alignment vertical="top"/>
    </xf>
    <xf numFmtId="3" fontId="43" fillId="0" borderId="1" xfId="2" applyNumberFormat="1" applyFont="1" applyBorder="1" applyAlignment="1">
      <alignment vertical="center"/>
    </xf>
    <xf numFmtId="0" fontId="43" fillId="0" borderId="30" xfId="3" applyFont="1" applyBorder="1" applyAlignment="1">
      <alignment horizontal="center" vertical="center"/>
    </xf>
    <xf numFmtId="3" fontId="43" fillId="0" borderId="30" xfId="2" applyNumberFormat="1" applyFont="1" applyBorder="1" applyAlignment="1">
      <alignment vertical="center"/>
    </xf>
    <xf numFmtId="1" fontId="43" fillId="0" borderId="30" xfId="2" applyNumberFormat="1" applyFont="1" applyBorder="1" applyAlignment="1">
      <alignment vertical="center"/>
    </xf>
    <xf numFmtId="1" fontId="43" fillId="0" borderId="47" xfId="2" applyNumberFormat="1" applyFont="1" applyBorder="1" applyAlignment="1">
      <alignment vertical="center"/>
    </xf>
    <xf numFmtId="0" fontId="43" fillId="8" borderId="35" xfId="3" applyFont="1" applyFill="1" applyBorder="1" applyAlignment="1"/>
    <xf numFmtId="0" fontId="43" fillId="8" borderId="25" xfId="3" applyFont="1" applyFill="1" applyBorder="1" applyAlignment="1">
      <alignment horizontal="left" vertical="center"/>
    </xf>
    <xf numFmtId="3" fontId="43" fillId="8" borderId="25" xfId="3" applyNumberFormat="1" applyFont="1" applyFill="1" applyBorder="1" applyAlignment="1">
      <alignment vertical="center"/>
    </xf>
    <xf numFmtId="3" fontId="43" fillId="8" borderId="51" xfId="3" applyNumberFormat="1" applyFont="1" applyFill="1" applyBorder="1" applyAlignment="1">
      <alignment vertical="center"/>
    </xf>
    <xf numFmtId="0" fontId="8" fillId="0" borderId="42" xfId="3" applyFont="1" applyBorder="1" applyAlignment="1">
      <alignment vertical="center" wrapText="1"/>
    </xf>
    <xf numFmtId="167" fontId="8" fillId="0" borderId="1" xfId="2" applyNumberFormat="1" applyFont="1" applyBorder="1" applyAlignment="1">
      <alignment vertical="center"/>
    </xf>
    <xf numFmtId="165" fontId="43" fillId="0" borderId="1" xfId="2" applyNumberFormat="1" applyFont="1" applyBorder="1" applyAlignment="1">
      <alignment vertical="center"/>
    </xf>
    <xf numFmtId="165" fontId="43" fillId="0" borderId="48" xfId="2" applyNumberFormat="1" applyFont="1" applyBorder="1" applyAlignment="1">
      <alignment vertical="center"/>
    </xf>
    <xf numFmtId="0" fontId="43" fillId="0" borderId="36" xfId="3" applyFont="1" applyBorder="1" applyAlignment="1">
      <alignment vertical="center"/>
    </xf>
    <xf numFmtId="0" fontId="43" fillId="8" borderId="36" xfId="3" applyFont="1" applyFill="1" applyBorder="1" applyAlignment="1">
      <alignment vertical="center"/>
    </xf>
    <xf numFmtId="0" fontId="43" fillId="8" borderId="1" xfId="3" applyFont="1" applyFill="1" applyBorder="1" applyAlignment="1">
      <alignment horizontal="left" vertical="center"/>
    </xf>
    <xf numFmtId="3" fontId="43" fillId="8" borderId="1" xfId="3" applyNumberFormat="1" applyFont="1" applyFill="1" applyBorder="1" applyAlignment="1">
      <alignment vertical="center"/>
    </xf>
    <xf numFmtId="3" fontId="43" fillId="8" borderId="48" xfId="3" applyNumberFormat="1" applyFont="1" applyFill="1" applyBorder="1" applyAlignment="1">
      <alignment vertical="center"/>
    </xf>
    <xf numFmtId="167" fontId="8" fillId="0" borderId="45" xfId="2" applyNumberFormat="1" applyFont="1" applyBorder="1" applyAlignment="1">
      <alignment vertical="center"/>
    </xf>
    <xf numFmtId="165" fontId="43" fillId="0" borderId="8" xfId="2" applyNumberFormat="1" applyFont="1" applyBorder="1" applyAlignment="1">
      <alignment vertical="center"/>
    </xf>
    <xf numFmtId="165" fontId="43" fillId="0" borderId="29" xfId="2" applyNumberFormat="1" applyFont="1" applyBorder="1" applyAlignment="1">
      <alignment vertical="center"/>
    </xf>
    <xf numFmtId="167" fontId="43" fillId="0" borderId="8" xfId="2" applyNumberFormat="1" applyFont="1" applyBorder="1" applyAlignment="1">
      <alignment vertical="center"/>
    </xf>
    <xf numFmtId="0" fontId="43" fillId="0" borderId="43" xfId="3" applyFont="1" applyBorder="1" applyAlignment="1">
      <alignment vertical="center"/>
    </xf>
    <xf numFmtId="167" fontId="43" fillId="0" borderId="30" xfId="2" applyNumberFormat="1" applyFont="1" applyBorder="1" applyAlignment="1">
      <alignment vertical="center"/>
    </xf>
    <xf numFmtId="167" fontId="43" fillId="0" borderId="46" xfId="2" applyNumberFormat="1" applyFont="1" applyBorder="1" applyAlignment="1">
      <alignment vertical="center"/>
    </xf>
    <xf numFmtId="0" fontId="43" fillId="0" borderId="42" xfId="3" applyFont="1" applyBorder="1" applyAlignment="1">
      <alignment vertical="center"/>
    </xf>
    <xf numFmtId="0" fontId="43" fillId="0" borderId="42" xfId="3" applyFont="1" applyBorder="1" applyAlignment="1">
      <alignment vertical="center" wrapText="1"/>
    </xf>
    <xf numFmtId="0" fontId="43" fillId="0" borderId="36" xfId="3" applyFont="1" applyFill="1" applyBorder="1" applyAlignment="1">
      <alignment vertical="top" wrapText="1"/>
    </xf>
    <xf numFmtId="0" fontId="43" fillId="12" borderId="42" xfId="3" applyFont="1" applyFill="1" applyBorder="1" applyAlignment="1">
      <alignment vertical="top" wrapText="1"/>
    </xf>
    <xf numFmtId="0" fontId="43" fillId="0" borderId="39" xfId="0" applyFont="1" applyBorder="1" applyAlignment="1">
      <alignment vertical="top" wrapText="1"/>
    </xf>
    <xf numFmtId="0" fontId="43" fillId="0" borderId="0" xfId="0" applyFont="1" applyBorder="1" applyAlignment="1">
      <alignment horizontal="right"/>
    </xf>
    <xf numFmtId="1" fontId="47" fillId="0" borderId="25" xfId="0" applyNumberFormat="1" applyFont="1" applyBorder="1" applyAlignment="1">
      <alignment horizontal="right" vertical="center" wrapText="1"/>
    </xf>
    <xf numFmtId="167" fontId="47" fillId="0" borderId="25" xfId="0" applyNumberFormat="1" applyFont="1" applyBorder="1" applyAlignment="1">
      <alignment horizontal="right" vertical="center" wrapText="1"/>
    </xf>
    <xf numFmtId="167" fontId="47" fillId="0" borderId="28" xfId="0" applyNumberFormat="1" applyFont="1" applyBorder="1" applyAlignment="1">
      <alignment horizontal="right" vertical="center" wrapText="1"/>
    </xf>
    <xf numFmtId="1" fontId="47" fillId="0" borderId="1" xfId="0" applyNumberFormat="1" applyFont="1" applyBorder="1" applyAlignment="1">
      <alignment horizontal="right" vertical="center" wrapText="1"/>
    </xf>
    <xf numFmtId="167" fontId="47" fillId="0" borderId="8" xfId="0" applyNumberFormat="1" applyFont="1" applyBorder="1" applyAlignment="1">
      <alignment horizontal="right" vertical="center" wrapText="1"/>
    </xf>
    <xf numFmtId="167" fontId="47" fillId="0" borderId="29" xfId="0" applyNumberFormat="1" applyFont="1" applyBorder="1" applyAlignment="1">
      <alignment horizontal="right" vertical="center" wrapText="1"/>
    </xf>
    <xf numFmtId="167" fontId="47" fillId="0" borderId="1" xfId="0" applyNumberFormat="1" applyFont="1" applyBorder="1" applyAlignment="1">
      <alignment horizontal="right" vertical="center" wrapText="1"/>
    </xf>
    <xf numFmtId="0" fontId="43" fillId="0" borderId="36" xfId="0" applyFont="1" applyBorder="1" applyAlignment="1">
      <alignment vertical="top" wrapText="1"/>
    </xf>
    <xf numFmtId="0" fontId="43" fillId="0" borderId="0" xfId="0" applyFont="1" applyBorder="1" applyAlignment="1">
      <alignment horizontal="center" vertical="center" wrapText="1"/>
    </xf>
    <xf numFmtId="3" fontId="43" fillId="0" borderId="1" xfId="0" applyNumberFormat="1" applyFont="1" applyBorder="1" applyAlignment="1">
      <alignment horizontal="right" vertical="center" wrapText="1"/>
    </xf>
    <xf numFmtId="3" fontId="43" fillId="0" borderId="29" xfId="0" applyNumberFormat="1" applyFont="1" applyBorder="1" applyAlignment="1">
      <alignment horizontal="right" vertical="center" wrapText="1"/>
    </xf>
    <xf numFmtId="0" fontId="8" fillId="8" borderId="36" xfId="0" applyFont="1" applyFill="1" applyBorder="1" applyAlignment="1">
      <alignment vertical="center" wrapText="1"/>
    </xf>
    <xf numFmtId="0" fontId="8" fillId="8" borderId="1" xfId="3" applyFont="1" applyFill="1" applyBorder="1" applyAlignment="1">
      <alignment horizontal="center" vertical="center"/>
    </xf>
    <xf numFmtId="165" fontId="8" fillId="8" borderId="1" xfId="0" applyNumberFormat="1" applyFont="1" applyFill="1" applyBorder="1" applyAlignment="1">
      <alignment horizontal="right" vertical="center" wrapText="1"/>
    </xf>
    <xf numFmtId="165" fontId="8" fillId="8" borderId="29" xfId="0" applyNumberFormat="1" applyFont="1" applyFill="1" applyBorder="1" applyAlignment="1">
      <alignment horizontal="right" vertical="center" wrapText="1"/>
    </xf>
    <xf numFmtId="0" fontId="43" fillId="0" borderId="36" xfId="0" applyFont="1" applyBorder="1" applyAlignment="1">
      <alignment vertical="center" wrapText="1"/>
    </xf>
    <xf numFmtId="0" fontId="43" fillId="0" borderId="11" xfId="0" applyFont="1" applyBorder="1" applyAlignment="1">
      <alignment horizontal="center" vertical="center" wrapText="1"/>
    </xf>
    <xf numFmtId="0" fontId="43" fillId="0" borderId="42" xfId="0" applyFont="1" applyBorder="1" applyAlignment="1">
      <alignment vertical="center" wrapText="1"/>
    </xf>
    <xf numFmtId="3" fontId="43" fillId="0" borderId="12" xfId="0" applyNumberFormat="1" applyFont="1" applyBorder="1" applyAlignment="1">
      <alignment horizontal="right" vertical="center" wrapText="1"/>
    </xf>
    <xf numFmtId="3" fontId="43" fillId="0" borderId="45" xfId="0" applyNumberFormat="1" applyFont="1" applyBorder="1" applyAlignment="1">
      <alignment horizontal="right" vertical="center" wrapText="1"/>
    </xf>
    <xf numFmtId="0" fontId="8" fillId="8" borderId="39" xfId="0" applyFont="1" applyFill="1" applyBorder="1" applyAlignment="1">
      <alignment vertical="center" wrapText="1"/>
    </xf>
    <xf numFmtId="0" fontId="8" fillId="8" borderId="30" xfId="3" applyFont="1" applyFill="1" applyBorder="1" applyAlignment="1">
      <alignment horizontal="center" vertical="center"/>
    </xf>
    <xf numFmtId="165" fontId="8" fillId="8" borderId="24" xfId="0" applyNumberFormat="1" applyFont="1" applyFill="1" applyBorder="1" applyAlignment="1">
      <alignment horizontal="right" vertical="center" wrapText="1"/>
    </xf>
    <xf numFmtId="165" fontId="8" fillId="8" borderId="46" xfId="0" applyNumberFormat="1" applyFont="1" applyFill="1" applyBorder="1" applyAlignment="1">
      <alignment horizontal="right" vertical="center" wrapText="1"/>
    </xf>
    <xf numFmtId="0" fontId="43" fillId="0" borderId="35" xfId="3" applyFont="1" applyBorder="1" applyAlignment="1">
      <alignment vertical="center" wrapText="1"/>
    </xf>
    <xf numFmtId="0" fontId="43" fillId="0" borderId="32" xfId="0" applyFont="1" applyBorder="1" applyAlignment="1">
      <alignment horizontal="center" vertical="center" wrapText="1"/>
    </xf>
    <xf numFmtId="1" fontId="44" fillId="0" borderId="1" xfId="0" applyNumberFormat="1" applyFont="1" applyBorder="1" applyAlignment="1">
      <alignment horizontal="right" vertical="center" wrapText="1"/>
    </xf>
    <xf numFmtId="3" fontId="47" fillId="0" borderId="1" xfId="0" applyNumberFormat="1" applyFont="1" applyBorder="1" applyAlignment="1">
      <alignment horizontal="right" vertical="center" wrapText="1"/>
    </xf>
    <xf numFmtId="3" fontId="47" fillId="0" borderId="29" xfId="0" applyNumberFormat="1" applyFont="1" applyBorder="1" applyAlignment="1">
      <alignment horizontal="right" vertical="center" wrapText="1"/>
    </xf>
    <xf numFmtId="165" fontId="44" fillId="8" borderId="1" xfId="0" applyNumberFormat="1" applyFont="1" applyFill="1" applyBorder="1" applyAlignment="1">
      <alignment horizontal="right" vertical="center" wrapText="1"/>
    </xf>
    <xf numFmtId="165" fontId="44" fillId="8" borderId="1" xfId="1" applyNumberFormat="1" applyFont="1" applyFill="1" applyBorder="1" applyAlignment="1">
      <alignment horizontal="right" vertical="center" wrapText="1"/>
    </xf>
    <xf numFmtId="165" fontId="44" fillId="8" borderId="29" xfId="1" applyNumberFormat="1" applyFont="1" applyFill="1" applyBorder="1" applyAlignment="1">
      <alignment horizontal="right" vertical="center" wrapText="1"/>
    </xf>
    <xf numFmtId="167" fontId="41" fillId="0" borderId="1" xfId="0" applyNumberFormat="1" applyFont="1" applyBorder="1" applyAlignment="1">
      <alignment horizontal="right" vertical="center"/>
    </xf>
    <xf numFmtId="167" fontId="41" fillId="0" borderId="29" xfId="0" applyNumberFormat="1" applyFont="1" applyBorder="1" applyAlignment="1">
      <alignment horizontal="right" vertical="center"/>
    </xf>
    <xf numFmtId="0" fontId="8" fillId="8" borderId="42" xfId="0" applyFont="1" applyFill="1" applyBorder="1" applyAlignment="1">
      <alignment vertical="center" wrapText="1"/>
    </xf>
    <xf numFmtId="165" fontId="43" fillId="8" borderId="1" xfId="0" applyNumberFormat="1" applyFont="1" applyFill="1" applyBorder="1" applyAlignment="1">
      <alignment horizontal="right" vertical="center" wrapText="1"/>
    </xf>
    <xf numFmtId="165" fontId="8" fillId="8" borderId="11" xfId="1" applyNumberFormat="1" applyFont="1" applyFill="1" applyBorder="1" applyAlignment="1">
      <alignment horizontal="right" vertical="center" wrapText="1"/>
    </xf>
    <xf numFmtId="165" fontId="8" fillId="8" borderId="29" xfId="1" applyNumberFormat="1" applyFont="1" applyFill="1" applyBorder="1" applyAlignment="1">
      <alignment horizontal="right" vertical="center" wrapText="1"/>
    </xf>
    <xf numFmtId="0" fontId="43" fillId="0" borderId="12" xfId="0" applyFont="1" applyBorder="1" applyAlignment="1">
      <alignment horizontal="center" vertical="center" wrapText="1"/>
    </xf>
    <xf numFmtId="0" fontId="43" fillId="0" borderId="35" xfId="0" applyFont="1" applyBorder="1" applyAlignment="1">
      <alignment vertical="top" wrapText="1"/>
    </xf>
    <xf numFmtId="167" fontId="43" fillId="0" borderId="25" xfId="0" applyNumberFormat="1" applyFont="1" applyBorder="1" applyAlignment="1">
      <alignment vertical="center"/>
    </xf>
    <xf numFmtId="167" fontId="43" fillId="0" borderId="28" xfId="0" applyNumberFormat="1" applyFont="1" applyBorder="1" applyAlignment="1">
      <alignment vertical="center"/>
    </xf>
    <xf numFmtId="0" fontId="43" fillId="0" borderId="36" xfId="0" applyFont="1" applyBorder="1"/>
    <xf numFmtId="3" fontId="43" fillId="0" borderId="1" xfId="0" applyNumberFormat="1" applyFont="1" applyBorder="1" applyAlignment="1">
      <alignment vertical="center"/>
    </xf>
    <xf numFmtId="3" fontId="43" fillId="0" borderId="29" xfId="0" applyNumberFormat="1" applyFont="1" applyBorder="1" applyAlignment="1">
      <alignment vertical="center"/>
    </xf>
    <xf numFmtId="1" fontId="43" fillId="0" borderId="1" xfId="0" applyNumberFormat="1" applyFont="1" applyBorder="1" applyAlignment="1">
      <alignment vertical="center"/>
    </xf>
    <xf numFmtId="1" fontId="43" fillId="0" borderId="29" xfId="0" applyNumberFormat="1" applyFont="1" applyBorder="1" applyAlignment="1">
      <alignment vertical="center"/>
    </xf>
    <xf numFmtId="0" fontId="8" fillId="0" borderId="1" xfId="0" applyFont="1" applyBorder="1" applyAlignment="1">
      <alignment horizontal="center" vertical="center" wrapText="1"/>
    </xf>
    <xf numFmtId="1" fontId="8" fillId="0" borderId="1" xfId="0" applyNumberFormat="1" applyFont="1" applyBorder="1" applyAlignment="1">
      <alignment vertical="center"/>
    </xf>
    <xf numFmtId="167" fontId="8" fillId="0" borderId="1" xfId="0" applyNumberFormat="1" applyFont="1" applyBorder="1" applyAlignment="1">
      <alignment vertical="center"/>
    </xf>
    <xf numFmtId="167" fontId="8" fillId="0" borderId="8" xfId="0" applyNumberFormat="1" applyFont="1" applyBorder="1" applyAlignment="1">
      <alignment vertical="center"/>
    </xf>
    <xf numFmtId="167" fontId="8" fillId="0" borderId="29" xfId="0" applyNumberFormat="1" applyFont="1" applyBorder="1" applyAlignment="1">
      <alignment vertical="center"/>
    </xf>
    <xf numFmtId="0" fontId="43" fillId="0" borderId="42" xfId="0" applyFont="1" applyBorder="1" applyAlignment="1">
      <alignment vertical="top" wrapText="1"/>
    </xf>
    <xf numFmtId="167" fontId="43" fillId="0" borderId="12" xfId="0" applyNumberFormat="1" applyFont="1" applyBorder="1" applyAlignment="1">
      <alignment vertical="center"/>
    </xf>
    <xf numFmtId="167" fontId="43" fillId="0" borderId="45" xfId="0" applyNumberFormat="1" applyFont="1" applyBorder="1" applyAlignment="1">
      <alignment vertical="center"/>
    </xf>
    <xf numFmtId="0" fontId="8" fillId="8" borderId="43" xfId="0" applyFont="1" applyFill="1" applyBorder="1" applyAlignment="1">
      <alignment vertical="top" wrapText="1"/>
    </xf>
    <xf numFmtId="10" fontId="8" fillId="8" borderId="30" xfId="0" applyNumberFormat="1" applyFont="1" applyFill="1" applyBorder="1" applyAlignment="1">
      <alignment horizontal="center" vertical="center"/>
    </xf>
    <xf numFmtId="165" fontId="8" fillId="8" borderId="30" xfId="0" applyNumberFormat="1" applyFont="1" applyFill="1" applyBorder="1" applyAlignment="1">
      <alignment vertical="center"/>
    </xf>
    <xf numFmtId="165" fontId="8" fillId="8" borderId="40" xfId="0" applyNumberFormat="1" applyFont="1" applyFill="1" applyBorder="1" applyAlignment="1">
      <alignment vertical="center"/>
    </xf>
    <xf numFmtId="9" fontId="8" fillId="11" borderId="0" xfId="0" applyNumberFormat="1" applyFont="1" applyFill="1"/>
    <xf numFmtId="1" fontId="41" fillId="0" borderId="1" xfId="0" applyNumberFormat="1" applyFont="1" applyBorder="1"/>
    <xf numFmtId="1" fontId="41" fillId="0" borderId="29" xfId="0" applyNumberFormat="1" applyFont="1" applyBorder="1"/>
    <xf numFmtId="1" fontId="8" fillId="0" borderId="29" xfId="0" applyNumberFormat="1" applyFont="1" applyBorder="1" applyAlignment="1">
      <alignment vertical="center"/>
    </xf>
    <xf numFmtId="0" fontId="8" fillId="8" borderId="39" xfId="0" applyFont="1" applyFill="1" applyBorder="1" applyAlignment="1">
      <alignment vertical="top" wrapText="1"/>
    </xf>
    <xf numFmtId="10" fontId="8" fillId="8" borderId="24" xfId="0" applyNumberFormat="1" applyFont="1" applyFill="1" applyBorder="1" applyAlignment="1">
      <alignment horizontal="center" vertical="center"/>
    </xf>
    <xf numFmtId="165" fontId="8" fillId="8" borderId="24" xfId="0" applyNumberFormat="1" applyFont="1" applyFill="1" applyBorder="1" applyAlignment="1">
      <alignment vertical="center"/>
    </xf>
    <xf numFmtId="165" fontId="8" fillId="8" borderId="31" xfId="0" applyNumberFormat="1" applyFont="1" applyFill="1" applyBorder="1" applyAlignment="1">
      <alignment vertical="center"/>
    </xf>
    <xf numFmtId="0" fontId="43" fillId="0" borderId="42" xfId="3" applyFont="1" applyBorder="1" applyAlignment="1">
      <alignment wrapText="1"/>
    </xf>
    <xf numFmtId="0" fontId="8" fillId="0" borderId="42" xfId="0" applyFont="1" applyBorder="1" applyAlignment="1">
      <alignment vertical="top" wrapText="1"/>
    </xf>
    <xf numFmtId="0" fontId="8" fillId="4" borderId="42" xfId="0" applyFont="1" applyFill="1" applyBorder="1" applyAlignment="1">
      <alignment vertical="top" wrapText="1"/>
    </xf>
    <xf numFmtId="0" fontId="8" fillId="4" borderId="1" xfId="0" applyFont="1" applyFill="1" applyBorder="1" applyAlignment="1">
      <alignment horizontal="center" vertical="center" wrapText="1"/>
    </xf>
    <xf numFmtId="1" fontId="12" fillId="4" borderId="1" xfId="0" applyNumberFormat="1" applyFont="1" applyFill="1" applyBorder="1"/>
    <xf numFmtId="1" fontId="12" fillId="4" borderId="29" xfId="0" applyNumberFormat="1" applyFont="1" applyFill="1" applyBorder="1"/>
    <xf numFmtId="0" fontId="44" fillId="0" borderId="42" xfId="0" applyFont="1" applyBorder="1" applyAlignment="1">
      <alignment vertical="top" wrapText="1"/>
    </xf>
    <xf numFmtId="0" fontId="8" fillId="8" borderId="42" xfId="0" applyFont="1" applyFill="1" applyBorder="1" applyAlignment="1">
      <alignment vertical="top" wrapText="1"/>
    </xf>
    <xf numFmtId="10" fontId="8" fillId="8" borderId="1" xfId="0" applyNumberFormat="1" applyFont="1" applyFill="1" applyBorder="1" applyAlignment="1">
      <alignment horizontal="center" vertical="center"/>
    </xf>
    <xf numFmtId="165" fontId="8" fillId="8" borderId="12" xfId="1" applyNumberFormat="1" applyFont="1" applyFill="1" applyBorder="1" applyAlignment="1">
      <alignment vertical="center"/>
    </xf>
    <xf numFmtId="165" fontId="8" fillId="8" borderId="45" xfId="1" applyNumberFormat="1" applyFont="1" applyFill="1" applyBorder="1" applyAlignment="1">
      <alignment vertical="center"/>
    </xf>
    <xf numFmtId="0" fontId="8" fillId="0" borderId="12" xfId="0" applyFont="1" applyBorder="1" applyAlignment="1">
      <alignment horizontal="center" vertical="center" wrapText="1"/>
    </xf>
    <xf numFmtId="0" fontId="8" fillId="8" borderId="36" xfId="0" applyFont="1" applyFill="1" applyBorder="1" applyAlignment="1">
      <alignment vertical="top" wrapText="1"/>
    </xf>
    <xf numFmtId="165" fontId="8" fillId="8" borderId="46" xfId="0" applyNumberFormat="1" applyFont="1" applyFill="1" applyBorder="1" applyAlignment="1">
      <alignment vertical="center"/>
    </xf>
    <xf numFmtId="0" fontId="0" fillId="0" borderId="8" xfId="0" applyBorder="1"/>
    <xf numFmtId="0" fontId="39" fillId="0" borderId="2" xfId="0" applyFont="1" applyBorder="1" applyAlignment="1">
      <alignment wrapText="1"/>
    </xf>
    <xf numFmtId="0" fontId="39" fillId="0" borderId="5" xfId="0" applyFont="1" applyBorder="1" applyAlignment="1">
      <alignment horizontal="left"/>
    </xf>
    <xf numFmtId="0" fontId="39" fillId="0" borderId="2" xfId="0" applyFont="1" applyBorder="1"/>
    <xf numFmtId="0" fontId="39" fillId="0" borderId="5" xfId="0" applyFont="1" applyBorder="1" applyAlignment="1">
      <alignment wrapText="1"/>
    </xf>
    <xf numFmtId="0" fontId="0" fillId="0" borderId="0" xfId="0" applyFill="1" applyBorder="1" applyAlignment="1">
      <alignment horizontal="center"/>
    </xf>
    <xf numFmtId="0" fontId="0" fillId="0" borderId="2" xfId="0" applyFill="1" applyBorder="1" applyAlignment="1"/>
    <xf numFmtId="0" fontId="0" fillId="0" borderId="3" xfId="0" applyFill="1" applyBorder="1" applyAlignment="1"/>
    <xf numFmtId="0" fontId="0" fillId="0" borderId="3" xfId="0" applyFill="1" applyBorder="1"/>
    <xf numFmtId="0" fontId="0" fillId="0" borderId="4" xfId="0" applyFill="1" applyBorder="1"/>
    <xf numFmtId="0" fontId="0" fillId="0" borderId="5" xfId="0" applyFill="1" applyBorder="1" applyAlignment="1"/>
    <xf numFmtId="0" fontId="0" fillId="0" borderId="6" xfId="0" applyFill="1" applyBorder="1" applyAlignment="1"/>
    <xf numFmtId="0" fontId="0" fillId="0" borderId="6" xfId="0" applyFill="1" applyBorder="1"/>
    <xf numFmtId="0" fontId="0" fillId="0" borderId="7" xfId="0" applyFill="1" applyBorder="1"/>
    <xf numFmtId="0" fontId="39" fillId="8" borderId="15" xfId="0" applyFont="1" applyFill="1" applyBorder="1"/>
    <xf numFmtId="0" fontId="57" fillId="8" borderId="1" xfId="0" applyFont="1" applyFill="1" applyBorder="1" applyAlignment="1">
      <alignment horizontal="center"/>
    </xf>
    <xf numFmtId="9" fontId="48" fillId="8" borderId="1" xfId="0" applyNumberFormat="1" applyFont="1" applyFill="1" applyBorder="1" applyAlignment="1">
      <alignment horizontal="center"/>
    </xf>
    <xf numFmtId="0" fontId="48" fillId="8" borderId="1" xfId="0" applyFont="1" applyFill="1" applyBorder="1" applyAlignment="1">
      <alignment horizontal="center"/>
    </xf>
    <xf numFmtId="0" fontId="57" fillId="0" borderId="1" xfId="0" applyFont="1" applyBorder="1" applyAlignment="1">
      <alignment horizontal="center" wrapText="1"/>
    </xf>
    <xf numFmtId="0" fontId="57" fillId="6" borderId="1" xfId="0" applyFont="1" applyFill="1" applyBorder="1" applyAlignment="1">
      <alignment horizontal="center"/>
    </xf>
    <xf numFmtId="0" fontId="57" fillId="8" borderId="12" xfId="0" applyFont="1" applyFill="1" applyBorder="1" applyAlignment="1">
      <alignment horizontal="center"/>
    </xf>
    <xf numFmtId="0" fontId="57" fillId="7" borderId="12" xfId="0" applyFont="1" applyFill="1" applyBorder="1" applyAlignment="1">
      <alignment horizontal="center"/>
    </xf>
    <xf numFmtId="0" fontId="57" fillId="7" borderId="1" xfId="0" applyFont="1" applyFill="1" applyBorder="1" applyAlignment="1">
      <alignment horizontal="center"/>
    </xf>
    <xf numFmtId="165" fontId="41" fillId="0" borderId="1" xfId="0" applyNumberFormat="1" applyFont="1" applyBorder="1" applyAlignment="1">
      <alignment horizontal="center"/>
    </xf>
    <xf numFmtId="165" fontId="41" fillId="6" borderId="1" xfId="0" applyNumberFormat="1" applyFont="1" applyFill="1" applyBorder="1" applyAlignment="1">
      <alignment horizontal="center"/>
    </xf>
    <xf numFmtId="165" fontId="43" fillId="6" borderId="1" xfId="0" applyNumberFormat="1" applyFont="1" applyFill="1" applyBorder="1" applyAlignment="1">
      <alignment horizontal="center"/>
    </xf>
    <xf numFmtId="165" fontId="41" fillId="8" borderId="1" xfId="0" applyNumberFormat="1" applyFont="1" applyFill="1" applyBorder="1" applyAlignment="1">
      <alignment horizontal="center"/>
    </xf>
    <xf numFmtId="165" fontId="41" fillId="8" borderId="1" xfId="1" applyNumberFormat="1" applyFont="1" applyFill="1" applyBorder="1" applyAlignment="1">
      <alignment horizontal="center"/>
    </xf>
    <xf numFmtId="165" fontId="41" fillId="7" borderId="1" xfId="0" applyNumberFormat="1" applyFont="1" applyFill="1" applyBorder="1" applyAlignment="1">
      <alignment horizontal="center"/>
    </xf>
    <xf numFmtId="165" fontId="41" fillId="7" borderId="1" xfId="1" applyNumberFormat="1" applyFont="1" applyFill="1" applyBorder="1" applyAlignment="1">
      <alignment horizontal="center"/>
    </xf>
    <xf numFmtId="165" fontId="43" fillId="8" borderId="1" xfId="0" applyNumberFormat="1" applyFont="1" applyFill="1" applyBorder="1" applyAlignment="1">
      <alignment horizontal="center"/>
    </xf>
    <xf numFmtId="165" fontId="43" fillId="0" borderId="1" xfId="0" applyNumberFormat="1" applyFont="1" applyBorder="1" applyAlignment="1">
      <alignment horizontal="center"/>
    </xf>
    <xf numFmtId="165" fontId="43" fillId="7" borderId="1" xfId="0" applyNumberFormat="1" applyFont="1" applyFill="1" applyBorder="1" applyAlignment="1">
      <alignment horizontal="center"/>
    </xf>
    <xf numFmtId="9" fontId="0" fillId="0" borderId="11" xfId="1" applyFont="1" applyBorder="1" applyAlignment="1">
      <alignment horizontal="center"/>
    </xf>
    <xf numFmtId="9" fontId="0" fillId="0" borderId="12" xfId="0" applyNumberFormat="1" applyBorder="1" applyAlignment="1">
      <alignment horizontal="center"/>
    </xf>
    <xf numFmtId="0" fontId="8" fillId="7" borderId="8" xfId="0" applyFont="1" applyFill="1" applyBorder="1" applyAlignment="1">
      <alignment vertical="center"/>
    </xf>
    <xf numFmtId="0" fontId="8" fillId="7" borderId="10" xfId="0" applyFont="1" applyFill="1" applyBorder="1" applyAlignment="1">
      <alignment vertical="center"/>
    </xf>
    <xf numFmtId="0" fontId="8" fillId="7" borderId="9" xfId="0" applyFont="1" applyFill="1" applyBorder="1" applyAlignment="1">
      <alignment vertical="center"/>
    </xf>
    <xf numFmtId="0" fontId="6" fillId="0" borderId="43" xfId="0" applyFont="1" applyBorder="1" applyAlignment="1">
      <alignment vertical="center" wrapText="1"/>
    </xf>
    <xf numFmtId="1" fontId="6" fillId="11" borderId="0" xfId="0" applyNumberFormat="1" applyFont="1" applyFill="1"/>
    <xf numFmtId="49" fontId="6" fillId="0" borderId="0" xfId="0" applyNumberFormat="1" applyFont="1"/>
    <xf numFmtId="0" fontId="41" fillId="0" borderId="1" xfId="0" applyFont="1" applyBorder="1" applyAlignment="1">
      <alignment horizontal="center" vertical="center"/>
    </xf>
    <xf numFmtId="0" fontId="41" fillId="0" borderId="1" xfId="0" applyFont="1" applyBorder="1" applyAlignment="1">
      <alignment wrapText="1"/>
    </xf>
    <xf numFmtId="3" fontId="41" fillId="0" borderId="1" xfId="0" applyNumberFormat="1" applyFont="1" applyBorder="1" applyAlignment="1">
      <alignment horizontal="right" vertical="center"/>
    </xf>
    <xf numFmtId="0" fontId="41" fillId="0" borderId="1" xfId="0" applyFont="1" applyBorder="1" applyAlignment="1">
      <alignment horizontal="right" vertical="center"/>
    </xf>
    <xf numFmtId="2" fontId="41" fillId="0" borderId="1" xfId="0" applyNumberFormat="1" applyFont="1" applyBorder="1" applyAlignment="1">
      <alignment horizontal="right" vertical="center"/>
    </xf>
    <xf numFmtId="0" fontId="12" fillId="0" borderId="1" xfId="0" applyFont="1" applyBorder="1" applyAlignment="1">
      <alignment wrapText="1"/>
    </xf>
    <xf numFmtId="0" fontId="12" fillId="0" borderId="1" xfId="0" applyFont="1" applyBorder="1" applyAlignment="1">
      <alignment horizontal="center" vertical="center"/>
    </xf>
    <xf numFmtId="2" fontId="12" fillId="0" borderId="1" xfId="0" applyNumberFormat="1" applyFont="1" applyBorder="1" applyAlignment="1">
      <alignment horizontal="right" vertical="center"/>
    </xf>
    <xf numFmtId="49" fontId="7" fillId="0" borderId="8" xfId="0" applyNumberFormat="1" applyFont="1" applyBorder="1" applyAlignment="1">
      <alignment horizontal="center" vertical="center"/>
    </xf>
    <xf numFmtId="16" fontId="7" fillId="0" borderId="8" xfId="0" applyNumberFormat="1" applyFont="1" applyBorder="1" applyAlignment="1">
      <alignment horizontal="center" vertical="center"/>
    </xf>
    <xf numFmtId="0" fontId="20" fillId="0" borderId="8" xfId="0" applyFont="1" applyBorder="1" applyAlignment="1">
      <alignment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vertical="center"/>
    </xf>
    <xf numFmtId="0" fontId="7" fillId="0" borderId="8" xfId="0" applyFont="1" applyBorder="1" applyAlignment="1">
      <alignment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16" fontId="7"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 fontId="41" fillId="0" borderId="12" xfId="0" applyNumberFormat="1" applyFont="1" applyBorder="1" applyAlignment="1">
      <alignment vertical="center"/>
    </xf>
    <xf numFmtId="1" fontId="41" fillId="0" borderId="45" xfId="0" applyNumberFormat="1" applyFont="1" applyBorder="1" applyAlignment="1">
      <alignment vertical="center"/>
    </xf>
    <xf numFmtId="1" fontId="12" fillId="0" borderId="1" xfId="0" applyNumberFormat="1" applyFont="1" applyBorder="1" applyAlignment="1">
      <alignment vertical="center"/>
    </xf>
    <xf numFmtId="1" fontId="12" fillId="0" borderId="29" xfId="0" applyNumberFormat="1" applyFont="1" applyBorder="1" applyAlignment="1">
      <alignment vertical="center"/>
    </xf>
    <xf numFmtId="1" fontId="41" fillId="0" borderId="1" xfId="0" applyNumberFormat="1" applyFont="1" applyBorder="1" applyAlignment="1">
      <alignment vertical="center"/>
    </xf>
    <xf numFmtId="1" fontId="41" fillId="0" borderId="29" xfId="0" applyNumberFormat="1" applyFont="1" applyBorder="1" applyAlignment="1">
      <alignment vertical="center"/>
    </xf>
    <xf numFmtId="1" fontId="7" fillId="0" borderId="12" xfId="0" applyNumberFormat="1" applyFont="1" applyBorder="1" applyAlignment="1">
      <alignment vertical="center"/>
    </xf>
    <xf numFmtId="167" fontId="7" fillId="0" borderId="12" xfId="0" applyNumberFormat="1" applyFont="1" applyBorder="1" applyAlignment="1">
      <alignment vertical="center"/>
    </xf>
    <xf numFmtId="167" fontId="7" fillId="0" borderId="45" xfId="0" applyNumberFormat="1" applyFont="1" applyBorder="1" applyAlignment="1">
      <alignment vertical="center"/>
    </xf>
    <xf numFmtId="0" fontId="7" fillId="0" borderId="1" xfId="0" applyFont="1" applyBorder="1" applyAlignment="1">
      <alignment vertical="center"/>
    </xf>
    <xf numFmtId="167" fontId="7" fillId="0" borderId="1" xfId="0" applyNumberFormat="1" applyFont="1" applyBorder="1" applyAlignment="1">
      <alignment vertical="center"/>
    </xf>
    <xf numFmtId="167" fontId="7" fillId="0" borderId="29" xfId="0" applyNumberFormat="1" applyFont="1" applyBorder="1" applyAlignment="1">
      <alignment vertical="center"/>
    </xf>
    <xf numFmtId="3" fontId="7" fillId="0" borderId="29" xfId="0" applyNumberFormat="1" applyFont="1" applyBorder="1" applyAlignment="1">
      <alignment vertical="center"/>
    </xf>
    <xf numFmtId="167" fontId="6" fillId="0" borderId="1" xfId="0" applyNumberFormat="1" applyFont="1" applyBorder="1" applyAlignment="1">
      <alignment vertical="center"/>
    </xf>
    <xf numFmtId="167" fontId="6" fillId="0" borderId="29" xfId="0" applyNumberFormat="1" applyFont="1" applyBorder="1" applyAlignment="1">
      <alignment vertical="center"/>
    </xf>
    <xf numFmtId="165" fontId="6" fillId="0" borderId="1" xfId="0" applyNumberFormat="1" applyFont="1" applyBorder="1" applyAlignment="1">
      <alignment vertical="center"/>
    </xf>
    <xf numFmtId="165" fontId="6" fillId="0" borderId="29" xfId="0" applyNumberFormat="1" applyFont="1" applyBorder="1" applyAlignment="1">
      <alignment vertical="center"/>
    </xf>
    <xf numFmtId="1" fontId="6" fillId="0" borderId="1" xfId="0" applyNumberFormat="1" applyFont="1" applyBorder="1" applyAlignment="1">
      <alignment vertical="center"/>
    </xf>
    <xf numFmtId="1" fontId="6" fillId="0" borderId="29" xfId="0" applyNumberFormat="1" applyFont="1" applyBorder="1" applyAlignment="1">
      <alignment vertical="center"/>
    </xf>
    <xf numFmtId="0" fontId="17" fillId="0" borderId="35" xfId="0" applyFont="1" applyBorder="1" applyAlignment="1">
      <alignment vertical="top" wrapText="1"/>
    </xf>
    <xf numFmtId="0" fontId="6" fillId="0" borderId="36" xfId="0" applyFont="1" applyBorder="1" applyAlignment="1">
      <alignment vertical="center" wrapText="1"/>
    </xf>
    <xf numFmtId="0" fontId="0" fillId="0" borderId="13" xfId="0" applyFont="1" applyBorder="1"/>
    <xf numFmtId="0" fontId="0" fillId="0" borderId="0" xfId="0" applyFont="1" applyBorder="1"/>
    <xf numFmtId="0" fontId="0" fillId="0" borderId="6" xfId="0" applyFont="1" applyBorder="1"/>
    <xf numFmtId="49" fontId="20" fillId="0" borderId="8" xfId="0" applyNumberFormat="1" applyFont="1" applyBorder="1" applyAlignment="1">
      <alignment horizontal="center" vertical="center" wrapText="1"/>
    </xf>
    <xf numFmtId="0" fontId="20" fillId="0" borderId="0" xfId="0" applyFont="1"/>
    <xf numFmtId="0" fontId="60" fillId="0" borderId="0" xfId="0" applyFont="1" applyBorder="1"/>
    <xf numFmtId="164" fontId="41" fillId="3" borderId="11" xfId="0" applyNumberFormat="1" applyFont="1" applyFill="1" applyBorder="1" applyAlignment="1">
      <alignment horizontal="right"/>
    </xf>
    <xf numFmtId="0" fontId="41" fillId="3" borderId="15" xfId="0" applyFont="1" applyFill="1" applyBorder="1" applyAlignment="1">
      <alignment horizontal="right"/>
    </xf>
    <xf numFmtId="0" fontId="41" fillId="3" borderId="12" xfId="0" applyFont="1" applyFill="1" applyBorder="1" applyAlignment="1">
      <alignment horizontal="right"/>
    </xf>
    <xf numFmtId="9" fontId="41" fillId="3" borderId="12" xfId="0" applyNumberFormat="1" applyFont="1" applyFill="1" applyBorder="1"/>
    <xf numFmtId="0" fontId="0" fillId="3" borderId="15" xfId="0" applyFont="1" applyFill="1" applyBorder="1"/>
    <xf numFmtId="0" fontId="0" fillId="3" borderId="11" xfId="0" applyFont="1" applyFill="1" applyBorder="1"/>
    <xf numFmtId="164" fontId="0" fillId="3" borderId="11" xfId="0" applyNumberFormat="1" applyFont="1" applyFill="1" applyBorder="1"/>
    <xf numFmtId="164" fontId="0" fillId="3" borderId="12" xfId="0" applyNumberFormat="1" applyFont="1" applyFill="1" applyBorder="1"/>
    <xf numFmtId="0" fontId="43" fillId="0" borderId="45" xfId="0" applyFont="1" applyFill="1" applyBorder="1" applyAlignment="1">
      <alignment horizontal="center" vertical="top" wrapText="1"/>
    </xf>
    <xf numFmtId="0" fontId="7" fillId="7" borderId="16" xfId="0" applyFont="1" applyFill="1" applyBorder="1" applyAlignment="1">
      <alignment horizontal="center" vertical="top" wrapText="1"/>
    </xf>
    <xf numFmtId="0" fontId="7" fillId="7" borderId="18" xfId="0" applyFont="1" applyFill="1" applyBorder="1" applyAlignment="1">
      <alignment horizontal="center" vertical="top" wrapText="1"/>
    </xf>
    <xf numFmtId="0" fontId="41" fillId="0" borderId="12" xfId="0" applyFont="1" applyBorder="1" applyAlignment="1">
      <alignment horizontal="center" vertical="center"/>
    </xf>
    <xf numFmtId="0" fontId="7" fillId="7" borderId="16" xfId="0" applyFont="1" applyFill="1" applyBorder="1" applyAlignment="1">
      <alignment horizontal="center" vertical="center" wrapText="1"/>
    </xf>
    <xf numFmtId="0" fontId="41" fillId="0" borderId="12" xfId="0" applyFont="1" applyBorder="1" applyAlignment="1">
      <alignment wrapText="1"/>
    </xf>
    <xf numFmtId="0" fontId="7" fillId="7" borderId="16" xfId="0" applyFont="1" applyFill="1" applyBorder="1" applyAlignment="1">
      <alignment vertical="top" wrapText="1"/>
    </xf>
    <xf numFmtId="0" fontId="7" fillId="7" borderId="44" xfId="0" applyFont="1" applyFill="1" applyBorder="1" applyAlignment="1">
      <alignment horizontal="center" vertical="center" wrapText="1"/>
    </xf>
    <xf numFmtId="0" fontId="6" fillId="7" borderId="37" xfId="0" applyFont="1" applyFill="1" applyBorder="1" applyAlignment="1">
      <alignment vertical="top" wrapText="1"/>
    </xf>
    <xf numFmtId="0" fontId="7" fillId="7" borderId="19"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1" fillId="0" borderId="0" xfId="4" applyBorder="1"/>
    <xf numFmtId="167" fontId="61" fillId="0" borderId="0" xfId="4" applyNumberFormat="1" applyBorder="1" applyAlignment="1">
      <alignment vertical="center"/>
    </xf>
    <xf numFmtId="0" fontId="61" fillId="0" borderId="6" xfId="4" applyBorder="1"/>
    <xf numFmtId="168" fontId="41" fillId="0" borderId="0" xfId="0" applyNumberFormat="1" applyFont="1"/>
    <xf numFmtId="0" fontId="41" fillId="0" borderId="14" xfId="0" applyFont="1" applyFill="1" applyBorder="1" applyAlignment="1">
      <alignment horizontal="center"/>
    </xf>
    <xf numFmtId="0" fontId="61" fillId="0" borderId="0" xfId="4" applyFill="1" applyBorder="1" applyAlignment="1">
      <alignment wrapText="1"/>
    </xf>
    <xf numFmtId="0" fontId="10" fillId="5" borderId="1"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6"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7" fillId="0" borderId="8" xfId="0" applyFont="1" applyBorder="1" applyAlignment="1">
      <alignment wrapText="1"/>
    </xf>
    <xf numFmtId="0" fontId="7" fillId="0" borderId="9" xfId="0" applyFont="1" applyBorder="1" applyAlignment="1">
      <alignment wrapText="1"/>
    </xf>
    <xf numFmtId="0" fontId="7" fillId="0" borderId="8" xfId="0" applyFont="1" applyBorder="1"/>
    <xf numFmtId="0" fontId="7" fillId="0" borderId="10" xfId="0" applyFont="1" applyBorder="1"/>
    <xf numFmtId="0" fontId="7" fillId="0" borderId="9" xfId="0" applyFont="1" applyBorder="1"/>
    <xf numFmtId="0" fontId="12" fillId="8" borderId="8" xfId="0" applyFont="1" applyFill="1" applyBorder="1" applyAlignment="1">
      <alignment horizontal="center"/>
    </xf>
    <xf numFmtId="0" fontId="12" fillId="8" borderId="10" xfId="0" applyFont="1" applyFill="1" applyBorder="1" applyAlignment="1">
      <alignment horizontal="center"/>
    </xf>
    <xf numFmtId="0" fontId="12" fillId="8" borderId="9" xfId="0" applyFont="1" applyFill="1" applyBorder="1" applyAlignment="1">
      <alignment horizontal="center"/>
    </xf>
    <xf numFmtId="3" fontId="12" fillId="0" borderId="5" xfId="0" applyNumberFormat="1" applyFont="1" applyFill="1" applyBorder="1"/>
    <xf numFmtId="3" fontId="12" fillId="0" borderId="6" xfId="0" applyNumberFormat="1" applyFont="1" applyFill="1" applyBorder="1"/>
    <xf numFmtId="3" fontId="12" fillId="0" borderId="7" xfId="0" applyNumberFormat="1" applyFont="1" applyFill="1" applyBorder="1"/>
    <xf numFmtId="3" fontId="12" fillId="0" borderId="5" xfId="0" applyNumberFormat="1" applyFont="1" applyBorder="1"/>
    <xf numFmtId="3" fontId="12" fillId="0" borderId="6" xfId="0" applyNumberFormat="1" applyFont="1" applyBorder="1"/>
    <xf numFmtId="3" fontId="12" fillId="0" borderId="7" xfId="0" applyNumberFormat="1" applyFont="1" applyBorder="1"/>
    <xf numFmtId="0" fontId="22" fillId="0" borderId="8" xfId="0" applyFont="1" applyBorder="1" applyAlignment="1">
      <alignment horizontal="center"/>
    </xf>
    <xf numFmtId="0" fontId="22" fillId="0" borderId="10" xfId="0" applyFont="1" applyBorder="1" applyAlignment="1">
      <alignment horizontal="center"/>
    </xf>
    <xf numFmtId="0" fontId="22" fillId="0" borderId="9" xfId="0" applyFont="1" applyBorder="1" applyAlignment="1">
      <alignment horizontal="center"/>
    </xf>
    <xf numFmtId="0" fontId="0" fillId="0" borderId="0" xfId="0" applyAlignment="1">
      <alignment horizontal="center"/>
    </xf>
    <xf numFmtId="0" fontId="43" fillId="0" borderId="3" xfId="0" applyFont="1" applyBorder="1" applyAlignment="1">
      <alignment horizontal="left" wrapText="1"/>
    </xf>
    <xf numFmtId="0" fontId="43" fillId="0" borderId="3" xfId="0" applyFont="1" applyBorder="1" applyAlignment="1">
      <alignment horizontal="left"/>
    </xf>
    <xf numFmtId="0" fontId="43" fillId="0" borderId="4" xfId="0" applyFont="1" applyBorder="1" applyAlignment="1">
      <alignment horizontal="left"/>
    </xf>
    <xf numFmtId="0" fontId="43" fillId="0" borderId="0" xfId="0" applyFont="1" applyBorder="1" applyAlignment="1">
      <alignment horizontal="left" wrapText="1"/>
    </xf>
    <xf numFmtId="0" fontId="43" fillId="0" borderId="0" xfId="0" applyFont="1" applyBorder="1" applyAlignment="1">
      <alignment horizontal="left"/>
    </xf>
    <xf numFmtId="0" fontId="43" fillId="0" borderId="14" xfId="0" applyFont="1" applyBorder="1" applyAlignment="1">
      <alignment horizontal="left"/>
    </xf>
    <xf numFmtId="0" fontId="12" fillId="0" borderId="8" xfId="0" applyFont="1" applyBorder="1"/>
    <xf numFmtId="0" fontId="12" fillId="0" borderId="10" xfId="0" applyFont="1" applyBorder="1"/>
    <xf numFmtId="0" fontId="12" fillId="0" borderId="9" xfId="0" applyFont="1" applyBorder="1"/>
    <xf numFmtId="0" fontId="43" fillId="0" borderId="4" xfId="0" applyFont="1" applyBorder="1" applyAlignment="1">
      <alignment horizontal="left" wrapText="1"/>
    </xf>
    <xf numFmtId="0" fontId="12" fillId="0" borderId="53" xfId="0" applyFont="1" applyBorder="1"/>
    <xf numFmtId="0" fontId="12" fillId="0" borderId="54" xfId="0" applyFont="1" applyBorder="1"/>
    <xf numFmtId="0" fontId="12" fillId="0" borderId="33" xfId="0" applyFont="1" applyBorder="1"/>
    <xf numFmtId="3" fontId="12" fillId="0" borderId="53" xfId="0" applyNumberFormat="1" applyFont="1" applyFill="1" applyBorder="1"/>
    <xf numFmtId="3" fontId="12" fillId="0" borderId="54" xfId="0" applyNumberFormat="1" applyFont="1" applyFill="1" applyBorder="1"/>
    <xf numFmtId="3" fontId="12" fillId="0" borderId="33" xfId="0" applyNumberFormat="1" applyFont="1" applyFill="1" applyBorder="1"/>
    <xf numFmtId="3" fontId="12" fillId="0" borderId="53" xfId="0" applyNumberFormat="1" applyFont="1" applyBorder="1"/>
    <xf numFmtId="3" fontId="12" fillId="0" borderId="54" xfId="0" applyNumberFormat="1" applyFont="1" applyBorder="1"/>
    <xf numFmtId="3" fontId="12" fillId="0" borderId="33" xfId="0" applyNumberFormat="1" applyFont="1" applyBorder="1"/>
    <xf numFmtId="0" fontId="43" fillId="0" borderId="14" xfId="0" applyFont="1" applyBorder="1" applyAlignment="1">
      <alignment horizontal="left" wrapText="1"/>
    </xf>
    <xf numFmtId="0" fontId="0" fillId="0" borderId="10" xfId="0" applyBorder="1" applyAlignment="1">
      <alignment horizontal="center"/>
    </xf>
    <xf numFmtId="0" fontId="0" fillId="0" borderId="6" xfId="0" applyFont="1" applyBorder="1" applyAlignment="1">
      <alignment horizontal="left"/>
    </xf>
    <xf numFmtId="0" fontId="0" fillId="0" borderId="7" xfId="0" applyFont="1" applyBorder="1" applyAlignment="1">
      <alignment horizontal="left"/>
    </xf>
    <xf numFmtId="0" fontId="0" fillId="8" borderId="8" xfId="0" applyFill="1" applyBorder="1" applyAlignment="1">
      <alignment horizontal="center"/>
    </xf>
    <xf numFmtId="0" fontId="0" fillId="8" borderId="10" xfId="0" applyFill="1" applyBorder="1" applyAlignment="1">
      <alignment horizontal="center"/>
    </xf>
    <xf numFmtId="0" fontId="0" fillId="8" borderId="9" xfId="0" applyFill="1" applyBorder="1" applyAlignment="1">
      <alignment horizontal="center"/>
    </xf>
    <xf numFmtId="0" fontId="0" fillId="8" borderId="2" xfId="0" applyFill="1" applyBorder="1" applyAlignment="1">
      <alignment horizontal="center"/>
    </xf>
    <xf numFmtId="0" fontId="0" fillId="7" borderId="8" xfId="0" applyFill="1" applyBorder="1" applyAlignment="1">
      <alignment horizontal="center"/>
    </xf>
    <xf numFmtId="0" fontId="0" fillId="7" borderId="10" xfId="0" applyFill="1" applyBorder="1" applyAlignment="1">
      <alignment horizontal="center"/>
    </xf>
    <xf numFmtId="0" fontId="0" fillId="7" borderId="9" xfId="0" applyFill="1" applyBorder="1" applyAlignment="1">
      <alignment horizontal="center"/>
    </xf>
    <xf numFmtId="0" fontId="0" fillId="0" borderId="6" xfId="0" applyBorder="1" applyAlignment="1">
      <alignment horizontal="left" wrapText="1"/>
    </xf>
    <xf numFmtId="0" fontId="0" fillId="0" borderId="7"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6" borderId="1" xfId="0" applyFill="1" applyBorder="1" applyAlignment="1">
      <alignment horizontal="center"/>
    </xf>
    <xf numFmtId="0" fontId="0" fillId="8" borderId="1" xfId="0" applyFill="1" applyBorder="1" applyAlignment="1">
      <alignment horizontal="center"/>
    </xf>
    <xf numFmtId="0" fontId="0" fillId="0" borderId="0" xfId="0" applyBorder="1" applyAlignment="1">
      <alignment horizontal="left" wrapText="1"/>
    </xf>
    <xf numFmtId="0" fontId="0" fillId="0" borderId="14" xfId="0" applyBorder="1" applyAlignment="1">
      <alignment horizontal="left" wrapText="1"/>
    </xf>
    <xf numFmtId="0" fontId="8" fillId="0" borderId="0" xfId="0" applyFont="1" applyBorder="1" applyAlignment="1">
      <alignment horizontal="left"/>
    </xf>
    <xf numFmtId="0" fontId="43" fillId="0" borderId="8" xfId="0" applyFont="1" applyBorder="1"/>
    <xf numFmtId="0" fontId="43" fillId="0" borderId="10" xfId="0" applyFont="1" applyBorder="1"/>
    <xf numFmtId="0" fontId="57" fillId="8" borderId="1" xfId="0" applyFont="1" applyFill="1" applyBorder="1" applyAlignment="1">
      <alignment horizontal="center"/>
    </xf>
    <xf numFmtId="0" fontId="12" fillId="8" borderId="1" xfId="0" applyFont="1" applyFill="1" applyBorder="1" applyAlignment="1">
      <alignment horizontal="center"/>
    </xf>
    <xf numFmtId="9" fontId="12" fillId="8" borderId="1" xfId="0" applyNumberFormat="1" applyFont="1" applyFill="1" applyBorder="1" applyAlignment="1">
      <alignment horizontal="center"/>
    </xf>
    <xf numFmtId="0" fontId="41" fillId="0" borderId="1" xfId="0" applyFont="1" applyBorder="1" applyAlignment="1">
      <alignment horizontal="left"/>
    </xf>
    <xf numFmtId="0" fontId="41" fillId="0" borderId="1" xfId="0" applyFont="1" applyFill="1" applyBorder="1" applyAlignment="1">
      <alignment horizontal="center"/>
    </xf>
    <xf numFmtId="0" fontId="41" fillId="0" borderId="1" xfId="0" applyFont="1" applyBorder="1" applyAlignment="1">
      <alignment horizontal="center"/>
    </xf>
    <xf numFmtId="0" fontId="12" fillId="7" borderId="1" xfId="0" applyFont="1" applyFill="1" applyBorder="1" applyAlignment="1">
      <alignment horizontal="center"/>
    </xf>
    <xf numFmtId="1" fontId="12" fillId="8" borderId="1" xfId="0" applyNumberFormat="1" applyFont="1" applyFill="1" applyBorder="1" applyAlignment="1">
      <alignment horizontal="center"/>
    </xf>
    <xf numFmtId="0" fontId="41" fillId="0" borderId="8" xfId="0" applyFont="1" applyFill="1" applyBorder="1" applyAlignment="1">
      <alignment horizontal="center"/>
    </xf>
    <xf numFmtId="0" fontId="41" fillId="0" borderId="10" xfId="0" applyFont="1" applyFill="1" applyBorder="1" applyAlignment="1">
      <alignment horizontal="center"/>
    </xf>
    <xf numFmtId="0" fontId="41" fillId="0" borderId="9" xfId="0" applyFont="1" applyFill="1" applyBorder="1" applyAlignment="1">
      <alignment horizontal="center"/>
    </xf>
    <xf numFmtId="0" fontId="57" fillId="8" borderId="8" xfId="0" applyFont="1" applyFill="1" applyBorder="1" applyAlignment="1">
      <alignment horizontal="center"/>
    </xf>
    <xf numFmtId="0" fontId="57" fillId="8" borderId="10" xfId="0" applyFont="1" applyFill="1" applyBorder="1" applyAlignment="1">
      <alignment horizontal="center"/>
    </xf>
    <xf numFmtId="0" fontId="57" fillId="8" borderId="9" xfId="0" applyFont="1" applyFill="1" applyBorder="1" applyAlignment="1">
      <alignment horizontal="center"/>
    </xf>
    <xf numFmtId="0" fontId="8" fillId="8" borderId="1" xfId="0" applyFont="1" applyFill="1" applyBorder="1" applyAlignment="1">
      <alignment horizontal="center"/>
    </xf>
    <xf numFmtId="0" fontId="58" fillId="0" borderId="8" xfId="0" applyFont="1" applyBorder="1" applyAlignment="1">
      <alignment horizontal="center"/>
    </xf>
    <xf numFmtId="0" fontId="58" fillId="0" borderId="10" xfId="0" applyFont="1" applyBorder="1" applyAlignment="1">
      <alignment horizontal="center"/>
    </xf>
    <xf numFmtId="0" fontId="58" fillId="0" borderId="9" xfId="0" applyFont="1" applyBorder="1" applyAlignment="1">
      <alignment horizontal="center"/>
    </xf>
    <xf numFmtId="0" fontId="12" fillId="7" borderId="8" xfId="0" applyFont="1" applyFill="1" applyBorder="1" applyAlignment="1">
      <alignment horizontal="center"/>
    </xf>
    <xf numFmtId="0" fontId="12" fillId="7" borderId="10" xfId="0" applyFont="1" applyFill="1" applyBorder="1" applyAlignment="1">
      <alignment horizontal="center"/>
    </xf>
    <xf numFmtId="0" fontId="12" fillId="7" borderId="9" xfId="0" applyFont="1" applyFill="1" applyBorder="1" applyAlignment="1">
      <alignment horizontal="center"/>
    </xf>
  </cellXfs>
  <cellStyles count="5">
    <cellStyle name="Komma" xfId="2" builtinId="3"/>
    <cellStyle name="Link" xfId="4" builtinId="8"/>
    <cellStyle name="Prozent" xfId="1" builtinId="5"/>
    <cellStyle name="Standard" xfId="0" builtinId="0"/>
    <cellStyle name="Standard 2" xfId="3"/>
  </cellStyles>
  <dxfs count="0"/>
  <tableStyles count="0" defaultTableStyle="TableStyleMedium9" defaultPivotStyle="PivotStyleLight16"/>
  <colors>
    <mruColors>
      <color rgb="FFFFFF97"/>
      <color rgb="FF0000FF"/>
      <color rgb="FF8DB4E3"/>
      <color rgb="FFD0E0F4"/>
      <color rgb="FFD0EBF4"/>
      <color rgb="FFBEFFB9"/>
      <color rgb="FF2E5DF2"/>
      <color rgb="FFFFDBB7"/>
      <color rgb="FF092A93"/>
      <color rgb="FFBBE1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Investitionskosten total für die Sanierungsvarianten</a:t>
            </a:r>
          </a:p>
        </c:rich>
      </c:tx>
      <c:overlay val="0"/>
    </c:title>
    <c:autoTitleDeleted val="0"/>
    <c:plotArea>
      <c:layout/>
      <c:barChart>
        <c:barDir val="col"/>
        <c:grouping val="stacked"/>
        <c:varyColors val="0"/>
        <c:ser>
          <c:idx val="24"/>
          <c:order val="0"/>
          <c:tx>
            <c:strRef>
              <c:f>Berechnungen!$E$8</c:f>
              <c:strCache>
                <c:ptCount val="1"/>
                <c:pt idx="0">
                  <c:v>Planung</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Berechnungen!$G$8:$N$8</c:f>
              <c:numCache>
                <c:formatCode>#,##0</c:formatCode>
                <c:ptCount val="8"/>
                <c:pt idx="0">
                  <c:v>20000</c:v>
                </c:pt>
                <c:pt idx="1">
                  <c:v>40000</c:v>
                </c:pt>
                <c:pt idx="2">
                  <c:v>60000</c:v>
                </c:pt>
                <c:pt idx="3">
                  <c:v>90000</c:v>
                </c:pt>
                <c:pt idx="4">
                  <c:v>40000</c:v>
                </c:pt>
                <c:pt idx="5">
                  <c:v>40000</c:v>
                </c:pt>
                <c:pt idx="6">
                  <c:v>60000</c:v>
                </c:pt>
                <c:pt idx="7">
                  <c:v>90000</c:v>
                </c:pt>
              </c:numCache>
            </c:numRef>
          </c:val>
        </c:ser>
        <c:ser>
          <c:idx val="0"/>
          <c:order val="1"/>
          <c:tx>
            <c:strRef>
              <c:f>Berechnungen!$E$9</c:f>
              <c:strCache>
                <c:ptCount val="1"/>
                <c:pt idx="0">
                  <c:v>Dach / Estrich</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Berechnungen!$G$9:$N$9</c:f>
              <c:numCache>
                <c:formatCode>#,##0</c:formatCode>
                <c:ptCount val="8"/>
                <c:pt idx="0">
                  <c:v>0</c:v>
                </c:pt>
                <c:pt idx="1">
                  <c:v>31350</c:v>
                </c:pt>
                <c:pt idx="2">
                  <c:v>31350</c:v>
                </c:pt>
                <c:pt idx="3">
                  <c:v>39600</c:v>
                </c:pt>
                <c:pt idx="4">
                  <c:v>31350</c:v>
                </c:pt>
                <c:pt idx="5">
                  <c:v>31350</c:v>
                </c:pt>
                <c:pt idx="6">
                  <c:v>31350</c:v>
                </c:pt>
                <c:pt idx="7">
                  <c:v>39600</c:v>
                </c:pt>
              </c:numCache>
            </c:numRef>
          </c:val>
        </c:ser>
        <c:ser>
          <c:idx val="1"/>
          <c:order val="2"/>
          <c:tx>
            <c:strRef>
              <c:f>Berechnungen!$E$10</c:f>
              <c:strCache>
                <c:ptCount val="1"/>
                <c:pt idx="0">
                  <c:v>Wand</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Berechnungen!$G$10:$N$10</c:f>
              <c:numCache>
                <c:formatCode>#,##0</c:formatCode>
                <c:ptCount val="8"/>
                <c:pt idx="0">
                  <c:v>57600</c:v>
                </c:pt>
                <c:pt idx="1">
                  <c:v>172000</c:v>
                </c:pt>
                <c:pt idx="2">
                  <c:v>172000</c:v>
                </c:pt>
                <c:pt idx="3">
                  <c:v>200000</c:v>
                </c:pt>
                <c:pt idx="4">
                  <c:v>57600</c:v>
                </c:pt>
                <c:pt idx="5">
                  <c:v>172000</c:v>
                </c:pt>
                <c:pt idx="6">
                  <c:v>172000</c:v>
                </c:pt>
                <c:pt idx="7">
                  <c:v>200000</c:v>
                </c:pt>
              </c:numCache>
            </c:numRef>
          </c:val>
        </c:ser>
        <c:ser>
          <c:idx val="2"/>
          <c:order val="3"/>
          <c:tx>
            <c:strRef>
              <c:f>Berechnungen!$E$11</c:f>
              <c:strCache>
                <c:ptCount val="1"/>
                <c:pt idx="0">
                  <c:v>Kellerdecke</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Berechnungen!$G$11:$N$11</c:f>
              <c:numCache>
                <c:formatCode>#,##0</c:formatCode>
                <c:ptCount val="8"/>
                <c:pt idx="0">
                  <c:v>0</c:v>
                </c:pt>
                <c:pt idx="1">
                  <c:v>28050</c:v>
                </c:pt>
                <c:pt idx="2">
                  <c:v>28050</c:v>
                </c:pt>
                <c:pt idx="3">
                  <c:v>33000</c:v>
                </c:pt>
                <c:pt idx="4">
                  <c:v>28050</c:v>
                </c:pt>
                <c:pt idx="5">
                  <c:v>28050</c:v>
                </c:pt>
                <c:pt idx="6">
                  <c:v>28050</c:v>
                </c:pt>
                <c:pt idx="7">
                  <c:v>33000</c:v>
                </c:pt>
              </c:numCache>
            </c:numRef>
          </c:val>
        </c:ser>
        <c:ser>
          <c:idx val="3"/>
          <c:order val="4"/>
          <c:tx>
            <c:strRef>
              <c:f>Berechnungen!$E$12</c:f>
              <c:strCache>
                <c:ptCount val="1"/>
                <c:pt idx="0">
                  <c:v>Fenster</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Berechnungen!$G$12:$N$12</c:f>
              <c:numCache>
                <c:formatCode>#,##0</c:formatCode>
                <c:ptCount val="8"/>
                <c:pt idx="0">
                  <c:v>9500</c:v>
                </c:pt>
                <c:pt idx="1">
                  <c:v>72000</c:v>
                </c:pt>
                <c:pt idx="2">
                  <c:v>72000</c:v>
                </c:pt>
                <c:pt idx="3">
                  <c:v>80000</c:v>
                </c:pt>
                <c:pt idx="4">
                  <c:v>72000</c:v>
                </c:pt>
                <c:pt idx="5">
                  <c:v>72000</c:v>
                </c:pt>
                <c:pt idx="6">
                  <c:v>72000</c:v>
                </c:pt>
                <c:pt idx="7">
                  <c:v>80000</c:v>
                </c:pt>
              </c:numCache>
            </c:numRef>
          </c:val>
        </c:ser>
        <c:ser>
          <c:idx val="4"/>
          <c:order val="5"/>
          <c:tx>
            <c:strRef>
              <c:f>Berechnungen!$E$15</c:f>
              <c:strCache>
                <c:ptCount val="1"/>
                <c:pt idx="0">
                  <c:v>Komfortlüftung</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Berechnungen!$G$15:$N$15</c:f>
              <c:numCache>
                <c:formatCode>#,##0</c:formatCode>
                <c:ptCount val="8"/>
                <c:pt idx="0">
                  <c:v>0</c:v>
                </c:pt>
                <c:pt idx="1">
                  <c:v>0</c:v>
                </c:pt>
                <c:pt idx="2">
                  <c:v>100000</c:v>
                </c:pt>
                <c:pt idx="3">
                  <c:v>100000</c:v>
                </c:pt>
                <c:pt idx="4">
                  <c:v>0</c:v>
                </c:pt>
                <c:pt idx="5">
                  <c:v>0</c:v>
                </c:pt>
                <c:pt idx="6">
                  <c:v>100000</c:v>
                </c:pt>
                <c:pt idx="7">
                  <c:v>100000</c:v>
                </c:pt>
              </c:numCache>
            </c:numRef>
          </c:val>
        </c:ser>
        <c:ser>
          <c:idx val="5"/>
          <c:order val="6"/>
          <c:tx>
            <c:strRef>
              <c:f>Berechnungen!$E$16</c:f>
              <c:strCache>
                <c:ptCount val="1"/>
                <c:pt idx="0">
                  <c:v>Luftdichtigkeit</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Berechnungen!$G$16:$N$16</c:f>
              <c:numCache>
                <c:formatCode>#,##0</c:formatCode>
                <c:ptCount val="8"/>
                <c:pt idx="0">
                  <c:v>0</c:v>
                </c:pt>
                <c:pt idx="1">
                  <c:v>0</c:v>
                </c:pt>
                <c:pt idx="2">
                  <c:v>0</c:v>
                </c:pt>
                <c:pt idx="3">
                  <c:v>40000</c:v>
                </c:pt>
                <c:pt idx="4">
                  <c:v>0</c:v>
                </c:pt>
                <c:pt idx="5">
                  <c:v>0</c:v>
                </c:pt>
                <c:pt idx="6">
                  <c:v>0</c:v>
                </c:pt>
                <c:pt idx="7">
                  <c:v>40000</c:v>
                </c:pt>
              </c:numCache>
            </c:numRef>
          </c:val>
        </c:ser>
        <c:ser>
          <c:idx val="6"/>
          <c:order val="7"/>
          <c:tx>
            <c:strRef>
              <c:f>Berechnungen!$E$17</c:f>
              <c:strCache>
                <c:ptCount val="1"/>
                <c:pt idx="0">
                  <c:v>Photovoltaik</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Berechnungen!$G$17:$N$17</c:f>
              <c:numCache>
                <c:formatCode>General</c:formatCode>
                <c:ptCount val="8"/>
                <c:pt idx="0">
                  <c:v>0</c:v>
                </c:pt>
                <c:pt idx="1">
                  <c:v>0</c:v>
                </c:pt>
                <c:pt idx="2">
                  <c:v>0</c:v>
                </c:pt>
                <c:pt idx="3">
                  <c:v>0</c:v>
                </c:pt>
                <c:pt idx="4" formatCode="#,##0">
                  <c:v>100000</c:v>
                </c:pt>
                <c:pt idx="5" formatCode="#,##0">
                  <c:v>100000</c:v>
                </c:pt>
                <c:pt idx="6" formatCode="#,##0">
                  <c:v>100000</c:v>
                </c:pt>
                <c:pt idx="7" formatCode="#,##0">
                  <c:v>100000</c:v>
                </c:pt>
              </c:numCache>
            </c:numRef>
          </c:val>
        </c:ser>
        <c:ser>
          <c:idx val="7"/>
          <c:order val="8"/>
          <c:tx>
            <c:strRef>
              <c:f>Berechnungen!$E$18</c:f>
              <c:strCache>
                <c:ptCount val="1"/>
                <c:pt idx="0">
                  <c:v>Wärmepumpe</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Berechnungen!$G$18:$N$18</c:f>
              <c:numCache>
                <c:formatCode>General</c:formatCode>
                <c:ptCount val="8"/>
                <c:pt idx="0">
                  <c:v>0</c:v>
                </c:pt>
                <c:pt idx="1">
                  <c:v>0</c:v>
                </c:pt>
                <c:pt idx="2" formatCode="#,##0">
                  <c:v>50000</c:v>
                </c:pt>
                <c:pt idx="3" formatCode="#,##0">
                  <c:v>50000</c:v>
                </c:pt>
                <c:pt idx="4" formatCode="#,##0">
                  <c:v>50000</c:v>
                </c:pt>
                <c:pt idx="5" formatCode="#,##0">
                  <c:v>50000</c:v>
                </c:pt>
                <c:pt idx="6" formatCode="#,##0">
                  <c:v>50000</c:v>
                </c:pt>
                <c:pt idx="7" formatCode="#,##0">
                  <c:v>50000</c:v>
                </c:pt>
              </c:numCache>
            </c:numRef>
          </c:val>
        </c:ser>
        <c:ser>
          <c:idx val="8"/>
          <c:order val="9"/>
          <c:tx>
            <c:strRef>
              <c:f>Berechnungen!$E$19</c:f>
              <c:strCache>
                <c:ptCount val="1"/>
                <c:pt idx="0">
                  <c:v>Heizkessel</c:v>
                </c:pt>
              </c:strCache>
            </c:strRef>
          </c:tx>
          <c:invertIfNegative val="0"/>
          <c:cat>
            <c:strRef>
              <c:f>Berechnungen!$G$38:$N$38</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Berechnungen!$G$19:$N$19</c:f>
              <c:numCache>
                <c:formatCode>#,##0</c:formatCode>
                <c:ptCount val="8"/>
                <c:pt idx="0">
                  <c:v>15000</c:v>
                </c:pt>
                <c:pt idx="1">
                  <c:v>15000</c:v>
                </c:pt>
                <c:pt idx="2">
                  <c:v>0</c:v>
                </c:pt>
                <c:pt idx="3">
                  <c:v>0</c:v>
                </c:pt>
                <c:pt idx="4" formatCode="General">
                  <c:v>0</c:v>
                </c:pt>
                <c:pt idx="5" formatCode="General">
                  <c:v>0</c:v>
                </c:pt>
                <c:pt idx="6" formatCode="General">
                  <c:v>0</c:v>
                </c:pt>
                <c:pt idx="7" formatCode="General">
                  <c:v>0</c:v>
                </c:pt>
              </c:numCache>
            </c:numRef>
          </c:val>
        </c:ser>
        <c:dLbls>
          <c:showLegendKey val="0"/>
          <c:showVal val="0"/>
          <c:showCatName val="0"/>
          <c:showSerName val="0"/>
          <c:showPercent val="0"/>
          <c:showBubbleSize val="0"/>
        </c:dLbls>
        <c:gapWidth val="150"/>
        <c:overlap val="100"/>
        <c:axId val="299291976"/>
        <c:axId val="299290408"/>
      </c:barChart>
      <c:catAx>
        <c:axId val="299291976"/>
        <c:scaling>
          <c:orientation val="minMax"/>
        </c:scaling>
        <c:delete val="0"/>
        <c:axPos val="b"/>
        <c:numFmt formatCode="General" sourceLinked="1"/>
        <c:majorTickMark val="out"/>
        <c:minorTickMark val="none"/>
        <c:tickLblPos val="nextTo"/>
        <c:txPr>
          <a:bodyPr/>
          <a:lstStyle/>
          <a:p>
            <a:pPr>
              <a:defRPr sz="1100"/>
            </a:pPr>
            <a:endParaRPr lang="de-DE"/>
          </a:p>
        </c:txPr>
        <c:crossAx val="299290408"/>
        <c:crosses val="autoZero"/>
        <c:auto val="1"/>
        <c:lblAlgn val="ctr"/>
        <c:lblOffset val="100"/>
        <c:noMultiLvlLbl val="0"/>
      </c:catAx>
      <c:valAx>
        <c:axId val="299290408"/>
        <c:scaling>
          <c:orientation val="minMax"/>
        </c:scaling>
        <c:delete val="0"/>
        <c:axPos val="l"/>
        <c:majorGridlines/>
        <c:title>
          <c:tx>
            <c:rich>
              <a:bodyPr rot="-5400000" vert="horz"/>
              <a:lstStyle/>
              <a:p>
                <a:pPr>
                  <a:defRPr sz="1400"/>
                </a:pPr>
                <a:r>
                  <a:rPr lang="en-US" sz="1400"/>
                  <a:t>Kosten in CHF</a:t>
                </a:r>
              </a:p>
            </c:rich>
          </c:tx>
          <c:layout>
            <c:manualLayout>
              <c:xMode val="edge"/>
              <c:yMode val="edge"/>
              <c:x val="1.0734139041754121E-2"/>
              <c:y val="0.31307464287011738"/>
            </c:manualLayout>
          </c:layout>
          <c:overlay val="0"/>
        </c:title>
        <c:numFmt formatCode="#,##0" sourceLinked="1"/>
        <c:majorTickMark val="out"/>
        <c:minorTickMark val="none"/>
        <c:tickLblPos val="nextTo"/>
        <c:txPr>
          <a:bodyPr/>
          <a:lstStyle/>
          <a:p>
            <a:pPr>
              <a:defRPr sz="1050"/>
            </a:pPr>
            <a:endParaRPr lang="de-DE"/>
          </a:p>
        </c:txPr>
        <c:crossAx val="299291976"/>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US" sz="1800" b="1" i="0" baseline="0"/>
              <a:t>MFH Sanierung_Energierenditen 1:</a:t>
            </a:r>
            <a:br>
              <a:rPr lang="en-US" sz="1800" b="1" i="0" baseline="0"/>
            </a:br>
            <a:r>
              <a:rPr lang="en-US" sz="1800" b="1" i="0" baseline="0"/>
              <a:t>Investitionskosten ohne/mit Subventionen, ohne/mit Steuerabzug</a:t>
            </a:r>
          </a:p>
        </c:rich>
      </c:tx>
      <c:layout>
        <c:manualLayout>
          <c:xMode val="edge"/>
          <c:yMode val="edge"/>
          <c:x val="0.14986069019326953"/>
          <c:y val="9.2730562770469184E-3"/>
        </c:manualLayout>
      </c:layout>
      <c:overlay val="0"/>
    </c:title>
    <c:autoTitleDeleted val="0"/>
    <c:plotArea>
      <c:layout>
        <c:manualLayout>
          <c:layoutTarget val="inner"/>
          <c:xMode val="edge"/>
          <c:yMode val="edge"/>
          <c:x val="8.9263666070084707E-2"/>
          <c:y val="0.12185824120294006"/>
          <c:w val="0.76011733880928378"/>
          <c:h val="0.57723518050809763"/>
        </c:manualLayout>
      </c:layout>
      <c:barChart>
        <c:barDir val="col"/>
        <c:grouping val="clustered"/>
        <c:varyColors val="0"/>
        <c:ser>
          <c:idx val="1"/>
          <c:order val="0"/>
          <c:tx>
            <c:strRef>
              <c:f>Berechnungen!$E$340</c:f>
              <c:strCache>
                <c:ptCount val="1"/>
                <c:pt idx="0">
                  <c:v>Energierendite 1A</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Berechnungen!$G$340:$N$340</c:f>
              <c:numCache>
                <c:formatCode>0.0%</c:formatCode>
                <c:ptCount val="8"/>
                <c:pt idx="0">
                  <c:v>1.762977473065622E-2</c:v>
                </c:pt>
                <c:pt idx="1">
                  <c:v>3.7792968749999996E-2</c:v>
                </c:pt>
                <c:pt idx="2">
                  <c:v>3.1600756859035004E-2</c:v>
                </c:pt>
                <c:pt idx="3">
                  <c:v>2.6180389322975475E-2</c:v>
                </c:pt>
                <c:pt idx="4">
                  <c:v>5.9630606860158308E-2</c:v>
                </c:pt>
                <c:pt idx="5">
                  <c:v>5.2527650703572869E-2</c:v>
                </c:pt>
                <c:pt idx="6">
                  <c:v>4.275159532348969E-2</c:v>
                </c:pt>
                <c:pt idx="7">
                  <c:v>3.6256776256776257E-2</c:v>
                </c:pt>
              </c:numCache>
            </c:numRef>
          </c:val>
        </c:ser>
        <c:ser>
          <c:idx val="2"/>
          <c:order val="1"/>
          <c:tx>
            <c:strRef>
              <c:f>Berechnungen!$E$342</c:f>
              <c:strCache>
                <c:ptCount val="1"/>
                <c:pt idx="0">
                  <c:v>Energierendite 1B</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Berechnungen!$G$342:$N$342</c:f>
              <c:numCache>
                <c:formatCode>0.0%</c:formatCode>
                <c:ptCount val="8"/>
                <c:pt idx="0">
                  <c:v>2.3506366307541625E-2</c:v>
                </c:pt>
                <c:pt idx="1">
                  <c:v>5.0390624999999994E-2</c:v>
                </c:pt>
                <c:pt idx="2">
                  <c:v>4.2134342478713338E-2</c:v>
                </c:pt>
                <c:pt idx="3">
                  <c:v>3.4907185763967299E-2</c:v>
                </c:pt>
                <c:pt idx="4">
                  <c:v>7.950747581354442E-2</c:v>
                </c:pt>
                <c:pt idx="5">
                  <c:v>7.0036867604763825E-2</c:v>
                </c:pt>
                <c:pt idx="6">
                  <c:v>5.7002127097986251E-2</c:v>
                </c:pt>
                <c:pt idx="7">
                  <c:v>4.8342368342368346E-2</c:v>
                </c:pt>
              </c:numCache>
            </c:numRef>
          </c:val>
        </c:ser>
        <c:ser>
          <c:idx val="0"/>
          <c:order val="2"/>
          <c:tx>
            <c:strRef>
              <c:f>Berechnungen!$E$344</c:f>
              <c:strCache>
                <c:ptCount val="1"/>
                <c:pt idx="0">
                  <c:v>Energierendite 1C</c:v>
                </c:pt>
              </c:strCache>
            </c:strRef>
          </c:tx>
          <c:invertIfNegative val="0"/>
          <c:val>
            <c:numRef>
              <c:f>Berechnungen!$G$344:$N$344</c:f>
              <c:numCache>
                <c:formatCode>0.0%</c:formatCode>
                <c:ptCount val="8"/>
                <c:pt idx="0">
                  <c:v>2.3506366307541625E-2</c:v>
                </c:pt>
                <c:pt idx="1">
                  <c:v>7.1780604133545298E-2</c:v>
                </c:pt>
                <c:pt idx="2">
                  <c:v>5.743964797815037E-2</c:v>
                </c:pt>
                <c:pt idx="3">
                  <c:v>4.7407225663988223E-2</c:v>
                </c:pt>
                <c:pt idx="4">
                  <c:v>0.10528767761472164</c:v>
                </c:pt>
                <c:pt idx="5">
                  <c:v>9.4261294261294259E-2</c:v>
                </c:pt>
                <c:pt idx="6">
                  <c:v>7.6577101975262296E-2</c:v>
                </c:pt>
                <c:pt idx="7">
                  <c:v>6.3720077451635562E-2</c:v>
                </c:pt>
              </c:numCache>
            </c:numRef>
          </c:val>
        </c:ser>
        <c:ser>
          <c:idx val="3"/>
          <c:order val="3"/>
          <c:tx>
            <c:strRef>
              <c:f>Berechnungen!$E$346</c:f>
              <c:strCache>
                <c:ptCount val="1"/>
                <c:pt idx="0">
                  <c:v>Energierendite 1D</c:v>
                </c:pt>
              </c:strCache>
            </c:strRef>
          </c:tx>
          <c:invertIfNegative val="0"/>
          <c:val>
            <c:numRef>
              <c:f>Berechnungen!$G$346:$N$346</c:f>
              <c:numCache>
                <c:formatCode>0.0%</c:formatCode>
                <c:ptCount val="8"/>
                <c:pt idx="0">
                  <c:v>1.762977473065622E-2</c:v>
                </c:pt>
                <c:pt idx="1">
                  <c:v>5.3835453100158977E-2</c:v>
                </c:pt>
                <c:pt idx="2">
                  <c:v>4.3079735983612776E-2</c:v>
                </c:pt>
                <c:pt idx="3">
                  <c:v>3.5555419247991167E-2</c:v>
                </c:pt>
                <c:pt idx="4">
                  <c:v>7.8965758211041223E-2</c:v>
                </c:pt>
                <c:pt idx="5">
                  <c:v>7.0695970695970695E-2</c:v>
                </c:pt>
                <c:pt idx="6">
                  <c:v>5.7432826481446722E-2</c:v>
                </c:pt>
                <c:pt idx="7">
                  <c:v>4.7790058088726675E-2</c:v>
                </c:pt>
              </c:numCache>
            </c:numRef>
          </c:val>
        </c:ser>
        <c:dLbls>
          <c:showLegendKey val="0"/>
          <c:showVal val="0"/>
          <c:showCatName val="0"/>
          <c:showSerName val="0"/>
          <c:showPercent val="0"/>
          <c:showBubbleSize val="0"/>
        </c:dLbls>
        <c:gapWidth val="150"/>
        <c:axId val="481968544"/>
        <c:axId val="481970112"/>
      </c:barChart>
      <c:catAx>
        <c:axId val="481968544"/>
        <c:scaling>
          <c:orientation val="minMax"/>
        </c:scaling>
        <c:delete val="0"/>
        <c:axPos val="b"/>
        <c:numFmt formatCode="General" sourceLinked="1"/>
        <c:majorTickMark val="out"/>
        <c:minorTickMark val="none"/>
        <c:tickLblPos val="nextTo"/>
        <c:txPr>
          <a:bodyPr/>
          <a:lstStyle/>
          <a:p>
            <a:pPr>
              <a:defRPr sz="1100"/>
            </a:pPr>
            <a:endParaRPr lang="de-DE"/>
          </a:p>
        </c:txPr>
        <c:crossAx val="481970112"/>
        <c:crosses val="autoZero"/>
        <c:auto val="1"/>
        <c:lblAlgn val="ctr"/>
        <c:lblOffset val="100"/>
        <c:noMultiLvlLbl val="0"/>
      </c:catAx>
      <c:valAx>
        <c:axId val="481970112"/>
        <c:scaling>
          <c:orientation val="minMax"/>
        </c:scaling>
        <c:delete val="0"/>
        <c:axPos val="l"/>
        <c:majorGridlines/>
        <c:title>
          <c:tx>
            <c:rich>
              <a:bodyPr rot="-5400000" vert="horz"/>
              <a:lstStyle/>
              <a:p>
                <a:pPr>
                  <a:defRPr sz="1400"/>
                </a:pPr>
                <a:r>
                  <a:rPr lang="en-US" sz="1400"/>
                  <a:t>Energierenditen</a:t>
                </a:r>
                <a:r>
                  <a:rPr lang="en-US" sz="1400" baseline="0"/>
                  <a:t> in %</a:t>
                </a:r>
                <a:endParaRPr lang="en-US" sz="1400"/>
              </a:p>
            </c:rich>
          </c:tx>
          <c:layout>
            <c:manualLayout>
              <c:xMode val="edge"/>
              <c:yMode val="edge"/>
              <c:x val="8.8417578081368096E-3"/>
              <c:y val="0.22020746421235893"/>
            </c:manualLayout>
          </c:layout>
          <c:overlay val="0"/>
        </c:title>
        <c:numFmt formatCode="0.0%" sourceLinked="1"/>
        <c:majorTickMark val="out"/>
        <c:minorTickMark val="none"/>
        <c:tickLblPos val="nextTo"/>
        <c:txPr>
          <a:bodyPr/>
          <a:lstStyle/>
          <a:p>
            <a:pPr>
              <a:defRPr sz="1100"/>
            </a:pPr>
            <a:endParaRPr lang="de-DE"/>
          </a:p>
        </c:txPr>
        <c:crossAx val="481968544"/>
        <c:crosses val="autoZero"/>
        <c:crossBetween val="between"/>
      </c:valAx>
    </c:plotArea>
    <c:legend>
      <c:legendPos val="r"/>
      <c:layout>
        <c:manualLayout>
          <c:xMode val="edge"/>
          <c:yMode val="edge"/>
          <c:x val="0.85469007941834574"/>
          <c:y val="0.23662523316660891"/>
          <c:w val="0.1320448068385317"/>
          <c:h val="0.30543439431335523"/>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4"/>
          <c:order val="0"/>
          <c:tx>
            <c:strRef>
              <c:f>Berechnungen!$E$365</c:f>
              <c:strCache>
                <c:ptCount val="1"/>
                <c:pt idx="0">
                  <c:v>CO2-Einsparung
durch die Sanierung</c:v>
                </c:pt>
              </c:strCache>
            </c:strRef>
          </c:tx>
          <c:invertIfNegative val="0"/>
          <c:cat>
            <c:strRef>
              <c:f>Berechnungen!$G$360:$N$360</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Berechnungen!$G$365:$N$365</c:f>
              <c:numCache>
                <c:formatCode>0.00</c:formatCode>
                <c:ptCount val="8"/>
                <c:pt idx="0">
                  <c:v>4.7700000000000031</c:v>
                </c:pt>
                <c:pt idx="1">
                  <c:v>35.894249999999992</c:v>
                </c:pt>
                <c:pt idx="2">
                  <c:v>47.7</c:v>
                </c:pt>
                <c:pt idx="3">
                  <c:v>47.7</c:v>
                </c:pt>
                <c:pt idx="4">
                  <c:v>47.7</c:v>
                </c:pt>
                <c:pt idx="5">
                  <c:v>47.7</c:v>
                </c:pt>
                <c:pt idx="6">
                  <c:v>47.7</c:v>
                </c:pt>
                <c:pt idx="7">
                  <c:v>47.7</c:v>
                </c:pt>
              </c:numCache>
            </c:numRef>
          </c:val>
        </c:ser>
        <c:dLbls>
          <c:showLegendKey val="0"/>
          <c:showVal val="0"/>
          <c:showCatName val="0"/>
          <c:showSerName val="0"/>
          <c:showPercent val="0"/>
          <c:showBubbleSize val="0"/>
        </c:dLbls>
        <c:gapWidth val="150"/>
        <c:axId val="481970896"/>
        <c:axId val="481974032"/>
      </c:barChart>
      <c:catAx>
        <c:axId val="481970896"/>
        <c:scaling>
          <c:orientation val="minMax"/>
        </c:scaling>
        <c:delete val="0"/>
        <c:axPos val="b"/>
        <c:numFmt formatCode="General" sourceLinked="0"/>
        <c:majorTickMark val="out"/>
        <c:minorTickMark val="none"/>
        <c:tickLblPos val="nextTo"/>
        <c:crossAx val="481974032"/>
        <c:crosses val="autoZero"/>
        <c:auto val="1"/>
        <c:lblAlgn val="ctr"/>
        <c:lblOffset val="100"/>
        <c:noMultiLvlLbl val="0"/>
      </c:catAx>
      <c:valAx>
        <c:axId val="481974032"/>
        <c:scaling>
          <c:orientation val="minMax"/>
        </c:scaling>
        <c:delete val="0"/>
        <c:axPos val="l"/>
        <c:majorGridlines/>
        <c:title>
          <c:tx>
            <c:rich>
              <a:bodyPr rot="-5400000" vert="horz"/>
              <a:lstStyle/>
              <a:p>
                <a:pPr>
                  <a:defRPr sz="1200"/>
                </a:pPr>
                <a:r>
                  <a:rPr lang="en-US" sz="1200"/>
                  <a:t>t CO2 pro Jahr</a:t>
                </a:r>
              </a:p>
            </c:rich>
          </c:tx>
          <c:overlay val="0"/>
        </c:title>
        <c:numFmt formatCode="0.00" sourceLinked="1"/>
        <c:majorTickMark val="out"/>
        <c:minorTickMark val="none"/>
        <c:tickLblPos val="nextTo"/>
        <c:crossAx val="481970896"/>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Kapitalkosten (ohne Subventionen, ohne Steuerabzüge) + Betriebskosten als f(Annuität)</a:t>
            </a:r>
          </a:p>
        </c:rich>
      </c:tx>
      <c:overlay val="0"/>
    </c:title>
    <c:autoTitleDeleted val="0"/>
    <c:plotArea>
      <c:layout/>
      <c:lineChart>
        <c:grouping val="standard"/>
        <c:varyColors val="0"/>
        <c:ser>
          <c:idx val="0"/>
          <c:order val="0"/>
          <c:tx>
            <c:strRef>
              <c:f>Sensitivitäten!$C$20</c:f>
              <c:strCache>
                <c:ptCount val="1"/>
                <c:pt idx="0">
                  <c:v>«Pinsel-Renovation»</c:v>
                </c:pt>
              </c:strCache>
            </c:strRef>
          </c:tx>
          <c:cat>
            <c:numRef>
              <c:f>Sensitivitäten!$B$21:$B$25</c:f>
              <c:numCache>
                <c:formatCode>0%</c:formatCode>
                <c:ptCount val="5"/>
                <c:pt idx="0">
                  <c:v>0.02</c:v>
                </c:pt>
                <c:pt idx="1">
                  <c:v>0.04</c:v>
                </c:pt>
                <c:pt idx="2">
                  <c:v>0.06</c:v>
                </c:pt>
                <c:pt idx="3">
                  <c:v>0.08</c:v>
                </c:pt>
                <c:pt idx="4">
                  <c:v>0.1</c:v>
                </c:pt>
              </c:numCache>
            </c:numRef>
          </c:cat>
          <c:val>
            <c:numRef>
              <c:f>Sensitivitäten!$C$21:$C$25</c:f>
              <c:numCache>
                <c:formatCode>###\'###</c:formatCode>
                <c:ptCount val="5"/>
                <c:pt idx="0">
                  <c:v>18467</c:v>
                </c:pt>
                <c:pt idx="1">
                  <c:v>20509</c:v>
                </c:pt>
                <c:pt idx="2">
                  <c:v>22551</c:v>
                </c:pt>
                <c:pt idx="3">
                  <c:v>24593</c:v>
                </c:pt>
                <c:pt idx="4">
                  <c:v>26635</c:v>
                </c:pt>
              </c:numCache>
            </c:numRef>
          </c:val>
          <c:smooth val="0"/>
        </c:ser>
        <c:ser>
          <c:idx val="1"/>
          <c:order val="1"/>
          <c:tx>
            <c:strRef>
              <c:f>Sensitivitäten!$D$20</c:f>
              <c:strCache>
                <c:ptCount val="1"/>
                <c:pt idx="0">
                  <c:v>MuKEn</c:v>
                </c:pt>
              </c:strCache>
            </c:strRef>
          </c:tx>
          <c:cat>
            <c:numRef>
              <c:f>Sensitivitäten!$B$21:$B$25</c:f>
              <c:numCache>
                <c:formatCode>0%</c:formatCode>
                <c:ptCount val="5"/>
                <c:pt idx="0">
                  <c:v>0.02</c:v>
                </c:pt>
                <c:pt idx="1">
                  <c:v>0.04</c:v>
                </c:pt>
                <c:pt idx="2">
                  <c:v>0.06</c:v>
                </c:pt>
                <c:pt idx="3">
                  <c:v>0.08</c:v>
                </c:pt>
                <c:pt idx="4">
                  <c:v>0.1</c:v>
                </c:pt>
              </c:numCache>
            </c:numRef>
          </c:cat>
          <c:val>
            <c:numRef>
              <c:f>Sensitivitäten!$D$21:$D$25</c:f>
              <c:numCache>
                <c:formatCode>###\'###</c:formatCode>
                <c:ptCount val="5"/>
                <c:pt idx="0">
                  <c:v>11848.000000000002</c:v>
                </c:pt>
                <c:pt idx="1">
                  <c:v>19016</c:v>
                </c:pt>
                <c:pt idx="2">
                  <c:v>26184</c:v>
                </c:pt>
                <c:pt idx="3">
                  <c:v>33352</c:v>
                </c:pt>
                <c:pt idx="4">
                  <c:v>40520</c:v>
                </c:pt>
              </c:numCache>
            </c:numRef>
          </c:val>
          <c:smooth val="0"/>
        </c:ser>
        <c:ser>
          <c:idx val="2"/>
          <c:order val="2"/>
          <c:tx>
            <c:strRef>
              <c:f>Sensitivitäten!$E$20</c:f>
              <c:strCache>
                <c:ptCount val="1"/>
                <c:pt idx="0">
                  <c:v>MINERGIE</c:v>
                </c:pt>
              </c:strCache>
            </c:strRef>
          </c:tx>
          <c:cat>
            <c:numRef>
              <c:f>Sensitivitäten!$B$21:$B$25</c:f>
              <c:numCache>
                <c:formatCode>0%</c:formatCode>
                <c:ptCount val="5"/>
                <c:pt idx="0">
                  <c:v>0.02</c:v>
                </c:pt>
                <c:pt idx="1">
                  <c:v>0.04</c:v>
                </c:pt>
                <c:pt idx="2">
                  <c:v>0.06</c:v>
                </c:pt>
                <c:pt idx="3">
                  <c:v>0.08</c:v>
                </c:pt>
                <c:pt idx="4">
                  <c:v>0.1</c:v>
                </c:pt>
              </c:numCache>
            </c:numRef>
          </c:cat>
          <c:val>
            <c:numRef>
              <c:f>Sensitivitäten!$E$21:$E$25</c:f>
              <c:numCache>
                <c:formatCode>###\'###</c:formatCode>
                <c:ptCount val="5"/>
                <c:pt idx="0">
                  <c:v>12269.171428571428</c:v>
                </c:pt>
                <c:pt idx="1">
                  <c:v>22537.17142857143</c:v>
                </c:pt>
                <c:pt idx="2">
                  <c:v>32805.171428571426</c:v>
                </c:pt>
                <c:pt idx="3">
                  <c:v>43073.171428571426</c:v>
                </c:pt>
                <c:pt idx="4">
                  <c:v>53341.171428571426</c:v>
                </c:pt>
              </c:numCache>
            </c:numRef>
          </c:val>
          <c:smooth val="0"/>
        </c:ser>
        <c:ser>
          <c:idx val="3"/>
          <c:order val="3"/>
          <c:tx>
            <c:strRef>
              <c:f>Sensitivitäten!$F$20</c:f>
              <c:strCache>
                <c:ptCount val="1"/>
                <c:pt idx="0">
                  <c:v>MINERGIE-P</c:v>
                </c:pt>
              </c:strCache>
            </c:strRef>
          </c:tx>
          <c:cat>
            <c:numRef>
              <c:f>Sensitivitäten!$B$21:$B$25</c:f>
              <c:numCache>
                <c:formatCode>0%</c:formatCode>
                <c:ptCount val="5"/>
                <c:pt idx="0">
                  <c:v>0.02</c:v>
                </c:pt>
                <c:pt idx="1">
                  <c:v>0.04</c:v>
                </c:pt>
                <c:pt idx="2">
                  <c:v>0.06</c:v>
                </c:pt>
                <c:pt idx="3">
                  <c:v>0.08</c:v>
                </c:pt>
                <c:pt idx="4">
                  <c:v>0.1</c:v>
                </c:pt>
              </c:numCache>
            </c:numRef>
          </c:cat>
          <c:val>
            <c:numRef>
              <c:f>Sensitivitäten!$F$21:$F$25</c:f>
              <c:numCache>
                <c:formatCode>###\'###</c:formatCode>
                <c:ptCount val="5"/>
                <c:pt idx="0">
                  <c:v>14315.285714285716</c:v>
                </c:pt>
                <c:pt idx="1">
                  <c:v>26967.285714285714</c:v>
                </c:pt>
                <c:pt idx="2">
                  <c:v>39619.285714285717</c:v>
                </c:pt>
                <c:pt idx="3">
                  <c:v>52271.285714285717</c:v>
                </c:pt>
                <c:pt idx="4">
                  <c:v>64923.285714285717</c:v>
                </c:pt>
              </c:numCache>
            </c:numRef>
          </c:val>
          <c:smooth val="0"/>
        </c:ser>
        <c:ser>
          <c:idx val="4"/>
          <c:order val="4"/>
          <c:tx>
            <c:strRef>
              <c:f>Sensitivitäten!$G$20</c:f>
              <c:strCache>
                <c:ptCount val="1"/>
                <c:pt idx="0">
                  <c:v>Plusenergie MuKEn Opt</c:v>
                </c:pt>
              </c:strCache>
            </c:strRef>
          </c:tx>
          <c:cat>
            <c:numRef>
              <c:f>Sensitivitäten!$B$21:$B$25</c:f>
              <c:numCache>
                <c:formatCode>0%</c:formatCode>
                <c:ptCount val="5"/>
                <c:pt idx="0">
                  <c:v>0.02</c:v>
                </c:pt>
                <c:pt idx="1">
                  <c:v>0.04</c:v>
                </c:pt>
                <c:pt idx="2">
                  <c:v>0.06</c:v>
                </c:pt>
                <c:pt idx="3">
                  <c:v>0.08</c:v>
                </c:pt>
                <c:pt idx="4">
                  <c:v>0.1</c:v>
                </c:pt>
              </c:numCache>
            </c:numRef>
          </c:cat>
          <c:val>
            <c:numRef>
              <c:f>Sensitivitäten!$G$21:$G$25</c:f>
              <c:numCache>
                <c:formatCode>###\'###</c:formatCode>
                <c:ptCount val="5"/>
                <c:pt idx="0">
                  <c:v>3205</c:v>
                </c:pt>
                <c:pt idx="1">
                  <c:v>10785</c:v>
                </c:pt>
                <c:pt idx="2">
                  <c:v>18365</c:v>
                </c:pt>
                <c:pt idx="3">
                  <c:v>25945</c:v>
                </c:pt>
                <c:pt idx="4">
                  <c:v>33525</c:v>
                </c:pt>
              </c:numCache>
            </c:numRef>
          </c:val>
          <c:smooth val="0"/>
        </c:ser>
        <c:ser>
          <c:idx val="5"/>
          <c:order val="5"/>
          <c:tx>
            <c:strRef>
              <c:f>Sensitivitäten!$H$20</c:f>
              <c:strCache>
                <c:ptCount val="1"/>
                <c:pt idx="0">
                  <c:v>Plusenergie "MuKEn" </c:v>
                </c:pt>
              </c:strCache>
            </c:strRef>
          </c:tx>
          <c:val>
            <c:numRef>
              <c:f>Sensitivitäten!$H$21:$H$25</c:f>
              <c:numCache>
                <c:formatCode>###\'###</c:formatCode>
                <c:ptCount val="5"/>
                <c:pt idx="0">
                  <c:v>2175.8571428571431</c:v>
                </c:pt>
                <c:pt idx="1">
                  <c:v>12043.857142857143</c:v>
                </c:pt>
                <c:pt idx="2">
                  <c:v>21911.857142857145</c:v>
                </c:pt>
                <c:pt idx="3">
                  <c:v>31779.857142857145</c:v>
                </c:pt>
                <c:pt idx="4">
                  <c:v>41647.857142857145</c:v>
                </c:pt>
              </c:numCache>
            </c:numRef>
          </c:val>
          <c:smooth val="0"/>
        </c:ser>
        <c:ser>
          <c:idx val="6"/>
          <c:order val="6"/>
          <c:tx>
            <c:strRef>
              <c:f>Sensitivitäten!$I$20</c:f>
              <c:strCache>
                <c:ptCount val="1"/>
                <c:pt idx="0">
                  <c:v>Plusenergie "Minergie"</c:v>
                </c:pt>
              </c:strCache>
            </c:strRef>
          </c:tx>
          <c:val>
            <c:numRef>
              <c:f>Sensitivitäten!$I$21:$I$25</c:f>
              <c:numCache>
                <c:formatCode>###\'###</c:formatCode>
                <c:ptCount val="5"/>
                <c:pt idx="0">
                  <c:v>4269.1714285714279</c:v>
                </c:pt>
                <c:pt idx="1">
                  <c:v>16537.171428571426</c:v>
                </c:pt>
                <c:pt idx="2">
                  <c:v>28805.171428571426</c:v>
                </c:pt>
                <c:pt idx="3">
                  <c:v>41073.171428571426</c:v>
                </c:pt>
                <c:pt idx="4">
                  <c:v>53341.171428571426</c:v>
                </c:pt>
              </c:numCache>
            </c:numRef>
          </c:val>
          <c:smooth val="0"/>
        </c:ser>
        <c:ser>
          <c:idx val="7"/>
          <c:order val="7"/>
          <c:tx>
            <c:strRef>
              <c:f>Sensitivitäten!$J$20</c:f>
              <c:strCache>
                <c:ptCount val="1"/>
                <c:pt idx="0">
                  <c:v>Plusenergie "Minergie-P"</c:v>
                </c:pt>
              </c:strCache>
            </c:strRef>
          </c:tx>
          <c:val>
            <c:numRef>
              <c:f>Sensitivitäten!$J$21:$J$25</c:f>
              <c:numCache>
                <c:formatCode>###\'###</c:formatCode>
                <c:ptCount val="5"/>
                <c:pt idx="0">
                  <c:v>6315.2857142857156</c:v>
                </c:pt>
                <c:pt idx="1">
                  <c:v>20967.285714285717</c:v>
                </c:pt>
                <c:pt idx="2">
                  <c:v>35619.285714285717</c:v>
                </c:pt>
                <c:pt idx="3">
                  <c:v>50271.285714285717</c:v>
                </c:pt>
                <c:pt idx="4">
                  <c:v>64923.285714285717</c:v>
                </c:pt>
              </c:numCache>
            </c:numRef>
          </c:val>
          <c:smooth val="0"/>
        </c:ser>
        <c:dLbls>
          <c:showLegendKey val="0"/>
          <c:showVal val="0"/>
          <c:showCatName val="0"/>
          <c:showSerName val="0"/>
          <c:showPercent val="0"/>
          <c:showBubbleSize val="0"/>
        </c:dLbls>
        <c:marker val="1"/>
        <c:smooth val="0"/>
        <c:axId val="481974816"/>
        <c:axId val="481975208"/>
      </c:lineChart>
      <c:catAx>
        <c:axId val="481974816"/>
        <c:scaling>
          <c:orientation val="minMax"/>
        </c:scaling>
        <c:delete val="0"/>
        <c:axPos val="b"/>
        <c:title>
          <c:tx>
            <c:rich>
              <a:bodyPr/>
              <a:lstStyle/>
              <a:p>
                <a:pPr>
                  <a:defRPr sz="1100"/>
                </a:pPr>
                <a:r>
                  <a:rPr lang="en-US" sz="1100"/>
                  <a:t>Annuität</a:t>
                </a:r>
              </a:p>
            </c:rich>
          </c:tx>
          <c:overlay val="0"/>
        </c:title>
        <c:numFmt formatCode="0%" sourceLinked="1"/>
        <c:majorTickMark val="out"/>
        <c:minorTickMark val="none"/>
        <c:tickLblPos val="nextTo"/>
        <c:crossAx val="481975208"/>
        <c:crosses val="autoZero"/>
        <c:auto val="1"/>
        <c:lblAlgn val="ctr"/>
        <c:lblOffset val="100"/>
        <c:noMultiLvlLbl val="0"/>
      </c:catAx>
      <c:valAx>
        <c:axId val="481975208"/>
        <c:scaling>
          <c:orientation val="minMax"/>
        </c:scaling>
        <c:delete val="0"/>
        <c:axPos val="l"/>
        <c:majorGridlines/>
        <c:title>
          <c:tx>
            <c:rich>
              <a:bodyPr rot="-5400000" vert="horz"/>
              <a:lstStyle/>
              <a:p>
                <a:pPr>
                  <a:defRPr sz="1100"/>
                </a:pPr>
                <a:r>
                  <a:rPr lang="en-US" sz="1100"/>
                  <a:t>Jährliche Kosten in CHF</a:t>
                </a:r>
              </a:p>
            </c:rich>
          </c:tx>
          <c:overlay val="0"/>
        </c:title>
        <c:numFmt formatCode="###\'###" sourceLinked="1"/>
        <c:majorTickMark val="out"/>
        <c:minorTickMark val="none"/>
        <c:tickLblPos val="nextTo"/>
        <c:crossAx val="481974816"/>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Bruttomiete Neu als Funktion des Ölpreises</a:t>
            </a:r>
          </a:p>
        </c:rich>
      </c:tx>
      <c:overlay val="0"/>
    </c:title>
    <c:autoTitleDeleted val="0"/>
    <c:plotArea>
      <c:layout/>
      <c:lineChart>
        <c:grouping val="standard"/>
        <c:varyColors val="0"/>
        <c:ser>
          <c:idx val="0"/>
          <c:order val="0"/>
          <c:tx>
            <c:strRef>
              <c:f>Sensitivitäten!$C$5</c:f>
              <c:strCache>
                <c:ptCount val="1"/>
                <c:pt idx="0">
                  <c:v>«Pinsel-Renovation»</c:v>
                </c:pt>
              </c:strCache>
            </c:strRef>
          </c:tx>
          <c:cat>
            <c:numRef>
              <c:f>Sensitivitäten!$B$6:$B$9</c:f>
              <c:numCache>
                <c:formatCode>0</c:formatCode>
                <c:ptCount val="4"/>
                <c:pt idx="0">
                  <c:v>100</c:v>
                </c:pt>
                <c:pt idx="1">
                  <c:v>150</c:v>
                </c:pt>
                <c:pt idx="2">
                  <c:v>200</c:v>
                </c:pt>
                <c:pt idx="3">
                  <c:v>250</c:v>
                </c:pt>
              </c:numCache>
            </c:numRef>
          </c:cat>
          <c:val>
            <c:numRef>
              <c:f>Sensitivitäten!$C$6:$C$9</c:f>
              <c:numCache>
                <c:formatCode>0.0%</c:formatCode>
                <c:ptCount val="4"/>
                <c:pt idx="0">
                  <c:v>0.99304294871794885</c:v>
                </c:pt>
                <c:pt idx="1">
                  <c:v>1.0449660256410258</c:v>
                </c:pt>
                <c:pt idx="2">
                  <c:v>1.0968891025641025</c:v>
                </c:pt>
                <c:pt idx="3">
                  <c:v>1.1488121794871795</c:v>
                </c:pt>
              </c:numCache>
            </c:numRef>
          </c:val>
          <c:smooth val="0"/>
        </c:ser>
        <c:ser>
          <c:idx val="1"/>
          <c:order val="1"/>
          <c:tx>
            <c:strRef>
              <c:f>Sensitivitäten!$D$5</c:f>
              <c:strCache>
                <c:ptCount val="1"/>
                <c:pt idx="0">
                  <c:v>MuKEn</c:v>
                </c:pt>
              </c:strCache>
            </c:strRef>
          </c:tx>
          <c:cat>
            <c:numRef>
              <c:f>Sensitivitäten!$B$6:$B$9</c:f>
              <c:numCache>
                <c:formatCode>0</c:formatCode>
                <c:ptCount val="4"/>
                <c:pt idx="0">
                  <c:v>100</c:v>
                </c:pt>
                <c:pt idx="1">
                  <c:v>150</c:v>
                </c:pt>
                <c:pt idx="2">
                  <c:v>200</c:v>
                </c:pt>
                <c:pt idx="3">
                  <c:v>250</c:v>
                </c:pt>
              </c:numCache>
            </c:numRef>
          </c:cat>
          <c:val>
            <c:numRef>
              <c:f>Sensitivitäten!$D$6:$D$9</c:f>
              <c:numCache>
                <c:formatCode>0.0%</c:formatCode>
                <c:ptCount val="4"/>
                <c:pt idx="0">
                  <c:v>1.0257474358974359</c:v>
                </c:pt>
                <c:pt idx="1">
                  <c:v>1.040026282051282</c:v>
                </c:pt>
                <c:pt idx="2">
                  <c:v>1.0543051282051283</c:v>
                </c:pt>
                <c:pt idx="3">
                  <c:v>1.0685839743589745</c:v>
                </c:pt>
              </c:numCache>
            </c:numRef>
          </c:val>
          <c:smooth val="0"/>
        </c:ser>
        <c:ser>
          <c:idx val="2"/>
          <c:order val="2"/>
          <c:tx>
            <c:strRef>
              <c:f>Sensitivitäten!$E$5</c:f>
              <c:strCache>
                <c:ptCount val="1"/>
                <c:pt idx="0">
                  <c:v>MINERGIE</c:v>
                </c:pt>
              </c:strCache>
            </c:strRef>
          </c:tx>
          <c:cat>
            <c:numRef>
              <c:f>Sensitivitäten!$B$6:$B$9</c:f>
              <c:numCache>
                <c:formatCode>0</c:formatCode>
                <c:ptCount val="4"/>
                <c:pt idx="0">
                  <c:v>100</c:v>
                </c:pt>
                <c:pt idx="1">
                  <c:v>150</c:v>
                </c:pt>
                <c:pt idx="2">
                  <c:v>200</c:v>
                </c:pt>
                <c:pt idx="3">
                  <c:v>250</c:v>
                </c:pt>
              </c:numCache>
            </c:numRef>
          </c:cat>
          <c:val>
            <c:numRef>
              <c:f>Sensitivitäten!$E$6:$E$9</c:f>
              <c:numCache>
                <c:formatCode>0.0%</c:formatCode>
                <c:ptCount val="4"/>
                <c:pt idx="0">
                  <c:v>1.0572613553113552</c:v>
                </c:pt>
                <c:pt idx="1">
                  <c:v>1.0572613553113552</c:v>
                </c:pt>
                <c:pt idx="2">
                  <c:v>1.0572613553113552</c:v>
                </c:pt>
                <c:pt idx="3">
                  <c:v>1.0572613553113552</c:v>
                </c:pt>
              </c:numCache>
            </c:numRef>
          </c:val>
          <c:smooth val="0"/>
        </c:ser>
        <c:ser>
          <c:idx val="3"/>
          <c:order val="3"/>
          <c:tx>
            <c:strRef>
              <c:f>Sensitivitäten!$F$5</c:f>
              <c:strCache>
                <c:ptCount val="1"/>
                <c:pt idx="0">
                  <c:v>MINERGIE-P</c:v>
                </c:pt>
              </c:strCache>
            </c:strRef>
          </c:tx>
          <c:cat>
            <c:numRef>
              <c:f>Sensitivitäten!$B$6:$B$9</c:f>
              <c:numCache>
                <c:formatCode>0</c:formatCode>
                <c:ptCount val="4"/>
                <c:pt idx="0">
                  <c:v>100</c:v>
                </c:pt>
                <c:pt idx="1">
                  <c:v>150</c:v>
                </c:pt>
                <c:pt idx="2">
                  <c:v>200</c:v>
                </c:pt>
                <c:pt idx="3">
                  <c:v>250</c:v>
                </c:pt>
              </c:numCache>
            </c:numRef>
          </c:cat>
          <c:val>
            <c:numRef>
              <c:f>Sensitivitäten!$F$6:$F$9</c:f>
              <c:numCache>
                <c:formatCode>0.0%</c:formatCode>
                <c:ptCount val="4"/>
                <c:pt idx="0">
                  <c:v>1.0925364468864469</c:v>
                </c:pt>
                <c:pt idx="1">
                  <c:v>1.0925364468864469</c:v>
                </c:pt>
                <c:pt idx="2">
                  <c:v>1.0925364468864469</c:v>
                </c:pt>
                <c:pt idx="3">
                  <c:v>1.0925364468864469</c:v>
                </c:pt>
              </c:numCache>
            </c:numRef>
          </c:val>
          <c:smooth val="0"/>
        </c:ser>
        <c:ser>
          <c:idx val="4"/>
          <c:order val="4"/>
          <c:tx>
            <c:strRef>
              <c:f>Sensitivitäten!$G$5</c:f>
              <c:strCache>
                <c:ptCount val="1"/>
                <c:pt idx="0">
                  <c:v>Plusenergie MuKEn Opt</c:v>
                </c:pt>
              </c:strCache>
            </c:strRef>
          </c:tx>
          <c:cat>
            <c:numRef>
              <c:f>Sensitivitäten!$B$6:$B$9</c:f>
              <c:numCache>
                <c:formatCode>0</c:formatCode>
                <c:ptCount val="4"/>
                <c:pt idx="0">
                  <c:v>100</c:v>
                </c:pt>
                <c:pt idx="1">
                  <c:v>150</c:v>
                </c:pt>
                <c:pt idx="2">
                  <c:v>200</c:v>
                </c:pt>
                <c:pt idx="3">
                  <c:v>250</c:v>
                </c:pt>
              </c:numCache>
            </c:numRef>
          </c:cat>
          <c:val>
            <c:numRef>
              <c:f>Sensitivitäten!$G$6:$G$9</c:f>
              <c:numCache>
                <c:formatCode>0.0%</c:formatCode>
                <c:ptCount val="4"/>
                <c:pt idx="0">
                  <c:v>1.0068653846153846</c:v>
                </c:pt>
                <c:pt idx="1">
                  <c:v>1.0068653846153846</c:v>
                </c:pt>
                <c:pt idx="2">
                  <c:v>1.0068653846153846</c:v>
                </c:pt>
                <c:pt idx="3">
                  <c:v>1.0068653846153846</c:v>
                </c:pt>
              </c:numCache>
            </c:numRef>
          </c:val>
          <c:smooth val="0"/>
        </c:ser>
        <c:ser>
          <c:idx val="5"/>
          <c:order val="5"/>
          <c:tx>
            <c:strRef>
              <c:f>Sensitivitäten!$H$5</c:f>
              <c:strCache>
                <c:ptCount val="1"/>
                <c:pt idx="0">
                  <c:v>Plusenergie "MuKEn" </c:v>
                </c:pt>
              </c:strCache>
            </c:strRef>
          </c:tx>
          <c:cat>
            <c:numRef>
              <c:f>Sensitivitäten!$B$6:$B$9</c:f>
              <c:numCache>
                <c:formatCode>0</c:formatCode>
                <c:ptCount val="4"/>
                <c:pt idx="0">
                  <c:v>100</c:v>
                </c:pt>
                <c:pt idx="1">
                  <c:v>150</c:v>
                </c:pt>
                <c:pt idx="2">
                  <c:v>200</c:v>
                </c:pt>
                <c:pt idx="3">
                  <c:v>250</c:v>
                </c:pt>
              </c:numCache>
            </c:numRef>
          </c:cat>
          <c:val>
            <c:numRef>
              <c:f>Sensitivitäten!$H$6:$H$9</c:f>
              <c:numCache>
                <c:formatCode>0.0%</c:formatCode>
                <c:ptCount val="4"/>
                <c:pt idx="0">
                  <c:v>1.0215349816849817</c:v>
                </c:pt>
                <c:pt idx="1">
                  <c:v>1.0215349816849817</c:v>
                </c:pt>
                <c:pt idx="2">
                  <c:v>1.0215349816849817</c:v>
                </c:pt>
                <c:pt idx="3">
                  <c:v>1.0215349816849817</c:v>
                </c:pt>
              </c:numCache>
            </c:numRef>
          </c:val>
          <c:smooth val="0"/>
        </c:ser>
        <c:ser>
          <c:idx val="6"/>
          <c:order val="6"/>
          <c:tx>
            <c:strRef>
              <c:f>Sensitivitäten!$I$5</c:f>
              <c:strCache>
                <c:ptCount val="1"/>
                <c:pt idx="0">
                  <c:v>Plusenergie "Minergie"</c:v>
                </c:pt>
              </c:strCache>
            </c:strRef>
          </c:tx>
          <c:cat>
            <c:numRef>
              <c:f>Sensitivitäten!$B$6:$B$9</c:f>
              <c:numCache>
                <c:formatCode>0</c:formatCode>
                <c:ptCount val="4"/>
                <c:pt idx="0">
                  <c:v>100</c:v>
                </c:pt>
                <c:pt idx="1">
                  <c:v>150</c:v>
                </c:pt>
                <c:pt idx="2">
                  <c:v>200</c:v>
                </c:pt>
                <c:pt idx="3">
                  <c:v>250</c:v>
                </c:pt>
              </c:numCache>
            </c:numRef>
          </c:cat>
          <c:val>
            <c:numRef>
              <c:f>Sensitivitäten!$I$6:$I$9</c:f>
              <c:numCache>
                <c:formatCode>0.0%</c:formatCode>
                <c:ptCount val="4"/>
                <c:pt idx="0">
                  <c:v>1.0572613553113552</c:v>
                </c:pt>
                <c:pt idx="1">
                  <c:v>1.0572613553113552</c:v>
                </c:pt>
                <c:pt idx="2">
                  <c:v>1.0572613553113552</c:v>
                </c:pt>
                <c:pt idx="3">
                  <c:v>1.0572613553113552</c:v>
                </c:pt>
              </c:numCache>
            </c:numRef>
          </c:val>
          <c:smooth val="0"/>
        </c:ser>
        <c:ser>
          <c:idx val="7"/>
          <c:order val="7"/>
          <c:tx>
            <c:strRef>
              <c:f>Sensitivitäten!$J$5</c:f>
              <c:strCache>
                <c:ptCount val="1"/>
                <c:pt idx="0">
                  <c:v>Plusenergie "Minergie-P"</c:v>
                </c:pt>
              </c:strCache>
            </c:strRef>
          </c:tx>
          <c:cat>
            <c:numRef>
              <c:f>Sensitivitäten!$B$6:$B$9</c:f>
              <c:numCache>
                <c:formatCode>0</c:formatCode>
                <c:ptCount val="4"/>
                <c:pt idx="0">
                  <c:v>100</c:v>
                </c:pt>
                <c:pt idx="1">
                  <c:v>150</c:v>
                </c:pt>
                <c:pt idx="2">
                  <c:v>200</c:v>
                </c:pt>
                <c:pt idx="3">
                  <c:v>250</c:v>
                </c:pt>
              </c:numCache>
            </c:numRef>
          </c:cat>
          <c:val>
            <c:numRef>
              <c:f>Sensitivitäten!$J$6:$J$9</c:f>
              <c:numCache>
                <c:formatCode>0.0%</c:formatCode>
                <c:ptCount val="4"/>
                <c:pt idx="0">
                  <c:v>1.0925364468864469</c:v>
                </c:pt>
                <c:pt idx="1">
                  <c:v>1.0925364468864469</c:v>
                </c:pt>
                <c:pt idx="2">
                  <c:v>1.0925364468864469</c:v>
                </c:pt>
                <c:pt idx="3">
                  <c:v>1.0925364468864469</c:v>
                </c:pt>
              </c:numCache>
            </c:numRef>
          </c:val>
          <c:smooth val="0"/>
        </c:ser>
        <c:dLbls>
          <c:showLegendKey val="0"/>
          <c:showVal val="0"/>
          <c:showCatName val="0"/>
          <c:showSerName val="0"/>
          <c:showPercent val="0"/>
          <c:showBubbleSize val="0"/>
        </c:dLbls>
        <c:marker val="1"/>
        <c:smooth val="0"/>
        <c:axId val="481971680"/>
        <c:axId val="481618048"/>
      </c:lineChart>
      <c:catAx>
        <c:axId val="481971680"/>
        <c:scaling>
          <c:orientation val="minMax"/>
        </c:scaling>
        <c:delete val="0"/>
        <c:axPos val="b"/>
        <c:title>
          <c:tx>
            <c:rich>
              <a:bodyPr/>
              <a:lstStyle/>
              <a:p>
                <a:pPr>
                  <a:defRPr sz="1100"/>
                </a:pPr>
                <a:r>
                  <a:rPr lang="en-US" sz="1100"/>
                  <a:t>Ölpreis in CHF pro 100 lt</a:t>
                </a:r>
              </a:p>
            </c:rich>
          </c:tx>
          <c:overlay val="0"/>
        </c:title>
        <c:numFmt formatCode="0" sourceLinked="1"/>
        <c:majorTickMark val="out"/>
        <c:minorTickMark val="none"/>
        <c:tickLblPos val="nextTo"/>
        <c:crossAx val="481618048"/>
        <c:crosses val="autoZero"/>
        <c:auto val="1"/>
        <c:lblAlgn val="ctr"/>
        <c:lblOffset val="100"/>
        <c:noMultiLvlLbl val="0"/>
      </c:catAx>
      <c:valAx>
        <c:axId val="481618048"/>
        <c:scaling>
          <c:orientation val="minMax"/>
        </c:scaling>
        <c:delete val="0"/>
        <c:axPos val="l"/>
        <c:majorGridlines/>
        <c:title>
          <c:tx>
            <c:rich>
              <a:bodyPr rot="-5400000" vert="horz"/>
              <a:lstStyle/>
              <a:p>
                <a:pPr>
                  <a:defRPr sz="1100"/>
                </a:pPr>
                <a:r>
                  <a:rPr lang="en-US" sz="1100"/>
                  <a:t>Bruttomiete NEU / Bruttomiete ALT in %</a:t>
                </a:r>
              </a:p>
            </c:rich>
          </c:tx>
          <c:overlay val="0"/>
        </c:title>
        <c:numFmt formatCode="0.0%" sourceLinked="1"/>
        <c:majorTickMark val="out"/>
        <c:minorTickMark val="none"/>
        <c:tickLblPos val="nextTo"/>
        <c:crossAx val="481971680"/>
        <c:crosses val="autoZero"/>
        <c:crossBetween val="between"/>
      </c:valAx>
    </c:plotArea>
    <c:legend>
      <c:legendPos val="r"/>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Investitionskosten ohne und mit Förderungen</a:t>
            </a:r>
          </a:p>
        </c:rich>
      </c:tx>
      <c:overlay val="0"/>
    </c:title>
    <c:autoTitleDeleted val="0"/>
    <c:plotArea>
      <c:layout>
        <c:manualLayout>
          <c:layoutTarget val="inner"/>
          <c:xMode val="edge"/>
          <c:yMode val="edge"/>
          <c:x val="9.1516477107028343E-2"/>
          <c:y val="9.4188959896944882E-2"/>
          <c:w val="0.7247637795275591"/>
          <c:h val="0.68972644581661258"/>
        </c:manualLayout>
      </c:layout>
      <c:barChart>
        <c:barDir val="col"/>
        <c:grouping val="clustered"/>
        <c:varyColors val="0"/>
        <c:ser>
          <c:idx val="0"/>
          <c:order val="0"/>
          <c:tx>
            <c:strRef>
              <c:f>Berechnungen!$E$46</c:f>
              <c:strCache>
                <c:ptCount val="1"/>
                <c:pt idx="0">
                  <c:v>Investitionskosten, 
ohne Subventionen, 
ohne Steuerabzüge</c:v>
                </c:pt>
              </c:strCache>
            </c:strRef>
          </c:tx>
          <c:invertIfNegative val="0"/>
          <c:cat>
            <c:strRef>
              <c:f>Berechnungen!$G$45:$N$45</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Berechnungen!$G$46:$N$46</c:f>
              <c:numCache>
                <c:formatCode>###\'###</c:formatCode>
                <c:ptCount val="8"/>
                <c:pt idx="0" formatCode="#,##0">
                  <c:v>102100</c:v>
                </c:pt>
                <c:pt idx="1">
                  <c:v>358400</c:v>
                </c:pt>
                <c:pt idx="2">
                  <c:v>513400</c:v>
                </c:pt>
                <c:pt idx="3">
                  <c:v>632600</c:v>
                </c:pt>
                <c:pt idx="4">
                  <c:v>379000</c:v>
                </c:pt>
                <c:pt idx="5">
                  <c:v>493400</c:v>
                </c:pt>
                <c:pt idx="6">
                  <c:v>613400</c:v>
                </c:pt>
                <c:pt idx="7">
                  <c:v>732600</c:v>
                </c:pt>
              </c:numCache>
            </c:numRef>
          </c:val>
        </c:ser>
        <c:ser>
          <c:idx val="1"/>
          <c:order val="1"/>
          <c:tx>
            <c:strRef>
              <c:f>Berechnungen!$E$50</c:f>
              <c:strCache>
                <c:ptCount val="1"/>
                <c:pt idx="0">
                  <c:v>Investitionskosten, 
mit Subventionen, 
ohne Steuerabzüge</c:v>
                </c:pt>
              </c:strCache>
            </c:strRef>
          </c:tx>
          <c:invertIfNegative val="0"/>
          <c:cat>
            <c:strRef>
              <c:f>Berechnungen!$G$45:$N$45</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Berechnungen!$G$50:$N$50</c:f>
              <c:numCache>
                <c:formatCode>#,##0</c:formatCode>
                <c:ptCount val="8"/>
                <c:pt idx="0">
                  <c:v>102100</c:v>
                </c:pt>
                <c:pt idx="1">
                  <c:v>251600</c:v>
                </c:pt>
                <c:pt idx="2">
                  <c:v>376600</c:v>
                </c:pt>
                <c:pt idx="3">
                  <c:v>465800</c:v>
                </c:pt>
                <c:pt idx="4">
                  <c:v>286200</c:v>
                </c:pt>
                <c:pt idx="5">
                  <c:v>366600</c:v>
                </c:pt>
                <c:pt idx="6">
                  <c:v>456600</c:v>
                </c:pt>
                <c:pt idx="7">
                  <c:v>555800</c:v>
                </c:pt>
              </c:numCache>
            </c:numRef>
          </c:val>
        </c:ser>
        <c:ser>
          <c:idx val="3"/>
          <c:order val="2"/>
          <c:tx>
            <c:strRef>
              <c:f>Berechnungen!$E$55</c:f>
              <c:strCache>
                <c:ptCount val="1"/>
                <c:pt idx="0">
                  <c:v>Investitionskosten,
ohne Subventionen, 
mit Steuerabzügen</c:v>
                </c:pt>
              </c:strCache>
            </c:strRef>
          </c:tx>
          <c:invertIfNegative val="0"/>
          <c:cat>
            <c:strRef>
              <c:f>Berechnungen!$G$45:$N$45</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Berechnungen!$G$55:$N$55</c:f>
              <c:numCache>
                <c:formatCode>###\'###</c:formatCode>
                <c:ptCount val="8"/>
                <c:pt idx="0">
                  <c:v>76575</c:v>
                </c:pt>
                <c:pt idx="1">
                  <c:v>268800</c:v>
                </c:pt>
                <c:pt idx="2">
                  <c:v>385050</c:v>
                </c:pt>
                <c:pt idx="3">
                  <c:v>474450</c:v>
                </c:pt>
                <c:pt idx="4">
                  <c:v>284250</c:v>
                </c:pt>
                <c:pt idx="5">
                  <c:v>370050</c:v>
                </c:pt>
                <c:pt idx="6">
                  <c:v>460050</c:v>
                </c:pt>
                <c:pt idx="7">
                  <c:v>549450</c:v>
                </c:pt>
              </c:numCache>
            </c:numRef>
          </c:val>
        </c:ser>
        <c:ser>
          <c:idx val="2"/>
          <c:order val="3"/>
          <c:tx>
            <c:strRef>
              <c:f>Berechnungen!$E$53</c:f>
              <c:strCache>
                <c:ptCount val="1"/>
                <c:pt idx="0">
                  <c:v>Investitionskosten,
mit Subventionen, 
mit Steuerabzügen</c:v>
                </c:pt>
              </c:strCache>
            </c:strRef>
          </c:tx>
          <c:invertIfNegative val="0"/>
          <c:val>
            <c:numRef>
              <c:f>Berechnungen!$G$53:$N$53</c:f>
              <c:numCache>
                <c:formatCode>###\'###</c:formatCode>
                <c:ptCount val="8"/>
                <c:pt idx="0">
                  <c:v>76575</c:v>
                </c:pt>
                <c:pt idx="1">
                  <c:v>188700</c:v>
                </c:pt>
                <c:pt idx="2">
                  <c:v>282450</c:v>
                </c:pt>
                <c:pt idx="3">
                  <c:v>349350</c:v>
                </c:pt>
                <c:pt idx="4">
                  <c:v>214650</c:v>
                </c:pt>
                <c:pt idx="5">
                  <c:v>274950</c:v>
                </c:pt>
                <c:pt idx="6">
                  <c:v>342450</c:v>
                </c:pt>
                <c:pt idx="7">
                  <c:v>416850</c:v>
                </c:pt>
              </c:numCache>
            </c:numRef>
          </c:val>
        </c:ser>
        <c:dLbls>
          <c:showLegendKey val="0"/>
          <c:showVal val="0"/>
          <c:showCatName val="0"/>
          <c:showSerName val="0"/>
          <c:showPercent val="0"/>
          <c:showBubbleSize val="0"/>
        </c:dLbls>
        <c:gapWidth val="150"/>
        <c:axId val="299291192"/>
        <c:axId val="481615696"/>
      </c:barChart>
      <c:catAx>
        <c:axId val="299291192"/>
        <c:scaling>
          <c:orientation val="minMax"/>
        </c:scaling>
        <c:delete val="0"/>
        <c:axPos val="b"/>
        <c:numFmt formatCode="General" sourceLinked="0"/>
        <c:majorTickMark val="out"/>
        <c:minorTickMark val="none"/>
        <c:tickLblPos val="nextTo"/>
        <c:txPr>
          <a:bodyPr/>
          <a:lstStyle/>
          <a:p>
            <a:pPr>
              <a:defRPr sz="1100"/>
            </a:pPr>
            <a:endParaRPr lang="de-DE"/>
          </a:p>
        </c:txPr>
        <c:crossAx val="481615696"/>
        <c:crosses val="autoZero"/>
        <c:auto val="1"/>
        <c:lblAlgn val="ctr"/>
        <c:lblOffset val="100"/>
        <c:noMultiLvlLbl val="0"/>
      </c:catAx>
      <c:valAx>
        <c:axId val="481615696"/>
        <c:scaling>
          <c:orientation val="minMax"/>
        </c:scaling>
        <c:delete val="0"/>
        <c:axPos val="l"/>
        <c:majorGridlines/>
        <c:title>
          <c:tx>
            <c:rich>
              <a:bodyPr rot="-5400000" vert="horz"/>
              <a:lstStyle/>
              <a:p>
                <a:pPr>
                  <a:defRPr sz="1400">
                    <a:latin typeface="+mn-lt"/>
                  </a:defRPr>
                </a:pPr>
                <a:r>
                  <a:rPr lang="en-US" sz="1400">
                    <a:latin typeface="+mn-lt"/>
                  </a:rPr>
                  <a:t>CHF</a:t>
                </a:r>
              </a:p>
            </c:rich>
          </c:tx>
          <c:overlay val="0"/>
        </c:title>
        <c:numFmt formatCode="#,##0" sourceLinked="1"/>
        <c:majorTickMark val="out"/>
        <c:minorTickMark val="none"/>
        <c:tickLblPos val="nextTo"/>
        <c:txPr>
          <a:bodyPr/>
          <a:lstStyle/>
          <a:p>
            <a:pPr>
              <a:defRPr sz="1050"/>
            </a:pPr>
            <a:endParaRPr lang="de-DE"/>
          </a:p>
        </c:txPr>
        <c:crossAx val="299291192"/>
        <c:crosses val="autoZero"/>
        <c:crossBetween val="between"/>
      </c:valAx>
    </c:plotArea>
    <c:legend>
      <c:legendPos val="r"/>
      <c:layout>
        <c:manualLayout>
          <c:xMode val="edge"/>
          <c:yMode val="edge"/>
          <c:x val="0.82839404799795058"/>
          <c:y val="0.27995877030162503"/>
          <c:w val="0.14474544920678808"/>
          <c:h val="0.43839885803748435"/>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sz="1800" b="1" i="0" baseline="0"/>
              <a:t>Jährliche Kapitalkosten ohne und mit Förderungen</a:t>
            </a:r>
            <a:endParaRPr lang="de-CH"/>
          </a:p>
        </c:rich>
      </c:tx>
      <c:layout>
        <c:manualLayout>
          <c:xMode val="edge"/>
          <c:yMode val="edge"/>
          <c:x val="0.24402094847086189"/>
          <c:y val="5.9657617433825597E-2"/>
        </c:manualLayout>
      </c:layout>
      <c:overlay val="0"/>
    </c:title>
    <c:autoTitleDeleted val="0"/>
    <c:plotArea>
      <c:layout>
        <c:manualLayout>
          <c:layoutTarget val="inner"/>
          <c:xMode val="edge"/>
          <c:yMode val="edge"/>
          <c:x val="9.9982567592838148E-2"/>
          <c:y val="0.14362010847607848"/>
          <c:w val="0.75583272495993159"/>
          <c:h val="0.62865508733554543"/>
        </c:manualLayout>
      </c:layout>
      <c:barChart>
        <c:barDir val="col"/>
        <c:grouping val="clustered"/>
        <c:varyColors val="0"/>
        <c:ser>
          <c:idx val="1"/>
          <c:order val="0"/>
          <c:tx>
            <c:strRef>
              <c:f>Berechnungen!$E$72</c:f>
              <c:strCache>
                <c:ptCount val="1"/>
                <c:pt idx="0">
                  <c:v>Kapitalkosten,
ohne Subventionen, 
ohne Steuerabzüge</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Berechnungen!$G$72:$N$72</c:f>
              <c:numCache>
                <c:formatCode>###\'###</c:formatCode>
                <c:ptCount val="8"/>
                <c:pt idx="0">
                  <c:v>6126</c:v>
                </c:pt>
                <c:pt idx="1">
                  <c:v>21504</c:v>
                </c:pt>
                <c:pt idx="2">
                  <c:v>30804</c:v>
                </c:pt>
                <c:pt idx="3">
                  <c:v>37956</c:v>
                </c:pt>
                <c:pt idx="4">
                  <c:v>22740</c:v>
                </c:pt>
                <c:pt idx="5">
                  <c:v>29604</c:v>
                </c:pt>
                <c:pt idx="6">
                  <c:v>36804</c:v>
                </c:pt>
                <c:pt idx="7">
                  <c:v>43956</c:v>
                </c:pt>
              </c:numCache>
            </c:numRef>
          </c:val>
        </c:ser>
        <c:ser>
          <c:idx val="2"/>
          <c:order val="1"/>
          <c:tx>
            <c:strRef>
              <c:f>Berechnungen!$E$73</c:f>
              <c:strCache>
                <c:ptCount val="1"/>
                <c:pt idx="0">
                  <c:v>Kapitalkosten,
mit Subventionen, 
ohne Steuerabzüge</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Berechnungen!$G$73:$N$73</c:f>
              <c:numCache>
                <c:formatCode>###\'###</c:formatCode>
                <c:ptCount val="8"/>
                <c:pt idx="0">
                  <c:v>6126</c:v>
                </c:pt>
                <c:pt idx="1">
                  <c:v>15096</c:v>
                </c:pt>
                <c:pt idx="2">
                  <c:v>22596</c:v>
                </c:pt>
                <c:pt idx="3">
                  <c:v>27948</c:v>
                </c:pt>
                <c:pt idx="4">
                  <c:v>17172</c:v>
                </c:pt>
                <c:pt idx="5">
                  <c:v>21996</c:v>
                </c:pt>
                <c:pt idx="6">
                  <c:v>27396</c:v>
                </c:pt>
                <c:pt idx="7">
                  <c:v>33348</c:v>
                </c:pt>
              </c:numCache>
            </c:numRef>
          </c:val>
        </c:ser>
        <c:ser>
          <c:idx val="0"/>
          <c:order val="2"/>
          <c:tx>
            <c:strRef>
              <c:f>Berechnungen!$E$75</c:f>
              <c:strCache>
                <c:ptCount val="1"/>
                <c:pt idx="0">
                  <c:v>Kapitalkosten,
ohne Subventionen, 
mit Steuerabzügen</c:v>
                </c:pt>
              </c:strCache>
            </c:strRef>
          </c:tx>
          <c:invertIfNegative val="0"/>
          <c:val>
            <c:numRef>
              <c:f>Berechnungen!$G$75:$N$75</c:f>
              <c:numCache>
                <c:formatCode>###\'###</c:formatCode>
                <c:ptCount val="8"/>
                <c:pt idx="0">
                  <c:v>4594.5</c:v>
                </c:pt>
                <c:pt idx="1">
                  <c:v>16128</c:v>
                </c:pt>
                <c:pt idx="2">
                  <c:v>23103</c:v>
                </c:pt>
                <c:pt idx="3">
                  <c:v>28467</c:v>
                </c:pt>
                <c:pt idx="4">
                  <c:v>17055</c:v>
                </c:pt>
                <c:pt idx="5">
                  <c:v>22203</c:v>
                </c:pt>
                <c:pt idx="6">
                  <c:v>27603</c:v>
                </c:pt>
                <c:pt idx="7">
                  <c:v>32967</c:v>
                </c:pt>
              </c:numCache>
            </c:numRef>
          </c:val>
        </c:ser>
        <c:ser>
          <c:idx val="3"/>
          <c:order val="3"/>
          <c:tx>
            <c:strRef>
              <c:f>Berechnungen!$E$74</c:f>
              <c:strCache>
                <c:ptCount val="1"/>
                <c:pt idx="0">
                  <c:v>Kapitalkosten,
mit Subventionen, 
mit Steuerabzügen</c:v>
                </c:pt>
              </c:strCache>
            </c:strRef>
          </c:tx>
          <c:invertIfNegative val="0"/>
          <c:val>
            <c:numRef>
              <c:f>Berechnungen!$G$74:$N$74</c:f>
              <c:numCache>
                <c:formatCode>###\'###</c:formatCode>
                <c:ptCount val="8"/>
                <c:pt idx="0">
                  <c:v>4594.5</c:v>
                </c:pt>
                <c:pt idx="1">
                  <c:v>11322</c:v>
                </c:pt>
                <c:pt idx="2">
                  <c:v>16947</c:v>
                </c:pt>
                <c:pt idx="3">
                  <c:v>20961</c:v>
                </c:pt>
                <c:pt idx="4">
                  <c:v>12879</c:v>
                </c:pt>
                <c:pt idx="5">
                  <c:v>16497</c:v>
                </c:pt>
                <c:pt idx="6">
                  <c:v>20547</c:v>
                </c:pt>
                <c:pt idx="7">
                  <c:v>25011</c:v>
                </c:pt>
              </c:numCache>
            </c:numRef>
          </c:val>
        </c:ser>
        <c:dLbls>
          <c:showLegendKey val="0"/>
          <c:showVal val="0"/>
          <c:showCatName val="0"/>
          <c:showSerName val="0"/>
          <c:showPercent val="0"/>
          <c:showBubbleSize val="0"/>
        </c:dLbls>
        <c:gapWidth val="150"/>
        <c:axId val="481612952"/>
        <c:axId val="481616088"/>
      </c:barChart>
      <c:catAx>
        <c:axId val="481612952"/>
        <c:scaling>
          <c:orientation val="minMax"/>
        </c:scaling>
        <c:delete val="0"/>
        <c:axPos val="b"/>
        <c:numFmt formatCode="General" sourceLinked="1"/>
        <c:majorTickMark val="out"/>
        <c:minorTickMark val="none"/>
        <c:tickLblPos val="nextTo"/>
        <c:txPr>
          <a:bodyPr/>
          <a:lstStyle/>
          <a:p>
            <a:pPr>
              <a:defRPr sz="1100"/>
            </a:pPr>
            <a:endParaRPr lang="de-DE"/>
          </a:p>
        </c:txPr>
        <c:crossAx val="481616088"/>
        <c:crosses val="autoZero"/>
        <c:auto val="1"/>
        <c:lblAlgn val="ctr"/>
        <c:lblOffset val="100"/>
        <c:noMultiLvlLbl val="0"/>
      </c:catAx>
      <c:valAx>
        <c:axId val="481616088"/>
        <c:scaling>
          <c:orientation val="minMax"/>
        </c:scaling>
        <c:delete val="0"/>
        <c:axPos val="l"/>
        <c:majorGridlines/>
        <c:title>
          <c:tx>
            <c:rich>
              <a:bodyPr rot="-5400000" vert="horz"/>
              <a:lstStyle/>
              <a:p>
                <a:pPr>
                  <a:defRPr sz="1400"/>
                </a:pPr>
                <a:r>
                  <a:rPr lang="en-US" sz="1400"/>
                  <a:t>Jährliche Kapitalkosten in CHF</a:t>
                </a:r>
              </a:p>
            </c:rich>
          </c:tx>
          <c:layout>
            <c:manualLayout>
              <c:xMode val="edge"/>
              <c:yMode val="edge"/>
              <c:x val="8.8417578081368096E-3"/>
              <c:y val="0.22020746421235893"/>
            </c:manualLayout>
          </c:layout>
          <c:overlay val="0"/>
        </c:title>
        <c:numFmt formatCode="###\'###" sourceLinked="1"/>
        <c:majorTickMark val="out"/>
        <c:minorTickMark val="none"/>
        <c:tickLblPos val="nextTo"/>
        <c:txPr>
          <a:bodyPr/>
          <a:lstStyle/>
          <a:p>
            <a:pPr>
              <a:defRPr sz="1100"/>
            </a:pPr>
            <a:endParaRPr lang="de-DE"/>
          </a:p>
        </c:txPr>
        <c:crossAx val="481612952"/>
        <c:crosses val="autoZero"/>
        <c:crossBetween val="between"/>
      </c:valAx>
    </c:plotArea>
    <c:legend>
      <c:legendPos val="r"/>
      <c:layout>
        <c:manualLayout>
          <c:xMode val="edge"/>
          <c:yMode val="edge"/>
          <c:x val="0.85990461832009402"/>
          <c:y val="0.34567871838008785"/>
          <c:w val="0.14009538167991453"/>
          <c:h val="0.40319284069715344"/>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US" sz="1800" b="1" i="0" baseline="0"/>
              <a:t>Jährliche Kapitalkosten (nach Abzug der Kosten für eine Pinselrenovation)</a:t>
            </a:r>
            <a:br>
              <a:rPr lang="en-US" sz="1800" b="1" i="0" baseline="0"/>
            </a:br>
            <a:r>
              <a:rPr lang="en-US" sz="1800" b="1" i="0" baseline="0"/>
              <a:t>ohne und mit Förderungen</a:t>
            </a:r>
            <a:endParaRPr lang="de-CH" sz="1800" b="1" i="0" baseline="0"/>
          </a:p>
        </c:rich>
      </c:tx>
      <c:overlay val="0"/>
    </c:title>
    <c:autoTitleDeleted val="0"/>
    <c:plotArea>
      <c:layout>
        <c:manualLayout>
          <c:layoutTarget val="inner"/>
          <c:xMode val="edge"/>
          <c:yMode val="edge"/>
          <c:x val="0.10252877981321333"/>
          <c:y val="0.12185824120294006"/>
          <c:w val="0.74287269094321762"/>
          <c:h val="0.66109261060948776"/>
        </c:manualLayout>
      </c:layout>
      <c:barChart>
        <c:barDir val="col"/>
        <c:grouping val="clustered"/>
        <c:varyColors val="0"/>
        <c:ser>
          <c:idx val="1"/>
          <c:order val="0"/>
          <c:tx>
            <c:strRef>
              <c:f>Berechnungen!$E$76</c:f>
              <c:strCache>
                <c:ptCount val="1"/>
                <c:pt idx="0">
                  <c:v>Kapitalkosten,
ohne Subventionen, 
ohne Steuerabzüge, 
minus Pinsel-Renov.</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Berechnungen!$G$76:$N$76</c:f>
              <c:numCache>
                <c:formatCode>###\'###</c:formatCode>
                <c:ptCount val="8"/>
                <c:pt idx="0">
                  <c:v>0</c:v>
                </c:pt>
                <c:pt idx="1">
                  <c:v>16909.5</c:v>
                </c:pt>
                <c:pt idx="2">
                  <c:v>26209.5</c:v>
                </c:pt>
                <c:pt idx="3">
                  <c:v>33361.5</c:v>
                </c:pt>
                <c:pt idx="4">
                  <c:v>18145.5</c:v>
                </c:pt>
                <c:pt idx="5">
                  <c:v>25009.5</c:v>
                </c:pt>
                <c:pt idx="6">
                  <c:v>32209.5</c:v>
                </c:pt>
                <c:pt idx="7">
                  <c:v>39361.5</c:v>
                </c:pt>
              </c:numCache>
            </c:numRef>
          </c:val>
        </c:ser>
        <c:ser>
          <c:idx val="2"/>
          <c:order val="1"/>
          <c:tx>
            <c:strRef>
              <c:f>Berechnungen!$E$77</c:f>
              <c:strCache>
                <c:ptCount val="1"/>
                <c:pt idx="0">
                  <c:v>Kapitalkosten,
mit Subventionen, 
ohne Steuerabzügen, 
minus Pinsel-Renov.</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Berechnungen!$G$77:$N$77</c:f>
              <c:numCache>
                <c:formatCode>###\'###</c:formatCode>
                <c:ptCount val="8"/>
                <c:pt idx="0" formatCode="0">
                  <c:v>0</c:v>
                </c:pt>
                <c:pt idx="1">
                  <c:v>10501.5</c:v>
                </c:pt>
                <c:pt idx="2">
                  <c:v>18001.5</c:v>
                </c:pt>
                <c:pt idx="3">
                  <c:v>23353.5</c:v>
                </c:pt>
                <c:pt idx="4">
                  <c:v>12577.5</c:v>
                </c:pt>
                <c:pt idx="5">
                  <c:v>17401.5</c:v>
                </c:pt>
                <c:pt idx="6">
                  <c:v>22801.5</c:v>
                </c:pt>
                <c:pt idx="7">
                  <c:v>28753.5</c:v>
                </c:pt>
              </c:numCache>
            </c:numRef>
          </c:val>
        </c:ser>
        <c:ser>
          <c:idx val="0"/>
          <c:order val="2"/>
          <c:tx>
            <c:strRef>
              <c:f>Berechnungen!$E$79</c:f>
              <c:strCache>
                <c:ptCount val="1"/>
                <c:pt idx="0">
                  <c:v>Kapitalkosten,
ohne Subventionen, 
mit Steuerabzügen,
minus Pinsel-Renov.</c:v>
                </c:pt>
              </c:strCache>
            </c:strRef>
          </c:tx>
          <c:invertIfNegative val="0"/>
          <c:val>
            <c:numRef>
              <c:f>Berechnungen!$G$79:$N$79</c:f>
              <c:numCache>
                <c:formatCode>###\'###</c:formatCode>
                <c:ptCount val="8"/>
                <c:pt idx="0">
                  <c:v>0</c:v>
                </c:pt>
                <c:pt idx="1">
                  <c:v>11533.5</c:v>
                </c:pt>
                <c:pt idx="2">
                  <c:v>18508.5</c:v>
                </c:pt>
                <c:pt idx="3">
                  <c:v>23872.5</c:v>
                </c:pt>
                <c:pt idx="4">
                  <c:v>12460.5</c:v>
                </c:pt>
                <c:pt idx="5">
                  <c:v>17608.5</c:v>
                </c:pt>
                <c:pt idx="6">
                  <c:v>23008.5</c:v>
                </c:pt>
                <c:pt idx="7">
                  <c:v>28372.5</c:v>
                </c:pt>
              </c:numCache>
            </c:numRef>
          </c:val>
        </c:ser>
        <c:ser>
          <c:idx val="3"/>
          <c:order val="3"/>
          <c:tx>
            <c:strRef>
              <c:f>Berechnungen!$E$78</c:f>
              <c:strCache>
                <c:ptCount val="1"/>
                <c:pt idx="0">
                  <c:v>Kapitalkosten,
mit Subventionen, 
mit Steuerabzügen, 
minus Pinsel-Renov.</c:v>
                </c:pt>
              </c:strCache>
            </c:strRef>
          </c:tx>
          <c:invertIfNegative val="0"/>
          <c:val>
            <c:numRef>
              <c:f>Berechnungen!$G$78:$N$78</c:f>
              <c:numCache>
                <c:formatCode>###\'###</c:formatCode>
                <c:ptCount val="8"/>
                <c:pt idx="0" formatCode="0">
                  <c:v>0</c:v>
                </c:pt>
                <c:pt idx="1">
                  <c:v>6727.5</c:v>
                </c:pt>
                <c:pt idx="2">
                  <c:v>12352.5</c:v>
                </c:pt>
                <c:pt idx="3">
                  <c:v>16366.5</c:v>
                </c:pt>
                <c:pt idx="4">
                  <c:v>8284.5</c:v>
                </c:pt>
                <c:pt idx="5">
                  <c:v>11902.5</c:v>
                </c:pt>
                <c:pt idx="6">
                  <c:v>15952.5</c:v>
                </c:pt>
                <c:pt idx="7">
                  <c:v>20416.5</c:v>
                </c:pt>
              </c:numCache>
            </c:numRef>
          </c:val>
        </c:ser>
        <c:dLbls>
          <c:showLegendKey val="0"/>
          <c:showVal val="0"/>
          <c:showCatName val="0"/>
          <c:showSerName val="0"/>
          <c:showPercent val="0"/>
          <c:showBubbleSize val="0"/>
        </c:dLbls>
        <c:gapWidth val="150"/>
        <c:axId val="481618832"/>
        <c:axId val="481614912"/>
      </c:barChart>
      <c:catAx>
        <c:axId val="481618832"/>
        <c:scaling>
          <c:orientation val="minMax"/>
        </c:scaling>
        <c:delete val="0"/>
        <c:axPos val="b"/>
        <c:numFmt formatCode="General" sourceLinked="1"/>
        <c:majorTickMark val="out"/>
        <c:minorTickMark val="none"/>
        <c:tickLblPos val="nextTo"/>
        <c:txPr>
          <a:bodyPr/>
          <a:lstStyle/>
          <a:p>
            <a:pPr>
              <a:defRPr sz="1100"/>
            </a:pPr>
            <a:endParaRPr lang="de-DE"/>
          </a:p>
        </c:txPr>
        <c:crossAx val="481614912"/>
        <c:crosses val="autoZero"/>
        <c:auto val="1"/>
        <c:lblAlgn val="ctr"/>
        <c:lblOffset val="100"/>
        <c:noMultiLvlLbl val="0"/>
      </c:catAx>
      <c:valAx>
        <c:axId val="481614912"/>
        <c:scaling>
          <c:orientation val="minMax"/>
        </c:scaling>
        <c:delete val="0"/>
        <c:axPos val="l"/>
        <c:majorGridlines/>
        <c:title>
          <c:tx>
            <c:rich>
              <a:bodyPr rot="-5400000" vert="horz"/>
              <a:lstStyle/>
              <a:p>
                <a:pPr>
                  <a:defRPr sz="1400"/>
                </a:pPr>
                <a:r>
                  <a:rPr lang="en-US" sz="1400"/>
                  <a:t>Jährliche Kapitalkosten in CHF</a:t>
                </a:r>
              </a:p>
            </c:rich>
          </c:tx>
          <c:layout>
            <c:manualLayout>
              <c:xMode val="edge"/>
              <c:yMode val="edge"/>
              <c:x val="8.8417578081368096E-3"/>
              <c:y val="0.22020746421235893"/>
            </c:manualLayout>
          </c:layout>
          <c:overlay val="0"/>
        </c:title>
        <c:numFmt formatCode="###\'###" sourceLinked="1"/>
        <c:majorTickMark val="out"/>
        <c:minorTickMark val="none"/>
        <c:tickLblPos val="nextTo"/>
        <c:txPr>
          <a:bodyPr/>
          <a:lstStyle/>
          <a:p>
            <a:pPr>
              <a:defRPr sz="1100"/>
            </a:pPr>
            <a:endParaRPr lang="de-DE"/>
          </a:p>
        </c:txPr>
        <c:crossAx val="481618832"/>
        <c:crosses val="autoZero"/>
        <c:crossBetween val="between"/>
      </c:valAx>
    </c:plotArea>
    <c:legend>
      <c:legendPos val="r"/>
      <c:layout>
        <c:manualLayout>
          <c:xMode val="edge"/>
          <c:yMode val="edge"/>
          <c:x val="0.85203705666971985"/>
          <c:y val="0.19721472437209356"/>
          <c:w val="0.14000387508440842"/>
          <c:h val="0.57435302634771002"/>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MFH Sanierung: Bruttomiete ohne/mit Subventionen</a:t>
            </a:r>
          </a:p>
        </c:rich>
      </c:tx>
      <c:overlay val="0"/>
    </c:title>
    <c:autoTitleDeleted val="0"/>
    <c:plotArea>
      <c:layout>
        <c:manualLayout>
          <c:layoutTarget val="inner"/>
          <c:xMode val="edge"/>
          <c:yMode val="edge"/>
          <c:x val="0.10700357745593864"/>
          <c:y val="0.10666047922716899"/>
          <c:w val="0.73135105956323065"/>
          <c:h val="0.64544315040468281"/>
        </c:manualLayout>
      </c:layout>
      <c:barChart>
        <c:barDir val="col"/>
        <c:grouping val="clustered"/>
        <c:varyColors val="0"/>
        <c:ser>
          <c:idx val="0"/>
          <c:order val="0"/>
          <c:tx>
            <c:strRef>
              <c:f>Berechnungen!$E$108</c:f>
              <c:strCache>
                <c:ptCount val="1"/>
                <c:pt idx="0">
                  <c:v>Bruttomiete MFH alt</c:v>
                </c:pt>
              </c:strCache>
            </c:strRef>
          </c:tx>
          <c:invertIfNegative val="0"/>
          <c:cat>
            <c:strRef>
              <c:f>Berechnungen!$G$94:$N$94</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Berechnungen!$G$108:$N$108</c:f>
              <c:numCache>
                <c:formatCode>###\'###</c:formatCode>
                <c:ptCount val="8"/>
                <c:pt idx="0">
                  <c:v>156000</c:v>
                </c:pt>
                <c:pt idx="1">
                  <c:v>156000</c:v>
                </c:pt>
                <c:pt idx="2">
                  <c:v>156000</c:v>
                </c:pt>
                <c:pt idx="3">
                  <c:v>156000</c:v>
                </c:pt>
                <c:pt idx="4">
                  <c:v>156000</c:v>
                </c:pt>
                <c:pt idx="5">
                  <c:v>156000</c:v>
                </c:pt>
                <c:pt idx="6">
                  <c:v>156000</c:v>
                </c:pt>
                <c:pt idx="7">
                  <c:v>156000</c:v>
                </c:pt>
              </c:numCache>
            </c:numRef>
          </c:val>
        </c:ser>
        <c:ser>
          <c:idx val="1"/>
          <c:order val="1"/>
          <c:tx>
            <c:strRef>
              <c:f>Berechnungen!$E$120</c:f>
              <c:strCache>
                <c:ptCount val="1"/>
                <c:pt idx="0">
                  <c:v>Bruttomiete MFH neu 
ohne Subventionen</c:v>
                </c:pt>
              </c:strCache>
            </c:strRef>
          </c:tx>
          <c:invertIfNegative val="0"/>
          <c:cat>
            <c:strRef>
              <c:f>Berechnungen!$G$94:$N$94</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Berechnungen!$G$120:$N$120</c:f>
              <c:numCache>
                <c:formatCode>###\'###</c:formatCode>
                <c:ptCount val="8"/>
                <c:pt idx="0">
                  <c:v>154914.70000000001</c:v>
                </c:pt>
                <c:pt idx="1">
                  <c:v>160016.6</c:v>
                </c:pt>
                <c:pt idx="2">
                  <c:v>164932.77142857143</c:v>
                </c:pt>
                <c:pt idx="3">
                  <c:v>170435.6857142857</c:v>
                </c:pt>
                <c:pt idx="4">
                  <c:v>157071</c:v>
                </c:pt>
                <c:pt idx="5">
                  <c:v>159359.45714285714</c:v>
                </c:pt>
                <c:pt idx="6">
                  <c:v>164932.77142857143</c:v>
                </c:pt>
                <c:pt idx="7">
                  <c:v>170435.6857142857</c:v>
                </c:pt>
              </c:numCache>
            </c:numRef>
          </c:val>
        </c:ser>
        <c:ser>
          <c:idx val="2"/>
          <c:order val="2"/>
          <c:tx>
            <c:strRef>
              <c:f>Berechnungen!$E$125</c:f>
              <c:strCache>
                <c:ptCount val="1"/>
                <c:pt idx="0">
                  <c:v>Bruttomiete MFH neu 
mit Subventionen</c:v>
                </c:pt>
              </c:strCache>
            </c:strRef>
          </c:tx>
          <c:invertIfNegative val="0"/>
          <c:cat>
            <c:strRef>
              <c:f>Berechnungen!$G$94:$N$94</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Berechnungen!$G$125:$N$125</c:f>
              <c:numCache>
                <c:formatCode>###\'###</c:formatCode>
                <c:ptCount val="8"/>
                <c:pt idx="0">
                  <c:v>154914.70000000001</c:v>
                </c:pt>
                <c:pt idx="1">
                  <c:v>154783.4</c:v>
                </c:pt>
                <c:pt idx="2">
                  <c:v>158229.57142857142</c:v>
                </c:pt>
                <c:pt idx="3">
                  <c:v>162262.48571428572</c:v>
                </c:pt>
                <c:pt idx="4">
                  <c:v>152523.79999999999</c:v>
                </c:pt>
                <c:pt idx="5">
                  <c:v>153146.25714285712</c:v>
                </c:pt>
                <c:pt idx="6">
                  <c:v>157249.57142857142</c:v>
                </c:pt>
                <c:pt idx="7">
                  <c:v>161772.48571428572</c:v>
                </c:pt>
              </c:numCache>
            </c:numRef>
          </c:val>
        </c:ser>
        <c:dLbls>
          <c:showLegendKey val="0"/>
          <c:showVal val="0"/>
          <c:showCatName val="0"/>
          <c:showSerName val="0"/>
          <c:showPercent val="0"/>
          <c:showBubbleSize val="0"/>
        </c:dLbls>
        <c:gapWidth val="150"/>
        <c:axId val="481613736"/>
        <c:axId val="481614520"/>
      </c:barChart>
      <c:catAx>
        <c:axId val="481613736"/>
        <c:scaling>
          <c:orientation val="minMax"/>
        </c:scaling>
        <c:delete val="0"/>
        <c:axPos val="b"/>
        <c:numFmt formatCode="General" sourceLinked="1"/>
        <c:majorTickMark val="out"/>
        <c:minorTickMark val="none"/>
        <c:tickLblPos val="nextTo"/>
        <c:txPr>
          <a:bodyPr/>
          <a:lstStyle/>
          <a:p>
            <a:pPr>
              <a:defRPr sz="1100"/>
            </a:pPr>
            <a:endParaRPr lang="de-DE"/>
          </a:p>
        </c:txPr>
        <c:crossAx val="481614520"/>
        <c:crosses val="autoZero"/>
        <c:auto val="1"/>
        <c:lblAlgn val="ctr"/>
        <c:lblOffset val="100"/>
        <c:noMultiLvlLbl val="0"/>
      </c:catAx>
      <c:valAx>
        <c:axId val="481614520"/>
        <c:scaling>
          <c:orientation val="minMax"/>
        </c:scaling>
        <c:delete val="0"/>
        <c:axPos val="l"/>
        <c:majorGridlines/>
        <c:title>
          <c:tx>
            <c:rich>
              <a:bodyPr rot="-5400000" vert="horz"/>
              <a:lstStyle/>
              <a:p>
                <a:pPr>
                  <a:defRPr sz="1400"/>
                </a:pPr>
                <a:r>
                  <a:rPr lang="en-US" sz="1400"/>
                  <a:t>Bruttomiete in CHF</a:t>
                </a:r>
              </a:p>
            </c:rich>
          </c:tx>
          <c:layout>
            <c:manualLayout>
              <c:xMode val="edge"/>
              <c:yMode val="edge"/>
              <c:x val="1.3130744894750877E-2"/>
              <c:y val="0.29155574184405897"/>
            </c:manualLayout>
          </c:layout>
          <c:overlay val="0"/>
        </c:title>
        <c:numFmt formatCode="###\'###" sourceLinked="1"/>
        <c:majorTickMark val="out"/>
        <c:minorTickMark val="none"/>
        <c:tickLblPos val="nextTo"/>
        <c:crossAx val="481613736"/>
        <c:crosses val="autoZero"/>
        <c:crossBetween val="between"/>
      </c:valAx>
    </c:plotArea>
    <c:legend>
      <c:legendPos val="r"/>
      <c:layout>
        <c:manualLayout>
          <c:xMode val="edge"/>
          <c:yMode val="edge"/>
          <c:x val="0.84624166546646162"/>
          <c:y val="0.41992974262247823"/>
          <c:w val="0.14587988759668821"/>
          <c:h val="0.2690757761743679"/>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MFH Sanierung: Bruttomiete ohne/mit Subventionen
Annahme Bruttomiete alt = 100%</a:t>
            </a:r>
          </a:p>
        </c:rich>
      </c:tx>
      <c:overlay val="0"/>
    </c:title>
    <c:autoTitleDeleted val="0"/>
    <c:plotArea>
      <c:layout>
        <c:manualLayout>
          <c:layoutTarget val="inner"/>
          <c:xMode val="edge"/>
          <c:yMode val="edge"/>
          <c:x val="9.9446412587707964E-2"/>
          <c:y val="0.15058526081647883"/>
          <c:w val="0.73908995529515464"/>
          <c:h val="0.61776679824312164"/>
        </c:manualLayout>
      </c:layout>
      <c:barChart>
        <c:barDir val="col"/>
        <c:grouping val="clustered"/>
        <c:varyColors val="0"/>
        <c:ser>
          <c:idx val="0"/>
          <c:order val="0"/>
          <c:tx>
            <c:strRef>
              <c:f>Berechnungen!$E$121</c:f>
              <c:strCache>
                <c:ptCount val="1"/>
                <c:pt idx="0">
                  <c:v>Bruttomiete MFH neu 
ohne Subventionen</c:v>
                </c:pt>
              </c:strCache>
            </c:strRef>
          </c:tx>
          <c:invertIfNegative val="0"/>
          <c:dLbls>
            <c:delete val="1"/>
          </c:dLbls>
          <c:cat>
            <c:strRef>
              <c:f>Berechnungen!$G$106:$N$106</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Berechnungen!$G$121:$N$121</c:f>
              <c:numCache>
                <c:formatCode>0.0%</c:formatCode>
                <c:ptCount val="8"/>
                <c:pt idx="0">
                  <c:v>0.99304294871794885</c:v>
                </c:pt>
                <c:pt idx="1">
                  <c:v>1.0257474358974359</c:v>
                </c:pt>
                <c:pt idx="2">
                  <c:v>1.0572613553113552</c:v>
                </c:pt>
                <c:pt idx="3">
                  <c:v>1.0925364468864469</c:v>
                </c:pt>
                <c:pt idx="4">
                  <c:v>1.0068653846153846</c:v>
                </c:pt>
                <c:pt idx="5">
                  <c:v>1.0215349816849817</c:v>
                </c:pt>
                <c:pt idx="6">
                  <c:v>1.0572613553113552</c:v>
                </c:pt>
                <c:pt idx="7">
                  <c:v>1.0925364468864469</c:v>
                </c:pt>
              </c:numCache>
            </c:numRef>
          </c:val>
        </c:ser>
        <c:ser>
          <c:idx val="1"/>
          <c:order val="1"/>
          <c:tx>
            <c:strRef>
              <c:f>Berechnungen!$E$126</c:f>
              <c:strCache>
                <c:ptCount val="1"/>
                <c:pt idx="0">
                  <c:v>Bruttomiete MFH neu 
mit Subventionen</c:v>
                </c:pt>
              </c:strCache>
            </c:strRef>
          </c:tx>
          <c:invertIfNegative val="0"/>
          <c:dLbls>
            <c:delete val="1"/>
          </c:dLbls>
          <c:cat>
            <c:strRef>
              <c:f>Berechnungen!$G$106:$N$106</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Berechnungen!$G$126:$N$126</c:f>
              <c:numCache>
                <c:formatCode>0.0%</c:formatCode>
                <c:ptCount val="8"/>
                <c:pt idx="0">
                  <c:v>0.99304294871794885</c:v>
                </c:pt>
                <c:pt idx="1">
                  <c:v>0.992201282051282</c:v>
                </c:pt>
                <c:pt idx="2">
                  <c:v>1.0142921245421246</c:v>
                </c:pt>
                <c:pt idx="3">
                  <c:v>1.0401441391941393</c:v>
                </c:pt>
                <c:pt idx="4">
                  <c:v>0.97771666666666657</c:v>
                </c:pt>
                <c:pt idx="5">
                  <c:v>0.98170677655677641</c:v>
                </c:pt>
                <c:pt idx="6">
                  <c:v>1.0080100732600732</c:v>
                </c:pt>
                <c:pt idx="7">
                  <c:v>1.0370031135531137</c:v>
                </c:pt>
              </c:numCache>
            </c:numRef>
          </c:val>
        </c:ser>
        <c:dLbls>
          <c:showLegendKey val="0"/>
          <c:showVal val="1"/>
          <c:showCatName val="0"/>
          <c:showSerName val="0"/>
          <c:showPercent val="0"/>
          <c:showBubbleSize val="0"/>
        </c:dLbls>
        <c:gapWidth val="150"/>
        <c:axId val="481616480"/>
        <c:axId val="481616872"/>
      </c:barChart>
      <c:catAx>
        <c:axId val="481616480"/>
        <c:scaling>
          <c:orientation val="minMax"/>
        </c:scaling>
        <c:delete val="0"/>
        <c:axPos val="b"/>
        <c:numFmt formatCode="General" sourceLinked="0"/>
        <c:majorTickMark val="out"/>
        <c:minorTickMark val="none"/>
        <c:tickLblPos val="nextTo"/>
        <c:txPr>
          <a:bodyPr/>
          <a:lstStyle/>
          <a:p>
            <a:pPr>
              <a:defRPr sz="1100"/>
            </a:pPr>
            <a:endParaRPr lang="de-DE"/>
          </a:p>
        </c:txPr>
        <c:crossAx val="481616872"/>
        <c:crosses val="autoZero"/>
        <c:auto val="1"/>
        <c:lblAlgn val="ctr"/>
        <c:lblOffset val="100"/>
        <c:noMultiLvlLbl val="0"/>
      </c:catAx>
      <c:valAx>
        <c:axId val="481616872"/>
        <c:scaling>
          <c:orientation val="minMax"/>
        </c:scaling>
        <c:delete val="0"/>
        <c:axPos val="l"/>
        <c:majorGridlines/>
        <c:title>
          <c:tx>
            <c:rich>
              <a:bodyPr rot="-5400000" vert="horz"/>
              <a:lstStyle/>
              <a:p>
                <a:pPr>
                  <a:defRPr sz="1400"/>
                </a:pPr>
                <a:r>
                  <a:rPr lang="en-US" sz="1400"/>
                  <a:t>Bruttomiete in Prozent</a:t>
                </a:r>
              </a:p>
            </c:rich>
          </c:tx>
          <c:layout>
            <c:manualLayout>
              <c:xMode val="edge"/>
              <c:yMode val="edge"/>
              <c:x val="1.0492786054674219E-2"/>
              <c:y val="0.30265309456500167"/>
            </c:manualLayout>
          </c:layout>
          <c:overlay val="0"/>
        </c:title>
        <c:numFmt formatCode="0.0%" sourceLinked="1"/>
        <c:majorTickMark val="out"/>
        <c:minorTickMark val="none"/>
        <c:tickLblPos val="nextTo"/>
        <c:crossAx val="481616480"/>
        <c:crosses val="autoZero"/>
        <c:crossBetween val="between"/>
      </c:valAx>
    </c:plotArea>
    <c:legend>
      <c:legendPos val="r"/>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US" sz="1800" b="1" i="0" baseline="0"/>
              <a:t>MFH Sanierung_Nettorenditen 1: </a:t>
            </a:r>
            <a:br>
              <a:rPr lang="en-US" sz="1800" b="1" i="0" baseline="0"/>
            </a:br>
            <a:r>
              <a:rPr lang="en-US" sz="1800" b="1" i="0" baseline="0"/>
              <a:t>Investitionskosten ohne/mit Subventionen, ohne/mit Steuerabzug</a:t>
            </a:r>
          </a:p>
        </c:rich>
      </c:tx>
      <c:layout>
        <c:manualLayout>
          <c:xMode val="edge"/>
          <c:yMode val="edge"/>
          <c:x val="0.14588115607033106"/>
          <c:y val="9.2730562770469011E-3"/>
        </c:manualLayout>
      </c:layout>
      <c:overlay val="0"/>
    </c:title>
    <c:autoTitleDeleted val="0"/>
    <c:plotArea>
      <c:layout>
        <c:manualLayout>
          <c:layoutTarget val="inner"/>
          <c:xMode val="edge"/>
          <c:yMode val="edge"/>
          <c:x val="9.0590149935854153E-2"/>
          <c:y val="0.12185824120294006"/>
          <c:w val="0.78266807106477165"/>
          <c:h val="0.66109261060948843"/>
        </c:manualLayout>
      </c:layout>
      <c:barChart>
        <c:barDir val="col"/>
        <c:grouping val="clustered"/>
        <c:varyColors val="0"/>
        <c:ser>
          <c:idx val="1"/>
          <c:order val="0"/>
          <c:tx>
            <c:strRef>
              <c:f>Berechnungen!$E$139</c:f>
              <c:strCache>
                <c:ptCount val="1"/>
                <c:pt idx="0">
                  <c:v>Nettorendite 1A</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Berechnungen!$G$139:$N$139</c:f>
              <c:numCache>
                <c:formatCode>0.0%</c:formatCode>
                <c:ptCount val="8"/>
                <c:pt idx="0">
                  <c:v>-5.2999999999999999E-2</c:v>
                </c:pt>
                <c:pt idx="1">
                  <c:v>-1.1000000000000005E-2</c:v>
                </c:pt>
                <c:pt idx="2">
                  <c:v>-1.0999999999999996E-2</c:v>
                </c:pt>
                <c:pt idx="3">
                  <c:v>-1.0999999999999998E-2</c:v>
                </c:pt>
                <c:pt idx="4">
                  <c:v>2.4564643799472297E-3</c:v>
                </c:pt>
                <c:pt idx="5">
                  <c:v>-6.6355897851641229E-4</c:v>
                </c:pt>
                <c:pt idx="6">
                  <c:v>-2.6856863384414642E-3</c:v>
                </c:pt>
                <c:pt idx="7">
                  <c:v>-4.0384930384930367E-3</c:v>
                </c:pt>
              </c:numCache>
            </c:numRef>
          </c:val>
        </c:ser>
        <c:ser>
          <c:idx val="2"/>
          <c:order val="1"/>
          <c:tx>
            <c:strRef>
              <c:f>Berechnungen!$E$141</c:f>
              <c:strCache>
                <c:ptCount val="1"/>
                <c:pt idx="0">
                  <c:v>Nettorendite 1B</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Berechnungen!$G$141:$N$141</c:f>
              <c:numCache>
                <c:formatCode>0.0%</c:formatCode>
                <c:ptCount val="8"/>
                <c:pt idx="0">
                  <c:v>-5.0666666666666672E-2</c:v>
                </c:pt>
                <c:pt idx="1">
                  <c:v>5.333333333333328E-3</c:v>
                </c:pt>
                <c:pt idx="2">
                  <c:v>5.3333333333333392E-3</c:v>
                </c:pt>
                <c:pt idx="3">
                  <c:v>5.3333333333333366E-3</c:v>
                </c:pt>
                <c:pt idx="4">
                  <c:v>2.3275285839929639E-2</c:v>
                </c:pt>
                <c:pt idx="5">
                  <c:v>1.9115254695311449E-2</c:v>
                </c:pt>
                <c:pt idx="6">
                  <c:v>1.6419084882078046E-2</c:v>
                </c:pt>
                <c:pt idx="7">
                  <c:v>1.4615342615342619E-2</c:v>
                </c:pt>
              </c:numCache>
            </c:numRef>
          </c:val>
        </c:ser>
        <c:ser>
          <c:idx val="0"/>
          <c:order val="2"/>
          <c:tx>
            <c:strRef>
              <c:f>Berechnungen!$E$144</c:f>
              <c:strCache>
                <c:ptCount val="1"/>
                <c:pt idx="0">
                  <c:v>Nettorendite 1C</c:v>
                </c:pt>
              </c:strCache>
            </c:strRef>
          </c:tx>
          <c:invertIfNegative val="0"/>
          <c:val>
            <c:numRef>
              <c:f>Berechnungen!$G$144:$N$144</c:f>
              <c:numCache>
                <c:formatCode>0.0%</c:formatCode>
                <c:ptCount val="8"/>
                <c:pt idx="0">
                  <c:v>-5.0666666666666672E-2</c:v>
                </c:pt>
                <c:pt idx="1">
                  <c:v>5.333333333333341E-3</c:v>
                </c:pt>
                <c:pt idx="2">
                  <c:v>5.3333333333333384E-3</c:v>
                </c:pt>
                <c:pt idx="3">
                  <c:v>5.3333333333333358E-3</c:v>
                </c:pt>
                <c:pt idx="4">
                  <c:v>2.9092941998602372E-2</c:v>
                </c:pt>
                <c:pt idx="5">
                  <c:v>2.3882160392798696E-2</c:v>
                </c:pt>
                <c:pt idx="6">
                  <c:v>2.0226018396846249E-2</c:v>
                </c:pt>
                <c:pt idx="7">
                  <c:v>1.7567950101955141E-2</c:v>
                </c:pt>
              </c:numCache>
            </c:numRef>
          </c:val>
        </c:ser>
        <c:ser>
          <c:idx val="3"/>
          <c:order val="3"/>
          <c:tx>
            <c:strRef>
              <c:f>Berechnungen!$E$146</c:f>
              <c:strCache>
                <c:ptCount val="1"/>
                <c:pt idx="0">
                  <c:v>Nettorendite 1D</c:v>
                </c:pt>
              </c:strCache>
            </c:strRef>
          </c:tx>
          <c:invertIfNegative val="0"/>
          <c:val>
            <c:numRef>
              <c:f>Berechnungen!$G$146:$N$146</c:f>
              <c:numCache>
                <c:formatCode>0.0%</c:formatCode>
                <c:ptCount val="8"/>
                <c:pt idx="0">
                  <c:v>-5.2999999999999999E-2</c:v>
                </c:pt>
                <c:pt idx="1">
                  <c:v>-1.0999999999999994E-2</c:v>
                </c:pt>
                <c:pt idx="2">
                  <c:v>-1.0999999999999996E-2</c:v>
                </c:pt>
                <c:pt idx="3">
                  <c:v>-1.0999999999999998E-2</c:v>
                </c:pt>
                <c:pt idx="4">
                  <c:v>6.8197064989517792E-3</c:v>
                </c:pt>
                <c:pt idx="5">
                  <c:v>2.911620294599022E-3</c:v>
                </c:pt>
                <c:pt idx="6">
                  <c:v>1.6951379763468642E-4</c:v>
                </c:pt>
                <c:pt idx="7">
                  <c:v>-1.8240374235336438E-3</c:v>
                </c:pt>
              </c:numCache>
            </c:numRef>
          </c:val>
        </c:ser>
        <c:dLbls>
          <c:showLegendKey val="0"/>
          <c:showVal val="0"/>
          <c:showCatName val="0"/>
          <c:showSerName val="0"/>
          <c:showPercent val="0"/>
          <c:showBubbleSize val="0"/>
        </c:dLbls>
        <c:gapWidth val="150"/>
        <c:axId val="481619616"/>
        <c:axId val="481968936"/>
      </c:barChart>
      <c:catAx>
        <c:axId val="481619616"/>
        <c:scaling>
          <c:orientation val="minMax"/>
        </c:scaling>
        <c:delete val="0"/>
        <c:axPos val="b"/>
        <c:numFmt formatCode="General" sourceLinked="1"/>
        <c:majorTickMark val="out"/>
        <c:minorTickMark val="none"/>
        <c:tickLblPos val="nextTo"/>
        <c:txPr>
          <a:bodyPr/>
          <a:lstStyle/>
          <a:p>
            <a:pPr>
              <a:defRPr sz="1100"/>
            </a:pPr>
            <a:endParaRPr lang="de-DE"/>
          </a:p>
        </c:txPr>
        <c:crossAx val="481968936"/>
        <c:crosses val="autoZero"/>
        <c:auto val="1"/>
        <c:lblAlgn val="ctr"/>
        <c:lblOffset val="100"/>
        <c:noMultiLvlLbl val="0"/>
      </c:catAx>
      <c:valAx>
        <c:axId val="481968936"/>
        <c:scaling>
          <c:orientation val="minMax"/>
        </c:scaling>
        <c:delete val="0"/>
        <c:axPos val="l"/>
        <c:majorGridlines/>
        <c:title>
          <c:tx>
            <c:rich>
              <a:bodyPr rot="-5400000" vert="horz"/>
              <a:lstStyle/>
              <a:p>
                <a:pPr>
                  <a:defRPr sz="1400"/>
                </a:pPr>
                <a:r>
                  <a:rPr lang="en-US" sz="1400"/>
                  <a:t>Nettorenditen</a:t>
                </a:r>
                <a:r>
                  <a:rPr lang="en-US" sz="1400" baseline="0"/>
                  <a:t> in %</a:t>
                </a:r>
                <a:endParaRPr lang="en-US" sz="1400"/>
              </a:p>
            </c:rich>
          </c:tx>
          <c:layout>
            <c:manualLayout>
              <c:xMode val="edge"/>
              <c:yMode val="edge"/>
              <c:x val="8.8417578081368096E-3"/>
              <c:y val="0.22020746421235893"/>
            </c:manualLayout>
          </c:layout>
          <c:overlay val="0"/>
        </c:title>
        <c:numFmt formatCode="0.0%" sourceLinked="1"/>
        <c:majorTickMark val="out"/>
        <c:minorTickMark val="none"/>
        <c:tickLblPos val="nextTo"/>
        <c:txPr>
          <a:bodyPr/>
          <a:lstStyle/>
          <a:p>
            <a:pPr>
              <a:defRPr sz="1100"/>
            </a:pPr>
            <a:endParaRPr lang="de-DE"/>
          </a:p>
        </c:txPr>
        <c:crossAx val="481619616"/>
        <c:crosses val="autoZero"/>
        <c:crossBetween val="between"/>
      </c:valAx>
    </c:plotArea>
    <c:legend>
      <c:legendPos val="r"/>
      <c:layout>
        <c:manualLayout>
          <c:xMode val="edge"/>
          <c:yMode val="edge"/>
          <c:x val="0.86795519316146863"/>
          <c:y val="0.23662521354954158"/>
          <c:w val="0.1320448068385317"/>
          <c:h val="0.3054343943133549"/>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US" sz="1800" b="1" i="0" baseline="0"/>
              <a:t>MFH Sanierung_Nettorenditen 2:</a:t>
            </a:r>
            <a:br>
              <a:rPr lang="en-US" sz="1800" b="1" i="0" baseline="0"/>
            </a:br>
            <a:r>
              <a:rPr lang="en-US" sz="1800" b="1" i="0" baseline="0"/>
              <a:t>Investitionskosten ohne/mit Subventionen, ohne/mit Steuerabzug</a:t>
            </a:r>
          </a:p>
        </c:rich>
      </c:tx>
      <c:layout>
        <c:manualLayout>
          <c:xMode val="edge"/>
          <c:yMode val="edge"/>
          <c:x val="0.14986069019326942"/>
          <c:y val="9.2730562770469011E-3"/>
        </c:manualLayout>
      </c:layout>
      <c:overlay val="0"/>
    </c:title>
    <c:autoTitleDeleted val="0"/>
    <c:plotArea>
      <c:layout>
        <c:manualLayout>
          <c:layoutTarget val="inner"/>
          <c:xMode val="edge"/>
          <c:yMode val="edge"/>
          <c:x val="8.9263666070084707E-2"/>
          <c:y val="0.12185824120294006"/>
          <c:w val="0.783994543546914"/>
          <c:h val="0.55836725597979497"/>
        </c:manualLayout>
      </c:layout>
      <c:barChart>
        <c:barDir val="col"/>
        <c:grouping val="clustered"/>
        <c:varyColors val="0"/>
        <c:ser>
          <c:idx val="1"/>
          <c:order val="0"/>
          <c:tx>
            <c:strRef>
              <c:f>Berechnungen!$E$161</c:f>
              <c:strCache>
                <c:ptCount val="1"/>
                <c:pt idx="0">
                  <c:v>Nettorendite 2A</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Berechnungen!$G$161:$N$161</c:f>
              <c:numCache>
                <c:formatCode>0.0%</c:formatCode>
                <c:ptCount val="8"/>
                <c:pt idx="1">
                  <c:v>2.3138472456311491E-3</c:v>
                </c:pt>
                <c:pt idx="2">
                  <c:v>-2.41034739312081E-3</c:v>
                </c:pt>
                <c:pt idx="3">
                  <c:v>-4.2517872397823814E-3</c:v>
                </c:pt>
                <c:pt idx="4">
                  <c:v>1.8270645614615194E-2</c:v>
                </c:pt>
                <c:pt idx="5">
                  <c:v>1.0237149883044448E-2</c:v>
                </c:pt>
                <c:pt idx="6">
                  <c:v>5.489871000791703E-3</c:v>
                </c:pt>
                <c:pt idx="7">
                  <c:v>2.4936549674174024E-3</c:v>
                </c:pt>
              </c:numCache>
            </c:numRef>
          </c:val>
        </c:ser>
        <c:ser>
          <c:idx val="2"/>
          <c:order val="1"/>
          <c:tx>
            <c:strRef>
              <c:f>Berechnungen!$E$164</c:f>
              <c:strCache>
                <c:ptCount val="1"/>
                <c:pt idx="0">
                  <c:v>Nettorendite 2B</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Berechnungen!$G$164:$N$164</c:f>
              <c:numCache>
                <c:formatCode>0.0%</c:formatCode>
                <c:ptCount val="8"/>
                <c:pt idx="1">
                  <c:v>3.1359604629990885E-2</c:v>
                </c:pt>
                <c:pt idx="2">
                  <c:v>2.1551503363319562E-2</c:v>
                </c:pt>
                <c:pt idx="3">
                  <c:v>1.7907382972038959E-2</c:v>
                </c:pt>
                <c:pt idx="4">
                  <c:v>5.3980979896472853E-2</c:v>
                </c:pt>
                <c:pt idx="5">
                  <c:v>3.9758412130505162E-2</c:v>
                </c:pt>
                <c:pt idx="6">
                  <c:v>3.1678988200013053E-2</c:v>
                </c:pt>
                <c:pt idx="7">
                  <c:v>2.6698176050753374E-2</c:v>
                </c:pt>
              </c:numCache>
            </c:numRef>
          </c:val>
        </c:ser>
        <c:ser>
          <c:idx val="0"/>
          <c:order val="2"/>
          <c:tx>
            <c:strRef>
              <c:f>Berechnungen!$E$167</c:f>
              <c:strCache>
                <c:ptCount val="1"/>
                <c:pt idx="0">
                  <c:v>Nettorendite 2C</c:v>
                </c:pt>
              </c:strCache>
            </c:strRef>
          </c:tx>
          <c:invertIfNegative val="0"/>
          <c:val>
            <c:numRef>
              <c:f>Berechnungen!$G$167:$N$167</c:f>
              <c:numCache>
                <c:formatCode>0.0%</c:formatCode>
                <c:ptCount val="8"/>
                <c:pt idx="1">
                  <c:v>4.9952285395763671E-2</c:v>
                </c:pt>
                <c:pt idx="2">
                  <c:v>2.9634001214329089E-2</c:v>
                </c:pt>
                <c:pt idx="3">
                  <c:v>2.367409036751902E-2</c:v>
                </c:pt>
                <c:pt idx="4">
                  <c:v>7.8502987506789787E-2</c:v>
                </c:pt>
                <c:pt idx="5">
                  <c:v>5.6261625708884697E-2</c:v>
                </c:pt>
                <c:pt idx="6">
                  <c:v>4.3332016925246818E-2</c:v>
                </c:pt>
                <c:pt idx="7">
                  <c:v>3.5023730805965762E-2</c:v>
                </c:pt>
              </c:numCache>
            </c:numRef>
          </c:val>
        </c:ser>
        <c:ser>
          <c:idx val="3"/>
          <c:order val="3"/>
          <c:tx>
            <c:strRef>
              <c:f>Berechnungen!$E$170</c:f>
              <c:strCache>
                <c:ptCount val="1"/>
                <c:pt idx="0">
                  <c:v>Nettorendite 2D</c:v>
                </c:pt>
              </c:strCache>
            </c:strRef>
          </c:tx>
          <c:invertIfNegative val="0"/>
          <c:val>
            <c:numRef>
              <c:f>Berechnungen!$G$170:$N$170</c:f>
              <c:numCache>
                <c:formatCode>0.0%</c:formatCode>
                <c:ptCount val="8"/>
                <c:pt idx="1">
                  <c:v>1.0437937437508935E-2</c:v>
                </c:pt>
                <c:pt idx="2">
                  <c:v>1.506207816015337E-3</c:v>
                </c:pt>
                <c:pt idx="3">
                  <c:v>-1.3598818164300835E-3</c:v>
                </c:pt>
                <c:pt idx="4">
                  <c:v>3.1228622540250443E-2</c:v>
                </c:pt>
                <c:pt idx="5">
                  <c:v>1.9522110162916995E-2</c:v>
                </c:pt>
                <c:pt idx="6">
                  <c:v>1.2293664890467727E-2</c:v>
                </c:pt>
                <c:pt idx="7">
                  <c:v>7.4718556001878052E-3</c:v>
                </c:pt>
              </c:numCache>
            </c:numRef>
          </c:val>
        </c:ser>
        <c:dLbls>
          <c:showLegendKey val="0"/>
          <c:showVal val="0"/>
          <c:showCatName val="0"/>
          <c:showSerName val="0"/>
          <c:showPercent val="0"/>
          <c:showBubbleSize val="0"/>
        </c:dLbls>
        <c:gapWidth val="150"/>
        <c:axId val="481969328"/>
        <c:axId val="481972072"/>
      </c:barChart>
      <c:catAx>
        <c:axId val="481969328"/>
        <c:scaling>
          <c:orientation val="minMax"/>
        </c:scaling>
        <c:delete val="0"/>
        <c:axPos val="b"/>
        <c:numFmt formatCode="General" sourceLinked="1"/>
        <c:majorTickMark val="out"/>
        <c:minorTickMark val="none"/>
        <c:tickLblPos val="nextTo"/>
        <c:txPr>
          <a:bodyPr/>
          <a:lstStyle/>
          <a:p>
            <a:pPr>
              <a:defRPr sz="1100"/>
            </a:pPr>
            <a:endParaRPr lang="de-DE"/>
          </a:p>
        </c:txPr>
        <c:crossAx val="481972072"/>
        <c:crosses val="autoZero"/>
        <c:auto val="1"/>
        <c:lblAlgn val="ctr"/>
        <c:lblOffset val="100"/>
        <c:noMultiLvlLbl val="0"/>
      </c:catAx>
      <c:valAx>
        <c:axId val="481972072"/>
        <c:scaling>
          <c:orientation val="minMax"/>
        </c:scaling>
        <c:delete val="0"/>
        <c:axPos val="l"/>
        <c:majorGridlines/>
        <c:title>
          <c:tx>
            <c:rich>
              <a:bodyPr rot="-5400000" vert="horz"/>
              <a:lstStyle/>
              <a:p>
                <a:pPr>
                  <a:defRPr sz="1400"/>
                </a:pPr>
                <a:r>
                  <a:rPr lang="en-US" sz="1400"/>
                  <a:t>Nettorenditen</a:t>
                </a:r>
                <a:r>
                  <a:rPr lang="en-US" sz="1400" baseline="0"/>
                  <a:t> in %</a:t>
                </a:r>
                <a:endParaRPr lang="en-US" sz="1400"/>
              </a:p>
            </c:rich>
          </c:tx>
          <c:layout>
            <c:manualLayout>
              <c:xMode val="edge"/>
              <c:yMode val="edge"/>
              <c:x val="8.8417578081368096E-3"/>
              <c:y val="0.22020746421235893"/>
            </c:manualLayout>
          </c:layout>
          <c:overlay val="0"/>
        </c:title>
        <c:numFmt formatCode="0.0%" sourceLinked="1"/>
        <c:majorTickMark val="out"/>
        <c:minorTickMark val="none"/>
        <c:tickLblPos val="nextTo"/>
        <c:txPr>
          <a:bodyPr/>
          <a:lstStyle/>
          <a:p>
            <a:pPr>
              <a:defRPr sz="1100"/>
            </a:pPr>
            <a:endParaRPr lang="de-DE"/>
          </a:p>
        </c:txPr>
        <c:crossAx val="481969328"/>
        <c:crosses val="autoZero"/>
        <c:crossBetween val="between"/>
      </c:valAx>
    </c:plotArea>
    <c:legend>
      <c:legendPos val="r"/>
      <c:layout>
        <c:manualLayout>
          <c:xMode val="edge"/>
          <c:yMode val="edge"/>
          <c:x val="0.86795519316146863"/>
          <c:y val="0.23662521354954158"/>
          <c:w val="0.1320448068385317"/>
          <c:h val="0.30543439431335501"/>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US" sz="1800" b="1" i="0" baseline="0"/>
              <a:t>MFH Sanierung_Eigenkapitalrenditen 3:</a:t>
            </a:r>
            <a:br>
              <a:rPr lang="en-US" sz="1800" b="1" i="0" baseline="0"/>
            </a:br>
            <a:r>
              <a:rPr lang="en-US" sz="1800" b="1" i="0" baseline="0"/>
              <a:t>Eigenkapitalanteil ohne/mit Subventionen, ohne/mit Steuerabzug</a:t>
            </a:r>
          </a:p>
        </c:rich>
      </c:tx>
      <c:layout>
        <c:manualLayout>
          <c:xMode val="edge"/>
          <c:yMode val="edge"/>
          <c:x val="0.14986069019326947"/>
          <c:y val="9.2730562770469097E-3"/>
        </c:manualLayout>
      </c:layout>
      <c:overlay val="0"/>
    </c:title>
    <c:autoTitleDeleted val="0"/>
    <c:plotArea>
      <c:layout>
        <c:manualLayout>
          <c:layoutTarget val="inner"/>
          <c:xMode val="edge"/>
          <c:yMode val="edge"/>
          <c:x val="8.9263666070084707E-2"/>
          <c:y val="0.12185824120294006"/>
          <c:w val="0.76011733880928378"/>
          <c:h val="0.57723518050809763"/>
        </c:manualLayout>
      </c:layout>
      <c:barChart>
        <c:barDir val="col"/>
        <c:grouping val="clustered"/>
        <c:varyColors val="0"/>
        <c:ser>
          <c:idx val="1"/>
          <c:order val="0"/>
          <c:tx>
            <c:strRef>
              <c:f>Berechnungen!$E$194</c:f>
              <c:strCache>
                <c:ptCount val="1"/>
                <c:pt idx="0">
                  <c:v>Eigenkapitalrendite 3A</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Berechnungen!$G$194:$N$194</c:f>
              <c:numCache>
                <c:formatCode>0.0%</c:formatCode>
                <c:ptCount val="8"/>
                <c:pt idx="0">
                  <c:v>-2.3333333333333334E-2</c:v>
                </c:pt>
                <c:pt idx="1">
                  <c:v>0.11666666666666664</c:v>
                </c:pt>
                <c:pt idx="2">
                  <c:v>0.11666666666666667</c:v>
                </c:pt>
                <c:pt idx="3">
                  <c:v>0.11666666666666667</c:v>
                </c:pt>
                <c:pt idx="4">
                  <c:v>0.16152154793315743</c:v>
                </c:pt>
                <c:pt idx="5">
                  <c:v>0.15112147007161195</c:v>
                </c:pt>
                <c:pt idx="6">
                  <c:v>0.14438104553852846</c:v>
                </c:pt>
                <c:pt idx="7">
                  <c:v>0.13987168987168982</c:v>
                </c:pt>
              </c:numCache>
            </c:numRef>
          </c:val>
        </c:ser>
        <c:ser>
          <c:idx val="2"/>
          <c:order val="1"/>
          <c:tx>
            <c:strRef>
              <c:f>Berechnungen!$E$214</c:f>
              <c:strCache>
                <c:ptCount val="1"/>
                <c:pt idx="0">
                  <c:v>Eigenkapitalrendite 3B</c:v>
                </c:pt>
              </c:strCache>
            </c:strRef>
          </c:tx>
          <c:invertIfNegative val="0"/>
          <c:cat>
            <c:strRef>
              <c:f>Berechnungen!$G$71:$N$71</c:f>
              <c:strCache>
                <c:ptCount val="8"/>
                <c:pt idx="0">
                  <c:v>Pinsel-Renovation</c:v>
                </c:pt>
                <c:pt idx="1">
                  <c:v>MuKEn</c:v>
                </c:pt>
                <c:pt idx="2">
                  <c:v>MINERGIE</c:v>
                </c:pt>
                <c:pt idx="3">
                  <c:v>MINERGIE-P</c:v>
                </c:pt>
                <c:pt idx="4">
                  <c:v>MuKEn ohne Hülle mit PV</c:v>
                </c:pt>
                <c:pt idx="5">
                  <c:v>MuKEn PV</c:v>
                </c:pt>
                <c:pt idx="6">
                  <c:v>MINERGIE  mit PV</c:v>
                </c:pt>
                <c:pt idx="7">
                  <c:v>MINERGIE-P mit PV</c:v>
                </c:pt>
              </c:strCache>
            </c:strRef>
          </c:cat>
          <c:val>
            <c:numRef>
              <c:f>Berechnungen!$G$214:$N$214</c:f>
              <c:numCache>
                <c:formatCode>0.0%</c:formatCode>
                <c:ptCount val="8"/>
                <c:pt idx="0">
                  <c:v>-1.5555555555555552E-2</c:v>
                </c:pt>
                <c:pt idx="1">
                  <c:v>0.17111111111111107</c:v>
                </c:pt>
                <c:pt idx="2">
                  <c:v>0.17111111111111113</c:v>
                </c:pt>
                <c:pt idx="3">
                  <c:v>0.17111111111111113</c:v>
                </c:pt>
                <c:pt idx="4">
                  <c:v>0.23091761946643213</c:v>
                </c:pt>
                <c:pt idx="5">
                  <c:v>0.21705084898437144</c:v>
                </c:pt>
                <c:pt idx="6">
                  <c:v>0.20806361627359349</c:v>
                </c:pt>
                <c:pt idx="7">
                  <c:v>0.20205114205114205</c:v>
                </c:pt>
              </c:numCache>
            </c:numRef>
          </c:val>
        </c:ser>
        <c:ser>
          <c:idx val="0"/>
          <c:order val="2"/>
          <c:tx>
            <c:strRef>
              <c:f>Berechnungen!$E$233</c:f>
              <c:strCache>
                <c:ptCount val="1"/>
                <c:pt idx="0">
                  <c:v>Eigenkapitalrendite 3C</c:v>
                </c:pt>
              </c:strCache>
            </c:strRef>
          </c:tx>
          <c:invertIfNegative val="0"/>
          <c:val>
            <c:numRef>
              <c:f>Berechnungen!$G$233:$N$233</c:f>
              <c:numCache>
                <c:formatCode>0.0%</c:formatCode>
                <c:ptCount val="8"/>
                <c:pt idx="0">
                  <c:v>-1.5555555555555552E-2</c:v>
                </c:pt>
                <c:pt idx="1">
                  <c:v>0.17111111111111116</c:v>
                </c:pt>
                <c:pt idx="2">
                  <c:v>0.17111111111111113</c:v>
                </c:pt>
                <c:pt idx="3">
                  <c:v>0.1711111111111111</c:v>
                </c:pt>
                <c:pt idx="4">
                  <c:v>0.25030980666200792</c:v>
                </c:pt>
                <c:pt idx="5">
                  <c:v>0.23294053464266232</c:v>
                </c:pt>
                <c:pt idx="6">
                  <c:v>0.22075339465615409</c:v>
                </c:pt>
                <c:pt idx="7">
                  <c:v>0.21189316700651711</c:v>
                </c:pt>
              </c:numCache>
            </c:numRef>
          </c:val>
        </c:ser>
        <c:ser>
          <c:idx val="3"/>
          <c:order val="3"/>
          <c:tx>
            <c:strRef>
              <c:f>Berechnungen!$E$252</c:f>
              <c:strCache>
                <c:ptCount val="1"/>
                <c:pt idx="0">
                  <c:v>Eigenkapitalrendite 3D</c:v>
                </c:pt>
              </c:strCache>
            </c:strRef>
          </c:tx>
          <c:invertIfNegative val="0"/>
          <c:val>
            <c:numRef>
              <c:f>Berechnungen!$G$252:$N$252</c:f>
              <c:numCache>
                <c:formatCode>0.0%</c:formatCode>
                <c:ptCount val="8"/>
                <c:pt idx="0">
                  <c:v>-2.3333333333333334E-2</c:v>
                </c:pt>
                <c:pt idx="1">
                  <c:v>0.1166666666666667</c:v>
                </c:pt>
                <c:pt idx="2">
                  <c:v>0.11666666666666667</c:v>
                </c:pt>
                <c:pt idx="3">
                  <c:v>0.11666666666666667</c:v>
                </c:pt>
                <c:pt idx="4">
                  <c:v>0.17606568832983926</c:v>
                </c:pt>
                <c:pt idx="5">
                  <c:v>0.16303873431533003</c:v>
                </c:pt>
                <c:pt idx="6">
                  <c:v>0.15389837932544895</c:v>
                </c:pt>
                <c:pt idx="7">
                  <c:v>0.14725320858822119</c:v>
                </c:pt>
              </c:numCache>
            </c:numRef>
          </c:val>
        </c:ser>
        <c:dLbls>
          <c:showLegendKey val="0"/>
          <c:showVal val="0"/>
          <c:showCatName val="0"/>
          <c:showSerName val="0"/>
          <c:showPercent val="0"/>
          <c:showBubbleSize val="0"/>
        </c:dLbls>
        <c:gapWidth val="150"/>
        <c:axId val="481969720"/>
        <c:axId val="481975992"/>
      </c:barChart>
      <c:catAx>
        <c:axId val="481969720"/>
        <c:scaling>
          <c:orientation val="minMax"/>
        </c:scaling>
        <c:delete val="0"/>
        <c:axPos val="b"/>
        <c:numFmt formatCode="General" sourceLinked="1"/>
        <c:majorTickMark val="out"/>
        <c:minorTickMark val="none"/>
        <c:tickLblPos val="nextTo"/>
        <c:txPr>
          <a:bodyPr/>
          <a:lstStyle/>
          <a:p>
            <a:pPr>
              <a:defRPr sz="1100"/>
            </a:pPr>
            <a:endParaRPr lang="de-DE"/>
          </a:p>
        </c:txPr>
        <c:crossAx val="481975992"/>
        <c:crosses val="autoZero"/>
        <c:auto val="1"/>
        <c:lblAlgn val="ctr"/>
        <c:lblOffset val="100"/>
        <c:noMultiLvlLbl val="0"/>
      </c:catAx>
      <c:valAx>
        <c:axId val="481975992"/>
        <c:scaling>
          <c:orientation val="minMax"/>
        </c:scaling>
        <c:delete val="0"/>
        <c:axPos val="l"/>
        <c:majorGridlines/>
        <c:title>
          <c:tx>
            <c:rich>
              <a:bodyPr rot="-5400000" vert="horz"/>
              <a:lstStyle/>
              <a:p>
                <a:pPr>
                  <a:defRPr sz="1400"/>
                </a:pPr>
                <a:r>
                  <a:rPr lang="en-US" sz="1400"/>
                  <a:t>Eigenkapitalrenditen</a:t>
                </a:r>
                <a:r>
                  <a:rPr lang="en-US" sz="1400" baseline="0"/>
                  <a:t> in %</a:t>
                </a:r>
                <a:endParaRPr lang="en-US" sz="1400"/>
              </a:p>
            </c:rich>
          </c:tx>
          <c:layout>
            <c:manualLayout>
              <c:xMode val="edge"/>
              <c:yMode val="edge"/>
              <c:x val="8.8417578081368096E-3"/>
              <c:y val="0.22020746421235893"/>
            </c:manualLayout>
          </c:layout>
          <c:overlay val="0"/>
        </c:title>
        <c:numFmt formatCode="0.0%" sourceLinked="1"/>
        <c:majorTickMark val="out"/>
        <c:minorTickMark val="none"/>
        <c:tickLblPos val="nextTo"/>
        <c:txPr>
          <a:bodyPr/>
          <a:lstStyle/>
          <a:p>
            <a:pPr>
              <a:defRPr sz="1100"/>
            </a:pPr>
            <a:endParaRPr lang="de-DE"/>
          </a:p>
        </c:txPr>
        <c:crossAx val="481969720"/>
        <c:crosses val="autoZero"/>
        <c:crossBetween val="between"/>
      </c:valAx>
    </c:plotArea>
    <c:legend>
      <c:legendPos val="r"/>
      <c:layout>
        <c:manualLayout>
          <c:xMode val="edge"/>
          <c:yMode val="edge"/>
          <c:x val="0.85469007941834541"/>
          <c:y val="0.23662523316660891"/>
          <c:w val="0.1320448068385317"/>
          <c:h val="0.30543439431335512"/>
        </c:manualLayout>
      </c:layout>
      <c:overlay val="0"/>
      <c:txPr>
        <a:bodyPr/>
        <a:lstStyle/>
        <a:p>
          <a:pPr>
            <a:defRPr sz="1050"/>
          </a:pPr>
          <a:endParaRPr lang="de-DE"/>
        </a:p>
      </c:txPr>
    </c:legend>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0</xdr:colOff>
      <xdr:row>14</xdr:row>
      <xdr:rowOff>7620</xdr:rowOff>
    </xdr:from>
    <xdr:ext cx="8590172" cy="1986826"/>
    <xdr:sp macro="" textlink="">
      <xdr:nvSpPr>
        <xdr:cNvPr id="3" name="Textfeld 2"/>
        <xdr:cNvSpPr txBox="1"/>
      </xdr:nvSpPr>
      <xdr:spPr>
        <a:xfrm>
          <a:off x="792480" y="3482340"/>
          <a:ext cx="8590172" cy="19868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de-CH" sz="1100" u="sng"/>
            <a:t>2. Grundformel,</a:t>
          </a:r>
          <a:r>
            <a:rPr lang="de-CH" sz="1100" u="sng" baseline="0"/>
            <a:t> die für die Berechnung aller Renditen verwendet wurde</a:t>
          </a:r>
          <a:r>
            <a:rPr lang="de-CH" sz="1100" baseline="0"/>
            <a:t>:</a:t>
          </a:r>
        </a:p>
        <a:p>
          <a:endParaRPr lang="de-CH" sz="1100" baseline="0"/>
        </a:p>
        <a:p>
          <a:r>
            <a:rPr lang="de-CH" sz="1100" baseline="0"/>
            <a:t>Rendite allgemein	= Jährlicher Ertrag / eingesetztes Kapital</a:t>
          </a:r>
        </a:p>
        <a:p>
          <a:r>
            <a:rPr lang="de-CH" sz="1100" baseline="0"/>
            <a:t>		= (Erlöse - Kosten) aus der Investition / eingesetztes Kapital für die Investition</a:t>
          </a:r>
        </a:p>
        <a:p>
          <a:r>
            <a:rPr lang="de-CH" sz="1100" baseline="0"/>
            <a:t>		= (Jährlicher Ertrag aus der Mietzinsüberwälzung + Erlös aus PV - jährliche Kapitalkosten) / Investitionskosten</a:t>
          </a:r>
        </a:p>
        <a:p>
          <a:endParaRPr lang="de-CH" sz="1100" baseline="0"/>
        </a:p>
        <a:p>
          <a:r>
            <a:rPr lang="de-CH" sz="1100" baseline="0"/>
            <a:t>Rendite 1A, 1B, 1C, 1D	= (Mietzinsüberwälzung + Erlös aus PV - Kapitalkosten) / Investitionskosten</a:t>
          </a:r>
        </a:p>
        <a:p>
          <a:endParaRPr lang="de-CH" sz="1100" baseline="0"/>
        </a:p>
        <a:p>
          <a:r>
            <a:rPr lang="de-CH" sz="1100" baseline="0"/>
            <a:t>Rendite 2A, 2B, 2C, 2D	= </a:t>
          </a:r>
          <a:r>
            <a:rPr lang="de-CH" sz="1100" baseline="0">
              <a:solidFill>
                <a:schemeClr val="tx1"/>
              </a:solidFill>
              <a:latin typeface="+mn-lt"/>
              <a:ea typeface="+mn-ea"/>
              <a:cs typeface="+mn-cs"/>
            </a:rPr>
            <a:t>(Mietzinsüberwälzung + Erlös aus PV - Kapitalkosten) / (Investitionskosten - Kosten für eine Pinselrenovation)</a:t>
          </a:r>
        </a:p>
        <a:p>
          <a:endParaRPr lang="de-CH" sz="1100" baseline="0">
            <a:solidFill>
              <a:schemeClr val="tx1"/>
            </a:solidFill>
            <a:latin typeface="+mn-lt"/>
            <a:ea typeface="+mn-ea"/>
            <a:cs typeface="+mn-cs"/>
          </a:endParaRPr>
        </a:p>
        <a:p>
          <a:r>
            <a:rPr lang="de-CH" sz="1100" baseline="0">
              <a:solidFill>
                <a:schemeClr val="tx1"/>
              </a:solidFill>
              <a:latin typeface="+mn-lt"/>
              <a:ea typeface="+mn-ea"/>
              <a:cs typeface="+mn-cs"/>
            </a:rPr>
            <a:t>Rendite 3A, 3B, 3C, 3D	= (Mietzinsüberwälzung + Erlös aus PV - Kapitalkosten für Fremdkapital) / Eigenkapitalanteil der Investitionskosten</a:t>
          </a:r>
          <a:endParaRPr lang="de-CH" sz="1100"/>
        </a:p>
      </xdr:txBody>
    </xdr:sp>
    <xdr:clientData/>
  </xdr:oneCellAnchor>
  <xdr:oneCellAnchor>
    <xdr:from>
      <xdr:col>1</xdr:col>
      <xdr:colOff>1</xdr:colOff>
      <xdr:row>3</xdr:row>
      <xdr:rowOff>7620</xdr:rowOff>
    </xdr:from>
    <xdr:ext cx="8580120" cy="1584960"/>
    <xdr:sp macro="" textlink="">
      <xdr:nvSpPr>
        <xdr:cNvPr id="4" name="Textfeld 3"/>
        <xdr:cNvSpPr txBox="1"/>
      </xdr:nvSpPr>
      <xdr:spPr>
        <a:xfrm>
          <a:off x="792481" y="1470660"/>
          <a:ext cx="8580120" cy="158496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de-CH" sz="1100" u="sng"/>
            <a:t>1. Eingabe von Daten für die Berechnung</a:t>
          </a:r>
          <a:r>
            <a:rPr lang="de-CH" sz="1100" baseline="0"/>
            <a:t>:</a:t>
          </a:r>
        </a:p>
        <a:p>
          <a:endParaRPr lang="de-CH" sz="1100" baseline="0"/>
        </a:p>
        <a:p>
          <a:r>
            <a:rPr lang="de-CH" sz="1100" baseline="0"/>
            <a:t>Der Standardnutzer gibt seine spezifischen Daten ausschliesslich im Blatt "Dateneingabe" ein. Die anderen Blätter sind geschützt (ohne Kennwort), damit nicht versehentlich Berechnungsformeln oder Zellbezüge gelöscht respektive überschrieben werden. Die Ergebnisse der Berechnungen wie Investitionskosten, Renditen etc. werden im Blatt "Berechnungen" angezeigt. Beim Klicken auf die entsprechenden Zellen werden die hinterlegten Formeln angezeigt. Neben den Berechnungstabellen sind auch entsprechende graphische Darstellungen der Ergebnisse zu finden. Die Übersichtstabelle mit den Renditen aller Sanierungsvarianten auf einen Blick befindet sich am Ende des Blattes "Berechnungen". Im Blatt "Sensitivitäten" sind die Ergebnisse einzelner Berechnungen als Graphik abgelegt.</a:t>
          </a:r>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783772</xdr:colOff>
      <xdr:row>2</xdr:row>
      <xdr:rowOff>10887</xdr:rowOff>
    </xdr:from>
    <xdr:to>
      <xdr:col>27</xdr:col>
      <xdr:colOff>762000</xdr:colOff>
      <xdr:row>27</xdr:row>
      <xdr:rowOff>19051</xdr:rowOff>
    </xdr:to>
    <xdr:graphicFrame macro="">
      <xdr:nvGraphicFramePr>
        <xdr:cNvPr id="6" name="Invest total"/>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29</xdr:row>
      <xdr:rowOff>19049</xdr:rowOff>
    </xdr:from>
    <xdr:to>
      <xdr:col>28</xdr:col>
      <xdr:colOff>21773</xdr:colOff>
      <xdr:row>52</xdr:row>
      <xdr:rowOff>19049</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783770</xdr:colOff>
      <xdr:row>53</xdr:row>
      <xdr:rowOff>85725</xdr:rowOff>
    </xdr:from>
    <xdr:to>
      <xdr:col>27</xdr:col>
      <xdr:colOff>762000</xdr:colOff>
      <xdr:row>69</xdr:row>
      <xdr:rowOff>172812</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9526</xdr:colOff>
      <xdr:row>71</xdr:row>
      <xdr:rowOff>55787</xdr:rowOff>
    </xdr:from>
    <xdr:to>
      <xdr:col>28</xdr:col>
      <xdr:colOff>96611</xdr:colOff>
      <xdr:row>81</xdr:row>
      <xdr:rowOff>19049</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86</xdr:row>
      <xdr:rowOff>0</xdr:rowOff>
    </xdr:from>
    <xdr:to>
      <xdr:col>28</xdr:col>
      <xdr:colOff>185058</xdr:colOff>
      <xdr:row>101</xdr:row>
      <xdr:rowOff>9525</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783770</xdr:colOff>
      <xdr:row>105</xdr:row>
      <xdr:rowOff>8162</xdr:rowOff>
    </xdr:from>
    <xdr:to>
      <xdr:col>28</xdr:col>
      <xdr:colOff>189138</xdr:colOff>
      <xdr:row>129</xdr:row>
      <xdr:rowOff>142875</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0</xdr:colOff>
      <xdr:row>132</xdr:row>
      <xdr:rowOff>0</xdr:rowOff>
    </xdr:from>
    <xdr:to>
      <xdr:col>28</xdr:col>
      <xdr:colOff>87085</xdr:colOff>
      <xdr:row>145</xdr:row>
      <xdr:rowOff>1362</xdr:rowOff>
    </xdr:to>
    <xdr:grpSp>
      <xdr:nvGrpSpPr>
        <xdr:cNvPr id="18" name="Gruppieren 17"/>
        <xdr:cNvGrpSpPr/>
      </xdr:nvGrpSpPr>
      <xdr:grpSpPr>
        <a:xfrm>
          <a:off x="12600214" y="42427071"/>
          <a:ext cx="9231085" cy="5607505"/>
          <a:chOff x="13573125" y="37804725"/>
          <a:chExt cx="9573985" cy="5478237"/>
        </a:xfrm>
      </xdr:grpSpPr>
      <xdr:graphicFrame macro="">
        <xdr:nvGraphicFramePr>
          <xdr:cNvPr id="14" name="Diagramm 13"/>
          <xdr:cNvGraphicFramePr/>
        </xdr:nvGraphicFramePr>
        <xdr:xfrm>
          <a:off x="13573125" y="37804725"/>
          <a:ext cx="9573985" cy="5478237"/>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16" name="Textfeld 15"/>
          <xdr:cNvSpPr txBox="1"/>
        </xdr:nvSpPr>
        <xdr:spPr>
          <a:xfrm>
            <a:off x="16430625" y="41795700"/>
            <a:ext cx="5496505" cy="83984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de-CH" sz="1100"/>
              <a:t>Nettorendite 1A = Nettoertrag / Investitionskosten, </a:t>
            </a:r>
            <a:r>
              <a:rPr lang="de-CH" sz="1100">
                <a:solidFill>
                  <a:srgbClr val="0000FF"/>
                </a:solidFill>
              </a:rPr>
              <a:t>ohne </a:t>
            </a:r>
            <a:r>
              <a:rPr lang="de-CH" sz="1100"/>
              <a:t>Subventionen, </a:t>
            </a:r>
            <a:r>
              <a:rPr lang="de-CH" sz="1100">
                <a:solidFill>
                  <a:srgbClr val="0000FF"/>
                </a:solidFill>
              </a:rPr>
              <a:t>ohne</a:t>
            </a:r>
            <a:r>
              <a:rPr lang="de-CH" sz="1100"/>
              <a:t> Steuerabzüge</a:t>
            </a:r>
          </a:p>
          <a:p>
            <a:r>
              <a:rPr lang="de-CH" sz="1100">
                <a:solidFill>
                  <a:schemeClr val="tx1"/>
                </a:solidFill>
                <a:latin typeface="+mn-lt"/>
                <a:ea typeface="+mn-ea"/>
                <a:cs typeface="+mn-cs"/>
              </a:rPr>
              <a:t>Nettorendite 1B = Nettoertrag / Investitionskosten,</a:t>
            </a:r>
            <a:r>
              <a:rPr lang="de-CH" sz="1100" baseline="0">
                <a:solidFill>
                  <a:schemeClr val="tx1"/>
                </a:solidFill>
                <a:latin typeface="+mn-lt"/>
                <a:ea typeface="+mn-ea"/>
                <a:cs typeface="+mn-cs"/>
              </a:rPr>
              <a:t> </a:t>
            </a:r>
            <a:r>
              <a:rPr lang="de-CH" sz="1100">
                <a:solidFill>
                  <a:srgbClr val="0000FF"/>
                </a:solidFill>
                <a:latin typeface="+mn-lt"/>
                <a:ea typeface="+mn-ea"/>
                <a:cs typeface="+mn-cs"/>
              </a:rPr>
              <a:t>ohne </a:t>
            </a:r>
            <a:r>
              <a:rPr lang="de-CH" sz="1100">
                <a:solidFill>
                  <a:schemeClr val="tx1"/>
                </a:solidFill>
                <a:latin typeface="+mn-lt"/>
                <a:ea typeface="+mn-ea"/>
                <a:cs typeface="+mn-cs"/>
              </a:rPr>
              <a:t>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Nettorendite 1C = Nettoertrag / Investitionskosten, </a:t>
            </a:r>
            <a:r>
              <a:rPr lang="de-CH" sz="1100">
                <a:solidFill>
                  <a:srgbClr val="FF0000"/>
                </a:solidFill>
                <a:latin typeface="+mn-lt"/>
                <a:ea typeface="+mn-ea"/>
                <a:cs typeface="+mn-cs"/>
              </a:rPr>
              <a:t>mit</a:t>
            </a:r>
            <a:r>
              <a:rPr lang="de-CH" sz="1100">
                <a:solidFill>
                  <a:schemeClr val="tx1"/>
                </a:solidFill>
                <a:latin typeface="+mn-lt"/>
                <a:ea typeface="+mn-ea"/>
                <a:cs typeface="+mn-cs"/>
              </a:rPr>
              <a:t> 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endParaRPr lang="de-CH"/>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Nettorendite 1D = Nettoertrag / Investitionskosten, </a:t>
            </a:r>
            <a:r>
              <a:rPr lang="de-CH" sz="1100">
                <a:solidFill>
                  <a:srgbClr val="FF0000"/>
                </a:solidFill>
                <a:latin typeface="+mn-lt"/>
                <a:ea typeface="+mn-ea"/>
                <a:cs typeface="+mn-cs"/>
              </a:rPr>
              <a:t>mit</a:t>
            </a:r>
            <a:r>
              <a:rPr lang="de-CH" sz="1100" baseline="0">
                <a:solidFill>
                  <a:schemeClr val="tx1"/>
                </a:solidFill>
                <a:latin typeface="+mn-lt"/>
                <a:ea typeface="+mn-ea"/>
                <a:cs typeface="+mn-cs"/>
              </a:rPr>
              <a:t> </a:t>
            </a:r>
            <a:r>
              <a:rPr lang="de-CH" sz="1100">
                <a:solidFill>
                  <a:schemeClr val="tx1"/>
                </a:solidFill>
                <a:latin typeface="+mn-lt"/>
                <a:ea typeface="+mn-ea"/>
                <a:cs typeface="+mn-cs"/>
              </a:rPr>
              <a:t>Subventionen, </a:t>
            </a:r>
            <a:r>
              <a:rPr lang="de-CH" sz="1100">
                <a:solidFill>
                  <a:srgbClr val="0000FF"/>
                </a:solidFill>
                <a:latin typeface="+mn-lt"/>
                <a:ea typeface="+mn-ea"/>
                <a:cs typeface="+mn-cs"/>
              </a:rPr>
              <a:t>ohne</a:t>
            </a:r>
            <a:r>
              <a:rPr lang="de-CH" sz="1100">
                <a:solidFill>
                  <a:schemeClr val="tx1"/>
                </a:solidFill>
                <a:latin typeface="+mn-lt"/>
                <a:ea typeface="+mn-ea"/>
                <a:cs typeface="+mn-cs"/>
              </a:rPr>
              <a:t> Steuerabzüge</a:t>
            </a:r>
            <a:endParaRPr lang="de-CH"/>
          </a:p>
        </xdr:txBody>
      </xdr:sp>
    </xdr:grpSp>
    <xdr:clientData/>
  </xdr:twoCellAnchor>
  <xdr:twoCellAnchor>
    <xdr:from>
      <xdr:col>16</xdr:col>
      <xdr:colOff>0</xdr:colOff>
      <xdr:row>157</xdr:row>
      <xdr:rowOff>0</xdr:rowOff>
    </xdr:from>
    <xdr:to>
      <xdr:col>28</xdr:col>
      <xdr:colOff>87085</xdr:colOff>
      <xdr:row>168</xdr:row>
      <xdr:rowOff>9525</xdr:rowOff>
    </xdr:to>
    <xdr:grpSp>
      <xdr:nvGrpSpPr>
        <xdr:cNvPr id="22" name="Gruppieren 21"/>
        <xdr:cNvGrpSpPr/>
      </xdr:nvGrpSpPr>
      <xdr:grpSpPr>
        <a:xfrm>
          <a:off x="12600214" y="50441679"/>
          <a:ext cx="9231085" cy="6826703"/>
          <a:chOff x="13573125" y="45739050"/>
          <a:chExt cx="9573985" cy="6057900"/>
        </a:xfrm>
      </xdr:grpSpPr>
      <xdr:graphicFrame macro="">
        <xdr:nvGraphicFramePr>
          <xdr:cNvPr id="20" name="Diagramm 19"/>
          <xdr:cNvGraphicFramePr/>
        </xdr:nvGraphicFramePr>
        <xdr:xfrm>
          <a:off x="13573125" y="45739050"/>
          <a:ext cx="9573985" cy="6057900"/>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21" name="Textfeld 20"/>
          <xdr:cNvSpPr txBox="1"/>
        </xdr:nvSpPr>
        <xdr:spPr>
          <a:xfrm>
            <a:off x="15144750" y="50911125"/>
            <a:ext cx="7372350" cy="78124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de-CH" sz="1100"/>
              <a:t>Nettorendite 2A = Nettoertrag / (Investitionskosten, </a:t>
            </a:r>
            <a:r>
              <a:rPr lang="de-CH" sz="1100">
                <a:solidFill>
                  <a:srgbClr val="0000FF"/>
                </a:solidFill>
              </a:rPr>
              <a:t>ohne </a:t>
            </a:r>
            <a:r>
              <a:rPr lang="de-CH" sz="1100"/>
              <a:t>Subventionen, </a:t>
            </a:r>
            <a:r>
              <a:rPr lang="de-CH" sz="1100">
                <a:solidFill>
                  <a:srgbClr val="0000FF"/>
                </a:solidFill>
              </a:rPr>
              <a:t>ohne</a:t>
            </a:r>
            <a:r>
              <a:rPr lang="de-CH" sz="1100"/>
              <a:t> Steuerabzüge, </a:t>
            </a:r>
            <a:r>
              <a:rPr lang="de-CH" sz="1100">
                <a:solidFill>
                  <a:srgbClr val="00B050"/>
                </a:solidFill>
              </a:rPr>
              <a:t>minus</a:t>
            </a:r>
            <a:r>
              <a:rPr lang="de-CH" sz="1100"/>
              <a:t> Kosten Pinsel-Renovation)</a:t>
            </a:r>
          </a:p>
          <a:p>
            <a:r>
              <a:rPr lang="de-CH" sz="1100">
                <a:solidFill>
                  <a:schemeClr val="tx1"/>
                </a:solidFill>
                <a:latin typeface="+mn-lt"/>
                <a:ea typeface="+mn-ea"/>
                <a:cs typeface="+mn-cs"/>
              </a:rPr>
              <a:t>Nettorendite 2B = Nettoertrag / (Investitionskosten, </a:t>
            </a:r>
            <a:r>
              <a:rPr lang="de-CH" sz="1100">
                <a:solidFill>
                  <a:srgbClr val="0000FF"/>
                </a:solidFill>
                <a:latin typeface="+mn-lt"/>
                <a:ea typeface="+mn-ea"/>
                <a:cs typeface="+mn-cs"/>
              </a:rPr>
              <a:t>ohne </a:t>
            </a:r>
            <a:r>
              <a:rPr lang="de-CH" sz="1100">
                <a:solidFill>
                  <a:schemeClr val="tx1"/>
                </a:solidFill>
                <a:latin typeface="+mn-lt"/>
                <a:ea typeface="+mn-ea"/>
                <a:cs typeface="+mn-cs"/>
              </a:rPr>
              <a:t>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 </a:t>
            </a:r>
            <a:r>
              <a:rPr lang="de-CH" sz="1100">
                <a:solidFill>
                  <a:srgbClr val="00B050"/>
                </a:solidFill>
                <a:latin typeface="+mn-lt"/>
                <a:ea typeface="+mn-ea"/>
                <a:cs typeface="+mn-cs"/>
              </a:rPr>
              <a:t>minus</a:t>
            </a:r>
            <a:r>
              <a:rPr lang="de-CH" sz="1100">
                <a:solidFill>
                  <a:schemeClr val="tx1"/>
                </a:solidFill>
                <a:latin typeface="+mn-lt"/>
                <a:ea typeface="+mn-ea"/>
                <a:cs typeface="+mn-cs"/>
              </a:rPr>
              <a:t> Kosten Pinsel-Renovation)</a:t>
            </a:r>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Nettorendite 2C = Nettoertrag / (Investitionskosten, </a:t>
            </a:r>
            <a:r>
              <a:rPr lang="de-CH" sz="1100">
                <a:solidFill>
                  <a:srgbClr val="FF0000"/>
                </a:solidFill>
                <a:latin typeface="+mn-lt"/>
                <a:ea typeface="+mn-ea"/>
                <a:cs typeface="+mn-cs"/>
              </a:rPr>
              <a:t>mit</a:t>
            </a:r>
            <a:r>
              <a:rPr lang="de-CH" sz="1100">
                <a:solidFill>
                  <a:schemeClr val="tx1"/>
                </a:solidFill>
                <a:latin typeface="+mn-lt"/>
                <a:ea typeface="+mn-ea"/>
                <a:cs typeface="+mn-cs"/>
              </a:rPr>
              <a:t> 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 </a:t>
            </a:r>
            <a:r>
              <a:rPr lang="de-CH" sz="1100">
                <a:solidFill>
                  <a:srgbClr val="00B050"/>
                </a:solidFill>
                <a:latin typeface="+mn-lt"/>
                <a:ea typeface="+mn-ea"/>
                <a:cs typeface="+mn-cs"/>
              </a:rPr>
              <a:t>minus</a:t>
            </a:r>
            <a:r>
              <a:rPr lang="de-CH" sz="1100">
                <a:solidFill>
                  <a:schemeClr val="tx1"/>
                </a:solidFill>
                <a:latin typeface="+mn-lt"/>
                <a:ea typeface="+mn-ea"/>
                <a:cs typeface="+mn-cs"/>
              </a:rPr>
              <a:t> Kosten Pinsel-Renovation)</a:t>
            </a:r>
            <a:endParaRPr lang="de-CH"/>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Nettorendite 2D = Nettoertrag / (Investitionskosten, </a:t>
            </a:r>
            <a:r>
              <a:rPr lang="de-CH" sz="1100">
                <a:solidFill>
                  <a:srgbClr val="FF0000"/>
                </a:solidFill>
                <a:latin typeface="+mn-lt"/>
                <a:ea typeface="+mn-ea"/>
                <a:cs typeface="+mn-cs"/>
              </a:rPr>
              <a:t>mit</a:t>
            </a:r>
            <a:r>
              <a:rPr lang="de-CH" sz="1100" baseline="0">
                <a:solidFill>
                  <a:schemeClr val="tx1"/>
                </a:solidFill>
                <a:latin typeface="+mn-lt"/>
                <a:ea typeface="+mn-ea"/>
                <a:cs typeface="+mn-cs"/>
              </a:rPr>
              <a:t> </a:t>
            </a:r>
            <a:r>
              <a:rPr lang="de-CH" sz="1100">
                <a:solidFill>
                  <a:schemeClr val="tx1"/>
                </a:solidFill>
                <a:latin typeface="+mn-lt"/>
                <a:ea typeface="+mn-ea"/>
                <a:cs typeface="+mn-cs"/>
              </a:rPr>
              <a:t>Subventionen, </a:t>
            </a:r>
            <a:r>
              <a:rPr lang="de-CH" sz="1100">
                <a:solidFill>
                  <a:srgbClr val="0000FF"/>
                </a:solidFill>
                <a:latin typeface="+mn-lt"/>
                <a:ea typeface="+mn-ea"/>
                <a:cs typeface="+mn-cs"/>
              </a:rPr>
              <a:t>ohne</a:t>
            </a:r>
            <a:r>
              <a:rPr lang="de-CH" sz="1100">
                <a:solidFill>
                  <a:schemeClr val="tx1"/>
                </a:solidFill>
                <a:latin typeface="+mn-lt"/>
                <a:ea typeface="+mn-ea"/>
                <a:cs typeface="+mn-cs"/>
              </a:rPr>
              <a:t> Steuerabzüge, </a:t>
            </a:r>
            <a:r>
              <a:rPr lang="de-CH" sz="1100">
                <a:solidFill>
                  <a:srgbClr val="00B050"/>
                </a:solidFill>
                <a:latin typeface="+mn-lt"/>
                <a:ea typeface="+mn-ea"/>
                <a:cs typeface="+mn-cs"/>
              </a:rPr>
              <a:t>minus</a:t>
            </a:r>
            <a:r>
              <a:rPr lang="de-CH" sz="1100">
                <a:solidFill>
                  <a:schemeClr val="tx1"/>
                </a:solidFill>
                <a:latin typeface="+mn-lt"/>
                <a:ea typeface="+mn-ea"/>
                <a:cs typeface="+mn-cs"/>
              </a:rPr>
              <a:t> Kosten Pinsel-Renovation)</a:t>
            </a:r>
            <a:endParaRPr lang="de-CH"/>
          </a:p>
        </xdr:txBody>
      </xdr:sp>
    </xdr:grpSp>
    <xdr:clientData/>
  </xdr:twoCellAnchor>
  <xdr:twoCellAnchor>
    <xdr:from>
      <xdr:col>16</xdr:col>
      <xdr:colOff>0</xdr:colOff>
      <xdr:row>184</xdr:row>
      <xdr:rowOff>0</xdr:rowOff>
    </xdr:from>
    <xdr:to>
      <xdr:col>28</xdr:col>
      <xdr:colOff>87085</xdr:colOff>
      <xdr:row>205</xdr:row>
      <xdr:rowOff>266700</xdr:rowOff>
    </xdr:to>
    <xdr:grpSp>
      <xdr:nvGrpSpPr>
        <xdr:cNvPr id="23" name="Gruppieren 22"/>
        <xdr:cNvGrpSpPr/>
      </xdr:nvGrpSpPr>
      <xdr:grpSpPr>
        <a:xfrm>
          <a:off x="12600214" y="61191321"/>
          <a:ext cx="9231085" cy="6893379"/>
          <a:chOff x="13573125" y="45739050"/>
          <a:chExt cx="9573985" cy="6057900"/>
        </a:xfrm>
      </xdr:grpSpPr>
      <xdr:graphicFrame macro="">
        <xdr:nvGraphicFramePr>
          <xdr:cNvPr id="24" name="Diagramm 23"/>
          <xdr:cNvGraphicFramePr/>
        </xdr:nvGraphicFramePr>
        <xdr:xfrm>
          <a:off x="13573125" y="45739050"/>
          <a:ext cx="9573985" cy="6057900"/>
        </xdr:xfrm>
        <a:graphic>
          <a:graphicData uri="http://schemas.openxmlformats.org/drawingml/2006/chart">
            <c:chart xmlns:c="http://schemas.openxmlformats.org/drawingml/2006/chart" xmlns:r="http://schemas.openxmlformats.org/officeDocument/2006/relationships" r:id="rId9"/>
          </a:graphicData>
        </a:graphic>
      </xdr:graphicFrame>
      <xdr:sp macro="" textlink="">
        <xdr:nvSpPr>
          <xdr:cNvPr id="25" name="Textfeld 24"/>
          <xdr:cNvSpPr txBox="1"/>
        </xdr:nvSpPr>
        <xdr:spPr>
          <a:xfrm>
            <a:off x="14868524" y="50863500"/>
            <a:ext cx="6981825" cy="78124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de-CH" sz="1100"/>
              <a:t>Eigenkapitalrendite 3A = Nettoertrag / Eigenkapitalanteil</a:t>
            </a:r>
            <a:r>
              <a:rPr lang="de-CH" sz="1100" baseline="0"/>
              <a:t> der </a:t>
            </a:r>
            <a:r>
              <a:rPr lang="de-CH" sz="1100"/>
              <a:t>Investitionskosten, </a:t>
            </a:r>
            <a:r>
              <a:rPr lang="de-CH" sz="1100">
                <a:solidFill>
                  <a:srgbClr val="0000FF"/>
                </a:solidFill>
              </a:rPr>
              <a:t>ohne </a:t>
            </a:r>
            <a:r>
              <a:rPr lang="de-CH" sz="1100"/>
              <a:t>Subventionen, </a:t>
            </a:r>
            <a:r>
              <a:rPr lang="de-CH" sz="1100">
                <a:solidFill>
                  <a:srgbClr val="0000FF"/>
                </a:solidFill>
              </a:rPr>
              <a:t>ohne</a:t>
            </a:r>
            <a:r>
              <a:rPr lang="de-CH" sz="1100"/>
              <a:t> Steuerabzüge</a:t>
            </a:r>
          </a:p>
          <a:p>
            <a:r>
              <a:rPr lang="de-CH" sz="1100">
                <a:solidFill>
                  <a:schemeClr val="tx1"/>
                </a:solidFill>
                <a:latin typeface="+mn-lt"/>
                <a:ea typeface="+mn-ea"/>
                <a:cs typeface="+mn-cs"/>
              </a:rPr>
              <a:t>Eigenkapitalrendite 3B = Nettoertrag / Eigenkapitalanteil</a:t>
            </a:r>
            <a:r>
              <a:rPr lang="de-CH" sz="1100" baseline="0">
                <a:solidFill>
                  <a:schemeClr val="tx1"/>
                </a:solidFill>
                <a:latin typeface="+mn-lt"/>
                <a:ea typeface="+mn-ea"/>
                <a:cs typeface="+mn-cs"/>
              </a:rPr>
              <a:t> der </a:t>
            </a:r>
            <a:r>
              <a:rPr lang="de-CH" sz="1100">
                <a:solidFill>
                  <a:schemeClr val="tx1"/>
                </a:solidFill>
                <a:latin typeface="+mn-lt"/>
                <a:ea typeface="+mn-ea"/>
                <a:cs typeface="+mn-cs"/>
              </a:rPr>
              <a:t>Investitionskosten, </a:t>
            </a:r>
            <a:r>
              <a:rPr lang="de-CH" sz="1100">
                <a:solidFill>
                  <a:srgbClr val="0000FF"/>
                </a:solidFill>
                <a:latin typeface="+mn-lt"/>
                <a:ea typeface="+mn-ea"/>
                <a:cs typeface="+mn-cs"/>
              </a:rPr>
              <a:t>ohne </a:t>
            </a:r>
            <a:r>
              <a:rPr lang="de-CH" sz="1100">
                <a:solidFill>
                  <a:schemeClr val="tx1"/>
                </a:solidFill>
                <a:latin typeface="+mn-lt"/>
                <a:ea typeface="+mn-ea"/>
                <a:cs typeface="+mn-cs"/>
              </a:rPr>
              <a:t>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Eigenkapitalrendite 3C = Nettoertrag / Eigenkapitalanteil der Investitionskosten, </a:t>
            </a:r>
            <a:r>
              <a:rPr lang="de-CH" sz="1100">
                <a:solidFill>
                  <a:srgbClr val="FF0000"/>
                </a:solidFill>
                <a:latin typeface="+mn-lt"/>
                <a:ea typeface="+mn-ea"/>
                <a:cs typeface="+mn-cs"/>
              </a:rPr>
              <a:t>mit</a:t>
            </a:r>
            <a:r>
              <a:rPr lang="de-CH" sz="1100">
                <a:solidFill>
                  <a:schemeClr val="tx1"/>
                </a:solidFill>
                <a:latin typeface="+mn-lt"/>
                <a:ea typeface="+mn-ea"/>
                <a:cs typeface="+mn-cs"/>
              </a:rPr>
              <a:t> 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endParaRPr lang="de-CH"/>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Eigenkapitalrendite 3D = Nettoertrag / Eigenkapitalanteil</a:t>
            </a:r>
            <a:r>
              <a:rPr lang="de-CH" sz="1100" baseline="0">
                <a:solidFill>
                  <a:schemeClr val="tx1"/>
                </a:solidFill>
                <a:latin typeface="+mn-lt"/>
                <a:ea typeface="+mn-ea"/>
                <a:cs typeface="+mn-cs"/>
              </a:rPr>
              <a:t> der </a:t>
            </a:r>
            <a:r>
              <a:rPr lang="de-CH" sz="1100">
                <a:solidFill>
                  <a:schemeClr val="tx1"/>
                </a:solidFill>
                <a:latin typeface="+mn-lt"/>
                <a:ea typeface="+mn-ea"/>
                <a:cs typeface="+mn-cs"/>
              </a:rPr>
              <a:t>Investitionskosten, </a:t>
            </a:r>
            <a:r>
              <a:rPr lang="de-CH" sz="1100">
                <a:solidFill>
                  <a:srgbClr val="FF0000"/>
                </a:solidFill>
                <a:latin typeface="+mn-lt"/>
                <a:ea typeface="+mn-ea"/>
                <a:cs typeface="+mn-cs"/>
              </a:rPr>
              <a:t>mit</a:t>
            </a:r>
            <a:r>
              <a:rPr lang="de-CH" sz="1100" baseline="0">
                <a:solidFill>
                  <a:schemeClr val="tx1"/>
                </a:solidFill>
                <a:latin typeface="+mn-lt"/>
                <a:ea typeface="+mn-ea"/>
                <a:cs typeface="+mn-cs"/>
              </a:rPr>
              <a:t> </a:t>
            </a:r>
            <a:r>
              <a:rPr lang="de-CH" sz="1100">
                <a:solidFill>
                  <a:schemeClr val="tx1"/>
                </a:solidFill>
                <a:latin typeface="+mn-lt"/>
                <a:ea typeface="+mn-ea"/>
                <a:cs typeface="+mn-cs"/>
              </a:rPr>
              <a:t>Subventionen, </a:t>
            </a:r>
            <a:r>
              <a:rPr lang="de-CH" sz="1100">
                <a:solidFill>
                  <a:srgbClr val="0000FF"/>
                </a:solidFill>
                <a:latin typeface="+mn-lt"/>
                <a:ea typeface="+mn-ea"/>
                <a:cs typeface="+mn-cs"/>
              </a:rPr>
              <a:t>ohne</a:t>
            </a:r>
            <a:r>
              <a:rPr lang="de-CH" sz="1100">
                <a:solidFill>
                  <a:schemeClr val="tx1"/>
                </a:solidFill>
                <a:latin typeface="+mn-lt"/>
                <a:ea typeface="+mn-ea"/>
                <a:cs typeface="+mn-cs"/>
              </a:rPr>
              <a:t> Steuerabzüge</a:t>
            </a:r>
            <a:endParaRPr lang="de-CH"/>
          </a:p>
        </xdr:txBody>
      </xdr:sp>
    </xdr:grpSp>
    <xdr:clientData/>
  </xdr:twoCellAnchor>
  <xdr:twoCellAnchor>
    <xdr:from>
      <xdr:col>16</xdr:col>
      <xdr:colOff>0</xdr:colOff>
      <xdr:row>329</xdr:row>
      <xdr:rowOff>0</xdr:rowOff>
    </xdr:from>
    <xdr:to>
      <xdr:col>28</xdr:col>
      <xdr:colOff>87085</xdr:colOff>
      <xdr:row>349</xdr:row>
      <xdr:rowOff>28575</xdr:rowOff>
    </xdr:to>
    <xdr:grpSp>
      <xdr:nvGrpSpPr>
        <xdr:cNvPr id="26" name="Gruppieren 25"/>
        <xdr:cNvGrpSpPr/>
      </xdr:nvGrpSpPr>
      <xdr:grpSpPr>
        <a:xfrm>
          <a:off x="12600214" y="100515964"/>
          <a:ext cx="9231085" cy="6791325"/>
          <a:chOff x="13573125" y="45739050"/>
          <a:chExt cx="9573985" cy="6057900"/>
        </a:xfrm>
      </xdr:grpSpPr>
      <xdr:graphicFrame macro="">
        <xdr:nvGraphicFramePr>
          <xdr:cNvPr id="27" name="Diagramm 26"/>
          <xdr:cNvGraphicFramePr/>
        </xdr:nvGraphicFramePr>
        <xdr:xfrm>
          <a:off x="13573125" y="45739050"/>
          <a:ext cx="9573985" cy="6057900"/>
        </xdr:xfrm>
        <a:graphic>
          <a:graphicData uri="http://schemas.openxmlformats.org/drawingml/2006/chart">
            <c:chart xmlns:c="http://schemas.openxmlformats.org/drawingml/2006/chart" xmlns:r="http://schemas.openxmlformats.org/officeDocument/2006/relationships" r:id="rId10"/>
          </a:graphicData>
        </a:graphic>
      </xdr:graphicFrame>
      <xdr:sp macro="" textlink="">
        <xdr:nvSpPr>
          <xdr:cNvPr id="28" name="Textfeld 27"/>
          <xdr:cNvSpPr txBox="1"/>
        </xdr:nvSpPr>
        <xdr:spPr>
          <a:xfrm>
            <a:off x="15535275" y="50863500"/>
            <a:ext cx="5667376" cy="78124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de-CH" sz="1100"/>
              <a:t>Energierendite 1A = Energiebilanz / Investitionskosten, </a:t>
            </a:r>
            <a:r>
              <a:rPr lang="de-CH" sz="1100">
                <a:solidFill>
                  <a:srgbClr val="0000FF"/>
                </a:solidFill>
              </a:rPr>
              <a:t>ohne </a:t>
            </a:r>
            <a:r>
              <a:rPr lang="de-CH" sz="1100"/>
              <a:t>Subventionen, </a:t>
            </a:r>
            <a:r>
              <a:rPr lang="de-CH" sz="1100">
                <a:solidFill>
                  <a:srgbClr val="0000FF"/>
                </a:solidFill>
              </a:rPr>
              <a:t>ohne</a:t>
            </a:r>
            <a:r>
              <a:rPr lang="de-CH" sz="1100"/>
              <a:t> Steuerabzüge</a:t>
            </a:r>
          </a:p>
          <a:p>
            <a:r>
              <a:rPr lang="de-CH" sz="1100">
                <a:solidFill>
                  <a:schemeClr val="tx1"/>
                </a:solidFill>
                <a:latin typeface="+mn-lt"/>
                <a:ea typeface="+mn-ea"/>
                <a:cs typeface="+mn-cs"/>
              </a:rPr>
              <a:t>Energierendite 1B = Energiebilanz / Investitionskosten, </a:t>
            </a:r>
            <a:r>
              <a:rPr lang="de-CH" sz="1100">
                <a:solidFill>
                  <a:srgbClr val="0000FF"/>
                </a:solidFill>
                <a:latin typeface="+mn-lt"/>
                <a:ea typeface="+mn-ea"/>
                <a:cs typeface="+mn-cs"/>
              </a:rPr>
              <a:t>ohne </a:t>
            </a:r>
            <a:r>
              <a:rPr lang="de-CH" sz="1100">
                <a:solidFill>
                  <a:schemeClr val="tx1"/>
                </a:solidFill>
                <a:latin typeface="+mn-lt"/>
                <a:ea typeface="+mn-ea"/>
                <a:cs typeface="+mn-cs"/>
              </a:rPr>
              <a:t>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Energierendite 1C = Energiebilanz / Investitionskosten, </a:t>
            </a:r>
            <a:r>
              <a:rPr lang="de-CH" sz="1100">
                <a:solidFill>
                  <a:srgbClr val="FF0000"/>
                </a:solidFill>
                <a:latin typeface="+mn-lt"/>
                <a:ea typeface="+mn-ea"/>
                <a:cs typeface="+mn-cs"/>
              </a:rPr>
              <a:t>mit</a:t>
            </a:r>
            <a:r>
              <a:rPr lang="de-CH" sz="1100">
                <a:solidFill>
                  <a:schemeClr val="tx1"/>
                </a:solidFill>
                <a:latin typeface="+mn-lt"/>
                <a:ea typeface="+mn-ea"/>
                <a:cs typeface="+mn-cs"/>
              </a:rPr>
              <a:t> Subventionen, </a:t>
            </a:r>
            <a:r>
              <a:rPr lang="de-CH" sz="1100">
                <a:solidFill>
                  <a:srgbClr val="FF0000"/>
                </a:solidFill>
                <a:latin typeface="+mn-lt"/>
                <a:ea typeface="+mn-ea"/>
                <a:cs typeface="+mn-cs"/>
              </a:rPr>
              <a:t>mit</a:t>
            </a:r>
            <a:r>
              <a:rPr lang="de-CH" sz="1100">
                <a:solidFill>
                  <a:schemeClr val="tx1"/>
                </a:solidFill>
                <a:latin typeface="+mn-lt"/>
                <a:ea typeface="+mn-ea"/>
                <a:cs typeface="+mn-cs"/>
              </a:rPr>
              <a:t> Steuerabzügen</a:t>
            </a:r>
            <a:endParaRPr lang="de-CH"/>
          </a:p>
          <a:p>
            <a:pPr marL="0" marR="0" indent="0" defTabSz="914400" eaLnBrk="1" fontAlgn="auto" latinLnBrk="0" hangingPunct="1">
              <a:lnSpc>
                <a:spcPct val="100000"/>
              </a:lnSpc>
              <a:spcBef>
                <a:spcPts val="0"/>
              </a:spcBef>
              <a:spcAft>
                <a:spcPts val="0"/>
              </a:spcAft>
              <a:buClrTx/>
              <a:buSzTx/>
              <a:buFontTx/>
              <a:buNone/>
              <a:tabLst/>
              <a:defRPr/>
            </a:pPr>
            <a:r>
              <a:rPr lang="de-CH" sz="1100">
                <a:solidFill>
                  <a:schemeClr val="tx1"/>
                </a:solidFill>
                <a:latin typeface="+mn-lt"/>
                <a:ea typeface="+mn-ea"/>
                <a:cs typeface="+mn-cs"/>
              </a:rPr>
              <a:t>Energierendite 1D = Energiebilanz / Investitionskosten, </a:t>
            </a:r>
            <a:r>
              <a:rPr lang="de-CH" sz="1100">
                <a:solidFill>
                  <a:srgbClr val="FF0000"/>
                </a:solidFill>
                <a:latin typeface="+mn-lt"/>
                <a:ea typeface="+mn-ea"/>
                <a:cs typeface="+mn-cs"/>
              </a:rPr>
              <a:t>mit</a:t>
            </a:r>
            <a:r>
              <a:rPr lang="de-CH" sz="1100" baseline="0">
                <a:solidFill>
                  <a:schemeClr val="tx1"/>
                </a:solidFill>
                <a:latin typeface="+mn-lt"/>
                <a:ea typeface="+mn-ea"/>
                <a:cs typeface="+mn-cs"/>
              </a:rPr>
              <a:t> </a:t>
            </a:r>
            <a:r>
              <a:rPr lang="de-CH" sz="1100">
                <a:solidFill>
                  <a:schemeClr val="tx1"/>
                </a:solidFill>
                <a:latin typeface="+mn-lt"/>
                <a:ea typeface="+mn-ea"/>
                <a:cs typeface="+mn-cs"/>
              </a:rPr>
              <a:t>Subventionen, </a:t>
            </a:r>
            <a:r>
              <a:rPr lang="de-CH" sz="1100">
                <a:solidFill>
                  <a:srgbClr val="0000FF"/>
                </a:solidFill>
                <a:latin typeface="+mn-lt"/>
                <a:ea typeface="+mn-ea"/>
                <a:cs typeface="+mn-cs"/>
              </a:rPr>
              <a:t>ohne</a:t>
            </a:r>
            <a:r>
              <a:rPr lang="de-CH" sz="1100">
                <a:solidFill>
                  <a:schemeClr val="tx1"/>
                </a:solidFill>
                <a:latin typeface="+mn-lt"/>
                <a:ea typeface="+mn-ea"/>
                <a:cs typeface="+mn-cs"/>
              </a:rPr>
              <a:t> Steuerabzüge</a:t>
            </a:r>
            <a:endParaRPr lang="de-CH"/>
          </a:p>
        </xdr:txBody>
      </xdr:sp>
    </xdr:grpSp>
    <xdr:clientData/>
  </xdr:twoCellAnchor>
  <xdr:twoCellAnchor>
    <xdr:from>
      <xdr:col>16</xdr:col>
      <xdr:colOff>0</xdr:colOff>
      <xdr:row>359</xdr:row>
      <xdr:rowOff>0</xdr:rowOff>
    </xdr:from>
    <xdr:to>
      <xdr:col>26</xdr:col>
      <xdr:colOff>674915</xdr:colOff>
      <xdr:row>378</xdr:row>
      <xdr:rowOff>2</xdr:rowOff>
    </xdr:to>
    <xdr:graphicFrame macro="">
      <xdr:nvGraphicFramePr>
        <xdr:cNvPr id="29" name="Diagramm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771524</xdr:colOff>
      <xdr:row>26</xdr:row>
      <xdr:rowOff>19050</xdr:rowOff>
    </xdr:from>
    <xdr:to>
      <xdr:col>20</xdr:col>
      <xdr:colOff>761999</xdr:colOff>
      <xdr:row>50</xdr:row>
      <xdr:rowOff>19050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0</xdr:row>
      <xdr:rowOff>228599</xdr:rowOff>
    </xdr:from>
    <xdr:to>
      <xdr:col>21</xdr:col>
      <xdr:colOff>47625</xdr:colOff>
      <xdr:row>24</xdr:row>
      <xdr:rowOff>161925</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52</xdr:row>
      <xdr:rowOff>0</xdr:rowOff>
    </xdr:from>
    <xdr:to>
      <xdr:col>18</xdr:col>
      <xdr:colOff>137160</xdr:colOff>
      <xdr:row>82</xdr:row>
      <xdr:rowOff>167640</xdr:rowOff>
    </xdr:to>
    <xdr:pic>
      <xdr:nvPicPr>
        <xdr:cNvPr id="4097"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790575" y="9858375"/>
          <a:ext cx="13576935" cy="5596890"/>
        </a:xfrm>
        <a:prstGeom prst="rect">
          <a:avLst/>
        </a:prstGeom>
        <a:solidFill>
          <a:schemeClr val="bg1"/>
        </a:solidFill>
      </xdr:spPr>
    </xdr:pic>
    <xdr:clientData/>
  </xdr:twoCellAnchor>
  <xdr:twoCellAnchor editAs="oneCell">
    <xdr:from>
      <xdr:col>1</xdr:col>
      <xdr:colOff>0</xdr:colOff>
      <xdr:row>85</xdr:row>
      <xdr:rowOff>0</xdr:rowOff>
    </xdr:from>
    <xdr:to>
      <xdr:col>18</xdr:col>
      <xdr:colOff>137160</xdr:colOff>
      <xdr:row>115</xdr:row>
      <xdr:rowOff>167640</xdr:rowOff>
    </xdr:to>
    <xdr:pic>
      <xdr:nvPicPr>
        <xdr:cNvPr id="4098"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792480" y="15986760"/>
          <a:ext cx="13609320" cy="5654040"/>
        </a:xfrm>
        <a:prstGeom prst="rect">
          <a:avLst/>
        </a:prstGeom>
        <a:solidFill>
          <a:schemeClr val="bg1"/>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www.mietrecht.ch/?id=30" TargetMode="External"/><Relationship Id="rId13" Type="http://schemas.openxmlformats.org/officeDocument/2006/relationships/hyperlink" Target="http://www.bfs.admin.ch/bfs/portal/de/index/themen/09/01/key.html" TargetMode="External"/><Relationship Id="rId18" Type="http://schemas.openxmlformats.org/officeDocument/2006/relationships/hyperlink" Target="http://www.energie-cluster.ch/ecweb5/de/ecweb_site/wissenstransfer/innovationsgruppen/ig-peg/history/peg-zwischenbericht-bfe-2014_neu.pdf" TargetMode="External"/><Relationship Id="rId3" Type="http://schemas.openxmlformats.org/officeDocument/2006/relationships/hyperlink" Target="http://helion-solar.ch/photovoltaik/einmalverguetung-kevab%2001.10.2015%20KEV%20%3c%2030KWp" TargetMode="External"/><Relationship Id="rId21" Type="http://schemas.openxmlformats.org/officeDocument/2006/relationships/printerSettings" Target="../printerSettings/printerSettings3.bin"/><Relationship Id="rId7" Type="http://schemas.openxmlformats.org/officeDocument/2006/relationships/hyperlink" Target="http://www.migrol-heiz&#246;l.ch/" TargetMode="External"/><Relationship Id="rId12" Type="http://schemas.openxmlformats.org/officeDocument/2006/relationships/hyperlink" Target="http://www.bfs.admin.ch/bfs/portal/de/index/themen/09/01/key.html" TargetMode="External"/><Relationship Id="rId17" Type="http://schemas.openxmlformats.org/officeDocument/2006/relationships/hyperlink" Target="http://www.energie-cluster.ch/ecweb5/de/ecweb_site/wissenstransfer/innovationsgruppen/ig-peg/history/peg-zwischenbericht-bfe-2014_neu.pdf" TargetMode="External"/><Relationship Id="rId2" Type="http://schemas.openxmlformats.org/officeDocument/2006/relationships/hyperlink" Target="http://helion-solar.ch/referenzen/referenzengalerie" TargetMode="External"/><Relationship Id="rId16" Type="http://schemas.openxmlformats.org/officeDocument/2006/relationships/hyperlink" Target="http://www.bfs.admin.ch/bfs/portal/de/index/themen/09/01/key.html" TargetMode="External"/><Relationship Id="rId20" Type="http://schemas.openxmlformats.org/officeDocument/2006/relationships/hyperlink" Target="http://www.energie-cluster.ch/ecweb5/de/ecweb_site/veranstaltungen/energie-aperos/energie-aperos-2015/meiringen_christen.pdf" TargetMode="External"/><Relationship Id="rId1" Type="http://schemas.openxmlformats.org/officeDocument/2006/relationships/hyperlink" Target="http://helion-solar.ch/referenzen/referenzengalerie" TargetMode="External"/><Relationship Id="rId6" Type="http://schemas.openxmlformats.org/officeDocument/2006/relationships/hyperlink" Target="http://www.homegate.ch/" TargetMode="External"/><Relationship Id="rId11" Type="http://schemas.openxmlformats.org/officeDocument/2006/relationships/hyperlink" Target="https://www.comparis.ch/hypotheken/zinssatz/laufzeiten.aspx?cantoncode=BE" TargetMode="External"/><Relationship Id="rId5" Type="http://schemas.openxmlformats.org/officeDocument/2006/relationships/hyperlink" Target="http://www.homegate.ch/" TargetMode="External"/><Relationship Id="rId15" Type="http://schemas.openxmlformats.org/officeDocument/2006/relationships/hyperlink" Target="http://www.energie-cluster.ch/ecweb5/de/ecweb_site/veranstaltungen/energie-aperos/energie-aperos-2014/referate-2014-13-energie-apero-muensingen/05_zehnder_20140424_energieapero_mzehnder.pdf" TargetMode="External"/><Relationship Id="rId23" Type="http://schemas.openxmlformats.org/officeDocument/2006/relationships/comments" Target="../comments2.xml"/><Relationship Id="rId10" Type="http://schemas.openxmlformats.org/officeDocument/2006/relationships/hyperlink" Target="https://www.comparis.ch/hypotheken/zinssatz/laufzeiten.aspx?cantoncode=BE" TargetMode="External"/><Relationship Id="rId19" Type="http://schemas.openxmlformats.org/officeDocument/2006/relationships/hyperlink" Target="http://www.energie-cluster.ch/ecweb5/de/ecweb_site/veranstaltungen/energie-aperos/energie-aperos-2015/meiringen_christen.pdf" TargetMode="External"/><Relationship Id="rId4" Type="http://schemas.openxmlformats.org/officeDocument/2006/relationships/hyperlink" Target="http://www.solarenergie-vergleich.ch/onlinerechner/" TargetMode="External"/><Relationship Id="rId9" Type="http://schemas.openxmlformats.org/officeDocument/2006/relationships/hyperlink" Target="http://www.fin.be.ch/fin/de/index/steuern/steuern_berechnen/steueranlagen.html" TargetMode="External"/><Relationship Id="rId14" Type="http://schemas.openxmlformats.org/officeDocument/2006/relationships/hyperlink" Target="http://energie-cluster.ch/ecweb5/de/ecweb_site/veranstaltungen/energie-aperos/energie-aperos-2015/bern_grossen.pdf" TargetMode="External"/><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3"/>
  <sheetViews>
    <sheetView workbookViewId="0">
      <selection activeCell="C13" sqref="C13"/>
    </sheetView>
  </sheetViews>
  <sheetFormatPr baseColWidth="10" defaultRowHeight="15" x14ac:dyDescent="0.25"/>
  <sheetData>
    <row r="13" spans="2:3" x14ac:dyDescent="0.25">
      <c r="B13" s="593"/>
      <c r="C13" s="593"/>
    </row>
  </sheetData>
  <customSheetViews>
    <customSheetView guid="{B8536769-06CC-4563-B2F1-92342C23219E}">
      <selection activeCell="A20" sqref="A20"/>
      <pageMargins left="0.7" right="0.7" top="0.78740157499999996" bottom="0.78740157499999996" header="0.3" footer="0.3"/>
    </customSheetView>
  </customSheetView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tabSelected="1" zoomScale="80" zoomScaleNormal="80" workbookViewId="0">
      <pane ySplit="9" topLeftCell="A10" activePane="bottomLeft" state="frozen"/>
      <selection pane="bottomLeft" activeCell="H13" sqref="H13"/>
    </sheetView>
  </sheetViews>
  <sheetFormatPr baseColWidth="10" defaultRowHeight="15" x14ac:dyDescent="0.25"/>
  <cols>
    <col min="1" max="4" width="11.5703125" customWidth="1"/>
    <col min="6" max="7" width="11.5703125" customWidth="1"/>
  </cols>
  <sheetData>
    <row r="1" spans="1:11" ht="28.9" customHeight="1" x14ac:dyDescent="0.35">
      <c r="A1" s="621" t="s">
        <v>21</v>
      </c>
      <c r="B1" s="622"/>
      <c r="C1" s="622"/>
      <c r="D1" s="622"/>
      <c r="E1" s="622"/>
      <c r="F1" s="622"/>
      <c r="G1" s="622"/>
      <c r="H1" s="622"/>
      <c r="I1" s="622"/>
      <c r="J1" s="623"/>
    </row>
    <row r="2" spans="1:11" ht="28.9" customHeight="1" x14ac:dyDescent="0.25">
      <c r="A2" s="624" t="s">
        <v>0</v>
      </c>
      <c r="B2" s="625"/>
      <c r="C2" s="625"/>
      <c r="D2" s="625"/>
      <c r="E2" s="625"/>
      <c r="F2" s="625"/>
      <c r="G2" s="625"/>
      <c r="H2" s="625"/>
      <c r="I2" s="625"/>
      <c r="J2" s="626"/>
    </row>
    <row r="3" spans="1:11" ht="15.75" x14ac:dyDescent="0.25">
      <c r="A3" s="13"/>
      <c r="B3" s="14"/>
      <c r="C3" s="14"/>
      <c r="D3" s="14"/>
      <c r="E3" s="15"/>
      <c r="F3" s="15"/>
      <c r="G3" s="15"/>
      <c r="H3" s="16"/>
      <c r="I3" s="12"/>
      <c r="J3" s="17"/>
      <c r="K3" s="2"/>
    </row>
    <row r="4" spans="1:11" ht="28.9" customHeight="1" x14ac:dyDescent="0.25">
      <c r="A4" s="18"/>
      <c r="B4" s="16"/>
      <c r="C4" s="16"/>
      <c r="D4" s="16"/>
      <c r="E4" s="16"/>
      <c r="F4" s="16"/>
      <c r="G4" s="16"/>
      <c r="H4" s="16"/>
      <c r="I4" s="16"/>
      <c r="J4" s="19"/>
    </row>
    <row r="5" spans="1:11" ht="28.9" customHeight="1" x14ac:dyDescent="0.25">
      <c r="A5" s="627" t="s">
        <v>20</v>
      </c>
      <c r="B5" s="628"/>
      <c r="C5" s="629" t="s">
        <v>22</v>
      </c>
      <c r="D5" s="629"/>
      <c r="E5" s="630" t="s">
        <v>23</v>
      </c>
      <c r="F5" s="630"/>
      <c r="G5" s="631" t="s">
        <v>33</v>
      </c>
      <c r="H5" s="630"/>
      <c r="I5" s="620" t="s">
        <v>61</v>
      </c>
      <c r="J5" s="620"/>
    </row>
    <row r="6" spans="1:11" ht="14.45" customHeight="1" x14ac:dyDescent="0.25">
      <c r="A6" s="18"/>
      <c r="B6" s="16"/>
      <c r="C6" s="16"/>
      <c r="D6" s="16"/>
      <c r="E6" s="16"/>
      <c r="F6" s="16"/>
      <c r="G6" s="16"/>
      <c r="H6" s="16"/>
      <c r="I6" s="16"/>
      <c r="J6" s="19"/>
    </row>
    <row r="7" spans="1:11" s="5" customFormat="1" ht="21.6" customHeight="1" x14ac:dyDescent="0.25">
      <c r="A7" s="537" t="s">
        <v>25</v>
      </c>
      <c r="B7" s="538"/>
      <c r="C7" s="538"/>
      <c r="D7" s="538"/>
      <c r="E7" s="538"/>
      <c r="F7" s="538"/>
      <c r="G7" s="538"/>
      <c r="H7" s="538"/>
      <c r="I7" s="538"/>
      <c r="J7" s="539"/>
      <c r="K7" s="6"/>
    </row>
    <row r="8" spans="1:11" x14ac:dyDescent="0.25">
      <c r="A8" s="18"/>
      <c r="B8" s="16"/>
      <c r="C8" s="16"/>
      <c r="D8" s="16"/>
      <c r="E8" s="16"/>
      <c r="F8" s="16"/>
      <c r="G8" s="16"/>
      <c r="H8" s="16"/>
      <c r="I8" s="16"/>
      <c r="J8" s="19"/>
    </row>
    <row r="9" spans="1:11" s="5" customFormat="1" x14ac:dyDescent="0.25">
      <c r="A9" s="7" t="s">
        <v>24</v>
      </c>
      <c r="B9" s="8"/>
      <c r="C9" s="8"/>
      <c r="D9" s="8"/>
      <c r="E9" s="9"/>
      <c r="F9" s="11" t="s">
        <v>26</v>
      </c>
      <c r="G9" s="9"/>
      <c r="H9" s="9"/>
      <c r="I9" s="9"/>
      <c r="J9" s="10"/>
      <c r="K9" s="6"/>
    </row>
    <row r="10" spans="1:11" ht="15.75" x14ac:dyDescent="0.25">
      <c r="A10" s="121" t="s">
        <v>1</v>
      </c>
      <c r="B10" s="123"/>
      <c r="C10" s="123"/>
      <c r="D10" s="123"/>
      <c r="E10" s="123"/>
      <c r="F10" s="124">
        <v>100</v>
      </c>
      <c r="G10" s="123" t="s">
        <v>8</v>
      </c>
      <c r="H10" s="123"/>
      <c r="I10" s="123"/>
      <c r="J10" s="125"/>
    </row>
    <row r="11" spans="1:11" ht="15.75" x14ac:dyDescent="0.25">
      <c r="A11" s="121" t="s">
        <v>28</v>
      </c>
      <c r="B11" s="123"/>
      <c r="C11" s="123"/>
      <c r="D11" s="123"/>
      <c r="E11" s="126"/>
      <c r="F11" s="595">
        <f>Standardwerte!F5</f>
        <v>18</v>
      </c>
      <c r="G11" s="123" t="s">
        <v>15</v>
      </c>
      <c r="H11" s="123"/>
      <c r="I11" s="123"/>
      <c r="J11" s="125"/>
      <c r="K11" s="3"/>
    </row>
    <row r="12" spans="1:11" ht="15.75" x14ac:dyDescent="0.25">
      <c r="A12" s="121" t="s">
        <v>2</v>
      </c>
      <c r="B12" s="123"/>
      <c r="C12" s="123"/>
      <c r="D12" s="123"/>
      <c r="E12" s="123"/>
      <c r="F12" s="124">
        <v>0.15</v>
      </c>
      <c r="G12" s="123" t="s">
        <v>14</v>
      </c>
      <c r="H12" s="123"/>
      <c r="I12" s="123"/>
      <c r="J12" s="125"/>
      <c r="K12" s="3"/>
    </row>
    <row r="13" spans="1:11" ht="15.75" x14ac:dyDescent="0.25">
      <c r="A13" s="121" t="s">
        <v>180</v>
      </c>
      <c r="B13" s="123"/>
      <c r="C13" s="123"/>
      <c r="D13" s="123"/>
      <c r="E13" s="123"/>
      <c r="F13" s="127">
        <v>0.2</v>
      </c>
      <c r="G13" s="123" t="s">
        <v>14</v>
      </c>
      <c r="H13" s="123"/>
      <c r="I13" s="123"/>
      <c r="J13" s="125"/>
      <c r="K13" s="3"/>
    </row>
    <row r="14" spans="1:11" ht="15.75" x14ac:dyDescent="0.25">
      <c r="A14" s="121" t="s">
        <v>29</v>
      </c>
      <c r="B14" s="123"/>
      <c r="C14" s="123"/>
      <c r="D14" s="123"/>
      <c r="E14" s="123"/>
      <c r="F14" s="124">
        <v>10</v>
      </c>
      <c r="G14" s="123" t="s">
        <v>9</v>
      </c>
      <c r="H14" s="123"/>
      <c r="I14" s="123"/>
      <c r="J14" s="125"/>
      <c r="K14" s="3"/>
    </row>
    <row r="15" spans="1:11" ht="15.75" x14ac:dyDescent="0.25">
      <c r="A15" s="121" t="s">
        <v>4</v>
      </c>
      <c r="B15" s="123"/>
      <c r="C15" s="123"/>
      <c r="D15" s="123"/>
      <c r="E15" s="123"/>
      <c r="F15" s="124">
        <v>100</v>
      </c>
      <c r="G15" s="123" t="s">
        <v>16</v>
      </c>
      <c r="H15" s="123" t="s">
        <v>588</v>
      </c>
      <c r="I15" s="123"/>
      <c r="J15" s="128"/>
      <c r="K15" s="3"/>
    </row>
    <row r="16" spans="1:11" ht="15.75" x14ac:dyDescent="0.25">
      <c r="A16" s="121" t="s">
        <v>5</v>
      </c>
      <c r="B16" s="123"/>
      <c r="C16" s="123"/>
      <c r="D16" s="123"/>
      <c r="E16" s="123"/>
      <c r="F16" s="129">
        <f>F14*F15</f>
        <v>1000</v>
      </c>
      <c r="G16" s="123" t="s">
        <v>16</v>
      </c>
      <c r="H16" s="123"/>
      <c r="I16" s="123"/>
      <c r="J16" s="128"/>
      <c r="K16" s="3"/>
    </row>
    <row r="17" spans="1:11" ht="15.75" x14ac:dyDescent="0.25">
      <c r="A17" s="121" t="s">
        <v>6</v>
      </c>
      <c r="B17" s="123"/>
      <c r="C17" s="123"/>
      <c r="D17" s="123"/>
      <c r="E17" s="130" t="s">
        <v>19</v>
      </c>
      <c r="F17" s="124">
        <f>INDEX(Standardwerte!F10:F12,H17)</f>
        <v>1300</v>
      </c>
      <c r="G17" s="123" t="s">
        <v>10</v>
      </c>
      <c r="H17" s="594">
        <f>MATCH(E17,Stadt,0)</f>
        <v>2</v>
      </c>
      <c r="I17" s="123"/>
      <c r="J17" s="128"/>
      <c r="K17" s="3"/>
    </row>
    <row r="18" spans="1:11" ht="15.75" x14ac:dyDescent="0.25">
      <c r="A18" s="121" t="s">
        <v>581</v>
      </c>
      <c r="B18" s="123"/>
      <c r="C18" s="123"/>
      <c r="D18" s="123"/>
      <c r="E18" s="123"/>
      <c r="F18" s="124">
        <f>Standardwerte!F13</f>
        <v>3.5</v>
      </c>
      <c r="G18" s="123" t="s">
        <v>9</v>
      </c>
      <c r="H18" s="123"/>
      <c r="I18" s="123"/>
      <c r="J18" s="128"/>
      <c r="K18" s="3"/>
    </row>
    <row r="19" spans="1:11" ht="15.75" x14ac:dyDescent="0.25">
      <c r="A19" s="121" t="s">
        <v>106</v>
      </c>
      <c r="B19" s="123"/>
      <c r="C19" s="123"/>
      <c r="D19" s="123"/>
      <c r="E19" s="131"/>
      <c r="F19" s="132" t="s">
        <v>280</v>
      </c>
      <c r="G19" s="133"/>
      <c r="H19" s="594">
        <f>MATCH(F19,Subvention,0)</f>
        <v>2</v>
      </c>
      <c r="I19" s="123"/>
      <c r="J19" s="128"/>
      <c r="K19" s="3"/>
    </row>
    <row r="20" spans="1:11" ht="15.75" x14ac:dyDescent="0.25">
      <c r="A20" s="121" t="s">
        <v>272</v>
      </c>
      <c r="B20" s="123"/>
      <c r="C20" s="123"/>
      <c r="D20" s="123"/>
      <c r="E20" s="123"/>
      <c r="F20" s="134">
        <v>0.06</v>
      </c>
      <c r="G20" s="123"/>
      <c r="H20" s="123"/>
      <c r="I20" s="123"/>
      <c r="J20" s="128"/>
      <c r="K20" s="3"/>
    </row>
    <row r="21" spans="1:11" ht="15.75" x14ac:dyDescent="0.25">
      <c r="A21" s="121" t="s">
        <v>36</v>
      </c>
      <c r="B21" s="123"/>
      <c r="C21" s="123"/>
      <c r="D21" s="123"/>
      <c r="E21" s="123"/>
      <c r="F21" s="124">
        <v>335</v>
      </c>
      <c r="G21" s="123" t="s">
        <v>16</v>
      </c>
      <c r="H21" s="123"/>
      <c r="I21" s="123"/>
      <c r="J21" s="128"/>
    </row>
    <row r="22" spans="1:11" ht="15.75" x14ac:dyDescent="0.25">
      <c r="A22" s="121" t="s">
        <v>37</v>
      </c>
      <c r="B22" s="123"/>
      <c r="C22" s="123"/>
      <c r="D22" s="123"/>
      <c r="E22" s="123"/>
      <c r="F22" s="124">
        <v>6.67</v>
      </c>
      <c r="G22" s="126" t="s">
        <v>16</v>
      </c>
      <c r="H22" s="123"/>
      <c r="I22" s="123"/>
      <c r="J22" s="128"/>
    </row>
    <row r="23" spans="1:11" ht="15.75" x14ac:dyDescent="0.25">
      <c r="A23" s="121" t="s">
        <v>30</v>
      </c>
      <c r="B23" s="123"/>
      <c r="C23" s="123"/>
      <c r="D23" s="123"/>
      <c r="E23" s="123"/>
      <c r="F23" s="129">
        <f>ROUND(F21/F22,0)</f>
        <v>50</v>
      </c>
      <c r="G23" s="123" t="s">
        <v>11</v>
      </c>
      <c r="H23" s="123"/>
      <c r="I23" s="123"/>
      <c r="J23" s="128"/>
    </row>
    <row r="24" spans="1:11" ht="15.75" x14ac:dyDescent="0.25">
      <c r="A24" s="121" t="s">
        <v>41</v>
      </c>
      <c r="B24" s="123"/>
      <c r="C24" s="123"/>
      <c r="D24" s="123"/>
      <c r="E24" s="123"/>
      <c r="F24" s="124">
        <v>2000</v>
      </c>
      <c r="G24" s="123" t="s">
        <v>12</v>
      </c>
      <c r="H24" s="123"/>
      <c r="I24" s="123"/>
      <c r="J24" s="128"/>
    </row>
    <row r="25" spans="1:11" ht="15.75" x14ac:dyDescent="0.25">
      <c r="A25" s="121" t="s">
        <v>38</v>
      </c>
      <c r="B25" s="123"/>
      <c r="C25" s="123"/>
      <c r="D25" s="123"/>
      <c r="E25" s="123"/>
      <c r="F25" s="124">
        <v>4500</v>
      </c>
      <c r="G25" s="123" t="s">
        <v>13</v>
      </c>
      <c r="H25" s="123"/>
      <c r="I25" s="123" t="s">
        <v>27</v>
      </c>
      <c r="J25" s="128"/>
    </row>
    <row r="26" spans="1:11" ht="15.75" x14ac:dyDescent="0.25">
      <c r="A26" s="121" t="s">
        <v>42</v>
      </c>
      <c r="B26" s="123"/>
      <c r="C26" s="123"/>
      <c r="D26" s="123"/>
      <c r="E26" s="123"/>
      <c r="F26" s="137">
        <f>Standardwerte!F20</f>
        <v>0.44</v>
      </c>
      <c r="G26" s="123"/>
      <c r="H26" s="123"/>
      <c r="I26" s="123"/>
      <c r="J26" s="128"/>
    </row>
    <row r="27" spans="1:11" ht="15.75" x14ac:dyDescent="0.25">
      <c r="A27" s="121" t="s">
        <v>39</v>
      </c>
      <c r="B27" s="123"/>
      <c r="C27" s="123"/>
      <c r="D27" s="123"/>
      <c r="E27" s="135"/>
      <c r="F27" s="136">
        <f>F25*(1-F26)</f>
        <v>2520.0000000000005</v>
      </c>
      <c r="G27" s="123" t="s">
        <v>13</v>
      </c>
      <c r="H27" s="123"/>
      <c r="I27" s="123" t="s">
        <v>27</v>
      </c>
      <c r="J27" s="128"/>
    </row>
    <row r="28" spans="1:11" ht="15.75" x14ac:dyDescent="0.25">
      <c r="A28" s="121" t="s">
        <v>31</v>
      </c>
      <c r="B28" s="123"/>
      <c r="C28" s="123"/>
      <c r="D28" s="123"/>
      <c r="E28" s="123"/>
      <c r="F28" s="137">
        <v>0.7</v>
      </c>
      <c r="G28" s="123"/>
      <c r="H28" s="123"/>
      <c r="I28" s="123"/>
      <c r="J28" s="128"/>
    </row>
    <row r="29" spans="1:11" ht="15.75" x14ac:dyDescent="0.25">
      <c r="A29" s="121" t="s">
        <v>32</v>
      </c>
      <c r="B29" s="123"/>
      <c r="C29" s="123"/>
      <c r="D29" s="123"/>
      <c r="E29" s="135"/>
      <c r="F29" s="134">
        <v>0.02</v>
      </c>
      <c r="G29" s="138"/>
      <c r="H29" s="123"/>
      <c r="I29" s="123"/>
      <c r="J29" s="128"/>
    </row>
    <row r="30" spans="1:11" ht="15.75" x14ac:dyDescent="0.25">
      <c r="A30" s="121" t="s">
        <v>465</v>
      </c>
      <c r="B30" s="123"/>
      <c r="C30" s="123"/>
      <c r="D30" s="123"/>
      <c r="E30" s="123"/>
      <c r="F30" s="139">
        <v>0.7</v>
      </c>
      <c r="G30" s="123"/>
      <c r="H30" s="594">
        <f>MATCH(F30,Überwälzung,0)</f>
        <v>1</v>
      </c>
      <c r="I30" s="123"/>
      <c r="J30" s="128"/>
    </row>
    <row r="31" spans="1:11" ht="15.75" x14ac:dyDescent="0.25">
      <c r="A31" s="122" t="s">
        <v>297</v>
      </c>
      <c r="B31" s="140"/>
      <c r="C31" s="140"/>
      <c r="D31" s="140"/>
      <c r="E31" s="140"/>
      <c r="F31" s="141">
        <v>7.0000000000000007E-2</v>
      </c>
      <c r="G31" s="140"/>
      <c r="H31" s="140"/>
      <c r="I31" s="140"/>
      <c r="J31" s="142"/>
    </row>
  </sheetData>
  <customSheetViews>
    <customSheetView guid="{B8536769-06CC-4563-B2F1-92342C23219E}">
      <pane ySplit="4" topLeftCell="A5" activePane="bottomLeft" state="frozen"/>
      <selection pane="bottomLeft" activeCell="A25" sqref="A25"/>
      <pageMargins left="0.7" right="0.7" top="0.78740157499999996" bottom="0.78740157499999996" header="0.3" footer="0.3"/>
      <pageSetup paperSize="9" orientation="portrait" r:id="rId1"/>
    </customSheetView>
  </customSheetViews>
  <mergeCells count="7">
    <mergeCell ref="I5:J5"/>
    <mergeCell ref="A1:J1"/>
    <mergeCell ref="A2:J2"/>
    <mergeCell ref="A5:B5"/>
    <mergeCell ref="C5:D5"/>
    <mergeCell ref="E5:F5"/>
    <mergeCell ref="G5:H5"/>
  </mergeCells>
  <dataValidations count="3">
    <dataValidation type="list" allowBlank="1" showInputMessage="1" showErrorMessage="1" sqref="F19">
      <formula1>Subvention</formula1>
    </dataValidation>
    <dataValidation type="list" allowBlank="1" showInputMessage="1" showErrorMessage="1" sqref="F30">
      <formula1>Überwälzung</formula1>
    </dataValidation>
    <dataValidation type="list" allowBlank="1" showInputMessage="1" showErrorMessage="1" sqref="E17">
      <formula1>Stadt</formula1>
    </dataValidation>
  </dataValidations>
  <printOptions horizontalCentered="1"/>
  <pageMargins left="0.70866141732283472" right="0.70866141732283472" top="0.78740157480314965" bottom="0.78740157480314965" header="0.31496062992125984" footer="0.31496062992125984"/>
  <pageSetup paperSize="9" scale="91" orientation="landscape" r:id="rId2"/>
  <headerFooter>
    <oddFooter>&amp;L&amp;8&amp;F&amp;R&amp;8&amp;D</oddFooter>
  </headerFooter>
  <ignoredErrors>
    <ignoredError sqref="F17" formulaRange="1"/>
  </ignoredError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9"/>
  <sheetViews>
    <sheetView zoomScale="81" zoomScaleNormal="81" workbookViewId="0">
      <selection activeCell="J6" sqref="I6:J7"/>
    </sheetView>
  </sheetViews>
  <sheetFormatPr baseColWidth="10" defaultRowHeight="15" x14ac:dyDescent="0.25"/>
  <cols>
    <col min="9" max="9" width="47.5703125" customWidth="1"/>
    <col min="12" max="12" width="17.42578125" customWidth="1"/>
  </cols>
  <sheetData>
    <row r="1" spans="1:14" ht="15.75" x14ac:dyDescent="0.25">
      <c r="A1" s="48" t="s">
        <v>43</v>
      </c>
      <c r="B1" s="143"/>
      <c r="C1" s="143"/>
      <c r="D1" s="143"/>
      <c r="E1" s="143"/>
      <c r="F1" s="143"/>
      <c r="G1" s="143"/>
      <c r="H1" s="143"/>
      <c r="I1" s="143"/>
      <c r="J1" s="144"/>
      <c r="L1" s="112" t="s">
        <v>18</v>
      </c>
      <c r="M1" s="25"/>
      <c r="N1" s="25"/>
    </row>
    <row r="2" spans="1:14" ht="15.75" x14ac:dyDescent="0.25">
      <c r="A2" s="145"/>
      <c r="B2" s="140"/>
      <c r="C2" s="140"/>
      <c r="D2" s="140"/>
      <c r="E2" s="140"/>
      <c r="F2" s="140"/>
      <c r="G2" s="140"/>
      <c r="H2" s="140"/>
      <c r="I2" s="140"/>
      <c r="J2" s="142"/>
    </row>
    <row r="3" spans="1:14" ht="15.75" x14ac:dyDescent="0.25">
      <c r="A3" s="146" t="s">
        <v>24</v>
      </c>
      <c r="B3" s="147"/>
      <c r="C3" s="147"/>
      <c r="D3" s="147"/>
      <c r="E3" s="148"/>
      <c r="F3" s="149" t="s">
        <v>44</v>
      </c>
      <c r="G3" s="148"/>
      <c r="H3" s="148"/>
      <c r="I3" s="148" t="s">
        <v>602</v>
      </c>
      <c r="J3" s="150"/>
      <c r="L3" s="23" t="s">
        <v>40</v>
      </c>
    </row>
    <row r="4" spans="1:14" ht="15.75" x14ac:dyDescent="0.25">
      <c r="A4" s="121" t="s">
        <v>1</v>
      </c>
      <c r="B4" s="123"/>
      <c r="C4" s="123"/>
      <c r="D4" s="123"/>
      <c r="E4" s="123"/>
      <c r="F4" s="124">
        <v>70</v>
      </c>
      <c r="G4" s="123" t="s">
        <v>8</v>
      </c>
      <c r="H4" s="123"/>
      <c r="I4" s="614" t="s">
        <v>610</v>
      </c>
      <c r="J4" s="125"/>
      <c r="L4" s="110" t="s">
        <v>58</v>
      </c>
    </row>
    <row r="5" spans="1:14" ht="15.75" x14ac:dyDescent="0.25">
      <c r="A5" s="121" t="s">
        <v>28</v>
      </c>
      <c r="B5" s="123"/>
      <c r="C5" s="123"/>
      <c r="D5" s="123"/>
      <c r="E5" s="126"/>
      <c r="F5" s="124">
        <v>18</v>
      </c>
      <c r="G5" s="123" t="s">
        <v>15</v>
      </c>
      <c r="H5" s="123"/>
      <c r="I5" s="614" t="s">
        <v>618</v>
      </c>
      <c r="J5" s="125"/>
      <c r="L5" s="33" t="s">
        <v>105</v>
      </c>
    </row>
    <row r="6" spans="1:14" ht="15.75" x14ac:dyDescent="0.25">
      <c r="A6" s="121" t="s">
        <v>2</v>
      </c>
      <c r="B6" s="123"/>
      <c r="C6" s="123"/>
      <c r="D6" s="123"/>
      <c r="E6" s="123"/>
      <c r="F6" s="124">
        <v>0.25</v>
      </c>
      <c r="G6" s="123" t="s">
        <v>14</v>
      </c>
      <c r="H6" s="123"/>
      <c r="I6" s="126" t="s">
        <v>603</v>
      </c>
      <c r="J6" s="618"/>
      <c r="L6" s="35" t="s">
        <v>280</v>
      </c>
    </row>
    <row r="7" spans="1:14" ht="30" customHeight="1" x14ac:dyDescent="0.25">
      <c r="A7" s="121" t="s">
        <v>3</v>
      </c>
      <c r="B7" s="123"/>
      <c r="C7" s="123"/>
      <c r="D7" s="123"/>
      <c r="E7" s="123"/>
      <c r="F7" s="124">
        <v>0.2</v>
      </c>
      <c r="G7" s="123" t="s">
        <v>14</v>
      </c>
      <c r="H7" s="123"/>
      <c r="I7" s="619" t="s">
        <v>607</v>
      </c>
      <c r="J7" s="618"/>
      <c r="L7" s="34" t="s">
        <v>281</v>
      </c>
    </row>
    <row r="8" spans="1:14" ht="15.75" x14ac:dyDescent="0.25">
      <c r="A8" s="121" t="s">
        <v>29</v>
      </c>
      <c r="B8" s="123"/>
      <c r="C8" s="123"/>
      <c r="D8" s="123"/>
      <c r="E8" s="123"/>
      <c r="F8" s="124">
        <v>10</v>
      </c>
      <c r="G8" s="123" t="s">
        <v>9</v>
      </c>
      <c r="H8" s="123"/>
      <c r="I8" s="614" t="s">
        <v>614</v>
      </c>
      <c r="J8" s="125"/>
      <c r="N8" s="4"/>
    </row>
    <row r="9" spans="1:14" ht="15.75" x14ac:dyDescent="0.25">
      <c r="A9" s="121" t="s">
        <v>4</v>
      </c>
      <c r="B9" s="123"/>
      <c r="C9" s="123"/>
      <c r="D9" s="123"/>
      <c r="E9" s="123"/>
      <c r="F9" s="124">
        <v>100</v>
      </c>
      <c r="G9" s="123" t="s">
        <v>16</v>
      </c>
      <c r="H9" s="133"/>
      <c r="I9" s="614" t="s">
        <v>614</v>
      </c>
      <c r="J9" s="125"/>
    </row>
    <row r="10" spans="1:14" ht="15.75" x14ac:dyDescent="0.25">
      <c r="A10" s="121" t="s">
        <v>6</v>
      </c>
      <c r="B10" s="123"/>
      <c r="C10" s="123"/>
      <c r="D10" s="123"/>
      <c r="E10" s="151" t="s">
        <v>34</v>
      </c>
      <c r="F10" s="596">
        <v>1667</v>
      </c>
      <c r="G10" s="144" t="s">
        <v>10</v>
      </c>
      <c r="H10" s="123"/>
      <c r="I10" s="615" t="s">
        <v>609</v>
      </c>
      <c r="J10" s="128"/>
    </row>
    <row r="11" spans="1:14" ht="15.75" x14ac:dyDescent="0.25">
      <c r="A11" s="121"/>
      <c r="B11" s="123"/>
      <c r="C11" s="123"/>
      <c r="D11" s="123"/>
      <c r="E11" s="152" t="s">
        <v>19</v>
      </c>
      <c r="F11" s="124">
        <v>1300</v>
      </c>
      <c r="G11" s="128" t="s">
        <v>10</v>
      </c>
      <c r="H11" s="131"/>
      <c r="I11" s="615" t="s">
        <v>609</v>
      </c>
      <c r="J11" s="128"/>
      <c r="L11" s="23" t="s">
        <v>17</v>
      </c>
    </row>
    <row r="12" spans="1:14" ht="15.75" x14ac:dyDescent="0.25">
      <c r="A12" s="121"/>
      <c r="B12" s="123"/>
      <c r="C12" s="123"/>
      <c r="D12" s="123"/>
      <c r="E12" s="153" t="s">
        <v>35</v>
      </c>
      <c r="F12" s="597">
        <v>1100</v>
      </c>
      <c r="G12" s="142" t="s">
        <v>10</v>
      </c>
      <c r="H12" s="123"/>
      <c r="I12" s="615" t="s">
        <v>609</v>
      </c>
      <c r="J12" s="128"/>
      <c r="L12" s="110" t="s">
        <v>45</v>
      </c>
    </row>
    <row r="13" spans="1:14" ht="15.75" x14ac:dyDescent="0.25">
      <c r="A13" s="121" t="s">
        <v>7</v>
      </c>
      <c r="B13" s="123"/>
      <c r="C13" s="123"/>
      <c r="D13" s="123"/>
      <c r="E13" s="123"/>
      <c r="F13" s="124">
        <v>3.5</v>
      </c>
      <c r="G13" s="123" t="s">
        <v>9</v>
      </c>
      <c r="H13" s="123"/>
      <c r="I13" s="614" t="s">
        <v>616</v>
      </c>
      <c r="J13" s="128"/>
      <c r="L13" s="111">
        <v>0.7</v>
      </c>
    </row>
    <row r="14" spans="1:14" ht="15.75" x14ac:dyDescent="0.25">
      <c r="A14" s="121" t="s">
        <v>143</v>
      </c>
      <c r="B14" s="123"/>
      <c r="C14" s="123"/>
      <c r="D14" s="123"/>
      <c r="E14" s="123"/>
      <c r="F14" s="134">
        <v>0.06</v>
      </c>
      <c r="G14" s="123"/>
      <c r="H14" s="123"/>
      <c r="I14" s="123"/>
      <c r="J14" s="128"/>
      <c r="L14" s="535">
        <v>0.6</v>
      </c>
    </row>
    <row r="15" spans="1:14" ht="15.75" x14ac:dyDescent="0.25">
      <c r="A15" s="121" t="s">
        <v>36</v>
      </c>
      <c r="B15" s="123"/>
      <c r="C15" s="123"/>
      <c r="D15" s="123"/>
      <c r="E15" s="123"/>
      <c r="F15" s="124">
        <v>335</v>
      </c>
      <c r="G15" s="123" t="s">
        <v>16</v>
      </c>
      <c r="H15" s="123"/>
      <c r="I15" s="614" t="s">
        <v>614</v>
      </c>
      <c r="J15" s="128"/>
      <c r="L15" s="535">
        <v>0.5</v>
      </c>
    </row>
    <row r="16" spans="1:14" ht="15.75" x14ac:dyDescent="0.25">
      <c r="A16" s="121" t="s">
        <v>37</v>
      </c>
      <c r="B16" s="123"/>
      <c r="C16" s="123"/>
      <c r="D16" s="123"/>
      <c r="E16" s="123"/>
      <c r="F16" s="595">
        <v>6.66</v>
      </c>
      <c r="G16" s="126" t="s">
        <v>93</v>
      </c>
      <c r="H16" s="123"/>
      <c r="I16" s="614" t="s">
        <v>605</v>
      </c>
      <c r="J16" s="128"/>
      <c r="L16" s="536">
        <v>0</v>
      </c>
    </row>
    <row r="17" spans="1:10" ht="15.75" x14ac:dyDescent="0.25">
      <c r="A17" s="121" t="s">
        <v>30</v>
      </c>
      <c r="B17" s="123"/>
      <c r="C17" s="123"/>
      <c r="D17" s="123"/>
      <c r="E17" s="123"/>
      <c r="F17" s="124">
        <f>ROUND(F15/F16,0)</f>
        <v>50</v>
      </c>
      <c r="G17" s="123" t="s">
        <v>11</v>
      </c>
      <c r="H17" s="123"/>
      <c r="I17" s="614" t="s">
        <v>605</v>
      </c>
      <c r="J17" s="128"/>
    </row>
    <row r="18" spans="1:10" ht="15.75" x14ac:dyDescent="0.25">
      <c r="A18" s="121" t="s">
        <v>41</v>
      </c>
      <c r="B18" s="123"/>
      <c r="C18" s="123"/>
      <c r="D18" s="123"/>
      <c r="E18" s="123"/>
      <c r="F18" s="124">
        <v>3000</v>
      </c>
      <c r="G18" s="123" t="s">
        <v>12</v>
      </c>
      <c r="H18" s="123"/>
      <c r="I18" s="614" t="s">
        <v>608</v>
      </c>
      <c r="J18" s="128"/>
    </row>
    <row r="19" spans="1:10" ht="15.75" x14ac:dyDescent="0.25">
      <c r="A19" s="121" t="s">
        <v>606</v>
      </c>
      <c r="B19" s="123"/>
      <c r="C19" s="123"/>
      <c r="D19" s="123"/>
      <c r="E19" s="123"/>
      <c r="F19" s="124">
        <v>4500</v>
      </c>
      <c r="G19" s="123" t="s">
        <v>13</v>
      </c>
      <c r="H19" s="123"/>
      <c r="I19" t="s">
        <v>604</v>
      </c>
      <c r="J19" s="123"/>
    </row>
    <row r="20" spans="1:10" ht="15.75" x14ac:dyDescent="0.25">
      <c r="A20" s="121" t="s">
        <v>42</v>
      </c>
      <c r="B20" s="123"/>
      <c r="C20" s="123"/>
      <c r="D20" s="123"/>
      <c r="E20" s="123"/>
      <c r="F20" s="137">
        <v>0.44</v>
      </c>
      <c r="G20" s="123"/>
      <c r="H20" s="123"/>
      <c r="I20" s="614" t="s">
        <v>615</v>
      </c>
      <c r="J20" s="128"/>
    </row>
    <row r="21" spans="1:10" ht="15.75" x14ac:dyDescent="0.25">
      <c r="A21" s="121" t="s">
        <v>31</v>
      </c>
      <c r="B21" s="123"/>
      <c r="C21" s="123"/>
      <c r="D21" s="123"/>
      <c r="E21" s="123"/>
      <c r="F21" s="137">
        <v>0.7</v>
      </c>
      <c r="G21" s="123"/>
      <c r="H21" s="123"/>
      <c r="I21" s="614" t="s">
        <v>613</v>
      </c>
      <c r="J21" s="128"/>
    </row>
    <row r="22" spans="1:10" ht="15.75" x14ac:dyDescent="0.25">
      <c r="A22" s="121" t="s">
        <v>32</v>
      </c>
      <c r="B22" s="123"/>
      <c r="C22" s="123"/>
      <c r="D22" s="123"/>
      <c r="E22" s="135"/>
      <c r="F22" s="134">
        <v>0.02</v>
      </c>
      <c r="G22" s="138"/>
      <c r="H22" s="123"/>
      <c r="I22" s="614" t="s">
        <v>613</v>
      </c>
      <c r="J22" s="128"/>
    </row>
    <row r="23" spans="1:10" ht="15.75" x14ac:dyDescent="0.25">
      <c r="A23" s="121" t="s">
        <v>589</v>
      </c>
      <c r="B23" s="123"/>
      <c r="C23" s="123"/>
      <c r="D23" s="123"/>
      <c r="E23" s="123"/>
      <c r="F23" s="137">
        <v>0.7</v>
      </c>
      <c r="G23" s="123"/>
      <c r="H23" s="123"/>
      <c r="I23" s="614" t="s">
        <v>611</v>
      </c>
      <c r="J23" s="128"/>
    </row>
    <row r="24" spans="1:10" ht="15.75" x14ac:dyDescent="0.25">
      <c r="A24" s="122" t="s">
        <v>119</v>
      </c>
      <c r="B24" s="140"/>
      <c r="C24" s="140"/>
      <c r="D24" s="140"/>
      <c r="E24" s="140"/>
      <c r="F24" s="598">
        <v>0.25</v>
      </c>
      <c r="G24" s="140"/>
      <c r="H24" s="140"/>
      <c r="I24" s="616" t="s">
        <v>612</v>
      </c>
      <c r="J24" s="142"/>
    </row>
    <row r="25" spans="1:10" ht="15.75" x14ac:dyDescent="0.25">
      <c r="A25" s="131"/>
      <c r="B25" s="131"/>
      <c r="C25" s="131"/>
      <c r="D25" s="131"/>
      <c r="E25" s="131"/>
      <c r="F25" s="131"/>
      <c r="G25" s="131"/>
      <c r="H25" s="131"/>
      <c r="I25" s="131"/>
      <c r="J25" s="131"/>
    </row>
    <row r="26" spans="1:10" ht="15.75" x14ac:dyDescent="0.25">
      <c r="A26" s="131"/>
      <c r="B26" s="131"/>
      <c r="C26" s="131"/>
      <c r="D26" s="131"/>
      <c r="E26" s="131"/>
      <c r="F26" s="131"/>
      <c r="G26" s="131"/>
      <c r="H26" s="131"/>
      <c r="I26" s="131"/>
      <c r="J26" s="131"/>
    </row>
    <row r="27" spans="1:10" ht="15.75" x14ac:dyDescent="0.25">
      <c r="A27" s="24" t="s">
        <v>57</v>
      </c>
      <c r="B27" s="131"/>
      <c r="C27" s="131"/>
      <c r="D27" s="131"/>
      <c r="E27" s="131"/>
      <c r="F27" s="131"/>
      <c r="G27" s="131"/>
      <c r="H27" s="131"/>
      <c r="I27" s="131"/>
      <c r="J27" s="131"/>
    </row>
    <row r="28" spans="1:10" ht="15.75" x14ac:dyDescent="0.25">
      <c r="A28" s="131"/>
      <c r="B28" s="131"/>
      <c r="C28" s="131"/>
      <c r="D28" s="131"/>
      <c r="E28" s="131"/>
      <c r="F28" s="131"/>
      <c r="G28" s="131"/>
      <c r="H28" s="131"/>
      <c r="I28" s="131"/>
      <c r="J28" s="131"/>
    </row>
    <row r="29" spans="1:10" ht="15.75" x14ac:dyDescent="0.25">
      <c r="A29" s="154" t="s">
        <v>58</v>
      </c>
      <c r="B29" s="155"/>
      <c r="C29" s="637" t="s">
        <v>483</v>
      </c>
      <c r="D29" s="638"/>
      <c r="E29" s="638"/>
      <c r="F29" s="639"/>
      <c r="H29" s="131"/>
      <c r="I29" s="131"/>
      <c r="J29" s="131"/>
    </row>
    <row r="30" spans="1:10" ht="15.75" x14ac:dyDescent="0.25">
      <c r="A30" s="589" t="s">
        <v>619</v>
      </c>
      <c r="B30" s="590"/>
      <c r="C30" s="599">
        <v>16.2</v>
      </c>
      <c r="D30" s="590" t="s">
        <v>15</v>
      </c>
      <c r="E30" s="123"/>
      <c r="F30" s="144"/>
      <c r="H30" s="131"/>
      <c r="I30" s="614" t="s">
        <v>618</v>
      </c>
      <c r="J30" s="131"/>
    </row>
    <row r="31" spans="1:10" ht="15.75" x14ac:dyDescent="0.25">
      <c r="A31" s="589" t="s">
        <v>59</v>
      </c>
      <c r="B31" s="590"/>
      <c r="C31" s="600">
        <v>4.8</v>
      </c>
      <c r="D31" s="590" t="s">
        <v>15</v>
      </c>
      <c r="E31" s="123"/>
      <c r="F31" s="128"/>
      <c r="H31" s="131"/>
      <c r="I31" s="614" t="s">
        <v>617</v>
      </c>
      <c r="J31" s="131"/>
    </row>
    <row r="32" spans="1:10" ht="15.75" x14ac:dyDescent="0.25">
      <c r="A32" s="589" t="s">
        <v>273</v>
      </c>
      <c r="B32" s="590"/>
      <c r="C32" s="600">
        <v>3.8</v>
      </c>
      <c r="D32" s="590" t="s">
        <v>15</v>
      </c>
      <c r="E32" s="123"/>
      <c r="F32" s="128"/>
      <c r="H32" s="131"/>
      <c r="I32" s="614" t="s">
        <v>617</v>
      </c>
      <c r="J32" s="131"/>
    </row>
    <row r="33" spans="1:12" ht="15.75" x14ac:dyDescent="0.25">
      <c r="A33" s="589" t="s">
        <v>60</v>
      </c>
      <c r="B33" s="590"/>
      <c r="C33" s="601">
        <v>3</v>
      </c>
      <c r="D33" s="590" t="s">
        <v>15</v>
      </c>
      <c r="E33" s="123"/>
      <c r="F33" s="128"/>
      <c r="H33" s="131"/>
      <c r="I33" s="614" t="s">
        <v>617</v>
      </c>
      <c r="J33" s="131"/>
    </row>
    <row r="34" spans="1:12" ht="15.75" x14ac:dyDescent="0.25">
      <c r="A34" s="18" t="s">
        <v>594</v>
      </c>
      <c r="B34" s="590"/>
      <c r="C34" s="600">
        <v>12.6</v>
      </c>
      <c r="D34" s="590" t="s">
        <v>15</v>
      </c>
      <c r="E34" s="123"/>
      <c r="F34" s="128"/>
      <c r="H34" s="131"/>
      <c r="I34" s="614" t="s">
        <v>617</v>
      </c>
      <c r="J34" s="131"/>
    </row>
    <row r="35" spans="1:12" ht="15.75" x14ac:dyDescent="0.25">
      <c r="A35" s="18" t="s">
        <v>595</v>
      </c>
      <c r="B35" s="590"/>
      <c r="C35" s="600">
        <v>6.8</v>
      </c>
      <c r="D35" s="590" t="s">
        <v>15</v>
      </c>
      <c r="E35" s="123"/>
      <c r="F35" s="128"/>
      <c r="H35" s="131"/>
      <c r="I35" s="614" t="s">
        <v>617</v>
      </c>
      <c r="J35" s="131"/>
    </row>
    <row r="36" spans="1:12" ht="15.75" x14ac:dyDescent="0.25">
      <c r="A36" s="18" t="s">
        <v>596</v>
      </c>
      <c r="B36" s="590"/>
      <c r="C36" s="600">
        <v>3.8</v>
      </c>
      <c r="D36" s="590" t="s">
        <v>15</v>
      </c>
      <c r="E36" s="123"/>
      <c r="F36" s="128"/>
      <c r="H36" s="131"/>
      <c r="I36" s="614" t="s">
        <v>617</v>
      </c>
      <c r="J36" s="131"/>
    </row>
    <row r="37" spans="1:12" ht="15.75" x14ac:dyDescent="0.25">
      <c r="A37" s="20" t="s">
        <v>597</v>
      </c>
      <c r="B37" s="591"/>
      <c r="C37" s="602">
        <v>3</v>
      </c>
      <c r="D37" s="591" t="s">
        <v>15</v>
      </c>
      <c r="E37" s="140"/>
      <c r="F37" s="142"/>
      <c r="H37" s="131"/>
      <c r="I37" s="614" t="s">
        <v>617</v>
      </c>
      <c r="J37" s="131"/>
    </row>
    <row r="38" spans="1:12" ht="15.75" x14ac:dyDescent="0.25">
      <c r="A38" s="131"/>
      <c r="B38" s="131"/>
      <c r="C38" s="131"/>
      <c r="D38" s="131"/>
      <c r="E38" s="131"/>
      <c r="F38" s="131"/>
      <c r="H38" s="131"/>
      <c r="I38" s="131"/>
      <c r="J38" s="131"/>
    </row>
    <row r="39" spans="1:12" ht="15.75" x14ac:dyDescent="0.25">
      <c r="A39" s="24" t="s">
        <v>469</v>
      </c>
      <c r="B39" s="24"/>
      <c r="C39" s="24"/>
      <c r="D39" s="131">
        <v>10</v>
      </c>
      <c r="E39" s="131" t="s">
        <v>84</v>
      </c>
      <c r="F39" s="131"/>
      <c r="G39" s="131"/>
      <c r="H39" s="131"/>
      <c r="I39" s="131"/>
      <c r="J39" s="131"/>
    </row>
    <row r="40" spans="1:12" ht="15.75" x14ac:dyDescent="0.25">
      <c r="A40" s="24" t="s">
        <v>582</v>
      </c>
      <c r="B40" s="131"/>
      <c r="C40" s="131"/>
      <c r="D40" s="617">
        <v>2.65</v>
      </c>
      <c r="E40" s="131" t="s">
        <v>470</v>
      </c>
      <c r="F40" s="131"/>
      <c r="G40" s="131"/>
      <c r="H40" s="131"/>
      <c r="I40" s="131"/>
      <c r="J40" s="131"/>
    </row>
    <row r="41" spans="1:12" ht="15.75" x14ac:dyDescent="0.25">
      <c r="A41" s="126" t="s">
        <v>471</v>
      </c>
    </row>
    <row r="43" spans="1:12" ht="15.75" x14ac:dyDescent="0.25">
      <c r="A43" s="24" t="s">
        <v>96</v>
      </c>
    </row>
    <row r="44" spans="1:12" ht="15.75" thickBot="1" x14ac:dyDescent="0.3"/>
    <row r="45" spans="1:12" ht="30.75" thickBot="1" x14ac:dyDescent="0.3">
      <c r="A45" s="26" t="s">
        <v>126</v>
      </c>
      <c r="B45" s="40" t="s">
        <v>123</v>
      </c>
      <c r="C45" s="41"/>
      <c r="D45" s="42" t="s">
        <v>124</v>
      </c>
      <c r="E45" s="83" t="s">
        <v>277</v>
      </c>
      <c r="F45" s="84" t="s">
        <v>99</v>
      </c>
      <c r="G45" s="84" t="s">
        <v>100</v>
      </c>
      <c r="H45" s="84" t="s">
        <v>101</v>
      </c>
      <c r="I45" s="84" t="s">
        <v>590</v>
      </c>
      <c r="J45" s="84" t="s">
        <v>591</v>
      </c>
      <c r="K45" s="84" t="s">
        <v>592</v>
      </c>
      <c r="L45" s="85" t="s">
        <v>593</v>
      </c>
    </row>
    <row r="46" spans="1:12" x14ac:dyDescent="0.25">
      <c r="A46">
        <v>1</v>
      </c>
      <c r="B46" s="634" t="s">
        <v>107</v>
      </c>
      <c r="C46" s="635"/>
      <c r="D46" s="37" t="s">
        <v>97</v>
      </c>
      <c r="E46" s="36">
        <v>0</v>
      </c>
      <c r="F46" s="27">
        <v>0</v>
      </c>
      <c r="G46" s="27">
        <v>102</v>
      </c>
      <c r="H46" s="27">
        <v>159</v>
      </c>
      <c r="I46" s="27">
        <v>0</v>
      </c>
      <c r="J46" s="27">
        <v>0</v>
      </c>
      <c r="K46" s="27">
        <v>102</v>
      </c>
      <c r="L46" s="28">
        <v>159</v>
      </c>
    </row>
    <row r="47" spans="1:12" ht="14.45" customHeight="1" x14ac:dyDescent="0.25">
      <c r="A47">
        <v>2</v>
      </c>
      <c r="B47" s="632" t="s">
        <v>108</v>
      </c>
      <c r="C47" s="633"/>
      <c r="D47" s="37" t="s">
        <v>97</v>
      </c>
      <c r="E47" s="38">
        <v>0</v>
      </c>
      <c r="F47" s="29">
        <v>106.8</v>
      </c>
      <c r="G47" s="29">
        <v>136.80000000000001</v>
      </c>
      <c r="H47" s="29">
        <v>166.8</v>
      </c>
      <c r="I47" s="29">
        <v>92.8</v>
      </c>
      <c r="J47" s="29">
        <v>126.8</v>
      </c>
      <c r="K47" s="29">
        <v>156.80000000000001</v>
      </c>
      <c r="L47" s="30">
        <v>176.8</v>
      </c>
    </row>
    <row r="48" spans="1:12" ht="15.75" thickBot="1" x14ac:dyDescent="0.3">
      <c r="A48">
        <v>3</v>
      </c>
      <c r="B48" s="634" t="s">
        <v>282</v>
      </c>
      <c r="C48" s="636"/>
      <c r="D48" s="37" t="s">
        <v>97</v>
      </c>
      <c r="E48" s="39">
        <v>0</v>
      </c>
      <c r="F48" s="31">
        <v>46.8</v>
      </c>
      <c r="G48" s="31">
        <v>96.8</v>
      </c>
      <c r="H48" s="31">
        <v>96.8</v>
      </c>
      <c r="I48" s="31">
        <v>46.8</v>
      </c>
      <c r="J48" s="31">
        <v>46.8</v>
      </c>
      <c r="K48" s="31">
        <v>96.8</v>
      </c>
      <c r="L48" s="32">
        <v>96.8</v>
      </c>
    </row>
    <row r="49" spans="2:2" x14ac:dyDescent="0.25">
      <c r="B49" t="s">
        <v>109</v>
      </c>
    </row>
  </sheetData>
  <customSheetViews>
    <customSheetView guid="{B8536769-06CC-4563-B2F1-92342C23219E}">
      <selection activeCell="C5" sqref="C5"/>
      <pageMargins left="0.7" right="0.7" top="0.78740157499999996" bottom="0.78740157499999996" header="0.3" footer="0.3"/>
    </customSheetView>
  </customSheetViews>
  <mergeCells count="4">
    <mergeCell ref="B47:C47"/>
    <mergeCell ref="B46:C46"/>
    <mergeCell ref="B48:C48"/>
    <mergeCell ref="C29:F29"/>
  </mergeCells>
  <dataValidations count="1">
    <dataValidation type="list" allowBlank="1" showInputMessage="1" showErrorMessage="1" sqref="F23">
      <formula1>Überwälzung</formula1>
    </dataValidation>
  </dataValidations>
  <hyperlinks>
    <hyperlink ref="I16" r:id="rId1"/>
    <hyperlink ref="I17" r:id="rId2"/>
    <hyperlink ref="I7" r:id="rId3"/>
    <hyperlink ref="I18" r:id="rId4"/>
    <hyperlink ref="I10" r:id="rId5"/>
    <hyperlink ref="I11:I12" r:id="rId6" display="www.homegate.ch"/>
    <hyperlink ref="I4" r:id="rId7"/>
    <hyperlink ref="I23" r:id="rId8"/>
    <hyperlink ref="I24" r:id="rId9"/>
    <hyperlink ref="I22" r:id="rId10"/>
    <hyperlink ref="I21" r:id="rId11"/>
    <hyperlink ref="I9" r:id="rId12"/>
    <hyperlink ref="I8" r:id="rId13"/>
    <hyperlink ref="I20" r:id="rId14"/>
    <hyperlink ref="I13" r:id="rId15"/>
    <hyperlink ref="I15" r:id="rId16"/>
    <hyperlink ref="I31" r:id="rId17"/>
    <hyperlink ref="I32:I37" r:id="rId18" display="http://www.energie-cluster.ch/ecweb5/de/ecweb_site/wissenstransfer/innovationsgruppen/ig-peg/history/peg-zwischenbericht-bfe-2014_neu.pdf"/>
    <hyperlink ref="I30" r:id="rId19"/>
    <hyperlink ref="I5" r:id="rId20"/>
  </hyperlinks>
  <pageMargins left="0.70866141732283472" right="0.70866141732283472" top="0.78740157480314965" bottom="0.78740157480314965" header="0.31496062992125984" footer="0.31496062992125984"/>
  <pageSetup paperSize="9" scale="73" fitToHeight="0" orientation="landscape" r:id="rId21"/>
  <headerFooter>
    <oddFooter>&amp;L&amp;8&amp;F&amp;R&amp;8&amp;D</oddFooter>
  </headerFooter>
  <legacyDrawing r:id="rId2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H309"/>
  <sheetViews>
    <sheetView topLeftCell="B1" zoomScale="84" zoomScaleNormal="84" workbookViewId="0">
      <selection activeCell="J11" sqref="J11"/>
    </sheetView>
  </sheetViews>
  <sheetFormatPr baseColWidth="10" defaultRowHeight="15" x14ac:dyDescent="0.25"/>
  <cols>
    <col min="3" max="3" width="23.140625" customWidth="1"/>
    <col min="5" max="8" width="17.28515625" customWidth="1"/>
  </cols>
  <sheetData>
    <row r="1" spans="3:8" ht="18.75" x14ac:dyDescent="0.3">
      <c r="C1" s="646" t="s">
        <v>371</v>
      </c>
      <c r="D1" s="647"/>
      <c r="E1" s="647"/>
      <c r="F1" s="647"/>
      <c r="G1" s="647"/>
      <c r="H1" s="648"/>
    </row>
    <row r="2" spans="3:8" x14ac:dyDescent="0.25">
      <c r="C2" s="649"/>
      <c r="D2" s="649"/>
      <c r="E2" s="649"/>
      <c r="F2" s="649"/>
      <c r="G2" s="649"/>
      <c r="H2" s="649"/>
    </row>
    <row r="3" spans="3:8" ht="15.75" x14ac:dyDescent="0.25">
      <c r="C3" s="156" t="s">
        <v>46</v>
      </c>
      <c r="D3" s="651" t="s">
        <v>276</v>
      </c>
      <c r="E3" s="651"/>
      <c r="F3" s="651"/>
      <c r="G3" s="651"/>
      <c r="H3" s="652"/>
    </row>
    <row r="4" spans="3:8" ht="15.75" x14ac:dyDescent="0.25">
      <c r="C4" s="157" t="s">
        <v>47</v>
      </c>
      <c r="D4" s="123" t="s">
        <v>48</v>
      </c>
      <c r="E4" s="123"/>
      <c r="F4" s="158">
        <f>Dateneingabe!$F$16</f>
        <v>1000</v>
      </c>
      <c r="G4" s="159" t="s">
        <v>49</v>
      </c>
      <c r="H4" s="160">
        <f>Dateneingabe!$F$14</f>
        <v>10</v>
      </c>
    </row>
    <row r="5" spans="3:8" ht="15.75" x14ac:dyDescent="0.25">
      <c r="C5" s="121"/>
      <c r="D5" s="123" t="s">
        <v>79</v>
      </c>
      <c r="E5" s="123"/>
      <c r="F5" s="158">
        <f>Dateneingabe!$F$10</f>
        <v>100</v>
      </c>
      <c r="G5" s="161" t="s">
        <v>8</v>
      </c>
      <c r="H5" s="128"/>
    </row>
    <row r="6" spans="3:8" ht="15.75" x14ac:dyDescent="0.25">
      <c r="C6" s="121"/>
      <c r="D6" s="123" t="s">
        <v>87</v>
      </c>
      <c r="E6" s="123"/>
      <c r="F6" s="162">
        <f>Dateneingabe!$F$11</f>
        <v>18</v>
      </c>
      <c r="G6" s="161" t="s">
        <v>15</v>
      </c>
      <c r="H6" s="128"/>
    </row>
    <row r="7" spans="3:8" ht="15.75" x14ac:dyDescent="0.25">
      <c r="C7" s="121"/>
      <c r="D7" s="123" t="s">
        <v>88</v>
      </c>
      <c r="E7" s="123"/>
      <c r="F7" s="158">
        <f>Standardwerte!$C$30</f>
        <v>16.2</v>
      </c>
      <c r="G7" s="161" t="s">
        <v>15</v>
      </c>
      <c r="H7" s="128"/>
    </row>
    <row r="8" spans="3:8" ht="15.75" x14ac:dyDescent="0.25">
      <c r="C8" s="145"/>
      <c r="D8" s="140" t="s">
        <v>372</v>
      </c>
      <c r="E8" s="140"/>
      <c r="F8" s="163">
        <f>Dateneingabe!$F$12</f>
        <v>0.15</v>
      </c>
      <c r="G8" s="164" t="s">
        <v>14</v>
      </c>
      <c r="H8" s="142"/>
    </row>
    <row r="9" spans="3:8" ht="15.75" x14ac:dyDescent="0.25">
      <c r="C9" s="131"/>
      <c r="D9" s="131"/>
      <c r="E9" s="131"/>
      <c r="F9" s="165"/>
      <c r="G9" s="166"/>
      <c r="H9" s="131"/>
    </row>
    <row r="10" spans="3:8" ht="16.5" thickBot="1" x14ac:dyDescent="0.3">
      <c r="C10" s="656" t="s">
        <v>73</v>
      </c>
      <c r="D10" s="657"/>
      <c r="E10" s="657"/>
      <c r="F10" s="657"/>
      <c r="G10" s="657"/>
      <c r="H10" s="658"/>
    </row>
    <row r="11" spans="3:8" ht="32.25" thickBot="1" x14ac:dyDescent="0.3">
      <c r="C11" s="167" t="s">
        <v>50</v>
      </c>
      <c r="D11" s="168" t="s">
        <v>66</v>
      </c>
      <c r="E11" s="168" t="s">
        <v>69</v>
      </c>
      <c r="F11" s="168" t="s">
        <v>70</v>
      </c>
      <c r="G11" s="168"/>
      <c r="H11" s="168" t="s">
        <v>68</v>
      </c>
    </row>
    <row r="12" spans="3:8" ht="15.75" x14ac:dyDescent="0.25">
      <c r="C12" s="169" t="s">
        <v>72</v>
      </c>
      <c r="D12" s="170">
        <f>Dateneingabe!$F$16</f>
        <v>1000</v>
      </c>
      <c r="E12" s="171">
        <f>Dateneingabe!$F$11</f>
        <v>18</v>
      </c>
      <c r="F12" s="172">
        <f>D12*E12</f>
        <v>18000</v>
      </c>
      <c r="G12" s="173"/>
      <c r="H12" s="174">
        <f>F12*Dateneingabe!$F$10/100</f>
        <v>18000</v>
      </c>
    </row>
    <row r="13" spans="3:8" ht="15.75" x14ac:dyDescent="0.25">
      <c r="C13" s="175"/>
      <c r="D13" s="176"/>
      <c r="E13" s="175"/>
      <c r="F13" s="177"/>
      <c r="G13" s="178"/>
      <c r="H13" s="176"/>
    </row>
    <row r="14" spans="3:8" ht="16.5" thickBot="1" x14ac:dyDescent="0.3">
      <c r="C14" s="640" t="s">
        <v>64</v>
      </c>
      <c r="D14" s="641"/>
      <c r="E14" s="641"/>
      <c r="F14" s="641"/>
      <c r="G14" s="641"/>
      <c r="H14" s="642"/>
    </row>
    <row r="15" spans="3:8" ht="32.450000000000003" customHeight="1" thickBot="1" x14ac:dyDescent="0.3">
      <c r="C15" s="167" t="s">
        <v>50</v>
      </c>
      <c r="D15" s="168" t="s">
        <v>66</v>
      </c>
      <c r="E15" s="168" t="s">
        <v>65</v>
      </c>
      <c r="F15" s="168" t="s">
        <v>373</v>
      </c>
      <c r="G15" s="168" t="s">
        <v>583</v>
      </c>
      <c r="H15" s="168" t="s">
        <v>67</v>
      </c>
    </row>
    <row r="16" spans="3:8" ht="15.75" x14ac:dyDescent="0.25">
      <c r="C16" s="179" t="s">
        <v>51</v>
      </c>
      <c r="D16" s="180"/>
      <c r="E16" s="181"/>
      <c r="F16" s="182">
        <f>20000*D12/1000</f>
        <v>20000</v>
      </c>
      <c r="G16" s="183"/>
      <c r="H16" s="184"/>
    </row>
    <row r="17" spans="3:8" ht="15.75" x14ac:dyDescent="0.25">
      <c r="C17" s="179" t="s">
        <v>52</v>
      </c>
      <c r="D17" s="180">
        <f>330*D12/1000</f>
        <v>330</v>
      </c>
      <c r="E17" s="181">
        <v>0</v>
      </c>
      <c r="F17" s="182">
        <f>D17*E17</f>
        <v>0</v>
      </c>
      <c r="G17" s="185">
        <v>0</v>
      </c>
      <c r="H17" s="186">
        <f>$F$12*G17*Standardwerte!$F$4/100</f>
        <v>0</v>
      </c>
    </row>
    <row r="18" spans="3:8" ht="15.75" x14ac:dyDescent="0.25">
      <c r="C18" s="179" t="s">
        <v>62</v>
      </c>
      <c r="D18" s="180">
        <f>800*D12/1000</f>
        <v>800</v>
      </c>
      <c r="E18" s="181">
        <v>72</v>
      </c>
      <c r="F18" s="182">
        <f>D18*E18</f>
        <v>57600</v>
      </c>
      <c r="G18" s="185">
        <v>0</v>
      </c>
      <c r="H18" s="186">
        <f>$F$12*G18*Standardwerte!$F$4/100</f>
        <v>0</v>
      </c>
    </row>
    <row r="19" spans="3:8" ht="15.75" x14ac:dyDescent="0.25">
      <c r="C19" s="179" t="s">
        <v>53</v>
      </c>
      <c r="D19" s="180">
        <f>330*D12/1000</f>
        <v>330</v>
      </c>
      <c r="E19" s="181">
        <v>0</v>
      </c>
      <c r="F19" s="182">
        <f t="shared" ref="F19:F20" si="0">D19*E19</f>
        <v>0</v>
      </c>
      <c r="G19" s="185">
        <v>0</v>
      </c>
      <c r="H19" s="186">
        <f>$F$12*G19*Standardwerte!$F$4/100</f>
        <v>0</v>
      </c>
    </row>
    <row r="20" spans="3:8" ht="15.75" x14ac:dyDescent="0.25">
      <c r="C20" s="179" t="s">
        <v>63</v>
      </c>
      <c r="D20" s="180">
        <f>100*D12/1000</f>
        <v>100</v>
      </c>
      <c r="E20" s="181">
        <v>95</v>
      </c>
      <c r="F20" s="182">
        <f t="shared" si="0"/>
        <v>9500</v>
      </c>
      <c r="G20" s="185">
        <v>0</v>
      </c>
      <c r="H20" s="186">
        <f>$F$12*G20*Standardwerte!$F$4/100</f>
        <v>0</v>
      </c>
    </row>
    <row r="21" spans="3:8" ht="15.75" x14ac:dyDescent="0.25">
      <c r="C21" s="179" t="s">
        <v>54</v>
      </c>
      <c r="D21" s="180"/>
      <c r="E21" s="181"/>
      <c r="F21" s="182"/>
      <c r="G21" s="183"/>
      <c r="H21" s="184"/>
    </row>
    <row r="22" spans="3:8" ht="15.75" x14ac:dyDescent="0.25">
      <c r="C22" s="179" t="s">
        <v>55</v>
      </c>
      <c r="D22" s="180"/>
      <c r="E22" s="181"/>
      <c r="F22" s="182"/>
      <c r="G22" s="183"/>
      <c r="H22" s="184"/>
    </row>
    <row r="23" spans="3:8" ht="15.75" x14ac:dyDescent="0.25">
      <c r="C23" s="187" t="s">
        <v>85</v>
      </c>
      <c r="D23" s="180"/>
      <c r="E23" s="181">
        <f>13000+2000*D12/1000</f>
        <v>15000</v>
      </c>
      <c r="F23" s="182">
        <f>E23</f>
        <v>15000</v>
      </c>
      <c r="G23" s="185">
        <f>(Standardwerte!$C$30-Dateneingabe!$F$11)/Dateneingabe!$F$11</f>
        <v>-0.10000000000000003</v>
      </c>
      <c r="H23" s="188">
        <f>H12*G23</f>
        <v>-1800.0000000000007</v>
      </c>
    </row>
    <row r="24" spans="3:8" ht="15.75" x14ac:dyDescent="0.25">
      <c r="C24" s="189" t="s">
        <v>56</v>
      </c>
      <c r="D24" s="190"/>
      <c r="E24" s="191"/>
      <c r="F24" s="192">
        <f>SUM(F16:F23)</f>
        <v>102100</v>
      </c>
      <c r="G24" s="193">
        <f>SUM(G17:G23)</f>
        <v>-0.10000000000000003</v>
      </c>
      <c r="H24" s="194">
        <f>SUM(H17:H23)</f>
        <v>-1800.0000000000007</v>
      </c>
    </row>
    <row r="25" spans="3:8" ht="15.75" x14ac:dyDescent="0.25">
      <c r="C25" s="195"/>
      <c r="D25" s="196"/>
      <c r="E25" s="195"/>
      <c r="F25" s="197"/>
      <c r="G25" s="198"/>
      <c r="H25" s="196"/>
    </row>
    <row r="26" spans="3:8" ht="16.5" thickBot="1" x14ac:dyDescent="0.3">
      <c r="C26" s="643" t="s">
        <v>95</v>
      </c>
      <c r="D26" s="644"/>
      <c r="E26" s="644"/>
      <c r="F26" s="644"/>
      <c r="G26" s="644"/>
      <c r="H26" s="645"/>
    </row>
    <row r="27" spans="3:8" ht="32.450000000000003" customHeight="1" thickBot="1" x14ac:dyDescent="0.3">
      <c r="C27" s="167" t="s">
        <v>50</v>
      </c>
      <c r="D27" s="168" t="s">
        <v>66</v>
      </c>
      <c r="E27" s="168"/>
      <c r="F27" s="168" t="s">
        <v>71</v>
      </c>
      <c r="G27" s="168" t="s">
        <v>74</v>
      </c>
      <c r="H27" s="168" t="s">
        <v>68</v>
      </c>
    </row>
    <row r="28" spans="3:8" ht="15.75" x14ac:dyDescent="0.25">
      <c r="C28" s="199" t="s">
        <v>72</v>
      </c>
      <c r="D28" s="200"/>
      <c r="E28" s="200"/>
      <c r="F28" s="201">
        <f>F12*G24</f>
        <v>-1800.0000000000007</v>
      </c>
      <c r="G28" s="201"/>
      <c r="H28" s="202">
        <f>H12+H24</f>
        <v>16200</v>
      </c>
    </row>
    <row r="29" spans="3:8" ht="16.5" thickBot="1" x14ac:dyDescent="0.3">
      <c r="C29" s="203" t="s">
        <v>374</v>
      </c>
      <c r="D29" s="204">
        <f>Dateneingabe!$F$16</f>
        <v>1000</v>
      </c>
      <c r="E29" s="205"/>
      <c r="F29" s="206"/>
      <c r="G29" s="204">
        <f>D29*300/200</f>
        <v>1500</v>
      </c>
      <c r="H29" s="207">
        <f>G29*Dateneingabe!$F$12</f>
        <v>225</v>
      </c>
    </row>
    <row r="30" spans="3:8" ht="16.5" thickBot="1" x14ac:dyDescent="0.3">
      <c r="C30" s="208" t="s">
        <v>56</v>
      </c>
      <c r="D30" s="209"/>
      <c r="E30" s="209"/>
      <c r="F30" s="209"/>
      <c r="G30" s="210"/>
      <c r="H30" s="211">
        <f>SUM(H28:H29)</f>
        <v>16425</v>
      </c>
    </row>
    <row r="35" spans="3:8" ht="18.75" x14ac:dyDescent="0.3">
      <c r="C35" s="646" t="s">
        <v>375</v>
      </c>
      <c r="D35" s="647"/>
      <c r="E35" s="647"/>
      <c r="F35" s="647"/>
      <c r="G35" s="647"/>
      <c r="H35" s="648"/>
    </row>
    <row r="36" spans="3:8" x14ac:dyDescent="0.25">
      <c r="C36" s="649"/>
      <c r="D36" s="649"/>
      <c r="E36" s="649"/>
      <c r="F36" s="649"/>
      <c r="G36" s="649"/>
      <c r="H36" s="649"/>
    </row>
    <row r="37" spans="3:8" ht="15.75" x14ac:dyDescent="0.25">
      <c r="C37" s="156" t="s">
        <v>46</v>
      </c>
      <c r="D37" s="651" t="s">
        <v>377</v>
      </c>
      <c r="E37" s="651"/>
      <c r="F37" s="651"/>
      <c r="G37" s="651"/>
      <c r="H37" s="652"/>
    </row>
    <row r="38" spans="3:8" ht="15.75" x14ac:dyDescent="0.25">
      <c r="C38" s="157" t="s">
        <v>47</v>
      </c>
      <c r="D38" s="123" t="s">
        <v>48</v>
      </c>
      <c r="E38" s="123"/>
      <c r="F38" s="158">
        <f>Dateneingabe!$F$16</f>
        <v>1000</v>
      </c>
      <c r="G38" s="159" t="s">
        <v>49</v>
      </c>
      <c r="H38" s="160">
        <f>Dateneingabe!$F$14</f>
        <v>10</v>
      </c>
    </row>
    <row r="39" spans="3:8" ht="15.75" x14ac:dyDescent="0.25">
      <c r="C39" s="121"/>
      <c r="D39" s="123" t="s">
        <v>79</v>
      </c>
      <c r="E39" s="123"/>
      <c r="F39" s="158">
        <f>Dateneingabe!$F$10</f>
        <v>100</v>
      </c>
      <c r="G39" s="161" t="s">
        <v>8</v>
      </c>
      <c r="H39" s="128"/>
    </row>
    <row r="40" spans="3:8" ht="15.75" x14ac:dyDescent="0.25">
      <c r="C40" s="121"/>
      <c r="D40" s="123" t="s">
        <v>87</v>
      </c>
      <c r="E40" s="123"/>
      <c r="F40" s="162">
        <f>Dateneingabe!$F$11</f>
        <v>18</v>
      </c>
      <c r="G40" s="161" t="s">
        <v>15</v>
      </c>
      <c r="H40" s="128"/>
    </row>
    <row r="41" spans="3:8" ht="15.75" x14ac:dyDescent="0.25">
      <c r="C41" s="121"/>
      <c r="D41" s="123" t="s">
        <v>75</v>
      </c>
      <c r="E41" s="123"/>
      <c r="F41" s="162">
        <f>Standardwerte!$C$31</f>
        <v>4.8</v>
      </c>
      <c r="G41" s="161" t="s">
        <v>15</v>
      </c>
      <c r="H41" s="128"/>
    </row>
    <row r="42" spans="3:8" ht="15.75" x14ac:dyDescent="0.25">
      <c r="C42" s="145"/>
      <c r="D42" s="140" t="s">
        <v>372</v>
      </c>
      <c r="E42" s="140"/>
      <c r="F42" s="163">
        <f>Dateneingabe!$F$12</f>
        <v>0.15</v>
      </c>
      <c r="G42" s="164" t="s">
        <v>14</v>
      </c>
      <c r="H42" s="142"/>
    </row>
    <row r="43" spans="3:8" ht="15.75" x14ac:dyDescent="0.25">
      <c r="C43" s="131"/>
      <c r="D43" s="131"/>
      <c r="E43" s="131"/>
      <c r="F43" s="165"/>
      <c r="G43" s="166"/>
      <c r="H43" s="131"/>
    </row>
    <row r="44" spans="3:8" ht="16.5" thickBot="1" x14ac:dyDescent="0.3">
      <c r="C44" s="656" t="s">
        <v>73</v>
      </c>
      <c r="D44" s="657"/>
      <c r="E44" s="657"/>
      <c r="F44" s="657"/>
      <c r="G44" s="657"/>
      <c r="H44" s="658"/>
    </row>
    <row r="45" spans="3:8" ht="32.25" thickBot="1" x14ac:dyDescent="0.3">
      <c r="C45" s="167" t="s">
        <v>50</v>
      </c>
      <c r="D45" s="168" t="s">
        <v>66</v>
      </c>
      <c r="E45" s="168" t="s">
        <v>69</v>
      </c>
      <c r="F45" s="168" t="s">
        <v>70</v>
      </c>
      <c r="G45" s="168"/>
      <c r="H45" s="168" t="s">
        <v>68</v>
      </c>
    </row>
    <row r="46" spans="3:8" ht="15.75" x14ac:dyDescent="0.25">
      <c r="C46" s="169" t="s">
        <v>72</v>
      </c>
      <c r="D46" s="170">
        <f>Dateneingabe!$F$16</f>
        <v>1000</v>
      </c>
      <c r="E46" s="171">
        <f>Dateneingabe!$F$11</f>
        <v>18</v>
      </c>
      <c r="F46" s="172">
        <f>D46*E46</f>
        <v>18000</v>
      </c>
      <c r="G46" s="173"/>
      <c r="H46" s="174">
        <f>F46*Dateneingabe!$F$10/100</f>
        <v>18000</v>
      </c>
    </row>
    <row r="47" spans="3:8" ht="15.75" x14ac:dyDescent="0.25">
      <c r="C47" s="175"/>
      <c r="D47" s="176"/>
      <c r="E47" s="175"/>
      <c r="F47" s="177"/>
      <c r="G47" s="178"/>
      <c r="H47" s="176"/>
    </row>
    <row r="48" spans="3:8" ht="16.5" thickBot="1" x14ac:dyDescent="0.3">
      <c r="C48" s="640" t="s">
        <v>64</v>
      </c>
      <c r="D48" s="641"/>
      <c r="E48" s="641"/>
      <c r="F48" s="641"/>
      <c r="G48" s="641"/>
      <c r="H48" s="642"/>
    </row>
    <row r="49" spans="3:8" ht="32.450000000000003" customHeight="1" thickBot="1" x14ac:dyDescent="0.3">
      <c r="C49" s="167" t="s">
        <v>50</v>
      </c>
      <c r="D49" s="168" t="s">
        <v>66</v>
      </c>
      <c r="E49" s="168" t="s">
        <v>65</v>
      </c>
      <c r="F49" s="168" t="s">
        <v>373</v>
      </c>
      <c r="G49" s="168" t="s">
        <v>583</v>
      </c>
      <c r="H49" s="168" t="s">
        <v>67</v>
      </c>
    </row>
    <row r="50" spans="3:8" ht="15.75" x14ac:dyDescent="0.25">
      <c r="C50" s="179" t="s">
        <v>51</v>
      </c>
      <c r="D50" s="180"/>
      <c r="E50" s="181"/>
      <c r="F50" s="182">
        <f>40000*D46/1000</f>
        <v>40000</v>
      </c>
      <c r="G50" s="183"/>
      <c r="H50" s="184"/>
    </row>
    <row r="51" spans="3:8" ht="15.75" x14ac:dyDescent="0.25">
      <c r="C51" s="179" t="s">
        <v>52</v>
      </c>
      <c r="D51" s="180">
        <f>330*D46/1000</f>
        <v>330</v>
      </c>
      <c r="E51" s="181">
        <v>95</v>
      </c>
      <c r="F51" s="182">
        <f>D51*E51</f>
        <v>31350</v>
      </c>
      <c r="G51" s="212">
        <v>-0.18</v>
      </c>
      <c r="H51" s="186">
        <f>$H$46*G51</f>
        <v>-3240</v>
      </c>
    </row>
    <row r="52" spans="3:8" ht="15.75" x14ac:dyDescent="0.25">
      <c r="C52" s="179" t="s">
        <v>76</v>
      </c>
      <c r="D52" s="180">
        <f>800*D46/1000</f>
        <v>800</v>
      </c>
      <c r="E52" s="181">
        <v>215</v>
      </c>
      <c r="F52" s="182">
        <f>D52*E52</f>
        <v>172000</v>
      </c>
      <c r="G52" s="212">
        <v>-0.36499999999999999</v>
      </c>
      <c r="H52" s="186">
        <f t="shared" ref="H52:H55" si="1">$H$46*G52</f>
        <v>-6570</v>
      </c>
    </row>
    <row r="53" spans="3:8" ht="15.75" x14ac:dyDescent="0.25">
      <c r="C53" s="179" t="s">
        <v>53</v>
      </c>
      <c r="D53" s="180">
        <f>330*D46/1000</f>
        <v>330</v>
      </c>
      <c r="E53" s="181">
        <v>85</v>
      </c>
      <c r="F53" s="182">
        <f t="shared" ref="F53:F54" si="2">D53*E53</f>
        <v>28050</v>
      </c>
      <c r="G53" s="212">
        <v>-0.12</v>
      </c>
      <c r="H53" s="186">
        <f t="shared" si="1"/>
        <v>-2160</v>
      </c>
    </row>
    <row r="54" spans="3:8" ht="15.75" x14ac:dyDescent="0.25">
      <c r="C54" s="179" t="s">
        <v>77</v>
      </c>
      <c r="D54" s="180">
        <f>100*D46/1000</f>
        <v>100</v>
      </c>
      <c r="E54" s="181">
        <v>720</v>
      </c>
      <c r="F54" s="182">
        <f t="shared" si="2"/>
        <v>72000</v>
      </c>
      <c r="G54" s="212">
        <v>-0.06</v>
      </c>
      <c r="H54" s="186">
        <f t="shared" si="1"/>
        <v>-1080</v>
      </c>
    </row>
    <row r="55" spans="3:8" ht="15.75" x14ac:dyDescent="0.25">
      <c r="C55" s="213" t="s">
        <v>78</v>
      </c>
      <c r="D55" s="180"/>
      <c r="E55" s="181"/>
      <c r="F55" s="214">
        <f>SUM(F50:F54)</f>
        <v>343400</v>
      </c>
      <c r="G55" s="215">
        <f>SUM(G51:G54)</f>
        <v>-0.72499999999999987</v>
      </c>
      <c r="H55" s="174">
        <f t="shared" si="1"/>
        <v>-13049.999999999998</v>
      </c>
    </row>
    <row r="56" spans="3:8" ht="15.75" x14ac:dyDescent="0.25">
      <c r="C56" s="179" t="s">
        <v>54</v>
      </c>
      <c r="D56" s="180"/>
      <c r="E56" s="181"/>
      <c r="F56" s="214"/>
      <c r="G56" s="215"/>
      <c r="H56" s="174"/>
    </row>
    <row r="57" spans="3:8" ht="15.75" x14ac:dyDescent="0.25">
      <c r="C57" s="179" t="s">
        <v>55</v>
      </c>
      <c r="D57" s="180"/>
      <c r="E57" s="181"/>
      <c r="F57" s="214"/>
      <c r="G57" s="215"/>
      <c r="H57" s="174"/>
    </row>
    <row r="58" spans="3:8" ht="15.75" x14ac:dyDescent="0.25">
      <c r="C58" s="187" t="s">
        <v>85</v>
      </c>
      <c r="D58" s="180"/>
      <c r="E58" s="181">
        <f>13000+2000*D46/1000</f>
        <v>15000</v>
      </c>
      <c r="F58" s="182">
        <f>E58</f>
        <v>15000</v>
      </c>
      <c r="G58" s="185">
        <f>(1+G55)*G23</f>
        <v>-2.7500000000000021E-2</v>
      </c>
      <c r="H58" s="188">
        <f>H46*G58</f>
        <v>-495.0000000000004</v>
      </c>
    </row>
    <row r="59" spans="3:8" ht="15.75" x14ac:dyDescent="0.25">
      <c r="C59" s="189" t="s">
        <v>56</v>
      </c>
      <c r="D59" s="190"/>
      <c r="E59" s="191"/>
      <c r="F59" s="192">
        <f>SUM(F55:F58)</f>
        <v>358400</v>
      </c>
      <c r="G59" s="193">
        <f>SUM(G55:G58)</f>
        <v>-0.75249999999999984</v>
      </c>
      <c r="H59" s="194">
        <f>SUM(H55:H58)</f>
        <v>-13544.999999999998</v>
      </c>
    </row>
    <row r="60" spans="3:8" ht="15.75" x14ac:dyDescent="0.25">
      <c r="C60" s="195"/>
      <c r="D60" s="196"/>
      <c r="E60" s="195"/>
      <c r="F60" s="197"/>
      <c r="G60" s="198"/>
      <c r="H60" s="196"/>
    </row>
    <row r="61" spans="3:8" ht="16.5" thickBot="1" x14ac:dyDescent="0.3">
      <c r="C61" s="643" t="s">
        <v>95</v>
      </c>
      <c r="D61" s="644"/>
      <c r="E61" s="644"/>
      <c r="F61" s="644"/>
      <c r="G61" s="644"/>
      <c r="H61" s="645"/>
    </row>
    <row r="62" spans="3:8" ht="32.450000000000003" customHeight="1" thickBot="1" x14ac:dyDescent="0.3">
      <c r="C62" s="167" t="s">
        <v>50</v>
      </c>
      <c r="D62" s="168" t="s">
        <v>66</v>
      </c>
      <c r="E62" s="168"/>
      <c r="F62" s="168" t="s">
        <v>71</v>
      </c>
      <c r="G62" s="168" t="s">
        <v>74</v>
      </c>
      <c r="H62" s="168" t="s">
        <v>68</v>
      </c>
    </row>
    <row r="63" spans="3:8" ht="15.75" x14ac:dyDescent="0.25">
      <c r="C63" s="199" t="s">
        <v>72</v>
      </c>
      <c r="D63" s="200"/>
      <c r="E63" s="200"/>
      <c r="F63" s="201">
        <f>F46*G59</f>
        <v>-13544.999999999996</v>
      </c>
      <c r="G63" s="201"/>
      <c r="H63" s="202">
        <f>H46+H59</f>
        <v>4455.0000000000018</v>
      </c>
    </row>
    <row r="64" spans="3:8" ht="16.5" thickBot="1" x14ac:dyDescent="0.3">
      <c r="C64" s="203" t="s">
        <v>374</v>
      </c>
      <c r="D64" s="204">
        <f>Dateneingabe!$F$16</f>
        <v>1000</v>
      </c>
      <c r="E64" s="205"/>
      <c r="F64" s="206"/>
      <c r="G64" s="204">
        <f>D64*300/200</f>
        <v>1500</v>
      </c>
      <c r="H64" s="207">
        <f>G64*Dateneingabe!$F$12</f>
        <v>225</v>
      </c>
    </row>
    <row r="65" spans="3:8" ht="16.5" thickBot="1" x14ac:dyDescent="0.3">
      <c r="C65" s="208" t="s">
        <v>56</v>
      </c>
      <c r="D65" s="209"/>
      <c r="E65" s="209"/>
      <c r="F65" s="209"/>
      <c r="G65" s="210"/>
      <c r="H65" s="211">
        <f>SUM(H63:H64)</f>
        <v>4680.0000000000018</v>
      </c>
    </row>
    <row r="70" spans="3:8" ht="18.75" x14ac:dyDescent="0.3">
      <c r="C70" s="646" t="s">
        <v>376</v>
      </c>
      <c r="D70" s="647"/>
      <c r="E70" s="647"/>
      <c r="F70" s="647"/>
      <c r="G70" s="647"/>
      <c r="H70" s="648"/>
    </row>
    <row r="71" spans="3:8" x14ac:dyDescent="0.25">
      <c r="C71" s="649"/>
      <c r="D71" s="649"/>
      <c r="E71" s="649"/>
      <c r="F71" s="649"/>
      <c r="G71" s="649"/>
      <c r="H71" s="649"/>
    </row>
    <row r="72" spans="3:8" ht="15.75" x14ac:dyDescent="0.25">
      <c r="C72" s="156" t="s">
        <v>46</v>
      </c>
      <c r="D72" s="651" t="s">
        <v>378</v>
      </c>
      <c r="E72" s="651"/>
      <c r="F72" s="651"/>
      <c r="G72" s="651"/>
      <c r="H72" s="652"/>
    </row>
    <row r="73" spans="3:8" ht="15.75" x14ac:dyDescent="0.25">
      <c r="C73" s="157" t="s">
        <v>47</v>
      </c>
      <c r="D73" s="123" t="s">
        <v>48</v>
      </c>
      <c r="E73" s="123"/>
      <c r="F73" s="158">
        <f>Dateneingabe!$F$16</f>
        <v>1000</v>
      </c>
      <c r="G73" s="159" t="s">
        <v>49</v>
      </c>
      <c r="H73" s="160">
        <f>Dateneingabe!$F$14</f>
        <v>10</v>
      </c>
    </row>
    <row r="74" spans="3:8" ht="15.75" x14ac:dyDescent="0.25">
      <c r="C74" s="121"/>
      <c r="D74" s="123" t="s">
        <v>79</v>
      </c>
      <c r="E74" s="123"/>
      <c r="F74" s="158">
        <f>Dateneingabe!$F$10</f>
        <v>100</v>
      </c>
      <c r="G74" s="161" t="s">
        <v>8</v>
      </c>
      <c r="H74" s="128"/>
    </row>
    <row r="75" spans="3:8" ht="15.75" x14ac:dyDescent="0.25">
      <c r="C75" s="121"/>
      <c r="D75" s="123" t="s">
        <v>87</v>
      </c>
      <c r="E75" s="123"/>
      <c r="F75" s="162">
        <f>Dateneingabe!$F$11</f>
        <v>18</v>
      </c>
      <c r="G75" s="161" t="s">
        <v>15</v>
      </c>
      <c r="H75" s="128"/>
    </row>
    <row r="76" spans="3:8" ht="15.75" x14ac:dyDescent="0.25">
      <c r="C76" s="121"/>
      <c r="D76" s="123" t="s">
        <v>274</v>
      </c>
      <c r="E76" s="123"/>
      <c r="F76" s="162">
        <f>Standardwerte!$C$32</f>
        <v>3.8</v>
      </c>
      <c r="G76" s="161" t="s">
        <v>15</v>
      </c>
      <c r="H76" s="128"/>
    </row>
    <row r="77" spans="3:8" ht="15.75" x14ac:dyDescent="0.25">
      <c r="C77" s="145"/>
      <c r="D77" s="140" t="s">
        <v>372</v>
      </c>
      <c r="E77" s="140"/>
      <c r="F77" s="163">
        <f>Dateneingabe!$F$12</f>
        <v>0.15</v>
      </c>
      <c r="G77" s="164" t="s">
        <v>14</v>
      </c>
      <c r="H77" s="142"/>
    </row>
    <row r="78" spans="3:8" ht="15.75" x14ac:dyDescent="0.25">
      <c r="C78" s="131"/>
      <c r="D78" s="131"/>
      <c r="E78" s="131"/>
      <c r="F78" s="165"/>
      <c r="G78" s="166"/>
      <c r="H78" s="131"/>
    </row>
    <row r="79" spans="3:8" ht="16.5" thickBot="1" x14ac:dyDescent="0.3">
      <c r="C79" s="656" t="s">
        <v>73</v>
      </c>
      <c r="D79" s="657"/>
      <c r="E79" s="657"/>
      <c r="F79" s="657"/>
      <c r="G79" s="657"/>
      <c r="H79" s="658"/>
    </row>
    <row r="80" spans="3:8" ht="32.25" thickBot="1" x14ac:dyDescent="0.3">
      <c r="C80" s="167" t="s">
        <v>50</v>
      </c>
      <c r="D80" s="168" t="s">
        <v>66</v>
      </c>
      <c r="E80" s="168" t="s">
        <v>69</v>
      </c>
      <c r="F80" s="168" t="s">
        <v>70</v>
      </c>
      <c r="G80" s="168"/>
      <c r="H80" s="168" t="s">
        <v>68</v>
      </c>
    </row>
    <row r="81" spans="3:8" ht="15.75" x14ac:dyDescent="0.25">
      <c r="C81" s="169" t="s">
        <v>72</v>
      </c>
      <c r="D81" s="170">
        <f>Dateneingabe!$F$16</f>
        <v>1000</v>
      </c>
      <c r="E81" s="217">
        <f>Dateneingabe!$F$11</f>
        <v>18</v>
      </c>
      <c r="F81" s="172">
        <f>D81*E81</f>
        <v>18000</v>
      </c>
      <c r="G81" s="173"/>
      <c r="H81" s="174">
        <f>F81*Dateneingabe!$F$10/100</f>
        <v>18000</v>
      </c>
    </row>
    <row r="82" spans="3:8" ht="15.75" x14ac:dyDescent="0.25">
      <c r="C82" s="175"/>
      <c r="D82" s="176"/>
      <c r="E82" s="175"/>
      <c r="F82" s="177"/>
      <c r="G82" s="178"/>
      <c r="H82" s="176"/>
    </row>
    <row r="83" spans="3:8" ht="16.5" thickBot="1" x14ac:dyDescent="0.3">
      <c r="C83" s="640" t="s">
        <v>64</v>
      </c>
      <c r="D83" s="641"/>
      <c r="E83" s="641"/>
      <c r="F83" s="641"/>
      <c r="G83" s="641"/>
      <c r="H83" s="642"/>
    </row>
    <row r="84" spans="3:8" ht="32.450000000000003" customHeight="1" thickBot="1" x14ac:dyDescent="0.3">
      <c r="C84" s="167" t="s">
        <v>50</v>
      </c>
      <c r="D84" s="168" t="s">
        <v>66</v>
      </c>
      <c r="E84" s="168" t="s">
        <v>65</v>
      </c>
      <c r="F84" s="168" t="s">
        <v>373</v>
      </c>
      <c r="G84" s="168" t="s">
        <v>583</v>
      </c>
      <c r="H84" s="168" t="s">
        <v>67</v>
      </c>
    </row>
    <row r="85" spans="3:8" ht="15.75" x14ac:dyDescent="0.25">
      <c r="C85" s="179" t="s">
        <v>51</v>
      </c>
      <c r="D85" s="180"/>
      <c r="E85" s="181"/>
      <c r="F85" s="182">
        <f>60000*D81/1000</f>
        <v>60000</v>
      </c>
      <c r="G85" s="183"/>
      <c r="H85" s="184"/>
    </row>
    <row r="86" spans="3:8" ht="15.75" x14ac:dyDescent="0.25">
      <c r="C86" s="179" t="s">
        <v>52</v>
      </c>
      <c r="D86" s="180">
        <f>330*D81/1000</f>
        <v>330</v>
      </c>
      <c r="E86" s="181">
        <v>95</v>
      </c>
      <c r="F86" s="182">
        <f>D86*E86</f>
        <v>31350</v>
      </c>
      <c r="G86" s="212">
        <v>-0.17</v>
      </c>
      <c r="H86" s="186">
        <f>$H$81*G86</f>
        <v>-3060</v>
      </c>
    </row>
    <row r="87" spans="3:8" ht="15.75" x14ac:dyDescent="0.25">
      <c r="C87" s="179" t="s">
        <v>76</v>
      </c>
      <c r="D87" s="180">
        <f>800*D81/1000</f>
        <v>800</v>
      </c>
      <c r="E87" s="181">
        <v>215</v>
      </c>
      <c r="F87" s="182">
        <f>D87*E87</f>
        <v>172000</v>
      </c>
      <c r="G87" s="212">
        <v>-0.35</v>
      </c>
      <c r="H87" s="186">
        <f t="shared" ref="H87:H89" si="3">$H$81*G87</f>
        <v>-6300</v>
      </c>
    </row>
    <row r="88" spans="3:8" ht="15.75" x14ac:dyDescent="0.25">
      <c r="C88" s="179" t="s">
        <v>53</v>
      </c>
      <c r="D88" s="180">
        <f>330*D81/1000</f>
        <v>330</v>
      </c>
      <c r="E88" s="181">
        <v>85</v>
      </c>
      <c r="F88" s="182">
        <f t="shared" ref="F88:F91" si="4">D88*E88</f>
        <v>28050</v>
      </c>
      <c r="G88" s="212">
        <v>-0.12</v>
      </c>
      <c r="H88" s="186">
        <f t="shared" si="3"/>
        <v>-2160</v>
      </c>
    </row>
    <row r="89" spans="3:8" ht="15.75" x14ac:dyDescent="0.25">
      <c r="C89" s="179" t="s">
        <v>77</v>
      </c>
      <c r="D89" s="180">
        <f>100*D81/1000</f>
        <v>100</v>
      </c>
      <c r="E89" s="181">
        <v>720</v>
      </c>
      <c r="F89" s="182">
        <f t="shared" si="4"/>
        <v>72000</v>
      </c>
      <c r="G89" s="212">
        <v>-0.05</v>
      </c>
      <c r="H89" s="186">
        <f t="shared" si="3"/>
        <v>-900</v>
      </c>
    </row>
    <row r="90" spans="3:8" ht="15.75" x14ac:dyDescent="0.25">
      <c r="C90" s="213" t="s">
        <v>78</v>
      </c>
      <c r="D90" s="180"/>
      <c r="E90" s="181"/>
      <c r="F90" s="214">
        <f>SUM(F85:F89)</f>
        <v>363400</v>
      </c>
      <c r="G90" s="218">
        <f>SUM(G86:G89)</f>
        <v>-0.69000000000000006</v>
      </c>
      <c r="H90" s="174">
        <f>SUM(H86:H89)</f>
        <v>-12420</v>
      </c>
    </row>
    <row r="91" spans="3:8" ht="15.75" x14ac:dyDescent="0.25">
      <c r="C91" s="179" t="s">
        <v>80</v>
      </c>
      <c r="D91" s="180">
        <f>10*D81/1000</f>
        <v>10</v>
      </c>
      <c r="E91" s="181">
        <v>10000</v>
      </c>
      <c r="F91" s="182">
        <f t="shared" si="4"/>
        <v>100000</v>
      </c>
      <c r="G91" s="183">
        <f>-(1+G90)*0.32</f>
        <v>-9.9199999999999983E-2</v>
      </c>
      <c r="H91" s="186">
        <f>H81*G91</f>
        <v>-1785.5999999999997</v>
      </c>
    </row>
    <row r="92" spans="3:8" ht="15.75" x14ac:dyDescent="0.25">
      <c r="C92" s="179" t="s">
        <v>55</v>
      </c>
      <c r="D92" s="180"/>
      <c r="E92" s="181"/>
      <c r="F92" s="182"/>
      <c r="G92" s="183"/>
      <c r="H92" s="186">
        <f t="shared" ref="H92" si="5">H82*G92</f>
        <v>0</v>
      </c>
    </row>
    <row r="93" spans="3:8" ht="15.75" x14ac:dyDescent="0.25">
      <c r="C93" s="179" t="s">
        <v>81</v>
      </c>
      <c r="D93" s="180">
        <v>1</v>
      </c>
      <c r="E93" s="181">
        <f>23000+27000*D81/1000</f>
        <v>50000</v>
      </c>
      <c r="F93" s="182">
        <f>E93</f>
        <v>50000</v>
      </c>
      <c r="G93" s="215">
        <f>-(1+G90+G91)</f>
        <v>-0.21079999999999996</v>
      </c>
      <c r="H93" s="186">
        <f>H81*G93</f>
        <v>-3794.3999999999992</v>
      </c>
    </row>
    <row r="94" spans="3:8" ht="15.75" x14ac:dyDescent="0.25">
      <c r="C94" s="189" t="s">
        <v>56</v>
      </c>
      <c r="D94" s="190"/>
      <c r="E94" s="191"/>
      <c r="F94" s="192">
        <f>SUM(F90:F93)</f>
        <v>513400</v>
      </c>
      <c r="G94" s="193">
        <f>SUM(G90:G93)</f>
        <v>-1</v>
      </c>
      <c r="H94" s="194">
        <f>SUM(H90:H93)</f>
        <v>-18000</v>
      </c>
    </row>
    <row r="95" spans="3:8" ht="15.75" x14ac:dyDescent="0.25">
      <c r="C95" s="195"/>
      <c r="D95" s="196"/>
      <c r="E95" s="195"/>
      <c r="F95" s="197"/>
      <c r="G95" s="198"/>
      <c r="H95" s="196"/>
    </row>
    <row r="96" spans="3:8" ht="16.5" thickBot="1" x14ac:dyDescent="0.3">
      <c r="C96" s="643" t="s">
        <v>95</v>
      </c>
      <c r="D96" s="644"/>
      <c r="E96" s="644"/>
      <c r="F96" s="644"/>
      <c r="G96" s="644"/>
      <c r="H96" s="645"/>
    </row>
    <row r="97" spans="3:8" ht="32.450000000000003" customHeight="1" thickBot="1" x14ac:dyDescent="0.3">
      <c r="C97" s="167" t="s">
        <v>50</v>
      </c>
      <c r="D97" s="168" t="s">
        <v>66</v>
      </c>
      <c r="E97" s="168"/>
      <c r="F97" s="168" t="s">
        <v>71</v>
      </c>
      <c r="G97" s="168" t="s">
        <v>74</v>
      </c>
      <c r="H97" s="168" t="s">
        <v>68</v>
      </c>
    </row>
    <row r="98" spans="3:8" ht="15.75" x14ac:dyDescent="0.25">
      <c r="C98" s="199" t="s">
        <v>72</v>
      </c>
      <c r="D98" s="200"/>
      <c r="E98" s="200"/>
      <c r="F98" s="201">
        <f>F81*G94</f>
        <v>-18000</v>
      </c>
      <c r="G98" s="201"/>
      <c r="H98" s="202">
        <f>H81+H94</f>
        <v>0</v>
      </c>
    </row>
    <row r="99" spans="3:8" ht="15.75" x14ac:dyDescent="0.25">
      <c r="C99" s="219" t="s">
        <v>374</v>
      </c>
      <c r="D99" s="220">
        <f>Dateneingabe!$F$16</f>
        <v>1000</v>
      </c>
      <c r="E99" s="221"/>
      <c r="F99" s="222"/>
      <c r="G99" s="220">
        <f>D99*300/200</f>
        <v>1500</v>
      </c>
      <c r="H99" s="223">
        <f>G99*Dateneingabe!$F$12</f>
        <v>225</v>
      </c>
    </row>
    <row r="100" spans="3:8" s="16" customFormat="1" ht="15.75" x14ac:dyDescent="0.25">
      <c r="C100" s="219" t="s">
        <v>347</v>
      </c>
      <c r="D100" s="220">
        <f>Dateneingabe!$F$16</f>
        <v>1000</v>
      </c>
      <c r="E100" s="221"/>
      <c r="F100" s="222"/>
      <c r="G100" s="220">
        <f>D100*200/200</f>
        <v>1000</v>
      </c>
      <c r="H100" s="223">
        <f>G100*Dateneingabe!$F$12</f>
        <v>150</v>
      </c>
    </row>
    <row r="101" spans="3:8" ht="16.5" thickBot="1" x14ac:dyDescent="0.3">
      <c r="C101" s="203" t="s">
        <v>346</v>
      </c>
      <c r="D101" s="204"/>
      <c r="E101" s="205"/>
      <c r="F101" s="206"/>
      <c r="G101" s="204">
        <f>-F81*G93*Standardwerte!$D$39/Standardwerte!$F$13</f>
        <v>10841.142857142855</v>
      </c>
      <c r="H101" s="223">
        <f>G101*Dateneingabe!$F$12</f>
        <v>1626.1714285714281</v>
      </c>
    </row>
    <row r="102" spans="3:8" ht="16.5" thickBot="1" x14ac:dyDescent="0.3">
      <c r="C102" s="208" t="s">
        <v>56</v>
      </c>
      <c r="D102" s="209"/>
      <c r="E102" s="209"/>
      <c r="F102" s="209"/>
      <c r="G102" s="210"/>
      <c r="H102" s="211">
        <f>SUM(H98:H101)</f>
        <v>2001.1714285714281</v>
      </c>
    </row>
    <row r="107" spans="3:8" ht="18.75" x14ac:dyDescent="0.3">
      <c r="C107" s="646" t="s">
        <v>379</v>
      </c>
      <c r="D107" s="647"/>
      <c r="E107" s="647"/>
      <c r="F107" s="647"/>
      <c r="G107" s="647"/>
      <c r="H107" s="648"/>
    </row>
    <row r="108" spans="3:8" x14ac:dyDescent="0.25">
      <c r="C108" s="649"/>
      <c r="D108" s="649"/>
      <c r="E108" s="649"/>
      <c r="F108" s="649"/>
      <c r="G108" s="649"/>
      <c r="H108" s="649"/>
    </row>
    <row r="109" spans="3:8" ht="15.75" x14ac:dyDescent="0.25">
      <c r="C109" s="156" t="s">
        <v>46</v>
      </c>
      <c r="D109" s="651" t="s">
        <v>380</v>
      </c>
      <c r="E109" s="651"/>
      <c r="F109" s="651"/>
      <c r="G109" s="651"/>
      <c r="H109" s="652"/>
    </row>
    <row r="110" spans="3:8" ht="15.75" x14ac:dyDescent="0.25">
      <c r="C110" s="157" t="s">
        <v>47</v>
      </c>
      <c r="D110" s="123" t="s">
        <v>48</v>
      </c>
      <c r="E110" s="123"/>
      <c r="F110" s="158">
        <f>Dateneingabe!$F$16</f>
        <v>1000</v>
      </c>
      <c r="G110" s="159" t="s">
        <v>49</v>
      </c>
      <c r="H110" s="160">
        <f>Dateneingabe!$F$14</f>
        <v>10</v>
      </c>
    </row>
    <row r="111" spans="3:8" ht="15.75" x14ac:dyDescent="0.25">
      <c r="C111" s="121"/>
      <c r="D111" s="123" t="s">
        <v>79</v>
      </c>
      <c r="E111" s="123"/>
      <c r="F111" s="158">
        <f>Dateneingabe!$F$10</f>
        <v>100</v>
      </c>
      <c r="G111" s="161" t="s">
        <v>8</v>
      </c>
      <c r="H111" s="128"/>
    </row>
    <row r="112" spans="3:8" ht="15.75" x14ac:dyDescent="0.25">
      <c r="C112" s="121"/>
      <c r="D112" s="123" t="s">
        <v>87</v>
      </c>
      <c r="E112" s="123"/>
      <c r="F112" s="162">
        <f>Dateneingabe!$F$11</f>
        <v>18</v>
      </c>
      <c r="G112" s="161" t="s">
        <v>15</v>
      </c>
      <c r="H112" s="128"/>
    </row>
    <row r="113" spans="3:8" ht="15.75" x14ac:dyDescent="0.25">
      <c r="C113" s="121"/>
      <c r="D113" s="123" t="s">
        <v>274</v>
      </c>
      <c r="E113" s="123"/>
      <c r="F113" s="162">
        <f>Standardwerte!$C$33</f>
        <v>3</v>
      </c>
      <c r="G113" s="161" t="s">
        <v>15</v>
      </c>
      <c r="H113" s="128"/>
    </row>
    <row r="114" spans="3:8" ht="15.75" x14ac:dyDescent="0.25">
      <c r="C114" s="145"/>
      <c r="D114" s="140" t="s">
        <v>372</v>
      </c>
      <c r="E114" s="140"/>
      <c r="F114" s="163">
        <f>Dateneingabe!$F$12</f>
        <v>0.15</v>
      </c>
      <c r="G114" s="164" t="s">
        <v>14</v>
      </c>
      <c r="H114" s="142" t="s">
        <v>86</v>
      </c>
    </row>
    <row r="115" spans="3:8" ht="15.75" x14ac:dyDescent="0.25">
      <c r="C115" s="131"/>
      <c r="D115" s="131"/>
      <c r="E115" s="131"/>
      <c r="F115" s="165"/>
      <c r="G115" s="166"/>
      <c r="H115" s="131"/>
    </row>
    <row r="116" spans="3:8" ht="16.5" thickBot="1" x14ac:dyDescent="0.3">
      <c r="C116" s="656" t="s">
        <v>73</v>
      </c>
      <c r="D116" s="657"/>
      <c r="E116" s="657"/>
      <c r="F116" s="657"/>
      <c r="G116" s="657"/>
      <c r="H116" s="658"/>
    </row>
    <row r="117" spans="3:8" ht="32.25" thickBot="1" x14ac:dyDescent="0.3">
      <c r="C117" s="167" t="s">
        <v>50</v>
      </c>
      <c r="D117" s="168" t="s">
        <v>66</v>
      </c>
      <c r="E117" s="168" t="s">
        <v>69</v>
      </c>
      <c r="F117" s="168" t="s">
        <v>70</v>
      </c>
      <c r="G117" s="168"/>
      <c r="H117" s="168" t="s">
        <v>68</v>
      </c>
    </row>
    <row r="118" spans="3:8" ht="15.75" x14ac:dyDescent="0.25">
      <c r="C118" s="169" t="s">
        <v>72</v>
      </c>
      <c r="D118" s="170">
        <f>Dateneingabe!$F$16</f>
        <v>1000</v>
      </c>
      <c r="E118" s="171">
        <f>Dateneingabe!$F$11</f>
        <v>18</v>
      </c>
      <c r="F118" s="172">
        <f>D118*E118</f>
        <v>18000</v>
      </c>
      <c r="G118" s="173"/>
      <c r="H118" s="174">
        <f>F118*Dateneingabe!$F$10/100</f>
        <v>18000</v>
      </c>
    </row>
    <row r="119" spans="3:8" ht="15.75" x14ac:dyDescent="0.25">
      <c r="C119" s="175"/>
      <c r="D119" s="176"/>
      <c r="E119" s="175"/>
      <c r="F119" s="177"/>
      <c r="G119" s="178"/>
      <c r="H119" s="176"/>
    </row>
    <row r="120" spans="3:8" ht="16.5" thickBot="1" x14ac:dyDescent="0.3">
      <c r="C120" s="640" t="s">
        <v>64</v>
      </c>
      <c r="D120" s="641"/>
      <c r="E120" s="641"/>
      <c r="F120" s="641"/>
      <c r="G120" s="641"/>
      <c r="H120" s="642"/>
    </row>
    <row r="121" spans="3:8" ht="32.450000000000003" customHeight="1" thickBot="1" x14ac:dyDescent="0.3">
      <c r="C121" s="167" t="s">
        <v>50</v>
      </c>
      <c r="D121" s="168" t="s">
        <v>66</v>
      </c>
      <c r="E121" s="168" t="s">
        <v>65</v>
      </c>
      <c r="F121" s="168" t="s">
        <v>373</v>
      </c>
      <c r="G121" s="168" t="s">
        <v>583</v>
      </c>
      <c r="H121" s="168" t="s">
        <v>67</v>
      </c>
    </row>
    <row r="122" spans="3:8" ht="15.75" x14ac:dyDescent="0.25">
      <c r="C122" s="179" t="s">
        <v>51</v>
      </c>
      <c r="D122" s="180"/>
      <c r="E122" s="181"/>
      <c r="F122" s="182">
        <f>90000*D118/1000</f>
        <v>90000</v>
      </c>
      <c r="G122" s="183"/>
      <c r="H122" s="184"/>
    </row>
    <row r="123" spans="3:8" ht="15.75" x14ac:dyDescent="0.25">
      <c r="C123" s="179" t="s">
        <v>52</v>
      </c>
      <c r="D123" s="180">
        <f>330*D118/1000</f>
        <v>330</v>
      </c>
      <c r="E123" s="181">
        <v>120</v>
      </c>
      <c r="F123" s="182">
        <f>D123*E123</f>
        <v>39600</v>
      </c>
      <c r="G123" s="212">
        <v>-0.18</v>
      </c>
      <c r="H123" s="186">
        <f>$H$81*G123</f>
        <v>-3240</v>
      </c>
    </row>
    <row r="124" spans="3:8" ht="15.75" x14ac:dyDescent="0.25">
      <c r="C124" s="179" t="s">
        <v>76</v>
      </c>
      <c r="D124" s="180">
        <f>800*D118/1000</f>
        <v>800</v>
      </c>
      <c r="E124" s="181">
        <v>250</v>
      </c>
      <c r="F124" s="182">
        <f>D124*E124</f>
        <v>200000</v>
      </c>
      <c r="G124" s="212">
        <v>-0.36499999999999999</v>
      </c>
      <c r="H124" s="186">
        <f t="shared" ref="H124:H126" si="6">$H$81*G124</f>
        <v>-6570</v>
      </c>
    </row>
    <row r="125" spans="3:8" ht="15.75" x14ac:dyDescent="0.25">
      <c r="C125" s="179" t="s">
        <v>53</v>
      </c>
      <c r="D125" s="180">
        <f>330*D118/1000</f>
        <v>330</v>
      </c>
      <c r="E125" s="181">
        <v>100</v>
      </c>
      <c r="F125" s="182">
        <f t="shared" ref="F125:F126" si="7">D125*E125</f>
        <v>33000</v>
      </c>
      <c r="G125" s="212">
        <v>-0.12</v>
      </c>
      <c r="H125" s="186">
        <f t="shared" si="6"/>
        <v>-2160</v>
      </c>
    </row>
    <row r="126" spans="3:8" ht="15.75" x14ac:dyDescent="0.25">
      <c r="C126" s="179" t="s">
        <v>77</v>
      </c>
      <c r="D126" s="180">
        <f>100*D118/1000</f>
        <v>100</v>
      </c>
      <c r="E126" s="181">
        <v>800</v>
      </c>
      <c r="F126" s="182">
        <f t="shared" si="7"/>
        <v>80000</v>
      </c>
      <c r="G126" s="212">
        <v>-0.06</v>
      </c>
      <c r="H126" s="186">
        <f t="shared" si="6"/>
        <v>-1080</v>
      </c>
    </row>
    <row r="127" spans="3:8" ht="15.75" x14ac:dyDescent="0.25">
      <c r="C127" s="213" t="s">
        <v>78</v>
      </c>
      <c r="D127" s="180"/>
      <c r="E127" s="181"/>
      <c r="F127" s="214">
        <f>SUM(F122:F126)</f>
        <v>442600</v>
      </c>
      <c r="G127" s="218">
        <f>SUM(G123:G126)</f>
        <v>-0.72499999999999987</v>
      </c>
      <c r="H127" s="174">
        <f>SUM(H123:H126)</f>
        <v>-13050</v>
      </c>
    </row>
    <row r="128" spans="3:8" ht="15.75" x14ac:dyDescent="0.25">
      <c r="C128" s="179" t="s">
        <v>80</v>
      </c>
      <c r="D128" s="180">
        <f>10*D118/1000</f>
        <v>10</v>
      </c>
      <c r="E128" s="181">
        <v>10000</v>
      </c>
      <c r="F128" s="182">
        <f t="shared" ref="F128" si="8">D128*E128</f>
        <v>100000</v>
      </c>
      <c r="G128" s="183">
        <f>-(1+G127)*0.32</f>
        <v>-8.800000000000005E-2</v>
      </c>
      <c r="H128" s="186">
        <f>H118*G128</f>
        <v>-1584.0000000000009</v>
      </c>
    </row>
    <row r="129" spans="3:8" ht="15.75" x14ac:dyDescent="0.25">
      <c r="C129" s="179" t="s">
        <v>55</v>
      </c>
      <c r="D129" s="180">
        <v>1</v>
      </c>
      <c r="E129" s="181">
        <f>20000+20000*D118/1000</f>
        <v>40000</v>
      </c>
      <c r="F129" s="182">
        <f>E129</f>
        <v>40000</v>
      </c>
      <c r="G129" s="183">
        <v>-0.02</v>
      </c>
      <c r="H129" s="186">
        <f>H118*G129</f>
        <v>-360</v>
      </c>
    </row>
    <row r="130" spans="3:8" ht="15.75" x14ac:dyDescent="0.25">
      <c r="C130" s="179" t="s">
        <v>81</v>
      </c>
      <c r="D130" s="180">
        <v>1</v>
      </c>
      <c r="E130" s="181">
        <f>23000+27000*D118/1000</f>
        <v>50000</v>
      </c>
      <c r="F130" s="182">
        <f>E130</f>
        <v>50000</v>
      </c>
      <c r="G130" s="215">
        <f>-(1+G127+G128+G129)</f>
        <v>-0.16700000000000009</v>
      </c>
      <c r="H130" s="186">
        <f>H118*G130</f>
        <v>-3006.0000000000018</v>
      </c>
    </row>
    <row r="131" spans="3:8" ht="15.75" x14ac:dyDescent="0.25">
      <c r="C131" s="189" t="s">
        <v>56</v>
      </c>
      <c r="D131" s="190"/>
      <c r="E131" s="191"/>
      <c r="F131" s="192">
        <f>SUM(F127:F130)</f>
        <v>632600</v>
      </c>
      <c r="G131" s="193">
        <f>SUM(G127:G130)</f>
        <v>-1</v>
      </c>
      <c r="H131" s="194">
        <f>SUM(H127:H130)</f>
        <v>-18000</v>
      </c>
    </row>
    <row r="132" spans="3:8" ht="15.75" x14ac:dyDescent="0.25">
      <c r="C132" s="195"/>
      <c r="D132" s="196"/>
      <c r="E132" s="195"/>
      <c r="F132" s="197"/>
      <c r="G132" s="198"/>
      <c r="H132" s="196"/>
    </row>
    <row r="133" spans="3:8" ht="16.5" thickBot="1" x14ac:dyDescent="0.3">
      <c r="C133" s="643" t="s">
        <v>95</v>
      </c>
      <c r="D133" s="644"/>
      <c r="E133" s="644"/>
      <c r="F133" s="644"/>
      <c r="G133" s="644"/>
      <c r="H133" s="645"/>
    </row>
    <row r="134" spans="3:8" ht="32.450000000000003" customHeight="1" thickBot="1" x14ac:dyDescent="0.3">
      <c r="C134" s="167" t="s">
        <v>50</v>
      </c>
      <c r="D134" s="168" t="s">
        <v>66</v>
      </c>
      <c r="E134" s="168"/>
      <c r="F134" s="168" t="s">
        <v>71</v>
      </c>
      <c r="G134" s="168" t="s">
        <v>74</v>
      </c>
      <c r="H134" s="168" t="s">
        <v>68</v>
      </c>
    </row>
    <row r="135" spans="3:8" ht="15.75" x14ac:dyDescent="0.25">
      <c r="C135" s="199" t="s">
        <v>72</v>
      </c>
      <c r="D135" s="200"/>
      <c r="E135" s="200"/>
      <c r="F135" s="201">
        <f>F118*G131</f>
        <v>-18000</v>
      </c>
      <c r="G135" s="201"/>
      <c r="H135" s="202">
        <f>H118+H131</f>
        <v>0</v>
      </c>
    </row>
    <row r="136" spans="3:8" ht="15.75" x14ac:dyDescent="0.25">
      <c r="C136" s="219" t="s">
        <v>374</v>
      </c>
      <c r="D136" s="220">
        <f>Dateneingabe!$F$16</f>
        <v>1000</v>
      </c>
      <c r="E136" s="221"/>
      <c r="F136" s="222"/>
      <c r="G136" s="220">
        <f>D136*300/200</f>
        <v>1500</v>
      </c>
      <c r="H136" s="223">
        <f>G136*Dateneingabe!$F$12</f>
        <v>225</v>
      </c>
    </row>
    <row r="137" spans="3:8" ht="15.75" x14ac:dyDescent="0.25">
      <c r="C137" s="219" t="s">
        <v>347</v>
      </c>
      <c r="D137" s="220">
        <f>Dateneingabe!$F$16</f>
        <v>1000</v>
      </c>
      <c r="E137" s="221"/>
      <c r="F137" s="222"/>
      <c r="G137" s="220">
        <f>D137*200/200</f>
        <v>1000</v>
      </c>
      <c r="H137" s="223">
        <f>G137*Dateneingabe!$F$12</f>
        <v>150</v>
      </c>
    </row>
    <row r="138" spans="3:8" ht="16.5" thickBot="1" x14ac:dyDescent="0.3">
      <c r="C138" s="203" t="s">
        <v>346</v>
      </c>
      <c r="D138" s="204"/>
      <c r="E138" s="205"/>
      <c r="F138" s="206"/>
      <c r="G138" s="204">
        <f>-F118*G130*Standardwerte!$D$39/Standardwerte!$F$13</f>
        <v>8588.571428571433</v>
      </c>
      <c r="H138" s="223">
        <f>G138*Dateneingabe!$F$12</f>
        <v>1288.2857142857149</v>
      </c>
    </row>
    <row r="139" spans="3:8" ht="16.5" thickBot="1" x14ac:dyDescent="0.3">
      <c r="C139" s="208" t="s">
        <v>56</v>
      </c>
      <c r="D139" s="209"/>
      <c r="E139" s="209"/>
      <c r="F139" s="209"/>
      <c r="G139" s="210"/>
      <c r="H139" s="211">
        <f>SUM(H135:H138)</f>
        <v>1663.2857142857149</v>
      </c>
    </row>
    <row r="144" spans="3:8" ht="18.75" x14ac:dyDescent="0.3">
      <c r="C144" s="646" t="s">
        <v>598</v>
      </c>
      <c r="D144" s="647"/>
      <c r="E144" s="647"/>
      <c r="F144" s="647"/>
      <c r="G144" s="647"/>
      <c r="H144" s="648"/>
    </row>
    <row r="145" spans="3:8" x14ac:dyDescent="0.25">
      <c r="C145" s="670"/>
      <c r="D145" s="670"/>
      <c r="E145" s="670"/>
      <c r="F145" s="670"/>
      <c r="G145" s="670"/>
      <c r="H145" s="670"/>
    </row>
    <row r="146" spans="3:8" ht="15.6" customHeight="1" x14ac:dyDescent="0.25">
      <c r="C146" s="156" t="s">
        <v>46</v>
      </c>
      <c r="D146" s="650" t="s">
        <v>584</v>
      </c>
      <c r="E146" s="650"/>
      <c r="F146" s="650"/>
      <c r="G146" s="650"/>
      <c r="H146" s="659"/>
    </row>
    <row r="147" spans="3:8" ht="15.6" customHeight="1" x14ac:dyDescent="0.25">
      <c r="C147" s="224"/>
      <c r="D147" s="653" t="s">
        <v>381</v>
      </c>
      <c r="E147" s="653"/>
      <c r="F147" s="653"/>
      <c r="G147" s="653"/>
      <c r="H147" s="669"/>
    </row>
    <row r="148" spans="3:8" ht="15.75" x14ac:dyDescent="0.25">
      <c r="C148" s="157" t="s">
        <v>47</v>
      </c>
      <c r="D148" s="123" t="s">
        <v>48</v>
      </c>
      <c r="E148" s="123"/>
      <c r="F148" s="158">
        <f>Dateneingabe!$F$16</f>
        <v>1000</v>
      </c>
      <c r="G148" s="159" t="s">
        <v>49</v>
      </c>
      <c r="H148" s="160">
        <f>Dateneingabe!$F$14</f>
        <v>10</v>
      </c>
    </row>
    <row r="149" spans="3:8" ht="15.75" x14ac:dyDescent="0.25">
      <c r="C149" s="121"/>
      <c r="D149" s="123" t="s">
        <v>79</v>
      </c>
      <c r="E149" s="123"/>
      <c r="F149" s="158">
        <f>Dateneingabe!$F$10</f>
        <v>100</v>
      </c>
      <c r="G149" s="161" t="s">
        <v>8</v>
      </c>
      <c r="H149" s="128"/>
    </row>
    <row r="150" spans="3:8" ht="15.75" x14ac:dyDescent="0.25">
      <c r="C150" s="121"/>
      <c r="D150" s="123" t="s">
        <v>87</v>
      </c>
      <c r="E150" s="123"/>
      <c r="F150" s="162">
        <f>Dateneingabe!$F$11</f>
        <v>18</v>
      </c>
      <c r="G150" s="161" t="s">
        <v>15</v>
      </c>
      <c r="H150" s="128"/>
    </row>
    <row r="151" spans="3:8" ht="15.75" x14ac:dyDescent="0.25">
      <c r="C151" s="121"/>
      <c r="D151" s="123" t="s">
        <v>585</v>
      </c>
      <c r="E151" s="123"/>
      <c r="F151" s="162">
        <f>Standardwerte!$C$34</f>
        <v>12.6</v>
      </c>
      <c r="G151" s="161" t="s">
        <v>15</v>
      </c>
      <c r="H151" s="128"/>
    </row>
    <row r="152" spans="3:8" ht="15.75" x14ac:dyDescent="0.25">
      <c r="C152" s="121"/>
      <c r="D152" s="123" t="s">
        <v>372</v>
      </c>
      <c r="E152" s="123"/>
      <c r="F152" s="225">
        <f>Dateneingabe!$F$12</f>
        <v>0.15</v>
      </c>
      <c r="G152" s="161" t="s">
        <v>14</v>
      </c>
      <c r="H152" s="128" t="s">
        <v>86</v>
      </c>
    </row>
    <row r="153" spans="3:8" ht="15.75" x14ac:dyDescent="0.25">
      <c r="C153" s="121"/>
      <c r="D153" s="123" t="s">
        <v>90</v>
      </c>
      <c r="E153" s="123"/>
      <c r="F153" s="225">
        <f>Dateneingabe!F13</f>
        <v>0.2</v>
      </c>
      <c r="G153" s="161" t="s">
        <v>14</v>
      </c>
      <c r="H153" s="128"/>
    </row>
    <row r="154" spans="3:8" ht="15.75" x14ac:dyDescent="0.25">
      <c r="C154" s="145"/>
      <c r="D154" s="140" t="s">
        <v>382</v>
      </c>
      <c r="E154" s="140"/>
      <c r="F154" s="163">
        <v>0</v>
      </c>
      <c r="G154" s="164" t="s">
        <v>15</v>
      </c>
      <c r="H154" s="142"/>
    </row>
    <row r="155" spans="3:8" ht="15.75" x14ac:dyDescent="0.25">
      <c r="C155" s="131"/>
      <c r="D155" s="131"/>
      <c r="E155" s="131"/>
      <c r="F155" s="165"/>
      <c r="G155" s="166"/>
      <c r="H155" s="131"/>
    </row>
    <row r="156" spans="3:8" ht="16.5" thickBot="1" x14ac:dyDescent="0.3">
      <c r="C156" s="660" t="s">
        <v>73</v>
      </c>
      <c r="D156" s="661"/>
      <c r="E156" s="661"/>
      <c r="F156" s="661"/>
      <c r="G156" s="661"/>
      <c r="H156" s="662"/>
    </row>
    <row r="157" spans="3:8" ht="32.25" thickBot="1" x14ac:dyDescent="0.3">
      <c r="C157" s="167" t="s">
        <v>50</v>
      </c>
      <c r="D157" s="168" t="s">
        <v>66</v>
      </c>
      <c r="E157" s="168" t="s">
        <v>69</v>
      </c>
      <c r="F157" s="168" t="s">
        <v>70</v>
      </c>
      <c r="G157" s="168"/>
      <c r="H157" s="168" t="s">
        <v>68</v>
      </c>
    </row>
    <row r="158" spans="3:8" ht="15.75" x14ac:dyDescent="0.25">
      <c r="C158" s="169" t="s">
        <v>72</v>
      </c>
      <c r="D158" s="170">
        <f>Dateneingabe!$F$16</f>
        <v>1000</v>
      </c>
      <c r="E158" s="171">
        <f>Dateneingabe!$F$11</f>
        <v>18</v>
      </c>
      <c r="F158" s="172">
        <f>D158*E158</f>
        <v>18000</v>
      </c>
      <c r="G158" s="173"/>
      <c r="H158" s="174">
        <f>F158*Dateneingabe!$F$10/100</f>
        <v>18000</v>
      </c>
    </row>
    <row r="159" spans="3:8" ht="15.75" x14ac:dyDescent="0.25">
      <c r="C159" s="175"/>
      <c r="D159" s="176"/>
      <c r="E159" s="175"/>
      <c r="F159" s="177"/>
      <c r="G159" s="178"/>
      <c r="H159" s="176"/>
    </row>
    <row r="160" spans="3:8" ht="16.5" thickBot="1" x14ac:dyDescent="0.3">
      <c r="C160" s="663" t="s">
        <v>64</v>
      </c>
      <c r="D160" s="664"/>
      <c r="E160" s="664"/>
      <c r="F160" s="664"/>
      <c r="G160" s="664"/>
      <c r="H160" s="665"/>
    </row>
    <row r="161" spans="3:8" ht="32.450000000000003" customHeight="1" thickBot="1" x14ac:dyDescent="0.3">
      <c r="C161" s="167" t="s">
        <v>50</v>
      </c>
      <c r="D161" s="168" t="s">
        <v>66</v>
      </c>
      <c r="E161" s="168" t="s">
        <v>65</v>
      </c>
      <c r="F161" s="168" t="s">
        <v>373</v>
      </c>
      <c r="G161" s="168" t="s">
        <v>583</v>
      </c>
      <c r="H161" s="168" t="s">
        <v>67</v>
      </c>
    </row>
    <row r="162" spans="3:8" ht="15.75" x14ac:dyDescent="0.25">
      <c r="C162" s="179" t="s">
        <v>51</v>
      </c>
      <c r="D162" s="180"/>
      <c r="E162" s="181"/>
      <c r="F162" s="182">
        <f>40000*D158/1000</f>
        <v>40000</v>
      </c>
      <c r="G162" s="183"/>
      <c r="H162" s="184"/>
    </row>
    <row r="163" spans="3:8" ht="15.75" x14ac:dyDescent="0.25">
      <c r="C163" s="179" t="s">
        <v>52</v>
      </c>
      <c r="D163" s="180">
        <f>330*D158/1000</f>
        <v>330</v>
      </c>
      <c r="E163" s="181">
        <v>95</v>
      </c>
      <c r="F163" s="182">
        <f>D163*E163</f>
        <v>31350</v>
      </c>
      <c r="G163" s="212">
        <v>-0.16</v>
      </c>
      <c r="H163" s="186">
        <f>$H$81*G163</f>
        <v>-2880</v>
      </c>
    </row>
    <row r="164" spans="3:8" ht="15.75" x14ac:dyDescent="0.25">
      <c r="C164" s="179" t="s">
        <v>76</v>
      </c>
      <c r="D164" s="180">
        <f>800*D158/1000</f>
        <v>800</v>
      </c>
      <c r="E164" s="181">
        <v>72</v>
      </c>
      <c r="F164" s="182">
        <f>D164*E164</f>
        <v>57600</v>
      </c>
      <c r="G164" s="212">
        <v>0</v>
      </c>
      <c r="H164" s="186">
        <f t="shared" ref="H164:H166" si="9">$H$81*G164</f>
        <v>0</v>
      </c>
    </row>
    <row r="165" spans="3:8" ht="15.75" x14ac:dyDescent="0.25">
      <c r="C165" s="179" t="s">
        <v>53</v>
      </c>
      <c r="D165" s="180">
        <f>330*D158/1000</f>
        <v>330</v>
      </c>
      <c r="E165" s="181">
        <v>85</v>
      </c>
      <c r="F165" s="182">
        <f t="shared" ref="F165:F166" si="10">D165*E165</f>
        <v>28050</v>
      </c>
      <c r="G165" s="212">
        <v>-0.09</v>
      </c>
      <c r="H165" s="186">
        <f t="shared" si="9"/>
        <v>-1620</v>
      </c>
    </row>
    <row r="166" spans="3:8" ht="15.75" x14ac:dyDescent="0.25">
      <c r="C166" s="179" t="s">
        <v>77</v>
      </c>
      <c r="D166" s="180">
        <f>100*D158/1000</f>
        <v>100</v>
      </c>
      <c r="E166" s="181">
        <v>720</v>
      </c>
      <c r="F166" s="182">
        <f t="shared" si="10"/>
        <v>72000</v>
      </c>
      <c r="G166" s="212">
        <v>-0.05</v>
      </c>
      <c r="H166" s="186">
        <f t="shared" si="9"/>
        <v>-900</v>
      </c>
    </row>
    <row r="167" spans="3:8" ht="15.75" x14ac:dyDescent="0.25">
      <c r="C167" s="213" t="s">
        <v>78</v>
      </c>
      <c r="D167" s="180"/>
      <c r="E167" s="181"/>
      <c r="F167" s="214">
        <f>SUM(F162:F166)</f>
        <v>229000</v>
      </c>
      <c r="G167" s="218">
        <f>SUM(G163:G166)</f>
        <v>-0.3</v>
      </c>
      <c r="H167" s="174">
        <f>SUM(H163:H166)</f>
        <v>-5400</v>
      </c>
    </row>
    <row r="168" spans="3:8" ht="15.75" x14ac:dyDescent="0.25">
      <c r="C168" s="179" t="s">
        <v>80</v>
      </c>
      <c r="D168" s="180"/>
      <c r="E168" s="181"/>
      <c r="F168" s="182">
        <f t="shared" ref="F168" si="11">D168*E168</f>
        <v>0</v>
      </c>
      <c r="G168" s="183"/>
      <c r="H168" s="186"/>
    </row>
    <row r="169" spans="3:8" ht="15.75" x14ac:dyDescent="0.25">
      <c r="C169" s="179" t="s">
        <v>55</v>
      </c>
      <c r="D169" s="180"/>
      <c r="E169" s="181"/>
      <c r="F169" s="182">
        <f>E169</f>
        <v>0</v>
      </c>
      <c r="G169" s="183"/>
      <c r="H169" s="186"/>
    </row>
    <row r="170" spans="3:8" ht="15.75" x14ac:dyDescent="0.25">
      <c r="C170" s="179" t="s">
        <v>81</v>
      </c>
      <c r="D170" s="180">
        <v>1</v>
      </c>
      <c r="E170" s="181">
        <f>23000+27000*D158/1000</f>
        <v>50000</v>
      </c>
      <c r="F170" s="182">
        <f>E170</f>
        <v>50000</v>
      </c>
      <c r="G170" s="215">
        <f>-(1+G167+G168+G169)</f>
        <v>-0.7</v>
      </c>
      <c r="H170" s="186">
        <f>H158*G170</f>
        <v>-12600</v>
      </c>
    </row>
    <row r="171" spans="3:8" ht="15.75" x14ac:dyDescent="0.25">
      <c r="C171" s="189" t="s">
        <v>92</v>
      </c>
      <c r="D171" s="190"/>
      <c r="E171" s="191"/>
      <c r="F171" s="192">
        <f>SUM(F167:F170)</f>
        <v>279000</v>
      </c>
      <c r="G171" s="193">
        <f>SUM(G167:G170)</f>
        <v>-1</v>
      </c>
      <c r="H171" s="226">
        <f>SUM(H167:H170)</f>
        <v>-18000</v>
      </c>
    </row>
    <row r="172" spans="3:8" ht="15.75" x14ac:dyDescent="0.25">
      <c r="C172" s="227" t="s">
        <v>383</v>
      </c>
      <c r="D172" s="228">
        <f>Standardwerte!$F$17*Standardwerte!$F$16</f>
        <v>333</v>
      </c>
      <c r="E172" s="229"/>
      <c r="F172" s="230">
        <f>Dateneingabe!$F$23*Dateneingabe!$F$24</f>
        <v>100000</v>
      </c>
      <c r="G172" s="231"/>
      <c r="H172" s="188"/>
    </row>
    <row r="173" spans="3:8" ht="15.75" x14ac:dyDescent="0.25">
      <c r="C173" s="232" t="s">
        <v>94</v>
      </c>
      <c r="D173" s="170"/>
      <c r="E173" s="233"/>
      <c r="F173" s="214">
        <f>SUM(F171:F172)</f>
        <v>379000</v>
      </c>
      <c r="G173" s="215"/>
      <c r="H173" s="186"/>
    </row>
    <row r="174" spans="3:8" ht="15.75" x14ac:dyDescent="0.25">
      <c r="C174" s="195"/>
      <c r="D174" s="196"/>
      <c r="E174" s="195"/>
      <c r="F174" s="197"/>
      <c r="G174" s="198"/>
      <c r="H174" s="196"/>
    </row>
    <row r="175" spans="3:8" ht="16.5" thickBot="1" x14ac:dyDescent="0.3">
      <c r="C175" s="666" t="s">
        <v>95</v>
      </c>
      <c r="D175" s="667"/>
      <c r="E175" s="667"/>
      <c r="F175" s="667"/>
      <c r="G175" s="667"/>
      <c r="H175" s="668"/>
    </row>
    <row r="176" spans="3:8" ht="32.450000000000003" customHeight="1" thickBot="1" x14ac:dyDescent="0.3">
      <c r="C176" s="167" t="s">
        <v>50</v>
      </c>
      <c r="D176" s="168" t="s">
        <v>66</v>
      </c>
      <c r="E176" s="168"/>
      <c r="F176" s="168" t="s">
        <v>71</v>
      </c>
      <c r="G176" s="168" t="s">
        <v>74</v>
      </c>
      <c r="H176" s="168" t="s">
        <v>68</v>
      </c>
    </row>
    <row r="177" spans="3:8" ht="15.75" x14ac:dyDescent="0.25">
      <c r="C177" s="199" t="s">
        <v>72</v>
      </c>
      <c r="D177" s="200"/>
      <c r="E177" s="200"/>
      <c r="F177" s="201">
        <f>F158*G171</f>
        <v>-18000</v>
      </c>
      <c r="G177" s="201"/>
      <c r="H177" s="202">
        <f>H158+H171</f>
        <v>0</v>
      </c>
    </row>
    <row r="178" spans="3:8" ht="15.75" x14ac:dyDescent="0.25">
      <c r="C178" s="219" t="s">
        <v>374</v>
      </c>
      <c r="D178" s="220">
        <f>Dateneingabe!$F$16</f>
        <v>1000</v>
      </c>
      <c r="E178" s="221"/>
      <c r="F178" s="222"/>
      <c r="G178" s="220">
        <f>D178*300/200</f>
        <v>1500</v>
      </c>
      <c r="H178" s="223">
        <f>G178*Dateneingabe!$F$12</f>
        <v>225</v>
      </c>
    </row>
    <row r="179" spans="3:8" ht="15.75" x14ac:dyDescent="0.25">
      <c r="C179" s="219" t="s">
        <v>346</v>
      </c>
      <c r="D179" s="220">
        <f>Dateneingabe!$F$16</f>
        <v>1000</v>
      </c>
      <c r="E179" s="221"/>
      <c r="F179" s="222"/>
      <c r="G179" s="220">
        <f>-F158*G170*Standardwerte!$D$39/Standardwerte!$F$13</f>
        <v>36000</v>
      </c>
      <c r="H179" s="223">
        <f>G179*Dateneingabe!$F$12</f>
        <v>5400</v>
      </c>
    </row>
    <row r="180" spans="3:8" ht="16.5" thickBot="1" x14ac:dyDescent="0.3">
      <c r="C180" s="203" t="s">
        <v>91</v>
      </c>
      <c r="D180" s="204"/>
      <c r="E180" s="205"/>
      <c r="F180" s="206"/>
      <c r="G180" s="204">
        <v>50000</v>
      </c>
      <c r="H180" s="207">
        <f>-G180*Dateneingabe!F13</f>
        <v>-10000</v>
      </c>
    </row>
    <row r="181" spans="3:8" ht="16.5" thickBot="1" x14ac:dyDescent="0.3">
      <c r="C181" s="208" t="s">
        <v>56</v>
      </c>
      <c r="D181" s="209"/>
      <c r="E181" s="209"/>
      <c r="F181" s="209"/>
      <c r="G181" s="210"/>
      <c r="H181" s="211">
        <f>SUM(H177:H180)</f>
        <v>-4375</v>
      </c>
    </row>
    <row r="186" spans="3:8" ht="18.75" x14ac:dyDescent="0.3">
      <c r="C186" s="646" t="s">
        <v>599</v>
      </c>
      <c r="D186" s="647"/>
      <c r="E186" s="647"/>
      <c r="F186" s="647"/>
      <c r="G186" s="647"/>
      <c r="H186" s="648"/>
    </row>
    <row r="187" spans="3:8" x14ac:dyDescent="0.25">
      <c r="C187" s="649"/>
      <c r="D187" s="649"/>
      <c r="E187" s="649"/>
      <c r="F187" s="649"/>
      <c r="G187" s="649"/>
      <c r="H187" s="649"/>
    </row>
    <row r="188" spans="3:8" ht="15.75" x14ac:dyDescent="0.25">
      <c r="C188" s="156" t="s">
        <v>46</v>
      </c>
      <c r="D188" s="650" t="s">
        <v>384</v>
      </c>
      <c r="E188" s="651"/>
      <c r="F188" s="651"/>
      <c r="G188" s="651"/>
      <c r="H188" s="652"/>
    </row>
    <row r="189" spans="3:8" ht="15.75" x14ac:dyDescent="0.25">
      <c r="C189" s="224"/>
      <c r="D189" s="653" t="s">
        <v>381</v>
      </c>
      <c r="E189" s="654"/>
      <c r="F189" s="654"/>
      <c r="G189" s="654"/>
      <c r="H189" s="655"/>
    </row>
    <row r="190" spans="3:8" ht="15.75" x14ac:dyDescent="0.25">
      <c r="C190" s="157" t="s">
        <v>47</v>
      </c>
      <c r="D190" s="123" t="s">
        <v>48</v>
      </c>
      <c r="E190" s="123"/>
      <c r="F190" s="158">
        <f>Dateneingabe!$F$16</f>
        <v>1000</v>
      </c>
      <c r="G190" s="159" t="s">
        <v>49</v>
      </c>
      <c r="H190" s="160">
        <f>Dateneingabe!$F$14</f>
        <v>10</v>
      </c>
    </row>
    <row r="191" spans="3:8" ht="15.75" x14ac:dyDescent="0.25">
      <c r="C191" s="121"/>
      <c r="D191" s="123" t="s">
        <v>79</v>
      </c>
      <c r="E191" s="123"/>
      <c r="F191" s="158">
        <f>Dateneingabe!$F$10</f>
        <v>100</v>
      </c>
      <c r="G191" s="161" t="s">
        <v>8</v>
      </c>
      <c r="H191" s="128"/>
    </row>
    <row r="192" spans="3:8" ht="15.75" x14ac:dyDescent="0.25">
      <c r="C192" s="121"/>
      <c r="D192" s="123" t="s">
        <v>87</v>
      </c>
      <c r="E192" s="123"/>
      <c r="F192" s="162">
        <f>Dateneingabe!$F$11</f>
        <v>18</v>
      </c>
      <c r="G192" s="161" t="s">
        <v>15</v>
      </c>
      <c r="H192" s="128"/>
    </row>
    <row r="193" spans="3:8" ht="15.75" x14ac:dyDescent="0.25">
      <c r="C193" s="121"/>
      <c r="D193" s="123" t="s">
        <v>585</v>
      </c>
      <c r="E193" s="123"/>
      <c r="F193" s="162">
        <f>Standardwerte!$C$31</f>
        <v>4.8</v>
      </c>
      <c r="G193" s="161" t="s">
        <v>15</v>
      </c>
      <c r="H193" s="128"/>
    </row>
    <row r="194" spans="3:8" ht="15.75" x14ac:dyDescent="0.25">
      <c r="C194" s="121"/>
      <c r="D194" s="123" t="s">
        <v>372</v>
      </c>
      <c r="E194" s="123"/>
      <c r="F194" s="225">
        <f>Dateneingabe!$F$12</f>
        <v>0.15</v>
      </c>
      <c r="G194" s="161" t="s">
        <v>14</v>
      </c>
      <c r="H194" s="128" t="s">
        <v>86</v>
      </c>
    </row>
    <row r="195" spans="3:8" ht="15.75" x14ac:dyDescent="0.25">
      <c r="C195" s="121"/>
      <c r="D195" s="123" t="s">
        <v>90</v>
      </c>
      <c r="E195" s="123"/>
      <c r="F195" s="225">
        <f>Dateneingabe!F13</f>
        <v>0.2</v>
      </c>
      <c r="G195" s="161" t="s">
        <v>14</v>
      </c>
      <c r="H195" s="128"/>
    </row>
    <row r="196" spans="3:8" ht="15.75" x14ac:dyDescent="0.25">
      <c r="C196" s="145"/>
      <c r="D196" s="140" t="s">
        <v>382</v>
      </c>
      <c r="E196" s="140"/>
      <c r="F196" s="163">
        <v>0</v>
      </c>
      <c r="G196" s="164" t="s">
        <v>15</v>
      </c>
      <c r="H196" s="142"/>
    </row>
    <row r="197" spans="3:8" ht="15.75" x14ac:dyDescent="0.25">
      <c r="C197" s="131"/>
      <c r="D197" s="131"/>
      <c r="E197" s="131"/>
      <c r="F197" s="165"/>
      <c r="G197" s="166"/>
      <c r="H197" s="131"/>
    </row>
    <row r="198" spans="3:8" ht="16.5" thickBot="1" x14ac:dyDescent="0.3">
      <c r="C198" s="656" t="s">
        <v>73</v>
      </c>
      <c r="D198" s="657"/>
      <c r="E198" s="657"/>
      <c r="F198" s="657"/>
      <c r="G198" s="657"/>
      <c r="H198" s="658"/>
    </row>
    <row r="199" spans="3:8" ht="32.25" thickBot="1" x14ac:dyDescent="0.3">
      <c r="C199" s="167" t="s">
        <v>50</v>
      </c>
      <c r="D199" s="168" t="s">
        <v>66</v>
      </c>
      <c r="E199" s="168" t="s">
        <v>69</v>
      </c>
      <c r="F199" s="168" t="s">
        <v>70</v>
      </c>
      <c r="G199" s="168"/>
      <c r="H199" s="168" t="s">
        <v>68</v>
      </c>
    </row>
    <row r="200" spans="3:8" ht="15.75" x14ac:dyDescent="0.25">
      <c r="C200" s="169" t="s">
        <v>72</v>
      </c>
      <c r="D200" s="170">
        <f>Dateneingabe!$F$16</f>
        <v>1000</v>
      </c>
      <c r="E200" s="171">
        <f>Dateneingabe!$F$11</f>
        <v>18</v>
      </c>
      <c r="F200" s="172">
        <f>D200*E200</f>
        <v>18000</v>
      </c>
      <c r="G200" s="173"/>
      <c r="H200" s="174">
        <f>F200*Dateneingabe!$F$10/100</f>
        <v>18000</v>
      </c>
    </row>
    <row r="201" spans="3:8" ht="15.75" x14ac:dyDescent="0.25">
      <c r="C201" s="175"/>
      <c r="D201" s="176"/>
      <c r="E201" s="175"/>
      <c r="F201" s="177"/>
      <c r="G201" s="178"/>
      <c r="H201" s="176"/>
    </row>
    <row r="202" spans="3:8" ht="16.5" thickBot="1" x14ac:dyDescent="0.3">
      <c r="C202" s="640" t="s">
        <v>64</v>
      </c>
      <c r="D202" s="641"/>
      <c r="E202" s="641"/>
      <c r="F202" s="641"/>
      <c r="G202" s="641"/>
      <c r="H202" s="642"/>
    </row>
    <row r="203" spans="3:8" ht="32.450000000000003" customHeight="1" thickBot="1" x14ac:dyDescent="0.3">
      <c r="C203" s="167" t="s">
        <v>50</v>
      </c>
      <c r="D203" s="168" t="s">
        <v>66</v>
      </c>
      <c r="E203" s="168" t="s">
        <v>65</v>
      </c>
      <c r="F203" s="168" t="s">
        <v>373</v>
      </c>
      <c r="G203" s="168" t="s">
        <v>583</v>
      </c>
      <c r="H203" s="168" t="s">
        <v>67</v>
      </c>
    </row>
    <row r="204" spans="3:8" ht="15.75" x14ac:dyDescent="0.25">
      <c r="C204" s="179" t="s">
        <v>51</v>
      </c>
      <c r="D204" s="180"/>
      <c r="E204" s="181"/>
      <c r="F204" s="182">
        <f>40000*D200/1000</f>
        <v>40000</v>
      </c>
      <c r="G204" s="183"/>
      <c r="H204" s="184"/>
    </row>
    <row r="205" spans="3:8" ht="15.75" x14ac:dyDescent="0.25">
      <c r="C205" s="179" t="s">
        <v>52</v>
      </c>
      <c r="D205" s="180">
        <f>330*D200/1000</f>
        <v>330</v>
      </c>
      <c r="E205" s="181">
        <v>95</v>
      </c>
      <c r="F205" s="182">
        <f>D205*E205</f>
        <v>31350</v>
      </c>
      <c r="G205" s="212">
        <v>-0.18</v>
      </c>
      <c r="H205" s="186">
        <f>$H$81*G205</f>
        <v>-3240</v>
      </c>
    </row>
    <row r="206" spans="3:8" ht="15.75" x14ac:dyDescent="0.25">
      <c r="C206" s="179" t="s">
        <v>76</v>
      </c>
      <c r="D206" s="180">
        <f>800*D200/1000</f>
        <v>800</v>
      </c>
      <c r="E206" s="181">
        <v>215</v>
      </c>
      <c r="F206" s="182">
        <f>D206*E206</f>
        <v>172000</v>
      </c>
      <c r="G206" s="212">
        <v>-0.37</v>
      </c>
      <c r="H206" s="186">
        <f t="shared" ref="H206:H208" si="12">$H$81*G206</f>
        <v>-6660</v>
      </c>
    </row>
    <row r="207" spans="3:8" ht="15.75" x14ac:dyDescent="0.25">
      <c r="C207" s="179" t="s">
        <v>53</v>
      </c>
      <c r="D207" s="180">
        <f>330*D200/1000</f>
        <v>330</v>
      </c>
      <c r="E207" s="181">
        <v>85</v>
      </c>
      <c r="F207" s="182">
        <f t="shared" ref="F207:F208" si="13">D207*E207</f>
        <v>28050</v>
      </c>
      <c r="G207" s="212">
        <v>-0.12</v>
      </c>
      <c r="H207" s="186">
        <f t="shared" si="12"/>
        <v>-2160</v>
      </c>
    </row>
    <row r="208" spans="3:8" ht="15.75" x14ac:dyDescent="0.25">
      <c r="C208" s="179" t="s">
        <v>77</v>
      </c>
      <c r="D208" s="180">
        <f>100*D200/1000</f>
        <v>100</v>
      </c>
      <c r="E208" s="181">
        <v>720</v>
      </c>
      <c r="F208" s="182">
        <f t="shared" si="13"/>
        <v>72000</v>
      </c>
      <c r="G208" s="212">
        <v>-0.06</v>
      </c>
      <c r="H208" s="186">
        <f t="shared" si="12"/>
        <v>-1080</v>
      </c>
    </row>
    <row r="209" spans="3:8" ht="15.75" x14ac:dyDescent="0.25">
      <c r="C209" s="213" t="s">
        <v>78</v>
      </c>
      <c r="D209" s="180"/>
      <c r="E209" s="181"/>
      <c r="F209" s="214">
        <f>SUM(F204:F208)</f>
        <v>343400</v>
      </c>
      <c r="G209" s="218">
        <f>SUM(G205:G208)</f>
        <v>-0.73</v>
      </c>
      <c r="H209" s="174">
        <f>SUM(H205:H208)</f>
        <v>-13140</v>
      </c>
    </row>
    <row r="210" spans="3:8" ht="15.75" x14ac:dyDescent="0.25">
      <c r="C210" s="179" t="s">
        <v>80</v>
      </c>
      <c r="D210" s="180"/>
      <c r="E210" s="181"/>
      <c r="F210" s="182">
        <f t="shared" ref="F210" si="14">D210*E210</f>
        <v>0</v>
      </c>
      <c r="G210" s="183"/>
      <c r="H210" s="186"/>
    </row>
    <row r="211" spans="3:8" ht="15.75" x14ac:dyDescent="0.25">
      <c r="C211" s="179" t="s">
        <v>55</v>
      </c>
      <c r="D211" s="180"/>
      <c r="E211" s="181"/>
      <c r="F211" s="182">
        <f>E211</f>
        <v>0</v>
      </c>
      <c r="G211" s="183"/>
      <c r="H211" s="186"/>
    </row>
    <row r="212" spans="3:8" ht="15.75" x14ac:dyDescent="0.25">
      <c r="C212" s="179" t="s">
        <v>81</v>
      </c>
      <c r="D212" s="180">
        <v>1</v>
      </c>
      <c r="E212" s="181">
        <f>23000+27000*D200/1000</f>
        <v>50000</v>
      </c>
      <c r="F212" s="182">
        <f>E212</f>
        <v>50000</v>
      </c>
      <c r="G212" s="215">
        <f>-(1+G209+G210+G211)</f>
        <v>-0.27</v>
      </c>
      <c r="H212" s="186">
        <f>H200*G212</f>
        <v>-4860</v>
      </c>
    </row>
    <row r="213" spans="3:8" ht="15.75" x14ac:dyDescent="0.25">
      <c r="C213" s="189" t="s">
        <v>92</v>
      </c>
      <c r="D213" s="190"/>
      <c r="E213" s="191"/>
      <c r="F213" s="192">
        <f>SUM(F209:F212)</f>
        <v>393400</v>
      </c>
      <c r="G213" s="193">
        <f>SUM(G209:G212)</f>
        <v>-1</v>
      </c>
      <c r="H213" s="226">
        <f>SUM(H209:H212)</f>
        <v>-18000</v>
      </c>
    </row>
    <row r="214" spans="3:8" ht="15.75" x14ac:dyDescent="0.25">
      <c r="C214" s="227" t="s">
        <v>383</v>
      </c>
      <c r="D214" s="228">
        <f>Standardwerte!$F$17*Standardwerte!$F$16</f>
        <v>333</v>
      </c>
      <c r="E214" s="229"/>
      <c r="F214" s="230">
        <f>Dateneingabe!$F$23*Dateneingabe!$F$24</f>
        <v>100000</v>
      </c>
      <c r="G214" s="231"/>
      <c r="H214" s="188"/>
    </row>
    <row r="215" spans="3:8" ht="15.75" x14ac:dyDescent="0.25">
      <c r="C215" s="234" t="s">
        <v>94</v>
      </c>
      <c r="D215" s="170"/>
      <c r="E215" s="233"/>
      <c r="F215" s="214">
        <f>SUM(F213:F214)</f>
        <v>493400</v>
      </c>
      <c r="G215" s="215"/>
      <c r="H215" s="186"/>
    </row>
    <row r="216" spans="3:8" ht="15.75" x14ac:dyDescent="0.25">
      <c r="C216" s="232"/>
      <c r="D216" s="196"/>
      <c r="E216" s="195"/>
      <c r="F216" s="197"/>
      <c r="G216" s="198"/>
      <c r="H216" s="196"/>
    </row>
    <row r="217" spans="3:8" ht="16.5" thickBot="1" x14ac:dyDescent="0.3">
      <c r="C217" s="643" t="s">
        <v>95</v>
      </c>
      <c r="D217" s="644"/>
      <c r="E217" s="644"/>
      <c r="F217" s="644"/>
      <c r="G217" s="644"/>
      <c r="H217" s="645"/>
    </row>
    <row r="218" spans="3:8" ht="32.450000000000003" customHeight="1" thickBot="1" x14ac:dyDescent="0.3">
      <c r="C218" s="167" t="s">
        <v>50</v>
      </c>
      <c r="D218" s="168" t="s">
        <v>66</v>
      </c>
      <c r="E218" s="168"/>
      <c r="F218" s="168" t="s">
        <v>71</v>
      </c>
      <c r="G218" s="168" t="s">
        <v>74</v>
      </c>
      <c r="H218" s="168" t="s">
        <v>68</v>
      </c>
    </row>
    <row r="219" spans="3:8" ht="15.75" x14ac:dyDescent="0.25">
      <c r="C219" s="199" t="s">
        <v>72</v>
      </c>
      <c r="D219" s="200"/>
      <c r="E219" s="200"/>
      <c r="F219" s="201">
        <f>F200*G213</f>
        <v>-18000</v>
      </c>
      <c r="G219" s="201"/>
      <c r="H219" s="202">
        <f>H200+H213</f>
        <v>0</v>
      </c>
    </row>
    <row r="220" spans="3:8" ht="15.75" x14ac:dyDescent="0.25">
      <c r="C220" s="219" t="s">
        <v>374</v>
      </c>
      <c r="D220" s="220">
        <f>Dateneingabe!$F$16</f>
        <v>1000</v>
      </c>
      <c r="E220" s="221"/>
      <c r="F220" s="222"/>
      <c r="G220" s="220">
        <f>D220*300/200</f>
        <v>1500</v>
      </c>
      <c r="H220" s="223">
        <f>G220*Dateneingabe!$F$12</f>
        <v>225</v>
      </c>
    </row>
    <row r="221" spans="3:8" ht="15.75" x14ac:dyDescent="0.25">
      <c r="C221" s="219" t="s">
        <v>346</v>
      </c>
      <c r="D221" s="220">
        <f>Dateneingabe!$F$16</f>
        <v>1000</v>
      </c>
      <c r="E221" s="221"/>
      <c r="F221" s="222"/>
      <c r="G221" s="220">
        <f>-F200*G212*Standardwerte!$D$39/Standardwerte!$F$13</f>
        <v>13885.714285714286</v>
      </c>
      <c r="H221" s="223">
        <f>G221*Dateneingabe!$F$12</f>
        <v>2082.8571428571427</v>
      </c>
    </row>
    <row r="222" spans="3:8" ht="16.5" thickBot="1" x14ac:dyDescent="0.3">
      <c r="C222" s="203" t="s">
        <v>91</v>
      </c>
      <c r="D222" s="204"/>
      <c r="E222" s="205"/>
      <c r="F222" s="206"/>
      <c r="G222" s="204">
        <v>50000</v>
      </c>
      <c r="H222" s="207">
        <f>-G222*Dateneingabe!F13</f>
        <v>-10000</v>
      </c>
    </row>
    <row r="223" spans="3:8" ht="16.5" thickBot="1" x14ac:dyDescent="0.3">
      <c r="C223" s="208" t="s">
        <v>56</v>
      </c>
      <c r="D223" s="209"/>
      <c r="E223" s="209"/>
      <c r="F223" s="209"/>
      <c r="G223" s="210"/>
      <c r="H223" s="211">
        <f>SUM(H219:H222)</f>
        <v>-7692.1428571428569</v>
      </c>
    </row>
    <row r="228" spans="3:8" ht="18.75" x14ac:dyDescent="0.3">
      <c r="C228" s="646" t="s">
        <v>600</v>
      </c>
      <c r="D228" s="647"/>
      <c r="E228" s="647"/>
      <c r="F228" s="647"/>
      <c r="G228" s="647"/>
      <c r="H228" s="648"/>
    </row>
    <row r="229" spans="3:8" x14ac:dyDescent="0.25">
      <c r="C229" s="649"/>
      <c r="D229" s="649"/>
      <c r="E229" s="649"/>
      <c r="F229" s="649"/>
      <c r="G229" s="649"/>
      <c r="H229" s="649"/>
    </row>
    <row r="230" spans="3:8" ht="15.75" x14ac:dyDescent="0.25">
      <c r="C230" s="156" t="s">
        <v>46</v>
      </c>
      <c r="D230" s="650" t="s">
        <v>385</v>
      </c>
      <c r="E230" s="651"/>
      <c r="F230" s="651"/>
      <c r="G230" s="651"/>
      <c r="H230" s="652"/>
    </row>
    <row r="231" spans="3:8" ht="14.45" customHeight="1" x14ac:dyDescent="0.25">
      <c r="C231" s="224"/>
      <c r="D231" s="653" t="s">
        <v>386</v>
      </c>
      <c r="E231" s="654"/>
      <c r="F231" s="654"/>
      <c r="G231" s="654"/>
      <c r="H231" s="655"/>
    </row>
    <row r="232" spans="3:8" ht="15.75" x14ac:dyDescent="0.25">
      <c r="C232" s="157" t="s">
        <v>47</v>
      </c>
      <c r="D232" s="123" t="s">
        <v>48</v>
      </c>
      <c r="E232" s="123"/>
      <c r="F232" s="158">
        <f>Dateneingabe!$F$16</f>
        <v>1000</v>
      </c>
      <c r="G232" s="159" t="s">
        <v>49</v>
      </c>
      <c r="H232" s="160">
        <f>Dateneingabe!$F$14</f>
        <v>10</v>
      </c>
    </row>
    <row r="233" spans="3:8" ht="15.75" x14ac:dyDescent="0.25">
      <c r="C233" s="121"/>
      <c r="D233" s="123" t="s">
        <v>79</v>
      </c>
      <c r="E233" s="123"/>
      <c r="F233" s="158">
        <f>Dateneingabe!$F$10</f>
        <v>100</v>
      </c>
      <c r="G233" s="161" t="s">
        <v>8</v>
      </c>
      <c r="H233" s="128"/>
    </row>
    <row r="234" spans="3:8" ht="15.75" x14ac:dyDescent="0.25">
      <c r="C234" s="121"/>
      <c r="D234" s="123" t="s">
        <v>87</v>
      </c>
      <c r="E234" s="123"/>
      <c r="F234" s="162">
        <f>Dateneingabe!$F$11</f>
        <v>18</v>
      </c>
      <c r="G234" s="161" t="s">
        <v>15</v>
      </c>
      <c r="H234" s="128"/>
    </row>
    <row r="235" spans="3:8" ht="15.75" x14ac:dyDescent="0.25">
      <c r="C235" s="121"/>
      <c r="D235" s="123" t="s">
        <v>585</v>
      </c>
      <c r="E235" s="123"/>
      <c r="F235" s="162">
        <f>Standardwerte!$C$32</f>
        <v>3.8</v>
      </c>
      <c r="G235" s="161" t="s">
        <v>15</v>
      </c>
      <c r="H235" s="128"/>
    </row>
    <row r="236" spans="3:8" ht="15.75" x14ac:dyDescent="0.25">
      <c r="C236" s="121"/>
      <c r="D236" s="123" t="s">
        <v>372</v>
      </c>
      <c r="E236" s="123"/>
      <c r="F236" s="225">
        <f>Dateneingabe!$F$12</f>
        <v>0.15</v>
      </c>
      <c r="G236" s="161" t="s">
        <v>14</v>
      </c>
      <c r="H236" s="128" t="s">
        <v>86</v>
      </c>
    </row>
    <row r="237" spans="3:8" ht="15.75" x14ac:dyDescent="0.25">
      <c r="C237" s="121"/>
      <c r="D237" s="123" t="s">
        <v>90</v>
      </c>
      <c r="E237" s="123"/>
      <c r="F237" s="225">
        <f>Dateneingabe!F13</f>
        <v>0.2</v>
      </c>
      <c r="G237" s="161" t="s">
        <v>14</v>
      </c>
      <c r="H237" s="128"/>
    </row>
    <row r="238" spans="3:8" ht="15.75" x14ac:dyDescent="0.25">
      <c r="C238" s="145"/>
      <c r="D238" s="140" t="s">
        <v>382</v>
      </c>
      <c r="E238" s="140"/>
      <c r="F238" s="163">
        <v>0</v>
      </c>
      <c r="G238" s="164" t="s">
        <v>15</v>
      </c>
      <c r="H238" s="142"/>
    </row>
    <row r="239" spans="3:8" ht="15.75" x14ac:dyDescent="0.25">
      <c r="C239" s="131"/>
      <c r="D239" s="131"/>
      <c r="E239" s="131"/>
      <c r="F239" s="165"/>
      <c r="G239" s="166"/>
      <c r="H239" s="131"/>
    </row>
    <row r="240" spans="3:8" ht="16.5" thickBot="1" x14ac:dyDescent="0.3">
      <c r="C240" s="656" t="s">
        <v>73</v>
      </c>
      <c r="D240" s="657"/>
      <c r="E240" s="657"/>
      <c r="F240" s="657"/>
      <c r="G240" s="657"/>
      <c r="H240" s="658"/>
    </row>
    <row r="241" spans="3:8" ht="32.25" thickBot="1" x14ac:dyDescent="0.3">
      <c r="C241" s="167" t="s">
        <v>50</v>
      </c>
      <c r="D241" s="168" t="s">
        <v>66</v>
      </c>
      <c r="E241" s="168" t="s">
        <v>69</v>
      </c>
      <c r="F241" s="168" t="s">
        <v>70</v>
      </c>
      <c r="G241" s="168"/>
      <c r="H241" s="168" t="s">
        <v>68</v>
      </c>
    </row>
    <row r="242" spans="3:8" ht="15.75" x14ac:dyDescent="0.25">
      <c r="C242" s="169" t="s">
        <v>72</v>
      </c>
      <c r="D242" s="170">
        <f>Dateneingabe!$F$16</f>
        <v>1000</v>
      </c>
      <c r="E242" s="171">
        <f>Dateneingabe!$F$11</f>
        <v>18</v>
      </c>
      <c r="F242" s="172">
        <f>D242*E242</f>
        <v>18000</v>
      </c>
      <c r="G242" s="173"/>
      <c r="H242" s="174">
        <f>F242*Dateneingabe!$F$10/100</f>
        <v>18000</v>
      </c>
    </row>
    <row r="243" spans="3:8" ht="15.75" x14ac:dyDescent="0.25">
      <c r="C243" s="175"/>
      <c r="D243" s="176"/>
      <c r="E243" s="175"/>
      <c r="F243" s="177"/>
      <c r="G243" s="178"/>
      <c r="H243" s="176"/>
    </row>
    <row r="244" spans="3:8" ht="16.5" thickBot="1" x14ac:dyDescent="0.3">
      <c r="C244" s="640" t="s">
        <v>64</v>
      </c>
      <c r="D244" s="641"/>
      <c r="E244" s="641"/>
      <c r="F244" s="641"/>
      <c r="G244" s="641"/>
      <c r="H244" s="642"/>
    </row>
    <row r="245" spans="3:8" ht="32.450000000000003" customHeight="1" thickBot="1" x14ac:dyDescent="0.3">
      <c r="C245" s="167" t="s">
        <v>50</v>
      </c>
      <c r="D245" s="168" t="s">
        <v>66</v>
      </c>
      <c r="E245" s="168" t="s">
        <v>65</v>
      </c>
      <c r="F245" s="168" t="s">
        <v>373</v>
      </c>
      <c r="G245" s="168" t="s">
        <v>583</v>
      </c>
      <c r="H245" s="168" t="s">
        <v>67</v>
      </c>
    </row>
    <row r="246" spans="3:8" ht="15.75" x14ac:dyDescent="0.25">
      <c r="C246" s="179" t="s">
        <v>51</v>
      </c>
      <c r="D246" s="180"/>
      <c r="E246" s="181"/>
      <c r="F246" s="182">
        <f>60000*D242/1000</f>
        <v>60000</v>
      </c>
      <c r="G246" s="183"/>
      <c r="H246" s="184"/>
    </row>
    <row r="247" spans="3:8" ht="15.75" x14ac:dyDescent="0.25">
      <c r="C247" s="179" t="s">
        <v>52</v>
      </c>
      <c r="D247" s="180">
        <f>330*D242/1000</f>
        <v>330</v>
      </c>
      <c r="E247" s="181">
        <v>95</v>
      </c>
      <c r="F247" s="182">
        <f>D247*E247</f>
        <v>31350</v>
      </c>
      <c r="G247" s="212">
        <v>-0.17</v>
      </c>
      <c r="H247" s="186">
        <f>$H$81*G247</f>
        <v>-3060</v>
      </c>
    </row>
    <row r="248" spans="3:8" ht="15.75" x14ac:dyDescent="0.25">
      <c r="C248" s="179" t="s">
        <v>76</v>
      </c>
      <c r="D248" s="180">
        <f>800*D242/1000</f>
        <v>800</v>
      </c>
      <c r="E248" s="181">
        <v>215</v>
      </c>
      <c r="F248" s="182">
        <f>D248*E248</f>
        <v>172000</v>
      </c>
      <c r="G248" s="212">
        <v>-0.35</v>
      </c>
      <c r="H248" s="186">
        <f t="shared" ref="H248:H253" si="15">$H$81*G248</f>
        <v>-6300</v>
      </c>
    </row>
    <row r="249" spans="3:8" ht="15.75" x14ac:dyDescent="0.25">
      <c r="C249" s="179" t="s">
        <v>53</v>
      </c>
      <c r="D249" s="180">
        <f>330*D242/1000</f>
        <v>330</v>
      </c>
      <c r="E249" s="181">
        <v>85</v>
      </c>
      <c r="F249" s="182">
        <f t="shared" ref="F249:F250" si="16">D249*E249</f>
        <v>28050</v>
      </c>
      <c r="G249" s="212">
        <v>-0.12</v>
      </c>
      <c r="H249" s="186">
        <f t="shared" si="15"/>
        <v>-2160</v>
      </c>
    </row>
    <row r="250" spans="3:8" ht="15.75" x14ac:dyDescent="0.25">
      <c r="C250" s="179" t="s">
        <v>77</v>
      </c>
      <c r="D250" s="180">
        <f>100*D242/1000</f>
        <v>100</v>
      </c>
      <c r="E250" s="181">
        <v>720</v>
      </c>
      <c r="F250" s="182">
        <f t="shared" si="16"/>
        <v>72000</v>
      </c>
      <c r="G250" s="212">
        <v>-0.05</v>
      </c>
      <c r="H250" s="186">
        <f t="shared" si="15"/>
        <v>-900</v>
      </c>
    </row>
    <row r="251" spans="3:8" ht="15.75" x14ac:dyDescent="0.25">
      <c r="C251" s="213" t="s">
        <v>78</v>
      </c>
      <c r="D251" s="180"/>
      <c r="E251" s="181"/>
      <c r="F251" s="214">
        <f>SUM(F246:F250)</f>
        <v>363400</v>
      </c>
      <c r="G251" s="218">
        <f>SUM(G247:G250)</f>
        <v>-0.69000000000000006</v>
      </c>
      <c r="H251" s="174">
        <f>SUM(H247:H250)</f>
        <v>-12420</v>
      </c>
    </row>
    <row r="252" spans="3:8" ht="15.75" x14ac:dyDescent="0.25">
      <c r="C252" s="179" t="s">
        <v>80</v>
      </c>
      <c r="D252" s="180">
        <f>10*D242/1000</f>
        <v>10</v>
      </c>
      <c r="E252" s="181">
        <v>10000</v>
      </c>
      <c r="F252" s="182">
        <f t="shared" ref="F252" si="17">D252*E252</f>
        <v>100000</v>
      </c>
      <c r="G252" s="183">
        <f>-(1+G251)*0.32</f>
        <v>-9.9199999999999983E-2</v>
      </c>
      <c r="H252" s="186">
        <f t="shared" si="15"/>
        <v>-1785.5999999999997</v>
      </c>
    </row>
    <row r="253" spans="3:8" ht="15.75" x14ac:dyDescent="0.25">
      <c r="C253" s="179" t="s">
        <v>55</v>
      </c>
      <c r="D253" s="180"/>
      <c r="E253" s="181"/>
      <c r="F253" s="182">
        <f>E253</f>
        <v>0</v>
      </c>
      <c r="G253" s="183">
        <v>0</v>
      </c>
      <c r="H253" s="186">
        <f t="shared" si="15"/>
        <v>0</v>
      </c>
    </row>
    <row r="254" spans="3:8" ht="15.75" x14ac:dyDescent="0.25">
      <c r="C254" s="179" t="s">
        <v>81</v>
      </c>
      <c r="D254" s="180">
        <v>1</v>
      </c>
      <c r="E254" s="181">
        <f>23000+27000*D242/1000</f>
        <v>50000</v>
      </c>
      <c r="F254" s="182">
        <f>E254</f>
        <v>50000</v>
      </c>
      <c r="G254" s="215">
        <f>-(1+G251+G252+G253)</f>
        <v>-0.21079999999999996</v>
      </c>
      <c r="H254" s="186">
        <f>H242*G254</f>
        <v>-3794.3999999999992</v>
      </c>
    </row>
    <row r="255" spans="3:8" ht="15.75" x14ac:dyDescent="0.25">
      <c r="C255" s="189" t="s">
        <v>92</v>
      </c>
      <c r="D255" s="190"/>
      <c r="E255" s="191"/>
      <c r="F255" s="192">
        <f>SUM(F251:F254)</f>
        <v>513400</v>
      </c>
      <c r="G255" s="193">
        <f>SUM(G251:G254)</f>
        <v>-1</v>
      </c>
      <c r="H255" s="226">
        <f>SUM(H251:H254)</f>
        <v>-18000</v>
      </c>
    </row>
    <row r="256" spans="3:8" ht="15.75" x14ac:dyDescent="0.25">
      <c r="C256" s="227" t="s">
        <v>383</v>
      </c>
      <c r="D256" s="228">
        <f>Standardwerte!$F$17*Standardwerte!$F$16</f>
        <v>333</v>
      </c>
      <c r="E256" s="229"/>
      <c r="F256" s="230">
        <f>Dateneingabe!$F$23*Dateneingabe!$F$24</f>
        <v>100000</v>
      </c>
      <c r="G256" s="231"/>
      <c r="H256" s="188"/>
    </row>
    <row r="257" spans="3:8" ht="15.75" x14ac:dyDescent="0.25">
      <c r="C257" s="234" t="s">
        <v>94</v>
      </c>
      <c r="D257" s="170"/>
      <c r="E257" s="233"/>
      <c r="F257" s="214">
        <f>SUM(F255:F256)</f>
        <v>613400</v>
      </c>
      <c r="G257" s="215"/>
      <c r="H257" s="186"/>
    </row>
    <row r="258" spans="3:8" ht="15.75" x14ac:dyDescent="0.25">
      <c r="C258" s="232"/>
      <c r="D258" s="196"/>
      <c r="E258" s="195"/>
      <c r="F258" s="197"/>
      <c r="G258" s="198"/>
      <c r="H258" s="196"/>
    </row>
    <row r="259" spans="3:8" ht="16.5" thickBot="1" x14ac:dyDescent="0.3">
      <c r="C259" s="643" t="s">
        <v>95</v>
      </c>
      <c r="D259" s="644"/>
      <c r="E259" s="644"/>
      <c r="F259" s="644"/>
      <c r="G259" s="644"/>
      <c r="H259" s="645"/>
    </row>
    <row r="260" spans="3:8" ht="48" thickBot="1" x14ac:dyDescent="0.3">
      <c r="C260" s="167" t="s">
        <v>50</v>
      </c>
      <c r="D260" s="168" t="s">
        <v>66</v>
      </c>
      <c r="E260" s="168"/>
      <c r="F260" s="168" t="s">
        <v>71</v>
      </c>
      <c r="G260" s="168" t="s">
        <v>74</v>
      </c>
      <c r="H260" s="168" t="s">
        <v>68</v>
      </c>
    </row>
    <row r="261" spans="3:8" ht="15.75" x14ac:dyDescent="0.25">
      <c r="C261" s="199" t="s">
        <v>72</v>
      </c>
      <c r="D261" s="200"/>
      <c r="E261" s="200"/>
      <c r="F261" s="201">
        <f>F242*G255</f>
        <v>-18000</v>
      </c>
      <c r="G261" s="201"/>
      <c r="H261" s="202">
        <f>H242+H255</f>
        <v>0</v>
      </c>
    </row>
    <row r="262" spans="3:8" ht="15.75" x14ac:dyDescent="0.25">
      <c r="C262" s="219" t="s">
        <v>374</v>
      </c>
      <c r="D262" s="220">
        <f>Dateneingabe!$F$16</f>
        <v>1000</v>
      </c>
      <c r="E262" s="221"/>
      <c r="F262" s="222"/>
      <c r="G262" s="220">
        <f>D262*300/200</f>
        <v>1500</v>
      </c>
      <c r="H262" s="223">
        <f>G262*Dateneingabe!$F$12</f>
        <v>225</v>
      </c>
    </row>
    <row r="263" spans="3:8" ht="15.75" x14ac:dyDescent="0.25">
      <c r="C263" s="219" t="s">
        <v>347</v>
      </c>
      <c r="D263" s="220">
        <f>Dateneingabe!$F$16</f>
        <v>1000</v>
      </c>
      <c r="E263" s="221"/>
      <c r="F263" s="222"/>
      <c r="G263" s="220">
        <f>200*D263/200</f>
        <v>1000</v>
      </c>
      <c r="H263" s="223">
        <f>G263*Dateneingabe!$F$12</f>
        <v>150</v>
      </c>
    </row>
    <row r="264" spans="3:8" ht="15.75" x14ac:dyDescent="0.25">
      <c r="C264" s="219" t="s">
        <v>346</v>
      </c>
      <c r="D264" s="220">
        <f>Dateneingabe!$F$16</f>
        <v>1000</v>
      </c>
      <c r="E264" s="221"/>
      <c r="F264" s="222"/>
      <c r="G264" s="220">
        <f>-F242*G254*Standardwerte!$D$39/Standardwerte!$F$13</f>
        <v>10841.142857142855</v>
      </c>
      <c r="H264" s="223">
        <f>G264*Dateneingabe!$F$12</f>
        <v>1626.1714285714281</v>
      </c>
    </row>
    <row r="265" spans="3:8" ht="16.5" thickBot="1" x14ac:dyDescent="0.3">
      <c r="C265" s="203" t="s">
        <v>91</v>
      </c>
      <c r="D265" s="204"/>
      <c r="E265" s="205"/>
      <c r="F265" s="206"/>
      <c r="G265" s="204">
        <v>50000</v>
      </c>
      <c r="H265" s="207">
        <f>-G265*Dateneingabe!F13</f>
        <v>-10000</v>
      </c>
    </row>
    <row r="266" spans="3:8" ht="16.5" thickBot="1" x14ac:dyDescent="0.3">
      <c r="C266" s="208" t="s">
        <v>56</v>
      </c>
      <c r="D266" s="209"/>
      <c r="E266" s="209"/>
      <c r="F266" s="209"/>
      <c r="G266" s="210"/>
      <c r="H266" s="211">
        <f>SUM(H261:H265)</f>
        <v>-7998.8285714285721</v>
      </c>
    </row>
    <row r="271" spans="3:8" ht="18.75" x14ac:dyDescent="0.3">
      <c r="C271" s="646" t="s">
        <v>601</v>
      </c>
      <c r="D271" s="647"/>
      <c r="E271" s="647"/>
      <c r="F271" s="647"/>
      <c r="G271" s="647"/>
      <c r="H271" s="648"/>
    </row>
    <row r="272" spans="3:8" x14ac:dyDescent="0.25">
      <c r="C272" s="649"/>
      <c r="D272" s="649"/>
      <c r="E272" s="649"/>
      <c r="F272" s="649"/>
      <c r="G272" s="649"/>
      <c r="H272" s="649"/>
    </row>
    <row r="273" spans="3:8" ht="15.75" x14ac:dyDescent="0.25">
      <c r="C273" s="156" t="s">
        <v>46</v>
      </c>
      <c r="D273" s="650" t="s">
        <v>387</v>
      </c>
      <c r="E273" s="651"/>
      <c r="F273" s="651"/>
      <c r="G273" s="651"/>
      <c r="H273" s="652"/>
    </row>
    <row r="274" spans="3:8" ht="14.45" customHeight="1" x14ac:dyDescent="0.25">
      <c r="C274" s="224"/>
      <c r="D274" s="653" t="s">
        <v>275</v>
      </c>
      <c r="E274" s="654"/>
      <c r="F274" s="654"/>
      <c r="G274" s="654"/>
      <c r="H274" s="655"/>
    </row>
    <row r="275" spans="3:8" ht="15.75" x14ac:dyDescent="0.25">
      <c r="C275" s="157" t="s">
        <v>47</v>
      </c>
      <c r="D275" s="123" t="s">
        <v>48</v>
      </c>
      <c r="E275" s="123"/>
      <c r="F275" s="158">
        <f>Dateneingabe!$F$16</f>
        <v>1000</v>
      </c>
      <c r="G275" s="159" t="s">
        <v>49</v>
      </c>
      <c r="H275" s="160">
        <f>Dateneingabe!$F$14</f>
        <v>10</v>
      </c>
    </row>
    <row r="276" spans="3:8" ht="15.75" x14ac:dyDescent="0.25">
      <c r="C276" s="121"/>
      <c r="D276" s="123" t="s">
        <v>79</v>
      </c>
      <c r="E276" s="123"/>
      <c r="F276" s="158">
        <f>Dateneingabe!$F$10</f>
        <v>100</v>
      </c>
      <c r="G276" s="161" t="s">
        <v>8</v>
      </c>
      <c r="H276" s="128"/>
    </row>
    <row r="277" spans="3:8" ht="15.75" x14ac:dyDescent="0.25">
      <c r="C277" s="121"/>
      <c r="D277" s="123" t="s">
        <v>87</v>
      </c>
      <c r="E277" s="123"/>
      <c r="F277" s="162">
        <f>Dateneingabe!$F$11</f>
        <v>18</v>
      </c>
      <c r="G277" s="161" t="s">
        <v>15</v>
      </c>
      <c r="H277" s="128"/>
    </row>
    <row r="278" spans="3:8" ht="15.75" x14ac:dyDescent="0.25">
      <c r="C278" s="121"/>
      <c r="D278" s="123" t="s">
        <v>585</v>
      </c>
      <c r="E278" s="123"/>
      <c r="F278" s="162">
        <f>Standardwerte!$C$33</f>
        <v>3</v>
      </c>
      <c r="G278" s="161" t="s">
        <v>15</v>
      </c>
      <c r="H278" s="128"/>
    </row>
    <row r="279" spans="3:8" ht="15.75" x14ac:dyDescent="0.25">
      <c r="C279" s="121"/>
      <c r="D279" s="123" t="s">
        <v>372</v>
      </c>
      <c r="E279" s="123"/>
      <c r="F279" s="225">
        <f>Dateneingabe!$F$12</f>
        <v>0.15</v>
      </c>
      <c r="G279" s="161" t="s">
        <v>14</v>
      </c>
      <c r="H279" s="128" t="s">
        <v>86</v>
      </c>
    </row>
    <row r="280" spans="3:8" ht="15.75" x14ac:dyDescent="0.25">
      <c r="C280" s="121"/>
      <c r="D280" s="123" t="s">
        <v>90</v>
      </c>
      <c r="E280" s="123"/>
      <c r="F280" s="225">
        <f>Dateneingabe!F13</f>
        <v>0.2</v>
      </c>
      <c r="G280" s="161" t="s">
        <v>14</v>
      </c>
      <c r="H280" s="128"/>
    </row>
    <row r="281" spans="3:8" ht="15.75" x14ac:dyDescent="0.25">
      <c r="C281" s="145"/>
      <c r="D281" s="140" t="s">
        <v>382</v>
      </c>
      <c r="E281" s="140"/>
      <c r="F281" s="163">
        <v>0</v>
      </c>
      <c r="G281" s="164" t="s">
        <v>15</v>
      </c>
      <c r="H281" s="142"/>
    </row>
    <row r="282" spans="3:8" ht="15.75" x14ac:dyDescent="0.25">
      <c r="C282" s="131"/>
      <c r="D282" s="131"/>
      <c r="E282" s="131"/>
      <c r="F282" s="165"/>
      <c r="G282" s="166"/>
      <c r="H282" s="131"/>
    </row>
    <row r="283" spans="3:8" ht="16.5" thickBot="1" x14ac:dyDescent="0.3">
      <c r="C283" s="656" t="s">
        <v>73</v>
      </c>
      <c r="D283" s="657"/>
      <c r="E283" s="657"/>
      <c r="F283" s="657"/>
      <c r="G283" s="657"/>
      <c r="H283" s="658"/>
    </row>
    <row r="284" spans="3:8" ht="32.25" thickBot="1" x14ac:dyDescent="0.3">
      <c r="C284" s="167" t="s">
        <v>50</v>
      </c>
      <c r="D284" s="168" t="s">
        <v>66</v>
      </c>
      <c r="E284" s="168" t="s">
        <v>69</v>
      </c>
      <c r="F284" s="168" t="s">
        <v>70</v>
      </c>
      <c r="G284" s="168"/>
      <c r="H284" s="168" t="s">
        <v>68</v>
      </c>
    </row>
    <row r="285" spans="3:8" ht="15.75" x14ac:dyDescent="0.25">
      <c r="C285" s="169" t="s">
        <v>72</v>
      </c>
      <c r="D285" s="170">
        <f>Dateneingabe!$F$16</f>
        <v>1000</v>
      </c>
      <c r="E285" s="171">
        <f>Dateneingabe!$F$11</f>
        <v>18</v>
      </c>
      <c r="F285" s="172">
        <f>D285*E285</f>
        <v>18000</v>
      </c>
      <c r="G285" s="173"/>
      <c r="H285" s="174">
        <f>F285*Dateneingabe!$F$10/100</f>
        <v>18000</v>
      </c>
    </row>
    <row r="286" spans="3:8" ht="15.75" x14ac:dyDescent="0.25">
      <c r="C286" s="175"/>
      <c r="D286" s="176"/>
      <c r="E286" s="175"/>
      <c r="F286" s="177"/>
      <c r="G286" s="178"/>
      <c r="H286" s="176"/>
    </row>
    <row r="287" spans="3:8" ht="16.5" thickBot="1" x14ac:dyDescent="0.3">
      <c r="C287" s="640" t="s">
        <v>64</v>
      </c>
      <c r="D287" s="641"/>
      <c r="E287" s="641"/>
      <c r="F287" s="641"/>
      <c r="G287" s="641"/>
      <c r="H287" s="642"/>
    </row>
    <row r="288" spans="3:8" ht="32.450000000000003" customHeight="1" thickBot="1" x14ac:dyDescent="0.3">
      <c r="C288" s="167" t="s">
        <v>50</v>
      </c>
      <c r="D288" s="168" t="s">
        <v>66</v>
      </c>
      <c r="E288" s="168" t="s">
        <v>65</v>
      </c>
      <c r="F288" s="168" t="s">
        <v>373</v>
      </c>
      <c r="G288" s="168" t="s">
        <v>583</v>
      </c>
      <c r="H288" s="168" t="s">
        <v>67</v>
      </c>
    </row>
    <row r="289" spans="3:8" ht="15.75" x14ac:dyDescent="0.25">
      <c r="C289" s="179" t="s">
        <v>51</v>
      </c>
      <c r="D289" s="180"/>
      <c r="E289" s="181"/>
      <c r="F289" s="182">
        <f>90000*D285/1000</f>
        <v>90000</v>
      </c>
      <c r="G289" s="183"/>
      <c r="H289" s="184"/>
    </row>
    <row r="290" spans="3:8" ht="15.75" x14ac:dyDescent="0.25">
      <c r="C290" s="179" t="s">
        <v>52</v>
      </c>
      <c r="D290" s="180">
        <f>330*D285/1000</f>
        <v>330</v>
      </c>
      <c r="E290" s="181">
        <v>120</v>
      </c>
      <c r="F290" s="182">
        <f>D290*E290</f>
        <v>39600</v>
      </c>
      <c r="G290" s="212">
        <v>-0.18</v>
      </c>
      <c r="H290" s="186">
        <f>$H$81*G290</f>
        <v>-3240</v>
      </c>
    </row>
    <row r="291" spans="3:8" ht="15.75" x14ac:dyDescent="0.25">
      <c r="C291" s="179" t="s">
        <v>76</v>
      </c>
      <c r="D291" s="180">
        <f>800*D285/1000</f>
        <v>800</v>
      </c>
      <c r="E291" s="181">
        <v>250</v>
      </c>
      <c r="F291" s="182">
        <f>D291*E291</f>
        <v>200000</v>
      </c>
      <c r="G291" s="212">
        <v>-0.36499999999999999</v>
      </c>
      <c r="H291" s="186">
        <f t="shared" ref="H291:H292" si="18">$H$81*G291</f>
        <v>-6570</v>
      </c>
    </row>
    <row r="292" spans="3:8" ht="15.75" x14ac:dyDescent="0.25">
      <c r="C292" s="179" t="s">
        <v>53</v>
      </c>
      <c r="D292" s="180">
        <f>330*D285/1000</f>
        <v>330</v>
      </c>
      <c r="E292" s="181">
        <v>100</v>
      </c>
      <c r="F292" s="182">
        <f t="shared" ref="F292:F293" si="19">D292*E292</f>
        <v>33000</v>
      </c>
      <c r="G292" s="212">
        <v>-0.12</v>
      </c>
      <c r="H292" s="186">
        <f t="shared" si="18"/>
        <v>-2160</v>
      </c>
    </row>
    <row r="293" spans="3:8" ht="15.75" x14ac:dyDescent="0.25">
      <c r="C293" s="179" t="s">
        <v>77</v>
      </c>
      <c r="D293" s="180">
        <f>100*D285/1000</f>
        <v>100</v>
      </c>
      <c r="E293" s="181">
        <v>800</v>
      </c>
      <c r="F293" s="182">
        <f t="shared" si="19"/>
        <v>80000</v>
      </c>
      <c r="G293" s="212">
        <v>-0.06</v>
      </c>
      <c r="H293" s="186">
        <f>$H$81*G293</f>
        <v>-1080</v>
      </c>
    </row>
    <row r="294" spans="3:8" ht="15.75" x14ac:dyDescent="0.25">
      <c r="C294" s="213" t="s">
        <v>78</v>
      </c>
      <c r="D294" s="180"/>
      <c r="E294" s="181"/>
      <c r="F294" s="214">
        <f>SUM(F289:F293)</f>
        <v>442600</v>
      </c>
      <c r="G294" s="218">
        <f>SUM(G290:G293)</f>
        <v>-0.72499999999999987</v>
      </c>
      <c r="H294" s="174">
        <f>SUM(H290:H293)</f>
        <v>-13050</v>
      </c>
    </row>
    <row r="295" spans="3:8" ht="15.75" x14ac:dyDescent="0.25">
      <c r="C295" s="179" t="s">
        <v>80</v>
      </c>
      <c r="D295" s="180">
        <f>10*D285/1000</f>
        <v>10</v>
      </c>
      <c r="E295" s="181">
        <v>10000</v>
      </c>
      <c r="F295" s="182">
        <f t="shared" ref="F295" si="20">D295*E295</f>
        <v>100000</v>
      </c>
      <c r="G295" s="183">
        <f>-(1+G294)*0.32</f>
        <v>-8.800000000000005E-2</v>
      </c>
      <c r="H295" s="186">
        <f>$H$81*G295</f>
        <v>-1584.0000000000009</v>
      </c>
    </row>
    <row r="296" spans="3:8" ht="15.75" x14ac:dyDescent="0.25">
      <c r="C296" s="179" t="s">
        <v>55</v>
      </c>
      <c r="D296" s="180">
        <v>1</v>
      </c>
      <c r="E296" s="181">
        <f>20000+20000*D285/1000</f>
        <v>40000</v>
      </c>
      <c r="F296" s="182">
        <f>E296</f>
        <v>40000</v>
      </c>
      <c r="G296" s="183">
        <v>-0.02</v>
      </c>
      <c r="H296" s="186">
        <f>$H$81*G296</f>
        <v>-360</v>
      </c>
    </row>
    <row r="297" spans="3:8" ht="15.75" x14ac:dyDescent="0.25">
      <c r="C297" s="179" t="s">
        <v>81</v>
      </c>
      <c r="D297" s="180">
        <v>1</v>
      </c>
      <c r="E297" s="181">
        <f>23000+27000*D285/1000</f>
        <v>50000</v>
      </c>
      <c r="F297" s="182">
        <f>E297</f>
        <v>50000</v>
      </c>
      <c r="G297" s="215">
        <f>-(1+G294+G295+G296)</f>
        <v>-0.16700000000000009</v>
      </c>
      <c r="H297" s="186">
        <f>H285*G297</f>
        <v>-3006.0000000000018</v>
      </c>
    </row>
    <row r="298" spans="3:8" ht="15.75" x14ac:dyDescent="0.25">
      <c r="C298" s="189" t="s">
        <v>92</v>
      </c>
      <c r="D298" s="190"/>
      <c r="E298" s="191"/>
      <c r="F298" s="192">
        <f>SUM(F294:F297)</f>
        <v>632600</v>
      </c>
      <c r="G298" s="193">
        <f>SUM(G294:G297)</f>
        <v>-1</v>
      </c>
      <c r="H298" s="226">
        <f>SUM(H294:H297)</f>
        <v>-18000</v>
      </c>
    </row>
    <row r="299" spans="3:8" ht="15.75" x14ac:dyDescent="0.25">
      <c r="C299" s="227" t="s">
        <v>383</v>
      </c>
      <c r="D299" s="228">
        <f>Standardwerte!$F$17*Standardwerte!$F$16</f>
        <v>333</v>
      </c>
      <c r="E299" s="229"/>
      <c r="F299" s="230">
        <f>Dateneingabe!$F$23*Dateneingabe!$F$24</f>
        <v>100000</v>
      </c>
      <c r="G299" s="231"/>
      <c r="H299" s="188"/>
    </row>
    <row r="300" spans="3:8" ht="15.75" x14ac:dyDescent="0.25">
      <c r="C300" s="234" t="s">
        <v>94</v>
      </c>
      <c r="D300" s="170"/>
      <c r="E300" s="233"/>
      <c r="F300" s="214">
        <f>SUM(F298:F299)</f>
        <v>732600</v>
      </c>
      <c r="G300" s="215"/>
      <c r="H300" s="186"/>
    </row>
    <row r="301" spans="3:8" ht="15.75" x14ac:dyDescent="0.25">
      <c r="C301" s="232"/>
      <c r="D301" s="196"/>
      <c r="E301" s="195"/>
      <c r="F301" s="197"/>
      <c r="G301" s="198"/>
      <c r="H301" s="196"/>
    </row>
    <row r="302" spans="3:8" ht="16.5" thickBot="1" x14ac:dyDescent="0.3">
      <c r="C302" s="643" t="s">
        <v>95</v>
      </c>
      <c r="D302" s="644"/>
      <c r="E302" s="644"/>
      <c r="F302" s="644"/>
      <c r="G302" s="644"/>
      <c r="H302" s="645"/>
    </row>
    <row r="303" spans="3:8" ht="32.450000000000003" customHeight="1" thickBot="1" x14ac:dyDescent="0.3">
      <c r="C303" s="167" t="s">
        <v>50</v>
      </c>
      <c r="D303" s="168" t="s">
        <v>66</v>
      </c>
      <c r="E303" s="168"/>
      <c r="F303" s="168" t="s">
        <v>71</v>
      </c>
      <c r="G303" s="168" t="s">
        <v>74</v>
      </c>
      <c r="H303" s="168" t="s">
        <v>68</v>
      </c>
    </row>
    <row r="304" spans="3:8" ht="15.75" x14ac:dyDescent="0.25">
      <c r="C304" s="199" t="s">
        <v>72</v>
      </c>
      <c r="D304" s="200"/>
      <c r="E304" s="200"/>
      <c r="F304" s="201">
        <f>F285*G298</f>
        <v>-18000</v>
      </c>
      <c r="G304" s="201"/>
      <c r="H304" s="202">
        <f>H285+H298</f>
        <v>0</v>
      </c>
    </row>
    <row r="305" spans="3:8" ht="15.75" x14ac:dyDescent="0.25">
      <c r="C305" s="219" t="s">
        <v>374</v>
      </c>
      <c r="D305" s="220">
        <f>Dateneingabe!$F$16</f>
        <v>1000</v>
      </c>
      <c r="E305" s="221"/>
      <c r="F305" s="222"/>
      <c r="G305" s="220">
        <f>D305*300/200</f>
        <v>1500</v>
      </c>
      <c r="H305" s="223">
        <f>G305*Dateneingabe!$F$12</f>
        <v>225</v>
      </c>
    </row>
    <row r="306" spans="3:8" ht="15.75" x14ac:dyDescent="0.25">
      <c r="C306" s="219" t="s">
        <v>347</v>
      </c>
      <c r="D306" s="220">
        <f>Dateneingabe!$F$16</f>
        <v>1000</v>
      </c>
      <c r="E306" s="221"/>
      <c r="F306" s="222"/>
      <c r="G306" s="220">
        <f>200*D306/200</f>
        <v>1000</v>
      </c>
      <c r="H306" s="223">
        <f>G306*Dateneingabe!$F$12</f>
        <v>150</v>
      </c>
    </row>
    <row r="307" spans="3:8" ht="15.75" x14ac:dyDescent="0.25">
      <c r="C307" s="219" t="s">
        <v>346</v>
      </c>
      <c r="D307" s="220">
        <f>Dateneingabe!$F$16</f>
        <v>1000</v>
      </c>
      <c r="E307" s="221"/>
      <c r="F307" s="222"/>
      <c r="G307" s="220">
        <f>-F285*G297*Standardwerte!$D$39/Standardwerte!$F$13</f>
        <v>8588.571428571433</v>
      </c>
      <c r="H307" s="223">
        <f>G307*Dateneingabe!$F$12</f>
        <v>1288.2857142857149</v>
      </c>
    </row>
    <row r="308" spans="3:8" ht="16.5" thickBot="1" x14ac:dyDescent="0.3">
      <c r="C308" s="203" t="s">
        <v>91</v>
      </c>
      <c r="D308" s="204"/>
      <c r="E308" s="205"/>
      <c r="F308" s="206"/>
      <c r="G308" s="204">
        <v>50000</v>
      </c>
      <c r="H308" s="207">
        <f>-G308*Dateneingabe!F13</f>
        <v>-10000</v>
      </c>
    </row>
    <row r="309" spans="3:8" ht="16.5" thickBot="1" x14ac:dyDescent="0.3">
      <c r="C309" s="208" t="s">
        <v>56</v>
      </c>
      <c r="D309" s="209"/>
      <c r="E309" s="209"/>
      <c r="F309" s="209"/>
      <c r="G309" s="210"/>
      <c r="H309" s="211">
        <f>SUM(H304:H308)</f>
        <v>-8336.7142857142844</v>
      </c>
    </row>
  </sheetData>
  <mergeCells count="52">
    <mergeCell ref="C202:H202"/>
    <mergeCell ref="C217:H217"/>
    <mergeCell ref="C186:H186"/>
    <mergeCell ref="C187:H187"/>
    <mergeCell ref="D188:H188"/>
    <mergeCell ref="D189:H189"/>
    <mergeCell ref="C198:H198"/>
    <mergeCell ref="C26:H26"/>
    <mergeCell ref="C1:H1"/>
    <mergeCell ref="C2:H2"/>
    <mergeCell ref="D3:H3"/>
    <mergeCell ref="C14:H14"/>
    <mergeCell ref="C10:H10"/>
    <mergeCell ref="C35:H35"/>
    <mergeCell ref="C36:H36"/>
    <mergeCell ref="D37:H37"/>
    <mergeCell ref="C44:H44"/>
    <mergeCell ref="C48:H48"/>
    <mergeCell ref="C61:H61"/>
    <mergeCell ref="C70:H70"/>
    <mergeCell ref="C71:H71"/>
    <mergeCell ref="D72:H72"/>
    <mergeCell ref="C79:H79"/>
    <mergeCell ref="C83:H83"/>
    <mergeCell ref="C96:H96"/>
    <mergeCell ref="C107:H107"/>
    <mergeCell ref="C108:H108"/>
    <mergeCell ref="D109:H109"/>
    <mergeCell ref="C116:H116"/>
    <mergeCell ref="C120:H120"/>
    <mergeCell ref="C133:H133"/>
    <mergeCell ref="C144:H144"/>
    <mergeCell ref="C145:H145"/>
    <mergeCell ref="D146:H146"/>
    <mergeCell ref="C156:H156"/>
    <mergeCell ref="C160:H160"/>
    <mergeCell ref="C175:H175"/>
    <mergeCell ref="D147:H147"/>
    <mergeCell ref="C287:H287"/>
    <mergeCell ref="C302:H302"/>
    <mergeCell ref="C228:H228"/>
    <mergeCell ref="C229:H229"/>
    <mergeCell ref="D230:H230"/>
    <mergeCell ref="D231:H231"/>
    <mergeCell ref="C240:H240"/>
    <mergeCell ref="C244:H244"/>
    <mergeCell ref="C259:H259"/>
    <mergeCell ref="C271:H271"/>
    <mergeCell ref="C272:H272"/>
    <mergeCell ref="D273:H273"/>
    <mergeCell ref="D274:H274"/>
    <mergeCell ref="C283:H283"/>
  </mergeCells>
  <pageMargins left="0.7" right="0.7" top="0.78740157499999996" bottom="0.78740157499999996" header="0.3" footer="0.3"/>
  <pageSetup paperSize="9" orientation="portrait" r:id="rId1"/>
  <ignoredErrors>
    <ignoredError sqref="H294 F294 F251 H251 F209 F127 F90"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65"/>
  <sheetViews>
    <sheetView topLeftCell="D1" zoomScale="70" zoomScaleNormal="70" workbookViewId="0">
      <selection activeCell="D1" sqref="A1:XFD1048576"/>
    </sheetView>
  </sheetViews>
  <sheetFormatPr baseColWidth="10" defaultRowHeight="15" x14ac:dyDescent="0.25"/>
  <cols>
    <col min="3" max="3" width="3.85546875" customWidth="1"/>
    <col min="5" max="5" width="23.140625" customWidth="1"/>
    <col min="8" max="8" width="13.42578125" bestFit="1" customWidth="1"/>
  </cols>
  <sheetData>
    <row r="2" spans="3:17" ht="18.75" x14ac:dyDescent="0.3">
      <c r="Q2" s="235" t="s">
        <v>548</v>
      </c>
    </row>
    <row r="4" spans="3:17" ht="18.75" x14ac:dyDescent="0.3">
      <c r="D4" s="235" t="s">
        <v>547</v>
      </c>
      <c r="E4" s="55" t="s">
        <v>141</v>
      </c>
    </row>
    <row r="5" spans="3:17" ht="15.75" thickBot="1" x14ac:dyDescent="0.3"/>
    <row r="6" spans="3:17" ht="45.75" thickBot="1" x14ac:dyDescent="0.3">
      <c r="E6" s="613" t="s">
        <v>128</v>
      </c>
      <c r="F6" s="612" t="s">
        <v>112</v>
      </c>
      <c r="G6" s="604" t="s">
        <v>277</v>
      </c>
      <c r="H6" s="605" t="s">
        <v>99</v>
      </c>
      <c r="I6" s="604" t="s">
        <v>100</v>
      </c>
      <c r="J6" s="604" t="s">
        <v>101</v>
      </c>
      <c r="K6" s="604" t="s">
        <v>590</v>
      </c>
      <c r="L6" s="604" t="s">
        <v>591</v>
      </c>
      <c r="M6" s="604" t="s">
        <v>592</v>
      </c>
      <c r="N6" s="92" t="s">
        <v>593</v>
      </c>
    </row>
    <row r="7" spans="3:17" ht="15.75" x14ac:dyDescent="0.25">
      <c r="E7" s="236" t="s">
        <v>129</v>
      </c>
      <c r="F7" s="237"/>
      <c r="G7" s="238"/>
      <c r="H7" s="238"/>
      <c r="I7" s="238"/>
      <c r="J7" s="238"/>
      <c r="K7" s="238"/>
      <c r="L7" s="238"/>
      <c r="M7" s="238"/>
      <c r="N7" s="603"/>
    </row>
    <row r="8" spans="3:17" ht="15.75" x14ac:dyDescent="0.25">
      <c r="C8" s="16"/>
      <c r="E8" s="239" t="s">
        <v>51</v>
      </c>
      <c r="F8" s="240" t="s">
        <v>10</v>
      </c>
      <c r="G8" s="241">
        <f>Sanierungsvarianten!$F$16</f>
        <v>20000</v>
      </c>
      <c r="H8" s="241">
        <f>Sanierungsvarianten!$F$50</f>
        <v>40000</v>
      </c>
      <c r="I8" s="241">
        <f>Sanierungsvarianten!$F$85</f>
        <v>60000</v>
      </c>
      <c r="J8" s="241">
        <f>Sanierungsvarianten!$F$122</f>
        <v>90000</v>
      </c>
      <c r="K8" s="241">
        <f>Sanierungsvarianten!$F$162</f>
        <v>40000</v>
      </c>
      <c r="L8" s="241">
        <f>Sanierungsvarianten!$F$204</f>
        <v>40000</v>
      </c>
      <c r="M8" s="241">
        <f>Sanierungsvarianten!$F$246</f>
        <v>60000</v>
      </c>
      <c r="N8" s="242">
        <f>Sanierungsvarianten!$F$289</f>
        <v>90000</v>
      </c>
    </row>
    <row r="9" spans="3:17" ht="15.75" x14ac:dyDescent="0.25">
      <c r="E9" s="239" t="s">
        <v>131</v>
      </c>
      <c r="F9" s="240" t="s">
        <v>10</v>
      </c>
      <c r="G9" s="241">
        <f>Sanierungsvarianten!$F$17</f>
        <v>0</v>
      </c>
      <c r="H9" s="241">
        <f>Sanierungsvarianten!$F$51</f>
        <v>31350</v>
      </c>
      <c r="I9" s="241">
        <f>Sanierungsvarianten!$F$86</f>
        <v>31350</v>
      </c>
      <c r="J9" s="241">
        <f>Sanierungsvarianten!$F$123</f>
        <v>39600</v>
      </c>
      <c r="K9" s="241">
        <f>Sanierungsvarianten!$F$163</f>
        <v>31350</v>
      </c>
      <c r="L9" s="241">
        <f>Sanierungsvarianten!$F$205</f>
        <v>31350</v>
      </c>
      <c r="M9" s="241">
        <f>Sanierungsvarianten!$F$247</f>
        <v>31350</v>
      </c>
      <c r="N9" s="242">
        <f>Sanierungsvarianten!$F$290</f>
        <v>39600</v>
      </c>
    </row>
    <row r="10" spans="3:17" ht="15.75" x14ac:dyDescent="0.25">
      <c r="E10" s="239" t="s">
        <v>76</v>
      </c>
      <c r="F10" s="240" t="s">
        <v>10</v>
      </c>
      <c r="G10" s="241">
        <f>Sanierungsvarianten!$F$18</f>
        <v>57600</v>
      </c>
      <c r="H10" s="241">
        <f>Sanierungsvarianten!$F$52</f>
        <v>172000</v>
      </c>
      <c r="I10" s="241">
        <f>Sanierungsvarianten!$F$87</f>
        <v>172000</v>
      </c>
      <c r="J10" s="241">
        <f>Sanierungsvarianten!$F$124</f>
        <v>200000</v>
      </c>
      <c r="K10" s="241">
        <f>Sanierungsvarianten!$F$164</f>
        <v>57600</v>
      </c>
      <c r="L10" s="241">
        <f>Sanierungsvarianten!$F$206</f>
        <v>172000</v>
      </c>
      <c r="M10" s="241">
        <f>Sanierungsvarianten!$F$248</f>
        <v>172000</v>
      </c>
      <c r="N10" s="242">
        <f>Sanierungsvarianten!$F$291</f>
        <v>200000</v>
      </c>
    </row>
    <row r="11" spans="3:17" ht="15.75" x14ac:dyDescent="0.25">
      <c r="E11" s="239" t="s">
        <v>53</v>
      </c>
      <c r="F11" s="240" t="s">
        <v>10</v>
      </c>
      <c r="G11" s="241">
        <f>Sanierungsvarianten!$F$19</f>
        <v>0</v>
      </c>
      <c r="H11" s="241">
        <f>Sanierungsvarianten!$F$53</f>
        <v>28050</v>
      </c>
      <c r="I11" s="241">
        <f>Sanierungsvarianten!$F$88</f>
        <v>28050</v>
      </c>
      <c r="J11" s="241">
        <f>Sanierungsvarianten!$F$125</f>
        <v>33000</v>
      </c>
      <c r="K11" s="241">
        <f>Sanierungsvarianten!$F$165</f>
        <v>28050</v>
      </c>
      <c r="L11" s="241">
        <f>Sanierungsvarianten!$F$207</f>
        <v>28050</v>
      </c>
      <c r="M11" s="241">
        <f>Sanierungsvarianten!$F$249</f>
        <v>28050</v>
      </c>
      <c r="N11" s="242">
        <f>Sanierungsvarianten!$F$292</f>
        <v>33000</v>
      </c>
    </row>
    <row r="12" spans="3:17" ht="15.75" x14ac:dyDescent="0.25">
      <c r="E12" s="239" t="s">
        <v>77</v>
      </c>
      <c r="F12" s="240" t="s">
        <v>10</v>
      </c>
      <c r="G12" s="241">
        <f>Sanierungsvarianten!$F$20</f>
        <v>9500</v>
      </c>
      <c r="H12" s="241">
        <f>Sanierungsvarianten!$F$54</f>
        <v>72000</v>
      </c>
      <c r="I12" s="241">
        <f>Sanierungsvarianten!$F$89</f>
        <v>72000</v>
      </c>
      <c r="J12" s="241">
        <f>Sanierungsvarianten!$F$126</f>
        <v>80000</v>
      </c>
      <c r="K12" s="241">
        <f>Sanierungsvarianten!$F$166</f>
        <v>72000</v>
      </c>
      <c r="L12" s="241">
        <f>Sanierungsvarianten!$F$208</f>
        <v>72000</v>
      </c>
      <c r="M12" s="241">
        <f>Sanierungsvarianten!$F$250</f>
        <v>72000</v>
      </c>
      <c r="N12" s="242">
        <f>Sanierungsvarianten!$F$293</f>
        <v>80000</v>
      </c>
    </row>
    <row r="13" spans="3:17" ht="15.75" x14ac:dyDescent="0.25">
      <c r="E13" s="243" t="s">
        <v>137</v>
      </c>
      <c r="F13" s="244" t="s">
        <v>10</v>
      </c>
      <c r="G13" s="245">
        <f t="shared" ref="G13:N13" si="0">SUM(G8:G12)</f>
        <v>87100</v>
      </c>
      <c r="H13" s="245">
        <f t="shared" si="0"/>
        <v>343400</v>
      </c>
      <c r="I13" s="245">
        <f t="shared" si="0"/>
        <v>363400</v>
      </c>
      <c r="J13" s="245">
        <f t="shared" si="0"/>
        <v>442600</v>
      </c>
      <c r="K13" s="245">
        <f t="shared" si="0"/>
        <v>229000</v>
      </c>
      <c r="L13" s="245">
        <f t="shared" si="0"/>
        <v>343400</v>
      </c>
      <c r="M13" s="245">
        <f t="shared" si="0"/>
        <v>363400</v>
      </c>
      <c r="N13" s="246">
        <f t="shared" si="0"/>
        <v>442600</v>
      </c>
    </row>
    <row r="14" spans="3:17" ht="15.75" x14ac:dyDescent="0.25">
      <c r="E14" s="247" t="s">
        <v>130</v>
      </c>
      <c r="F14" s="240"/>
      <c r="G14" s="248"/>
      <c r="H14" s="248"/>
      <c r="I14" s="248"/>
      <c r="J14" s="248"/>
      <c r="K14" s="248"/>
      <c r="L14" s="248"/>
      <c r="M14" s="248"/>
      <c r="N14" s="249"/>
    </row>
    <row r="15" spans="3:17" ht="15.75" x14ac:dyDescent="0.25">
      <c r="E15" s="239" t="s">
        <v>80</v>
      </c>
      <c r="F15" s="240" t="s">
        <v>10</v>
      </c>
      <c r="G15" s="241">
        <f>Sanierungsvarianten!$F$21</f>
        <v>0</v>
      </c>
      <c r="H15" s="241">
        <f>Sanierungsvarianten!$F$56</f>
        <v>0</v>
      </c>
      <c r="I15" s="241">
        <f>Sanierungsvarianten!$F$91</f>
        <v>100000</v>
      </c>
      <c r="J15" s="241">
        <f>Sanierungsvarianten!$F$128</f>
        <v>100000</v>
      </c>
      <c r="K15" s="241">
        <f>Sanierungsvarianten!$F$168</f>
        <v>0</v>
      </c>
      <c r="L15" s="241">
        <f>Sanierungsvarianten!$F$210</f>
        <v>0</v>
      </c>
      <c r="M15" s="241">
        <f>Sanierungsvarianten!$F$252</f>
        <v>100000</v>
      </c>
      <c r="N15" s="242">
        <f>Sanierungsvarianten!$F$295</f>
        <v>100000</v>
      </c>
    </row>
    <row r="16" spans="3:17" ht="15.75" x14ac:dyDescent="0.25">
      <c r="E16" s="239" t="s">
        <v>55</v>
      </c>
      <c r="F16" s="240" t="s">
        <v>10</v>
      </c>
      <c r="G16" s="241">
        <f>Sanierungsvarianten!$F$22</f>
        <v>0</v>
      </c>
      <c r="H16" s="241">
        <f>Sanierungsvarianten!$F$57</f>
        <v>0</v>
      </c>
      <c r="I16" s="241">
        <f>Sanierungsvarianten!$F$92</f>
        <v>0</v>
      </c>
      <c r="J16" s="241">
        <f>Sanierungsvarianten!$F$129</f>
        <v>40000</v>
      </c>
      <c r="K16" s="241">
        <f>Sanierungsvarianten!$F$169</f>
        <v>0</v>
      </c>
      <c r="L16" s="241">
        <f>Sanierungsvarianten!$F$211</f>
        <v>0</v>
      </c>
      <c r="M16" s="241">
        <f>Sanierungsvarianten!$F$253</f>
        <v>0</v>
      </c>
      <c r="N16" s="242">
        <f>Sanierungsvarianten!$F$296</f>
        <v>40000</v>
      </c>
    </row>
    <row r="17" spans="5:17" ht="15.75" x14ac:dyDescent="0.25">
      <c r="E17" s="239" t="s">
        <v>132</v>
      </c>
      <c r="F17" s="240" t="s">
        <v>10</v>
      </c>
      <c r="G17" s="248">
        <v>0</v>
      </c>
      <c r="H17" s="248">
        <v>0</v>
      </c>
      <c r="I17" s="248">
        <v>0</v>
      </c>
      <c r="J17" s="248">
        <v>0</v>
      </c>
      <c r="K17" s="241">
        <f>Sanierungsvarianten!$F$172</f>
        <v>100000</v>
      </c>
      <c r="L17" s="241">
        <f>Sanierungsvarianten!$F$214</f>
        <v>100000</v>
      </c>
      <c r="M17" s="241">
        <f>Sanierungsvarianten!$F$256</f>
        <v>100000</v>
      </c>
      <c r="N17" s="242">
        <f>Sanierungsvarianten!$F$299</f>
        <v>100000</v>
      </c>
    </row>
    <row r="18" spans="5:17" ht="15.75" x14ac:dyDescent="0.25">
      <c r="E18" s="239" t="s">
        <v>133</v>
      </c>
      <c r="F18" s="240" t="s">
        <v>10</v>
      </c>
      <c r="G18" s="248">
        <v>0</v>
      </c>
      <c r="H18" s="248">
        <v>0</v>
      </c>
      <c r="I18" s="241">
        <f>Sanierungsvarianten!$F$93</f>
        <v>50000</v>
      </c>
      <c r="J18" s="241">
        <f>Sanierungsvarianten!$F$130</f>
        <v>50000</v>
      </c>
      <c r="K18" s="241">
        <f>Sanierungsvarianten!$F$170</f>
        <v>50000</v>
      </c>
      <c r="L18" s="241">
        <f>Sanierungsvarianten!$F$212</f>
        <v>50000</v>
      </c>
      <c r="M18" s="241">
        <f>Sanierungsvarianten!$F$254</f>
        <v>50000</v>
      </c>
      <c r="N18" s="242">
        <f>Sanierungsvarianten!$F$297</f>
        <v>50000</v>
      </c>
    </row>
    <row r="19" spans="5:17" ht="15.75" x14ac:dyDescent="0.25">
      <c r="E19" s="239" t="s">
        <v>134</v>
      </c>
      <c r="F19" s="240" t="s">
        <v>10</v>
      </c>
      <c r="G19" s="241">
        <f>Sanierungsvarianten!$F$23</f>
        <v>15000</v>
      </c>
      <c r="H19" s="241">
        <f>Sanierungsvarianten!$F$58</f>
        <v>15000</v>
      </c>
      <c r="I19" s="241">
        <v>0</v>
      </c>
      <c r="J19" s="241">
        <v>0</v>
      </c>
      <c r="K19" s="248">
        <v>0</v>
      </c>
      <c r="L19" s="248">
        <v>0</v>
      </c>
      <c r="M19" s="248">
        <v>0</v>
      </c>
      <c r="N19" s="249">
        <v>0</v>
      </c>
    </row>
    <row r="20" spans="5:17" ht="15.75" x14ac:dyDescent="0.25">
      <c r="E20" s="243" t="s">
        <v>138</v>
      </c>
      <c r="F20" s="244" t="s">
        <v>10</v>
      </c>
      <c r="G20" s="245">
        <f t="shared" ref="G20:N20" si="1">SUM(G15:G19)</f>
        <v>15000</v>
      </c>
      <c r="H20" s="245">
        <f t="shared" si="1"/>
        <v>15000</v>
      </c>
      <c r="I20" s="245">
        <f t="shared" si="1"/>
        <v>150000</v>
      </c>
      <c r="J20" s="245">
        <f t="shared" si="1"/>
        <v>190000</v>
      </c>
      <c r="K20" s="245">
        <f t="shared" si="1"/>
        <v>150000</v>
      </c>
      <c r="L20" s="245">
        <f t="shared" si="1"/>
        <v>150000</v>
      </c>
      <c r="M20" s="245">
        <f t="shared" si="1"/>
        <v>250000</v>
      </c>
      <c r="N20" s="246">
        <f t="shared" si="1"/>
        <v>290000</v>
      </c>
    </row>
    <row r="21" spans="5:17" ht="15.75" x14ac:dyDescent="0.25">
      <c r="E21" s="247"/>
      <c r="F21" s="240"/>
      <c r="G21" s="248"/>
      <c r="H21" s="248"/>
      <c r="I21" s="248"/>
      <c r="J21" s="248"/>
      <c r="K21" s="248"/>
      <c r="L21" s="248"/>
      <c r="M21" s="248"/>
      <c r="N21" s="249"/>
    </row>
    <row r="22" spans="5:17" ht="15.75" x14ac:dyDescent="0.25">
      <c r="E22" s="250" t="s">
        <v>139</v>
      </c>
      <c r="F22" s="251" t="s">
        <v>10</v>
      </c>
      <c r="G22" s="252">
        <f>SUM(G13,G20)</f>
        <v>102100</v>
      </c>
      <c r="H22" s="252">
        <f t="shared" ref="H22:N22" si="2">SUM(H13,H20)</f>
        <v>358400</v>
      </c>
      <c r="I22" s="252">
        <f t="shared" si="2"/>
        <v>513400</v>
      </c>
      <c r="J22" s="252">
        <f t="shared" si="2"/>
        <v>632600</v>
      </c>
      <c r="K22" s="252">
        <f t="shared" si="2"/>
        <v>379000</v>
      </c>
      <c r="L22" s="252">
        <f t="shared" si="2"/>
        <v>493400</v>
      </c>
      <c r="M22" s="252">
        <f t="shared" si="2"/>
        <v>613400</v>
      </c>
      <c r="N22" s="253">
        <f t="shared" si="2"/>
        <v>732600</v>
      </c>
    </row>
    <row r="23" spans="5:17" ht="15.75" x14ac:dyDescent="0.25">
      <c r="E23" s="239" t="s">
        <v>135</v>
      </c>
      <c r="F23" s="240" t="s">
        <v>140</v>
      </c>
      <c r="G23" s="254">
        <f>G13/G22</f>
        <v>0.85308521057786479</v>
      </c>
      <c r="H23" s="254">
        <f t="shared" ref="H23:N23" si="3">H13/H22</f>
        <v>0.9581473214285714</v>
      </c>
      <c r="I23" s="254">
        <f t="shared" si="3"/>
        <v>0.70783015192832099</v>
      </c>
      <c r="J23" s="254">
        <f t="shared" si="3"/>
        <v>0.69965222889661716</v>
      </c>
      <c r="K23" s="254">
        <f t="shared" si="3"/>
        <v>0.60422163588390498</v>
      </c>
      <c r="L23" s="254">
        <f t="shared" si="3"/>
        <v>0.6959870287798946</v>
      </c>
      <c r="M23" s="254">
        <f t="shared" si="3"/>
        <v>0.59243560482556246</v>
      </c>
      <c r="N23" s="255">
        <f t="shared" si="3"/>
        <v>0.60414960414960417</v>
      </c>
    </row>
    <row r="24" spans="5:17" ht="16.5" thickBot="1" x14ac:dyDescent="0.3">
      <c r="E24" s="256" t="s">
        <v>136</v>
      </c>
      <c r="F24" s="257" t="s">
        <v>140</v>
      </c>
      <c r="G24" s="258">
        <f>G20/G22</f>
        <v>0.14691478942213515</v>
      </c>
      <c r="H24" s="258">
        <f t="shared" ref="H24:N24" si="4">H20/H22</f>
        <v>4.1852678571428568E-2</v>
      </c>
      <c r="I24" s="258">
        <f t="shared" si="4"/>
        <v>0.29216984807167901</v>
      </c>
      <c r="J24" s="258">
        <f t="shared" si="4"/>
        <v>0.30034777110338284</v>
      </c>
      <c r="K24" s="258">
        <f t="shared" si="4"/>
        <v>0.39577836411609496</v>
      </c>
      <c r="L24" s="258">
        <f t="shared" si="4"/>
        <v>0.3040129712201054</v>
      </c>
      <c r="M24" s="258">
        <f t="shared" si="4"/>
        <v>0.40756439517443754</v>
      </c>
      <c r="N24" s="259">
        <f t="shared" si="4"/>
        <v>0.39585039585039583</v>
      </c>
    </row>
    <row r="25" spans="5:17" x14ac:dyDescent="0.25">
      <c r="E25" s="50"/>
      <c r="F25" s="51"/>
      <c r="G25" s="52"/>
      <c r="H25" s="52"/>
      <c r="I25" s="52"/>
      <c r="J25" s="52"/>
      <c r="K25" s="52"/>
      <c r="L25" s="52"/>
      <c r="M25" s="52"/>
      <c r="N25" s="52"/>
    </row>
    <row r="26" spans="5:17" x14ac:dyDescent="0.25">
      <c r="E26" s="50"/>
      <c r="F26" s="51"/>
      <c r="G26" s="52"/>
      <c r="H26" s="52"/>
      <c r="I26" s="52"/>
      <c r="J26" s="52"/>
      <c r="K26" s="52"/>
      <c r="L26" s="52"/>
      <c r="M26" s="52"/>
      <c r="N26" s="52"/>
    </row>
    <row r="29" spans="5:17" ht="18.75" x14ac:dyDescent="0.3">
      <c r="Q29" s="235" t="s">
        <v>550</v>
      </c>
    </row>
    <row r="35" spans="2:14" ht="18.75" x14ac:dyDescent="0.3">
      <c r="B35" s="119" t="s">
        <v>549</v>
      </c>
      <c r="C35" s="57" t="s">
        <v>127</v>
      </c>
    </row>
    <row r="37" spans="2:14" ht="16.5" thickBot="1" x14ac:dyDescent="0.3">
      <c r="C37" s="131" t="s">
        <v>117</v>
      </c>
      <c r="D37" s="131"/>
      <c r="E37" s="216"/>
      <c r="F37" s="166">
        <f>Dateneingabe!H19</f>
        <v>2</v>
      </c>
    </row>
    <row r="38" spans="2:14" ht="45.75" thickBot="1" x14ac:dyDescent="0.3">
      <c r="C38" s="120" t="s">
        <v>126</v>
      </c>
      <c r="D38" s="40" t="s">
        <v>123</v>
      </c>
      <c r="E38" s="41"/>
      <c r="F38" s="87" t="s">
        <v>124</v>
      </c>
      <c r="G38" s="604" t="s">
        <v>277</v>
      </c>
      <c r="H38" s="604" t="s">
        <v>99</v>
      </c>
      <c r="I38" s="604" t="s">
        <v>100</v>
      </c>
      <c r="J38" s="604" t="s">
        <v>101</v>
      </c>
      <c r="K38" s="604" t="s">
        <v>590</v>
      </c>
      <c r="L38" s="604" t="s">
        <v>591</v>
      </c>
      <c r="M38" s="604" t="s">
        <v>592</v>
      </c>
      <c r="N38" s="604" t="s">
        <v>593</v>
      </c>
    </row>
    <row r="39" spans="2:14" ht="15.75" x14ac:dyDescent="0.25">
      <c r="C39" s="260">
        <v>1</v>
      </c>
      <c r="D39" s="689" t="str">
        <f>Standardwerte!B46</f>
        <v>CH Standard 0 - 25%</v>
      </c>
      <c r="E39" s="690"/>
      <c r="F39" s="261" t="str">
        <f>Standardwerte!D46</f>
        <v>CHF/m²</v>
      </c>
      <c r="G39" s="262">
        <f>Standardwerte!E46</f>
        <v>0</v>
      </c>
      <c r="H39" s="262">
        <f>Standardwerte!F46</f>
        <v>0</v>
      </c>
      <c r="I39" s="262">
        <f>Standardwerte!G46</f>
        <v>102</v>
      </c>
      <c r="J39" s="262">
        <f>Standardwerte!H46</f>
        <v>159</v>
      </c>
      <c r="K39" s="262">
        <f>Standardwerte!I46</f>
        <v>0</v>
      </c>
      <c r="L39" s="262">
        <f>Standardwerte!J46</f>
        <v>0</v>
      </c>
      <c r="M39" s="262">
        <f>Standardwerte!K46</f>
        <v>102</v>
      </c>
      <c r="N39" s="262">
        <f>Standardwerte!L46</f>
        <v>159</v>
      </c>
    </row>
    <row r="40" spans="2:14" ht="15" customHeight="1" x14ac:dyDescent="0.25">
      <c r="C40" s="260">
        <v>2</v>
      </c>
      <c r="D40" s="689" t="str">
        <f>Standardwerte!B47</f>
        <v>CH und Kanton Bern *)</v>
      </c>
      <c r="E40" s="690"/>
      <c r="F40" s="261" t="str">
        <f>Standardwerte!D47</f>
        <v>CHF/m²</v>
      </c>
      <c r="G40" s="263">
        <f>Standardwerte!E47</f>
        <v>0</v>
      </c>
      <c r="H40" s="263">
        <f>Standardwerte!F47</f>
        <v>106.8</v>
      </c>
      <c r="I40" s="263">
        <f>Standardwerte!G47</f>
        <v>136.80000000000001</v>
      </c>
      <c r="J40" s="263">
        <f>Standardwerte!H47</f>
        <v>166.8</v>
      </c>
      <c r="K40" s="263">
        <f>Standardwerte!I47</f>
        <v>92.8</v>
      </c>
      <c r="L40" s="263">
        <f>Standardwerte!J47</f>
        <v>126.8</v>
      </c>
      <c r="M40" s="263">
        <f>Standardwerte!K47</f>
        <v>156.80000000000001</v>
      </c>
      <c r="N40" s="263">
        <f>Standardwerte!L47</f>
        <v>176.8</v>
      </c>
    </row>
    <row r="41" spans="2:14" ht="15.75" x14ac:dyDescent="0.25">
      <c r="C41" s="260">
        <v>3</v>
      </c>
      <c r="D41" s="689" t="str">
        <f>Standardwerte!B48</f>
        <v>CH und Kanton Zürich</v>
      </c>
      <c r="E41" s="690"/>
      <c r="F41" s="261" t="str">
        <f>Standardwerte!D48</f>
        <v>CHF/m²</v>
      </c>
      <c r="G41" s="263">
        <f>Standardwerte!E48</f>
        <v>0</v>
      </c>
      <c r="H41" s="263">
        <f>Standardwerte!F48</f>
        <v>46.8</v>
      </c>
      <c r="I41" s="263">
        <f>Standardwerte!G48</f>
        <v>96.8</v>
      </c>
      <c r="J41" s="263">
        <f>Standardwerte!H48</f>
        <v>96.8</v>
      </c>
      <c r="K41" s="263">
        <f>Standardwerte!I48</f>
        <v>46.8</v>
      </c>
      <c r="L41" s="263">
        <f>Standardwerte!J48</f>
        <v>46.8</v>
      </c>
      <c r="M41" s="263">
        <f>Standardwerte!K48</f>
        <v>96.8</v>
      </c>
      <c r="N41" s="263">
        <f>Standardwerte!L48</f>
        <v>96.8</v>
      </c>
    </row>
    <row r="42" spans="2:14" x14ac:dyDescent="0.25">
      <c r="C42" s="16"/>
      <c r="D42" t="str">
        <f>Standardwerte!B49</f>
        <v>*) gültig für &gt;250 bis 1000 m² EBF</v>
      </c>
      <c r="G42" s="43"/>
      <c r="H42" s="43"/>
      <c r="I42" s="43"/>
      <c r="J42" s="43"/>
      <c r="K42" s="43"/>
      <c r="L42" s="43"/>
      <c r="M42" s="43"/>
      <c r="N42" s="43"/>
    </row>
    <row r="43" spans="2:14" ht="15.75" thickBot="1" x14ac:dyDescent="0.3">
      <c r="G43" s="43"/>
      <c r="H43" s="43"/>
      <c r="I43" s="43"/>
      <c r="J43" s="43"/>
      <c r="K43" s="43"/>
      <c r="L43" s="43"/>
      <c r="M43" s="43"/>
      <c r="N43" s="43"/>
    </row>
    <row r="44" spans="2:14" ht="15.75" thickBot="1" x14ac:dyDescent="0.3">
      <c r="C44" s="45"/>
      <c r="D44" s="45"/>
      <c r="E44" s="44" t="s">
        <v>110</v>
      </c>
      <c r="F44" s="43"/>
      <c r="G44" s="45"/>
      <c r="H44" s="46">
        <f>Standardwerte!$F$24</f>
        <v>0.25</v>
      </c>
      <c r="I44" s="45"/>
      <c r="J44" s="45"/>
      <c r="K44" s="45"/>
      <c r="L44" s="45"/>
      <c r="M44" s="45"/>
      <c r="N44" s="45"/>
    </row>
    <row r="45" spans="2:14" ht="45.75" thickBot="1" x14ac:dyDescent="0.3">
      <c r="C45" s="47" t="s">
        <v>526</v>
      </c>
      <c r="D45" s="53" t="s">
        <v>111</v>
      </c>
      <c r="E45" s="609"/>
      <c r="F45" s="610" t="s">
        <v>112</v>
      </c>
      <c r="G45" s="604" t="s">
        <v>277</v>
      </c>
      <c r="H45" s="604" t="s">
        <v>99</v>
      </c>
      <c r="I45" s="604" t="s">
        <v>100</v>
      </c>
      <c r="J45" s="604" t="s">
        <v>101</v>
      </c>
      <c r="K45" s="604" t="s">
        <v>590</v>
      </c>
      <c r="L45" s="604" t="s">
        <v>591</v>
      </c>
      <c r="M45" s="604" t="s">
        <v>592</v>
      </c>
      <c r="N45" s="604" t="s">
        <v>593</v>
      </c>
    </row>
    <row r="46" spans="2:14" ht="47.25" x14ac:dyDescent="0.25">
      <c r="C46" s="555">
        <v>1</v>
      </c>
      <c r="D46" s="561" t="s">
        <v>525</v>
      </c>
      <c r="E46" s="264" t="s">
        <v>388</v>
      </c>
      <c r="F46" s="265" t="s">
        <v>113</v>
      </c>
      <c r="G46" s="266">
        <f>Sanierungsvarianten!F24</f>
        <v>102100</v>
      </c>
      <c r="H46" s="267">
        <f>Sanierungsvarianten!F59</f>
        <v>358400</v>
      </c>
      <c r="I46" s="267">
        <f>Sanierungsvarianten!F94</f>
        <v>513400</v>
      </c>
      <c r="J46" s="267">
        <f>Sanierungsvarianten!F131</f>
        <v>632600</v>
      </c>
      <c r="K46" s="267">
        <f>Sanierungsvarianten!F173</f>
        <v>379000</v>
      </c>
      <c r="L46" s="267">
        <f>Sanierungsvarianten!F215</f>
        <v>493400</v>
      </c>
      <c r="M46" s="268">
        <f>Sanierungsvarianten!F257</f>
        <v>613400</v>
      </c>
      <c r="N46" s="269">
        <f>Sanierungsvarianten!F300</f>
        <v>732600</v>
      </c>
    </row>
    <row r="47" spans="2:14" ht="15.75" x14ac:dyDescent="0.25">
      <c r="C47" s="555">
        <v>2</v>
      </c>
      <c r="D47" s="54"/>
      <c r="E47" s="270" t="s">
        <v>283</v>
      </c>
      <c r="F47" s="271" t="s">
        <v>115</v>
      </c>
      <c r="G47" s="272">
        <f>CHOOSE(Dateneingabe!$H$19,Standardwerte!E$46,Standardwerte!E$47,Standardwerte!E$48)</f>
        <v>0</v>
      </c>
      <c r="H47" s="272">
        <f>CHOOSE(Dateneingabe!$H$19,Standardwerte!F$46,Standardwerte!F$47,Standardwerte!F$48)</f>
        <v>106.8</v>
      </c>
      <c r="I47" s="272">
        <f>CHOOSE(Dateneingabe!$H$19,Standardwerte!G$46,Standardwerte!G$47,Standardwerte!G$48)</f>
        <v>136.80000000000001</v>
      </c>
      <c r="J47" s="272">
        <f>CHOOSE(Dateneingabe!$H$19,Standardwerte!H$46,Standardwerte!H$47,Standardwerte!H$48)</f>
        <v>166.8</v>
      </c>
      <c r="K47" s="272">
        <f>CHOOSE(Dateneingabe!$H$19,Standardwerte!I$46,Standardwerte!I$47,Standardwerte!I$48)</f>
        <v>92.8</v>
      </c>
      <c r="L47" s="272">
        <f>CHOOSE(Dateneingabe!$H$19,Standardwerte!J$46,Standardwerte!J$47,Standardwerte!J$48)</f>
        <v>126.8</v>
      </c>
      <c r="M47" s="272">
        <f>CHOOSE(Dateneingabe!$H$19,Standardwerte!K$46,Standardwerte!K$47,Standardwerte!K$48)</f>
        <v>156.80000000000001</v>
      </c>
      <c r="N47" s="273">
        <f>CHOOSE(Dateneingabe!$H$19,Standardwerte!L$46,Standardwerte!L$47,Standardwerte!L$48)</f>
        <v>176.8</v>
      </c>
    </row>
    <row r="48" spans="2:14" ht="15.75" x14ac:dyDescent="0.25">
      <c r="C48" s="555">
        <v>3</v>
      </c>
      <c r="D48" s="561"/>
      <c r="E48" s="274" t="s">
        <v>284</v>
      </c>
      <c r="F48" s="271" t="s">
        <v>113</v>
      </c>
      <c r="G48" s="275">
        <f>G47*Dateneingabe!$F$16</f>
        <v>0</v>
      </c>
      <c r="H48" s="275">
        <f>H47*Dateneingabe!$F$16</f>
        <v>106800</v>
      </c>
      <c r="I48" s="275">
        <f>I47*Dateneingabe!$F$16</f>
        <v>136800</v>
      </c>
      <c r="J48" s="275">
        <f>J47*Dateneingabe!$F$16</f>
        <v>166800</v>
      </c>
      <c r="K48" s="275">
        <f>K47*Dateneingabe!$F$16</f>
        <v>92800</v>
      </c>
      <c r="L48" s="275">
        <f>L47*Dateneingabe!$F$16</f>
        <v>126800</v>
      </c>
      <c r="M48" s="275">
        <f>M47*Dateneingabe!$F$16</f>
        <v>156800</v>
      </c>
      <c r="N48" s="276">
        <f>N47*Dateneingabe!$F$16</f>
        <v>176800</v>
      </c>
    </row>
    <row r="49" spans="1:17" ht="15.75" x14ac:dyDescent="0.25">
      <c r="C49" s="555">
        <v>4</v>
      </c>
      <c r="D49" s="561" t="s">
        <v>287</v>
      </c>
      <c r="E49" s="274" t="s">
        <v>118</v>
      </c>
      <c r="F49" s="271" t="s">
        <v>114</v>
      </c>
      <c r="G49" s="277">
        <f>G48/G46</f>
        <v>0</v>
      </c>
      <c r="H49" s="277">
        <f>H48/H46</f>
        <v>0.29799107142857145</v>
      </c>
      <c r="I49" s="277">
        <f t="shared" ref="I49:N49" si="5">I48/I46</f>
        <v>0.26645890144137124</v>
      </c>
      <c r="J49" s="277">
        <f t="shared" si="5"/>
        <v>0.26367372747391715</v>
      </c>
      <c r="K49" s="277">
        <f t="shared" si="5"/>
        <v>0.24485488126649077</v>
      </c>
      <c r="L49" s="277">
        <f t="shared" si="5"/>
        <v>0.25699229833806242</v>
      </c>
      <c r="M49" s="277">
        <f t="shared" si="5"/>
        <v>0.25562438865340725</v>
      </c>
      <c r="N49" s="278">
        <f t="shared" si="5"/>
        <v>0.24133224133224132</v>
      </c>
    </row>
    <row r="50" spans="1:17" ht="47.25" x14ac:dyDescent="0.25">
      <c r="C50" s="555">
        <v>5</v>
      </c>
      <c r="D50" s="561" t="s">
        <v>288</v>
      </c>
      <c r="E50" s="279" t="s">
        <v>389</v>
      </c>
      <c r="F50" s="280" t="s">
        <v>113</v>
      </c>
      <c r="G50" s="281">
        <f>G46-G48</f>
        <v>102100</v>
      </c>
      <c r="H50" s="281">
        <f t="shared" ref="H50:N50" si="6">H46-H48</f>
        <v>251600</v>
      </c>
      <c r="I50" s="281">
        <f t="shared" si="6"/>
        <v>376600</v>
      </c>
      <c r="J50" s="281">
        <f t="shared" si="6"/>
        <v>465800</v>
      </c>
      <c r="K50" s="281">
        <f t="shared" si="6"/>
        <v>286200</v>
      </c>
      <c r="L50" s="281">
        <f t="shared" si="6"/>
        <v>366600</v>
      </c>
      <c r="M50" s="281">
        <f t="shared" si="6"/>
        <v>456600</v>
      </c>
      <c r="N50" s="282">
        <f t="shared" si="6"/>
        <v>555800</v>
      </c>
    </row>
    <row r="51" spans="1:17" ht="15.75" x14ac:dyDescent="0.25">
      <c r="C51" s="555">
        <v>6</v>
      </c>
      <c r="D51" s="561"/>
      <c r="E51" s="274" t="s">
        <v>285</v>
      </c>
      <c r="F51" s="271" t="s">
        <v>114</v>
      </c>
      <c r="G51" s="283">
        <f>Standardwerte!$F$24</f>
        <v>0.25</v>
      </c>
      <c r="H51" s="283">
        <f>Standardwerte!$F$24</f>
        <v>0.25</v>
      </c>
      <c r="I51" s="283">
        <f>Standardwerte!$F$24</f>
        <v>0.25</v>
      </c>
      <c r="J51" s="283">
        <f>Standardwerte!$F$24</f>
        <v>0.25</v>
      </c>
      <c r="K51" s="283">
        <f>Standardwerte!$F$24</f>
        <v>0.25</v>
      </c>
      <c r="L51" s="283">
        <f>Standardwerte!$F$24</f>
        <v>0.25</v>
      </c>
      <c r="M51" s="283">
        <f>Standardwerte!$F$24</f>
        <v>0.25</v>
      </c>
      <c r="N51" s="284">
        <f>Standardwerte!$F$24</f>
        <v>0.25</v>
      </c>
    </row>
    <row r="52" spans="1:17" ht="47.25" x14ac:dyDescent="0.25">
      <c r="C52" s="555">
        <v>7</v>
      </c>
      <c r="D52" s="561" t="s">
        <v>154</v>
      </c>
      <c r="E52" s="274" t="s">
        <v>390</v>
      </c>
      <c r="F52" s="271" t="s">
        <v>113</v>
      </c>
      <c r="G52" s="285">
        <f>G50*G51</f>
        <v>25525</v>
      </c>
      <c r="H52" s="285">
        <f t="shared" ref="H52:N52" si="7">H50*H51</f>
        <v>62900</v>
      </c>
      <c r="I52" s="285">
        <f t="shared" si="7"/>
        <v>94150</v>
      </c>
      <c r="J52" s="285">
        <f t="shared" si="7"/>
        <v>116450</v>
      </c>
      <c r="K52" s="285">
        <f t="shared" si="7"/>
        <v>71550</v>
      </c>
      <c r="L52" s="285">
        <f t="shared" si="7"/>
        <v>91650</v>
      </c>
      <c r="M52" s="285">
        <f t="shared" si="7"/>
        <v>114150</v>
      </c>
      <c r="N52" s="286">
        <f t="shared" si="7"/>
        <v>138950</v>
      </c>
    </row>
    <row r="53" spans="1:17" ht="47.25" x14ac:dyDescent="0.3">
      <c r="C53" s="563">
        <v>8</v>
      </c>
      <c r="D53" s="565" t="s">
        <v>289</v>
      </c>
      <c r="E53" s="279" t="s">
        <v>391</v>
      </c>
      <c r="F53" s="280" t="s">
        <v>113</v>
      </c>
      <c r="G53" s="287">
        <f>G50-G52</f>
        <v>76575</v>
      </c>
      <c r="H53" s="287">
        <f t="shared" ref="H53:N53" si="8">H50-H52</f>
        <v>188700</v>
      </c>
      <c r="I53" s="287">
        <f t="shared" si="8"/>
        <v>282450</v>
      </c>
      <c r="J53" s="287">
        <f t="shared" si="8"/>
        <v>349350</v>
      </c>
      <c r="K53" s="287">
        <f t="shared" si="8"/>
        <v>214650</v>
      </c>
      <c r="L53" s="287">
        <f t="shared" si="8"/>
        <v>274950</v>
      </c>
      <c r="M53" s="287">
        <f t="shared" si="8"/>
        <v>342450</v>
      </c>
      <c r="N53" s="288">
        <f t="shared" si="8"/>
        <v>416850</v>
      </c>
      <c r="Q53" s="235" t="s">
        <v>552</v>
      </c>
    </row>
    <row r="54" spans="1:17" ht="47.25" x14ac:dyDescent="0.25">
      <c r="C54" s="563">
        <v>9</v>
      </c>
      <c r="D54" s="565" t="s">
        <v>290</v>
      </c>
      <c r="E54" s="274" t="s">
        <v>392</v>
      </c>
      <c r="F54" s="271" t="s">
        <v>113</v>
      </c>
      <c r="G54" s="285">
        <f>G46*G51</f>
        <v>25525</v>
      </c>
      <c r="H54" s="285">
        <f t="shared" ref="H54:N54" si="9">H46*H51</f>
        <v>89600</v>
      </c>
      <c r="I54" s="285">
        <f t="shared" si="9"/>
        <v>128350</v>
      </c>
      <c r="J54" s="285">
        <f t="shared" si="9"/>
        <v>158150</v>
      </c>
      <c r="K54" s="285">
        <f t="shared" si="9"/>
        <v>94750</v>
      </c>
      <c r="L54" s="285">
        <f t="shared" si="9"/>
        <v>123350</v>
      </c>
      <c r="M54" s="285">
        <f t="shared" si="9"/>
        <v>153350</v>
      </c>
      <c r="N54" s="286">
        <f t="shared" si="9"/>
        <v>183150</v>
      </c>
    </row>
    <row r="55" spans="1:17" ht="47.25" x14ac:dyDescent="0.25">
      <c r="C55" s="559">
        <v>10</v>
      </c>
      <c r="D55" s="565" t="s">
        <v>291</v>
      </c>
      <c r="E55" s="279" t="s">
        <v>393</v>
      </c>
      <c r="F55" s="280" t="s">
        <v>113</v>
      </c>
      <c r="G55" s="289">
        <f>G46-G54</f>
        <v>76575</v>
      </c>
      <c r="H55" s="289">
        <f t="shared" ref="H55:N55" si="10">H46-H54</f>
        <v>268800</v>
      </c>
      <c r="I55" s="289">
        <f t="shared" si="10"/>
        <v>385050</v>
      </c>
      <c r="J55" s="289">
        <f t="shared" si="10"/>
        <v>474450</v>
      </c>
      <c r="K55" s="289">
        <f t="shared" si="10"/>
        <v>284250</v>
      </c>
      <c r="L55" s="289">
        <f t="shared" si="10"/>
        <v>370050</v>
      </c>
      <c r="M55" s="289">
        <f t="shared" si="10"/>
        <v>460050</v>
      </c>
      <c r="N55" s="290">
        <f t="shared" si="10"/>
        <v>549450</v>
      </c>
    </row>
    <row r="56" spans="1:17" ht="31.5" x14ac:dyDescent="0.25">
      <c r="C56" s="564">
        <v>11</v>
      </c>
      <c r="D56" s="566" t="s">
        <v>292</v>
      </c>
      <c r="E56" s="274" t="s">
        <v>286</v>
      </c>
      <c r="F56" s="271" t="s">
        <v>113</v>
      </c>
      <c r="G56" s="291">
        <f>$G$55</f>
        <v>76575</v>
      </c>
      <c r="H56" s="291">
        <f t="shared" ref="H56:N56" si="11">$G$55</f>
        <v>76575</v>
      </c>
      <c r="I56" s="291">
        <f t="shared" si="11"/>
        <v>76575</v>
      </c>
      <c r="J56" s="291">
        <f t="shared" si="11"/>
        <v>76575</v>
      </c>
      <c r="K56" s="291">
        <f t="shared" si="11"/>
        <v>76575</v>
      </c>
      <c r="L56" s="291">
        <f t="shared" si="11"/>
        <v>76575</v>
      </c>
      <c r="M56" s="291">
        <f t="shared" si="11"/>
        <v>76575</v>
      </c>
      <c r="N56" s="292">
        <f t="shared" si="11"/>
        <v>76575</v>
      </c>
    </row>
    <row r="57" spans="1:17" ht="63" x14ac:dyDescent="0.25">
      <c r="A57" s="16"/>
      <c r="C57" s="564">
        <v>12</v>
      </c>
      <c r="D57" s="561" t="s">
        <v>116</v>
      </c>
      <c r="E57" s="279" t="s">
        <v>394</v>
      </c>
      <c r="F57" s="280" t="s">
        <v>113</v>
      </c>
      <c r="G57" s="293" t="s">
        <v>178</v>
      </c>
      <c r="H57" s="294">
        <f t="shared" ref="H57:N57" si="12">H46-H56</f>
        <v>281825</v>
      </c>
      <c r="I57" s="294">
        <f t="shared" si="12"/>
        <v>436825</v>
      </c>
      <c r="J57" s="294">
        <f t="shared" si="12"/>
        <v>556025</v>
      </c>
      <c r="K57" s="294">
        <f t="shared" si="12"/>
        <v>302425</v>
      </c>
      <c r="L57" s="294">
        <f t="shared" si="12"/>
        <v>416825</v>
      </c>
      <c r="M57" s="294">
        <f t="shared" si="12"/>
        <v>536825</v>
      </c>
      <c r="N57" s="295">
        <f t="shared" si="12"/>
        <v>656025</v>
      </c>
    </row>
    <row r="58" spans="1:17" ht="63" x14ac:dyDescent="0.25">
      <c r="A58" s="16"/>
      <c r="C58" s="564">
        <v>13</v>
      </c>
      <c r="D58" s="561" t="s">
        <v>293</v>
      </c>
      <c r="E58" s="279" t="s">
        <v>395</v>
      </c>
      <c r="F58" s="280" t="s">
        <v>113</v>
      </c>
      <c r="G58" s="293" t="s">
        <v>178</v>
      </c>
      <c r="H58" s="294">
        <f t="shared" ref="H58:N58" si="13">H50-H56</f>
        <v>175025</v>
      </c>
      <c r="I58" s="294">
        <f t="shared" si="13"/>
        <v>300025</v>
      </c>
      <c r="J58" s="294">
        <f t="shared" si="13"/>
        <v>389225</v>
      </c>
      <c r="K58" s="294">
        <f t="shared" si="13"/>
        <v>209625</v>
      </c>
      <c r="L58" s="294">
        <f t="shared" si="13"/>
        <v>290025</v>
      </c>
      <c r="M58" s="294">
        <f t="shared" si="13"/>
        <v>380025</v>
      </c>
      <c r="N58" s="295">
        <f t="shared" si="13"/>
        <v>479225</v>
      </c>
    </row>
    <row r="59" spans="1:17" ht="63" x14ac:dyDescent="0.25">
      <c r="C59" s="559">
        <v>14</v>
      </c>
      <c r="D59" s="561" t="s">
        <v>294</v>
      </c>
      <c r="E59" s="279" t="s">
        <v>396</v>
      </c>
      <c r="F59" s="280" t="s">
        <v>113</v>
      </c>
      <c r="G59" s="293" t="s">
        <v>178</v>
      </c>
      <c r="H59" s="294">
        <f t="shared" ref="H59:N59" si="14">H53-H56</f>
        <v>112125</v>
      </c>
      <c r="I59" s="294">
        <f t="shared" si="14"/>
        <v>205875</v>
      </c>
      <c r="J59" s="294">
        <f t="shared" si="14"/>
        <v>272775</v>
      </c>
      <c r="K59" s="294">
        <f t="shared" si="14"/>
        <v>138075</v>
      </c>
      <c r="L59" s="294">
        <f t="shared" si="14"/>
        <v>198375</v>
      </c>
      <c r="M59" s="294">
        <f t="shared" si="14"/>
        <v>265875</v>
      </c>
      <c r="N59" s="295">
        <f t="shared" si="14"/>
        <v>340275</v>
      </c>
    </row>
    <row r="60" spans="1:17" ht="63.75" thickBot="1" x14ac:dyDescent="0.3">
      <c r="C60" s="559">
        <v>15</v>
      </c>
      <c r="D60" s="567" t="s">
        <v>295</v>
      </c>
      <c r="E60" s="296" t="s">
        <v>397</v>
      </c>
      <c r="F60" s="297" t="s">
        <v>113</v>
      </c>
      <c r="G60" s="298" t="s">
        <v>178</v>
      </c>
      <c r="H60" s="299">
        <f t="shared" ref="H60:N60" si="15">H55-H56</f>
        <v>192225</v>
      </c>
      <c r="I60" s="299">
        <f t="shared" si="15"/>
        <v>308475</v>
      </c>
      <c r="J60" s="299">
        <f t="shared" si="15"/>
        <v>397875</v>
      </c>
      <c r="K60" s="299">
        <f t="shared" si="15"/>
        <v>207675</v>
      </c>
      <c r="L60" s="299">
        <f t="shared" si="15"/>
        <v>293475</v>
      </c>
      <c r="M60" s="299">
        <f t="shared" si="15"/>
        <v>383475</v>
      </c>
      <c r="N60" s="300">
        <f t="shared" si="15"/>
        <v>472875</v>
      </c>
    </row>
    <row r="66" spans="2:17" ht="18.75" x14ac:dyDescent="0.3">
      <c r="B66" s="235" t="s">
        <v>551</v>
      </c>
      <c r="C66" s="57" t="s">
        <v>296</v>
      </c>
      <c r="D66" s="56"/>
      <c r="F66" s="56"/>
      <c r="G66" s="56"/>
      <c r="H66" s="56"/>
      <c r="I66" s="43"/>
      <c r="J66" s="43"/>
      <c r="K66" s="43"/>
      <c r="L66" s="43"/>
      <c r="M66" s="43"/>
      <c r="N66" s="43"/>
    </row>
    <row r="67" spans="2:17" x14ac:dyDescent="0.25">
      <c r="D67" s="43"/>
      <c r="E67" s="43"/>
      <c r="F67" s="43"/>
      <c r="G67" s="43"/>
      <c r="H67" s="43"/>
      <c r="I67" s="43"/>
      <c r="J67" s="43"/>
      <c r="K67" s="43"/>
      <c r="L67" s="43"/>
      <c r="M67" s="43"/>
      <c r="N67" s="43"/>
    </row>
    <row r="68" spans="2:17" ht="15.75" x14ac:dyDescent="0.25">
      <c r="C68" s="43"/>
      <c r="D68" s="43"/>
      <c r="E68" s="356" t="s">
        <v>120</v>
      </c>
      <c r="F68" s="357" t="s">
        <v>142</v>
      </c>
      <c r="G68" s="143"/>
      <c r="H68" s="143"/>
      <c r="I68" s="359">
        <f>Dateneingabe!$F$10</f>
        <v>100</v>
      </c>
      <c r="J68" s="365" t="s">
        <v>8</v>
      </c>
      <c r="K68" s="143"/>
      <c r="L68" s="143"/>
      <c r="M68" s="143"/>
      <c r="N68" s="144"/>
    </row>
    <row r="69" spans="2:17" ht="15.75" x14ac:dyDescent="0.25">
      <c r="C69" s="43"/>
      <c r="D69" s="43"/>
      <c r="E69" s="121"/>
      <c r="F69" s="342" t="s">
        <v>89</v>
      </c>
      <c r="G69" s="123"/>
      <c r="H69" s="123"/>
      <c r="I69" s="366">
        <f>Dateneingabe!$F$12</f>
        <v>0.15</v>
      </c>
      <c r="J69" s="342" t="s">
        <v>14</v>
      </c>
      <c r="K69" s="123"/>
      <c r="L69" s="123"/>
      <c r="M69" s="123"/>
      <c r="N69" s="128"/>
    </row>
    <row r="70" spans="2:17" ht="16.5" thickBot="1" x14ac:dyDescent="0.3">
      <c r="C70" s="43"/>
      <c r="D70" s="43"/>
      <c r="E70" s="121"/>
      <c r="F70" s="342" t="s">
        <v>143</v>
      </c>
      <c r="G70" s="140"/>
      <c r="H70" s="140"/>
      <c r="I70" s="367">
        <f>Dateneingabe!$F$20</f>
        <v>0.06</v>
      </c>
      <c r="J70" s="353" t="s">
        <v>121</v>
      </c>
      <c r="K70" s="140"/>
      <c r="L70" s="140"/>
      <c r="M70" s="140"/>
      <c r="N70" s="142"/>
    </row>
    <row r="71" spans="2:17" ht="45.75" thickBot="1" x14ac:dyDescent="0.35">
      <c r="C71" s="47" t="s">
        <v>526</v>
      </c>
      <c r="D71" s="108" t="s">
        <v>111</v>
      </c>
      <c r="E71" s="609"/>
      <c r="F71" s="607" t="s">
        <v>112</v>
      </c>
      <c r="G71" s="604" t="s">
        <v>277</v>
      </c>
      <c r="H71" s="604" t="s">
        <v>99</v>
      </c>
      <c r="I71" s="604" t="s">
        <v>100</v>
      </c>
      <c r="J71" s="604" t="s">
        <v>101</v>
      </c>
      <c r="K71" s="604" t="s">
        <v>590</v>
      </c>
      <c r="L71" s="604" t="s">
        <v>591</v>
      </c>
      <c r="M71" s="604" t="s">
        <v>592</v>
      </c>
      <c r="N71" s="604" t="s">
        <v>593</v>
      </c>
      <c r="Q71" s="235" t="s">
        <v>553</v>
      </c>
    </row>
    <row r="72" spans="2:17" ht="47.25" x14ac:dyDescent="0.25">
      <c r="C72" s="555">
        <v>1</v>
      </c>
      <c r="D72" s="555" t="s">
        <v>485</v>
      </c>
      <c r="E72" s="264" t="s">
        <v>398</v>
      </c>
      <c r="F72" s="302" t="s">
        <v>122</v>
      </c>
      <c r="G72" s="303">
        <f>G46*Dateneingabe!$F$20</f>
        <v>6126</v>
      </c>
      <c r="H72" s="303">
        <f>H46*Dateneingabe!$F$20</f>
        <v>21504</v>
      </c>
      <c r="I72" s="303">
        <f>I46*Dateneingabe!$F$20</f>
        <v>30804</v>
      </c>
      <c r="J72" s="303">
        <f>J46*Dateneingabe!$F$20</f>
        <v>37956</v>
      </c>
      <c r="K72" s="303">
        <f>K46*Dateneingabe!$F$20</f>
        <v>22740</v>
      </c>
      <c r="L72" s="303">
        <f>L46*Dateneingabe!$F$20</f>
        <v>29604</v>
      </c>
      <c r="M72" s="303">
        <f>M46*Dateneingabe!$F$20</f>
        <v>36804</v>
      </c>
      <c r="N72" s="304">
        <f>N46*Dateneingabe!$F$20</f>
        <v>43956</v>
      </c>
    </row>
    <row r="73" spans="2:17" ht="47.25" x14ac:dyDescent="0.25">
      <c r="C73" s="555">
        <v>2</v>
      </c>
      <c r="D73" s="555" t="s">
        <v>486</v>
      </c>
      <c r="E73" s="279" t="s">
        <v>399</v>
      </c>
      <c r="F73" s="305" t="s">
        <v>122</v>
      </c>
      <c r="G73" s="291">
        <f>G50*Dateneingabe!$F$20</f>
        <v>6126</v>
      </c>
      <c r="H73" s="291">
        <f>H50*Dateneingabe!$F$20</f>
        <v>15096</v>
      </c>
      <c r="I73" s="291">
        <f>I50*Dateneingabe!$F$20</f>
        <v>22596</v>
      </c>
      <c r="J73" s="291">
        <f>J50*Dateneingabe!$F$20</f>
        <v>27948</v>
      </c>
      <c r="K73" s="291">
        <f>K50*Dateneingabe!$F$20</f>
        <v>17172</v>
      </c>
      <c r="L73" s="291">
        <f>L50*Dateneingabe!$F$20</f>
        <v>21996</v>
      </c>
      <c r="M73" s="291">
        <f>M50*Dateneingabe!$F$20</f>
        <v>27396</v>
      </c>
      <c r="N73" s="292">
        <f>N50*Dateneingabe!$F$20</f>
        <v>33348</v>
      </c>
    </row>
    <row r="74" spans="2:17" ht="47.25" x14ac:dyDescent="0.25">
      <c r="C74" s="555">
        <v>3</v>
      </c>
      <c r="D74" s="555" t="s">
        <v>487</v>
      </c>
      <c r="E74" s="279" t="s">
        <v>400</v>
      </c>
      <c r="F74" s="305" t="s">
        <v>122</v>
      </c>
      <c r="G74" s="291">
        <f>G53*Dateneingabe!$F$20</f>
        <v>4594.5</v>
      </c>
      <c r="H74" s="291">
        <f>H53*Dateneingabe!$F$20</f>
        <v>11322</v>
      </c>
      <c r="I74" s="291">
        <f>I53*Dateneingabe!$F$20</f>
        <v>16947</v>
      </c>
      <c r="J74" s="291">
        <f>J53*Dateneingabe!$F$20</f>
        <v>20961</v>
      </c>
      <c r="K74" s="291">
        <f>K53*Dateneingabe!$F$20</f>
        <v>12879</v>
      </c>
      <c r="L74" s="291">
        <f>L53*Dateneingabe!$F$20</f>
        <v>16497</v>
      </c>
      <c r="M74" s="291">
        <f>M53*Dateneingabe!$F$20</f>
        <v>20547</v>
      </c>
      <c r="N74" s="292">
        <f>N53*Dateneingabe!$F$20</f>
        <v>25011</v>
      </c>
    </row>
    <row r="75" spans="2:17" ht="47.25" x14ac:dyDescent="0.25">
      <c r="C75" s="555">
        <v>4</v>
      </c>
      <c r="D75" s="555" t="s">
        <v>488</v>
      </c>
      <c r="E75" s="279" t="s">
        <v>401</v>
      </c>
      <c r="F75" s="305" t="s">
        <v>122</v>
      </c>
      <c r="G75" s="291">
        <f>G55*Dateneingabe!$F$20</f>
        <v>4594.5</v>
      </c>
      <c r="H75" s="291">
        <f>H55*Dateneingabe!$F$20</f>
        <v>16128</v>
      </c>
      <c r="I75" s="291">
        <f>I55*Dateneingabe!$F$20</f>
        <v>23103</v>
      </c>
      <c r="J75" s="291">
        <f>J55*Dateneingabe!$F$20</f>
        <v>28467</v>
      </c>
      <c r="K75" s="291">
        <f>K55*Dateneingabe!$F$20</f>
        <v>17055</v>
      </c>
      <c r="L75" s="291">
        <f>L55*Dateneingabe!$F$20</f>
        <v>22203</v>
      </c>
      <c r="M75" s="291">
        <f>M55*Dateneingabe!$F$20</f>
        <v>27603</v>
      </c>
      <c r="N75" s="292">
        <f>N55*Dateneingabe!$F$20</f>
        <v>32967</v>
      </c>
    </row>
    <row r="76" spans="2:17" ht="63" x14ac:dyDescent="0.25">
      <c r="C76" s="555">
        <v>5</v>
      </c>
      <c r="D76" s="555" t="s">
        <v>489</v>
      </c>
      <c r="E76" s="279" t="s">
        <v>402</v>
      </c>
      <c r="F76" s="305" t="s">
        <v>122</v>
      </c>
      <c r="G76" s="306" t="s">
        <v>178</v>
      </c>
      <c r="H76" s="307">
        <f>H57*Dateneingabe!$F$20</f>
        <v>16909.5</v>
      </c>
      <c r="I76" s="307">
        <f>I57*Dateneingabe!$F$20</f>
        <v>26209.5</v>
      </c>
      <c r="J76" s="307">
        <f>J57*Dateneingabe!$F$20</f>
        <v>33361.5</v>
      </c>
      <c r="K76" s="307">
        <f>K57*Dateneingabe!$F$20</f>
        <v>18145.5</v>
      </c>
      <c r="L76" s="307">
        <f>L57*Dateneingabe!$F$20</f>
        <v>25009.5</v>
      </c>
      <c r="M76" s="307">
        <f>M57*Dateneingabe!$F$20</f>
        <v>32209.5</v>
      </c>
      <c r="N76" s="292">
        <f>N57*Dateneingabe!$F$20</f>
        <v>39361.5</v>
      </c>
    </row>
    <row r="77" spans="2:17" ht="63" x14ac:dyDescent="0.25">
      <c r="C77" s="555">
        <v>6</v>
      </c>
      <c r="D77" s="555" t="s">
        <v>490</v>
      </c>
      <c r="E77" s="279" t="s">
        <v>403</v>
      </c>
      <c r="F77" s="305" t="s">
        <v>122</v>
      </c>
      <c r="G77" s="308" t="s">
        <v>178</v>
      </c>
      <c r="H77" s="291">
        <f>H58*Dateneingabe!$F$20</f>
        <v>10501.5</v>
      </c>
      <c r="I77" s="291">
        <f>I58*Dateneingabe!$F$20</f>
        <v>18001.5</v>
      </c>
      <c r="J77" s="291">
        <f>J58*Dateneingabe!$F$20</f>
        <v>23353.5</v>
      </c>
      <c r="K77" s="291">
        <f>K58*Dateneingabe!$F$20</f>
        <v>12577.5</v>
      </c>
      <c r="L77" s="291">
        <f>L58*Dateneingabe!$F$20</f>
        <v>17401.5</v>
      </c>
      <c r="M77" s="291">
        <f>M58*Dateneingabe!$F$20</f>
        <v>22801.5</v>
      </c>
      <c r="N77" s="292">
        <f>N58*Dateneingabe!$F$20</f>
        <v>28753.5</v>
      </c>
    </row>
    <row r="78" spans="2:17" ht="63" x14ac:dyDescent="0.25">
      <c r="C78" s="555">
        <v>7</v>
      </c>
      <c r="D78" s="555" t="s">
        <v>491</v>
      </c>
      <c r="E78" s="279" t="s">
        <v>404</v>
      </c>
      <c r="F78" s="305" t="s">
        <v>122</v>
      </c>
      <c r="G78" s="308" t="s">
        <v>178</v>
      </c>
      <c r="H78" s="291">
        <f>H59*Dateneingabe!$F$20</f>
        <v>6727.5</v>
      </c>
      <c r="I78" s="291">
        <f>I59*Dateneingabe!$F$20</f>
        <v>12352.5</v>
      </c>
      <c r="J78" s="291">
        <f>J59*Dateneingabe!$F$20</f>
        <v>16366.5</v>
      </c>
      <c r="K78" s="291">
        <f>K59*Dateneingabe!$F$20</f>
        <v>8284.5</v>
      </c>
      <c r="L78" s="291">
        <f>L59*Dateneingabe!$F$20</f>
        <v>11902.5</v>
      </c>
      <c r="M78" s="291">
        <f>M59*Dateneingabe!$F$20</f>
        <v>15952.5</v>
      </c>
      <c r="N78" s="292">
        <f>N59*Dateneingabe!$F$20</f>
        <v>20416.5</v>
      </c>
    </row>
    <row r="79" spans="2:17" ht="63.75" thickBot="1" x14ac:dyDescent="0.3">
      <c r="C79" s="559">
        <v>8</v>
      </c>
      <c r="D79" s="555" t="s">
        <v>492</v>
      </c>
      <c r="E79" s="296" t="s">
        <v>405</v>
      </c>
      <c r="F79" s="309" t="s">
        <v>122</v>
      </c>
      <c r="G79" s="310" t="s">
        <v>178</v>
      </c>
      <c r="H79" s="311">
        <f>H60*Dateneingabe!$F$20</f>
        <v>11533.5</v>
      </c>
      <c r="I79" s="311">
        <f>I60*Dateneingabe!$F$20</f>
        <v>18508.5</v>
      </c>
      <c r="J79" s="311">
        <f>J60*Dateneingabe!$F$20</f>
        <v>23872.5</v>
      </c>
      <c r="K79" s="311">
        <f>K60*Dateneingabe!$F$20</f>
        <v>12460.5</v>
      </c>
      <c r="L79" s="311">
        <f>L60*Dateneingabe!$F$20</f>
        <v>17608.5</v>
      </c>
      <c r="M79" s="311">
        <f>M60*Dateneingabe!$F$20</f>
        <v>23008.5</v>
      </c>
      <c r="N79" s="312">
        <f>N60*Dateneingabe!$F$20</f>
        <v>28372.5</v>
      </c>
    </row>
    <row r="85" spans="2:17" ht="18.75" x14ac:dyDescent="0.3">
      <c r="B85" s="119" t="s">
        <v>554</v>
      </c>
      <c r="C85" s="57" t="s">
        <v>412</v>
      </c>
      <c r="D85" s="58"/>
      <c r="H85" s="113" t="str">
        <f>Dateneingabe!$E$17</f>
        <v>Bern</v>
      </c>
      <c r="I85" s="113"/>
      <c r="J85" s="59"/>
      <c r="Q85" s="235" t="s">
        <v>556</v>
      </c>
    </row>
    <row r="87" spans="2:17" ht="15.75" x14ac:dyDescent="0.25">
      <c r="E87" s="356" t="s">
        <v>120</v>
      </c>
      <c r="F87" s="357" t="s">
        <v>159</v>
      </c>
      <c r="G87" s="143"/>
      <c r="H87" s="143"/>
      <c r="I87" s="358">
        <f>Dateneingabe!F12</f>
        <v>0.15</v>
      </c>
      <c r="J87" s="357" t="s">
        <v>144</v>
      </c>
      <c r="K87" s="357" t="s">
        <v>142</v>
      </c>
      <c r="L87" s="357"/>
      <c r="M87" s="359">
        <f>Dateneingabe!F10</f>
        <v>100</v>
      </c>
      <c r="N87" s="360" t="s">
        <v>146</v>
      </c>
    </row>
    <row r="88" spans="2:17" ht="18" x14ac:dyDescent="0.25">
      <c r="E88" s="121"/>
      <c r="F88" s="342" t="s">
        <v>145</v>
      </c>
      <c r="G88" s="342"/>
      <c r="H88" s="123"/>
      <c r="I88" s="348">
        <f>Dateneingabe!F14</f>
        <v>10</v>
      </c>
      <c r="J88" s="342" t="s">
        <v>9</v>
      </c>
      <c r="K88" s="342" t="s">
        <v>587</v>
      </c>
      <c r="L88" s="123"/>
      <c r="M88" s="349">
        <f>Dateneingabe!F11</f>
        <v>18</v>
      </c>
      <c r="N88" s="361" t="s">
        <v>414</v>
      </c>
    </row>
    <row r="89" spans="2:17" ht="18" x14ac:dyDescent="0.25">
      <c r="E89" s="121"/>
      <c r="F89" s="347" t="s">
        <v>160</v>
      </c>
      <c r="G89" s="123"/>
      <c r="H89" s="123"/>
      <c r="I89" s="346">
        <f>Dateneingabe!F13</f>
        <v>0.2</v>
      </c>
      <c r="J89" s="342" t="s">
        <v>144</v>
      </c>
      <c r="K89" s="342" t="s">
        <v>147</v>
      </c>
      <c r="L89" s="123"/>
      <c r="M89" s="348">
        <f>Dateneingabe!F16</f>
        <v>1000</v>
      </c>
      <c r="N89" s="361" t="s">
        <v>415</v>
      </c>
    </row>
    <row r="90" spans="2:17" ht="15.75" x14ac:dyDescent="0.25">
      <c r="C90" s="109"/>
      <c r="E90" s="362"/>
      <c r="F90" s="342"/>
      <c r="G90" s="341"/>
      <c r="H90" s="123"/>
      <c r="I90" s="350"/>
      <c r="J90" s="342"/>
      <c r="K90" s="342"/>
      <c r="L90" s="344" t="s">
        <v>34</v>
      </c>
      <c r="M90" s="344" t="s">
        <v>19</v>
      </c>
      <c r="N90" s="344" t="s">
        <v>35</v>
      </c>
    </row>
    <row r="91" spans="2:17" ht="15.75" x14ac:dyDescent="0.25">
      <c r="E91" s="363"/>
      <c r="F91" s="342" t="s">
        <v>148</v>
      </c>
      <c r="G91" s="341"/>
      <c r="H91" s="123"/>
      <c r="I91" s="348">
        <f>INDEX(Standardwerte!F10:F12,Dateneingabe!H17)</f>
        <v>1300</v>
      </c>
      <c r="J91" s="342" t="s">
        <v>149</v>
      </c>
      <c r="K91" s="420" t="s">
        <v>417</v>
      </c>
      <c r="L91" s="345">
        <f>Standardwerte!F10</f>
        <v>1667</v>
      </c>
      <c r="M91" s="345">
        <f>Standardwerte!F11</f>
        <v>1300</v>
      </c>
      <c r="N91" s="345">
        <f>Standardwerte!F12</f>
        <v>1100</v>
      </c>
    </row>
    <row r="92" spans="2:17" ht="15.75" x14ac:dyDescent="0.25">
      <c r="E92" s="363"/>
      <c r="F92" s="342" t="s">
        <v>416</v>
      </c>
      <c r="G92" s="341"/>
      <c r="H92" s="123"/>
      <c r="I92" s="340">
        <f>Dateneingabe!$F$30</f>
        <v>0.7</v>
      </c>
      <c r="J92" s="351"/>
      <c r="K92" s="688" t="s">
        <v>298</v>
      </c>
      <c r="L92" s="654"/>
      <c r="M92" s="343">
        <f>Dateneingabe!$F$31</f>
        <v>7.0000000000000007E-2</v>
      </c>
      <c r="N92" s="364"/>
    </row>
    <row r="93" spans="2:17" ht="16.5" thickBot="1" x14ac:dyDescent="0.3">
      <c r="E93" s="363"/>
      <c r="F93" s="342" t="s">
        <v>162</v>
      </c>
      <c r="G93" s="352"/>
      <c r="H93" s="354" t="s">
        <v>150</v>
      </c>
      <c r="I93" s="368">
        <v>0.8</v>
      </c>
      <c r="J93" s="354" t="s">
        <v>161</v>
      </c>
      <c r="K93" s="355">
        <v>0.2</v>
      </c>
      <c r="L93" s="21"/>
      <c r="M93" s="21"/>
      <c r="N93" s="22"/>
    </row>
    <row r="94" spans="2:17" ht="45.75" thickBot="1" x14ac:dyDescent="0.3">
      <c r="C94" s="47" t="s">
        <v>526</v>
      </c>
      <c r="D94" s="60" t="s">
        <v>111</v>
      </c>
      <c r="E94" s="609"/>
      <c r="F94" s="607" t="s">
        <v>112</v>
      </c>
      <c r="G94" s="604" t="s">
        <v>277</v>
      </c>
      <c r="H94" s="604" t="s">
        <v>99</v>
      </c>
      <c r="I94" s="604" t="s">
        <v>100</v>
      </c>
      <c r="J94" s="604" t="s">
        <v>101</v>
      </c>
      <c r="K94" s="604" t="s">
        <v>590</v>
      </c>
      <c r="L94" s="604" t="s">
        <v>591</v>
      </c>
      <c r="M94" s="604" t="s">
        <v>592</v>
      </c>
      <c r="N94" s="604" t="s">
        <v>593</v>
      </c>
    </row>
    <row r="95" spans="2:17" ht="46.15" customHeight="1" x14ac:dyDescent="0.25">
      <c r="C95" s="555">
        <v>1</v>
      </c>
      <c r="D95" s="554" t="s">
        <v>493</v>
      </c>
      <c r="E95" s="313" t="s">
        <v>406</v>
      </c>
      <c r="F95" s="314" t="s">
        <v>113</v>
      </c>
      <c r="G95" s="315">
        <f>G46</f>
        <v>102100</v>
      </c>
      <c r="H95" s="315">
        <f t="shared" ref="H95:J95" si="16">H46</f>
        <v>358400</v>
      </c>
      <c r="I95" s="315">
        <f t="shared" si="16"/>
        <v>513400</v>
      </c>
      <c r="J95" s="315">
        <f t="shared" si="16"/>
        <v>632600</v>
      </c>
      <c r="K95" s="315">
        <f>K46-Sanierungsvarianten!F172</f>
        <v>279000</v>
      </c>
      <c r="L95" s="315">
        <f>L46-Sanierungsvarianten!F214</f>
        <v>393400</v>
      </c>
      <c r="M95" s="315">
        <f>M46-Sanierungsvarianten!F256</f>
        <v>513400</v>
      </c>
      <c r="N95" s="316">
        <f>N46-Sanierungsvarianten!F299</f>
        <v>632600</v>
      </c>
    </row>
    <row r="96" spans="2:17" ht="46.9" customHeight="1" x14ac:dyDescent="0.25">
      <c r="C96" s="555">
        <v>2</v>
      </c>
      <c r="D96" s="554" t="s">
        <v>494</v>
      </c>
      <c r="E96" s="339" t="s">
        <v>407</v>
      </c>
      <c r="F96" s="317" t="s">
        <v>113</v>
      </c>
      <c r="G96" s="318">
        <f>G50</f>
        <v>102100</v>
      </c>
      <c r="H96" s="318">
        <f t="shared" ref="H96:J96" si="17">H50</f>
        <v>251600</v>
      </c>
      <c r="I96" s="318">
        <f t="shared" si="17"/>
        <v>376600</v>
      </c>
      <c r="J96" s="318">
        <f t="shared" si="17"/>
        <v>465800</v>
      </c>
      <c r="K96" s="318">
        <f>K50-Sanierungsvarianten!F172</f>
        <v>186200</v>
      </c>
      <c r="L96" s="318">
        <f>L50-Sanierungsvarianten!F214</f>
        <v>266600</v>
      </c>
      <c r="M96" s="318">
        <f>M50-Sanierungsvarianten!F256</f>
        <v>356600</v>
      </c>
      <c r="N96" s="319">
        <f>N50-Sanierungsvarianten!F299</f>
        <v>455800</v>
      </c>
    </row>
    <row r="97" spans="2:17" ht="47.25" x14ac:dyDescent="0.25">
      <c r="C97" s="555">
        <v>3</v>
      </c>
      <c r="D97" s="554"/>
      <c r="E97" s="320" t="s">
        <v>299</v>
      </c>
      <c r="F97" s="321" t="s">
        <v>140</v>
      </c>
      <c r="G97" s="322">
        <v>0.1</v>
      </c>
      <c r="H97" s="323">
        <f>Dateneingabe!$F$30</f>
        <v>0.7</v>
      </c>
      <c r="I97" s="323">
        <f>Dateneingabe!$F$30</f>
        <v>0.7</v>
      </c>
      <c r="J97" s="323">
        <f>Dateneingabe!$F$30</f>
        <v>0.7</v>
      </c>
      <c r="K97" s="323">
        <f>Dateneingabe!$F$30</f>
        <v>0.7</v>
      </c>
      <c r="L97" s="323">
        <f>Dateneingabe!$F$30</f>
        <v>0.7</v>
      </c>
      <c r="M97" s="323">
        <f>Dateneingabe!$F$30</f>
        <v>0.7</v>
      </c>
      <c r="N97" s="324">
        <f>Dateneingabe!$F$30</f>
        <v>0.7</v>
      </c>
    </row>
    <row r="98" spans="2:17" ht="46.15" customHeight="1" x14ac:dyDescent="0.25">
      <c r="C98" s="555">
        <v>4</v>
      </c>
      <c r="D98" s="554" t="s">
        <v>151</v>
      </c>
      <c r="E98" s="325" t="s">
        <v>408</v>
      </c>
      <c r="F98" s="321" t="s">
        <v>113</v>
      </c>
      <c r="G98" s="326">
        <f t="shared" ref="G98:N98" si="18">G95*G97</f>
        <v>10210</v>
      </c>
      <c r="H98" s="326">
        <f t="shared" si="18"/>
        <v>250879.99999999997</v>
      </c>
      <c r="I98" s="326">
        <f t="shared" si="18"/>
        <v>359380</v>
      </c>
      <c r="J98" s="326">
        <f t="shared" si="18"/>
        <v>442820</v>
      </c>
      <c r="K98" s="326">
        <f t="shared" si="18"/>
        <v>195300</v>
      </c>
      <c r="L98" s="326">
        <f t="shared" si="18"/>
        <v>275380</v>
      </c>
      <c r="M98" s="326">
        <f t="shared" si="18"/>
        <v>359380</v>
      </c>
      <c r="N98" s="327">
        <f t="shared" si="18"/>
        <v>442820</v>
      </c>
    </row>
    <row r="99" spans="2:17" ht="47.25" x14ac:dyDescent="0.25">
      <c r="C99" s="555">
        <v>5</v>
      </c>
      <c r="D99" s="554" t="s">
        <v>152</v>
      </c>
      <c r="E99" s="325" t="s">
        <v>409</v>
      </c>
      <c r="F99" s="321" t="s">
        <v>113</v>
      </c>
      <c r="G99" s="326">
        <f>G96*G97</f>
        <v>10210</v>
      </c>
      <c r="H99" s="326">
        <f t="shared" ref="H99:M99" si="19">H96*H97</f>
        <v>176120</v>
      </c>
      <c r="I99" s="326">
        <f t="shared" si="19"/>
        <v>263620</v>
      </c>
      <c r="J99" s="326">
        <f t="shared" si="19"/>
        <v>326060</v>
      </c>
      <c r="K99" s="326">
        <f t="shared" si="19"/>
        <v>130339.99999999999</v>
      </c>
      <c r="L99" s="326">
        <f t="shared" si="19"/>
        <v>186620</v>
      </c>
      <c r="M99" s="326">
        <f t="shared" si="19"/>
        <v>249619.99999999997</v>
      </c>
      <c r="N99" s="327">
        <f>N96*N97</f>
        <v>319060</v>
      </c>
    </row>
    <row r="100" spans="2:17" ht="31.5" x14ac:dyDescent="0.25">
      <c r="C100" s="555">
        <v>6</v>
      </c>
      <c r="D100" s="554"/>
      <c r="E100" s="328" t="s">
        <v>300</v>
      </c>
      <c r="F100" s="321" t="s">
        <v>114</v>
      </c>
      <c r="G100" s="329">
        <f>Dateneingabe!$F$31</f>
        <v>7.0000000000000007E-2</v>
      </c>
      <c r="H100" s="329">
        <f>Dateneingabe!$F$31</f>
        <v>7.0000000000000007E-2</v>
      </c>
      <c r="I100" s="329">
        <f>Dateneingabe!$F$31</f>
        <v>7.0000000000000007E-2</v>
      </c>
      <c r="J100" s="329">
        <f>Dateneingabe!$F$31</f>
        <v>7.0000000000000007E-2</v>
      </c>
      <c r="K100" s="329">
        <f>Dateneingabe!$F$31</f>
        <v>7.0000000000000007E-2</v>
      </c>
      <c r="L100" s="329">
        <f>Dateneingabe!$F$31</f>
        <v>7.0000000000000007E-2</v>
      </c>
      <c r="M100" s="329">
        <f>Dateneingabe!$F$31</f>
        <v>7.0000000000000007E-2</v>
      </c>
      <c r="N100" s="330">
        <f>Dateneingabe!$F$31</f>
        <v>7.0000000000000007E-2</v>
      </c>
    </row>
    <row r="101" spans="2:17" ht="31.5" x14ac:dyDescent="0.25">
      <c r="C101" s="555">
        <v>7</v>
      </c>
      <c r="D101" s="554" t="s">
        <v>153</v>
      </c>
      <c r="E101" s="331" t="s">
        <v>410</v>
      </c>
      <c r="F101" s="332" t="s">
        <v>122</v>
      </c>
      <c r="G101" s="333">
        <f t="shared" ref="G101:N101" si="20">G98*G100</f>
        <v>714.7</v>
      </c>
      <c r="H101" s="333">
        <f t="shared" si="20"/>
        <v>17561.599999999999</v>
      </c>
      <c r="I101" s="333">
        <f t="shared" si="20"/>
        <v>25156.600000000002</v>
      </c>
      <c r="J101" s="333">
        <f t="shared" si="20"/>
        <v>30997.4</v>
      </c>
      <c r="K101" s="333">
        <f t="shared" si="20"/>
        <v>13671.000000000002</v>
      </c>
      <c r="L101" s="333">
        <f t="shared" si="20"/>
        <v>19276.600000000002</v>
      </c>
      <c r="M101" s="333">
        <f t="shared" si="20"/>
        <v>25156.600000000002</v>
      </c>
      <c r="N101" s="334">
        <f t="shared" si="20"/>
        <v>30997.4</v>
      </c>
    </row>
    <row r="102" spans="2:17" ht="32.25" thickBot="1" x14ac:dyDescent="0.3">
      <c r="C102" s="555">
        <v>8</v>
      </c>
      <c r="D102" s="562" t="s">
        <v>154</v>
      </c>
      <c r="E102" s="335" t="s">
        <v>411</v>
      </c>
      <c r="F102" s="336" t="s">
        <v>122</v>
      </c>
      <c r="G102" s="337">
        <f t="shared" ref="G102:N102" si="21">+G99*G100</f>
        <v>714.7</v>
      </c>
      <c r="H102" s="337">
        <f t="shared" si="21"/>
        <v>12328.400000000001</v>
      </c>
      <c r="I102" s="337">
        <f t="shared" si="21"/>
        <v>18453.400000000001</v>
      </c>
      <c r="J102" s="337">
        <f t="shared" si="21"/>
        <v>22824.2</v>
      </c>
      <c r="K102" s="337">
        <f t="shared" si="21"/>
        <v>9123.7999999999993</v>
      </c>
      <c r="L102" s="337">
        <f t="shared" si="21"/>
        <v>13063.400000000001</v>
      </c>
      <c r="M102" s="337">
        <f t="shared" si="21"/>
        <v>17473.399999999998</v>
      </c>
      <c r="N102" s="338">
        <f t="shared" si="21"/>
        <v>22334.2</v>
      </c>
    </row>
    <row r="103" spans="2:17" x14ac:dyDescent="0.25">
      <c r="C103" s="49"/>
      <c r="D103" s="49"/>
      <c r="E103" s="114"/>
      <c r="F103" s="115"/>
      <c r="G103" s="116"/>
      <c r="H103" s="116"/>
      <c r="I103" s="116"/>
      <c r="J103" s="116"/>
      <c r="K103" s="116"/>
      <c r="L103" s="116"/>
      <c r="M103" s="116"/>
      <c r="N103" s="116"/>
      <c r="O103" s="16"/>
    </row>
    <row r="104" spans="2:17" ht="18.75" x14ac:dyDescent="0.3">
      <c r="B104" s="119" t="s">
        <v>555</v>
      </c>
      <c r="C104" s="57" t="s">
        <v>413</v>
      </c>
      <c r="D104" s="49"/>
      <c r="E104" s="114"/>
      <c r="F104" s="113" t="str">
        <f>Dateneingabe!$E$17</f>
        <v>Bern</v>
      </c>
      <c r="G104" s="116"/>
      <c r="H104" s="116"/>
      <c r="I104" s="113"/>
      <c r="J104" s="116"/>
      <c r="K104" s="116"/>
      <c r="L104" s="116"/>
      <c r="M104" s="116"/>
      <c r="N104" s="116"/>
      <c r="O104" s="16"/>
      <c r="Q104" s="235" t="s">
        <v>557</v>
      </c>
    </row>
    <row r="105" spans="2:17" ht="15.75" thickBot="1" x14ac:dyDescent="0.3">
      <c r="D105" s="49"/>
      <c r="E105" s="114"/>
      <c r="F105" s="115"/>
      <c r="G105" s="116"/>
      <c r="H105" s="116"/>
      <c r="I105" s="116"/>
      <c r="J105" s="116"/>
      <c r="K105" s="116"/>
      <c r="L105" s="116"/>
      <c r="M105" s="116"/>
      <c r="N105" s="116"/>
      <c r="O105" s="16"/>
    </row>
    <row r="106" spans="2:17" ht="45.75" thickBot="1" x14ac:dyDescent="0.3">
      <c r="C106" s="47" t="s">
        <v>526</v>
      </c>
      <c r="D106" s="117" t="s">
        <v>111</v>
      </c>
      <c r="E106" s="609"/>
      <c r="F106" s="610" t="s">
        <v>112</v>
      </c>
      <c r="G106" s="604" t="s">
        <v>277</v>
      </c>
      <c r="H106" s="604" t="s">
        <v>99</v>
      </c>
      <c r="I106" s="604" t="s">
        <v>100</v>
      </c>
      <c r="J106" s="604" t="s">
        <v>101</v>
      </c>
      <c r="K106" s="604" t="s">
        <v>590</v>
      </c>
      <c r="L106" s="604" t="s">
        <v>591</v>
      </c>
      <c r="M106" s="604" t="s">
        <v>592</v>
      </c>
      <c r="N106" s="604" t="s">
        <v>593</v>
      </c>
    </row>
    <row r="107" spans="2:17" ht="15.75" x14ac:dyDescent="0.25">
      <c r="C107" s="559"/>
      <c r="D107" s="557"/>
      <c r="E107" s="369" t="s">
        <v>301</v>
      </c>
      <c r="F107" s="370"/>
      <c r="G107" s="370"/>
      <c r="H107" s="370"/>
      <c r="I107" s="370"/>
      <c r="J107" s="370"/>
      <c r="K107" s="370"/>
      <c r="L107" s="370"/>
      <c r="M107" s="370"/>
      <c r="N107" s="371"/>
    </row>
    <row r="108" spans="2:17" ht="15.75" x14ac:dyDescent="0.25">
      <c r="C108" s="559">
        <v>9</v>
      </c>
      <c r="D108" s="554"/>
      <c r="E108" s="372" t="s">
        <v>370</v>
      </c>
      <c r="F108" s="373" t="s">
        <v>122</v>
      </c>
      <c r="G108" s="374">
        <f>Dateneingabe!$F$17*Dateneingabe!$F$14*12</f>
        <v>156000</v>
      </c>
      <c r="H108" s="374">
        <f>Dateneingabe!$F$17*Dateneingabe!$F$14*12</f>
        <v>156000</v>
      </c>
      <c r="I108" s="374">
        <f>Dateneingabe!$F$17*Dateneingabe!$F$14*12</f>
        <v>156000</v>
      </c>
      <c r="J108" s="374">
        <f>Dateneingabe!$F$17*Dateneingabe!$F$14*12</f>
        <v>156000</v>
      </c>
      <c r="K108" s="374">
        <f>Dateneingabe!$F$17*Dateneingabe!$F$14*12</f>
        <v>156000</v>
      </c>
      <c r="L108" s="374">
        <f>Dateneingabe!$F$17*Dateneingabe!$F$14*12</f>
        <v>156000</v>
      </c>
      <c r="M108" s="374">
        <f>Dateneingabe!$F$17*Dateneingabe!$F$14*12</f>
        <v>156000</v>
      </c>
      <c r="N108" s="375">
        <f>Dateneingabe!$F$17*Dateneingabe!$F$14*12</f>
        <v>156000</v>
      </c>
    </row>
    <row r="109" spans="2:17" ht="15.75" x14ac:dyDescent="0.25">
      <c r="C109" s="559">
        <v>10</v>
      </c>
      <c r="D109" s="554" t="s">
        <v>155</v>
      </c>
      <c r="E109" s="415" t="s">
        <v>156</v>
      </c>
      <c r="F109" s="317" t="s">
        <v>122</v>
      </c>
      <c r="G109" s="376">
        <f t="shared" ref="G109:N109" si="22">G108*0.8</f>
        <v>124800</v>
      </c>
      <c r="H109" s="376">
        <f t="shared" si="22"/>
        <v>124800</v>
      </c>
      <c r="I109" s="376">
        <f t="shared" si="22"/>
        <v>124800</v>
      </c>
      <c r="J109" s="376">
        <f t="shared" si="22"/>
        <v>124800</v>
      </c>
      <c r="K109" s="376">
        <f t="shared" si="22"/>
        <v>124800</v>
      </c>
      <c r="L109" s="376">
        <f t="shared" si="22"/>
        <v>124800</v>
      </c>
      <c r="M109" s="377">
        <f t="shared" si="22"/>
        <v>124800</v>
      </c>
      <c r="N109" s="378">
        <f t="shared" si="22"/>
        <v>124800</v>
      </c>
    </row>
    <row r="110" spans="2:17" ht="15.75" x14ac:dyDescent="0.25">
      <c r="C110" s="559">
        <v>11</v>
      </c>
      <c r="D110" s="560" t="s">
        <v>163</v>
      </c>
      <c r="E110" s="403" t="s">
        <v>157</v>
      </c>
      <c r="F110" s="321" t="s">
        <v>122</v>
      </c>
      <c r="G110" s="377">
        <f>G108*0.2</f>
        <v>31200</v>
      </c>
      <c r="H110" s="377">
        <f t="shared" ref="H110:N110" si="23">H108*0.2</f>
        <v>31200</v>
      </c>
      <c r="I110" s="377">
        <f t="shared" si="23"/>
        <v>31200</v>
      </c>
      <c r="J110" s="377">
        <f t="shared" si="23"/>
        <v>31200</v>
      </c>
      <c r="K110" s="377">
        <f t="shared" si="23"/>
        <v>31200</v>
      </c>
      <c r="L110" s="377">
        <f t="shared" si="23"/>
        <v>31200</v>
      </c>
      <c r="M110" s="377">
        <f t="shared" si="23"/>
        <v>31200</v>
      </c>
      <c r="N110" s="379">
        <f t="shared" si="23"/>
        <v>31200</v>
      </c>
    </row>
    <row r="111" spans="2:17" ht="15.6" customHeight="1" x14ac:dyDescent="0.25">
      <c r="C111" s="559">
        <v>12</v>
      </c>
      <c r="D111" s="554"/>
      <c r="E111" s="380" t="s">
        <v>303</v>
      </c>
      <c r="F111" s="317" t="s">
        <v>122</v>
      </c>
      <c r="G111" s="381">
        <f>Sanierungsvarianten!$H$12</f>
        <v>18000</v>
      </c>
      <c r="H111" s="381">
        <f>Sanierungsvarianten!$H$12</f>
        <v>18000</v>
      </c>
      <c r="I111" s="381">
        <f>Sanierungsvarianten!$H$12</f>
        <v>18000</v>
      </c>
      <c r="J111" s="381">
        <f>Sanierungsvarianten!$H$12</f>
        <v>18000</v>
      </c>
      <c r="K111" s="381">
        <f>Sanierungsvarianten!$H$12</f>
        <v>18000</v>
      </c>
      <c r="L111" s="381">
        <f>Sanierungsvarianten!$H$12</f>
        <v>18000</v>
      </c>
      <c r="M111" s="381">
        <f>Sanierungsvarianten!$H$12</f>
        <v>18000</v>
      </c>
      <c r="N111" s="382">
        <f>Sanierungsvarianten!$H$12</f>
        <v>18000</v>
      </c>
    </row>
    <row r="112" spans="2:17" ht="15.75" x14ac:dyDescent="0.25">
      <c r="C112" s="559">
        <v>13</v>
      </c>
      <c r="D112" s="592" t="s">
        <v>586</v>
      </c>
      <c r="E112" s="416" t="s">
        <v>165</v>
      </c>
      <c r="F112" s="317" t="s">
        <v>122</v>
      </c>
      <c r="G112" s="376">
        <f>G110-18000</f>
        <v>13200</v>
      </c>
      <c r="H112" s="376">
        <f t="shared" ref="H112:N112" si="24">H110-18000</f>
        <v>13200</v>
      </c>
      <c r="I112" s="376">
        <f t="shared" si="24"/>
        <v>13200</v>
      </c>
      <c r="J112" s="376">
        <f t="shared" si="24"/>
        <v>13200</v>
      </c>
      <c r="K112" s="376">
        <f t="shared" si="24"/>
        <v>13200</v>
      </c>
      <c r="L112" s="376">
        <f t="shared" si="24"/>
        <v>13200</v>
      </c>
      <c r="M112" s="376">
        <f t="shared" si="24"/>
        <v>13200</v>
      </c>
      <c r="N112" s="382">
        <f t="shared" si="24"/>
        <v>13200</v>
      </c>
    </row>
    <row r="113" spans="3:17" ht="15.75" x14ac:dyDescent="0.25">
      <c r="C113" s="559"/>
      <c r="D113" s="557"/>
      <c r="E113" s="383" t="s">
        <v>302</v>
      </c>
      <c r="F113" s="384"/>
      <c r="G113" s="384"/>
      <c r="H113" s="384"/>
      <c r="I113" s="384"/>
      <c r="J113" s="384"/>
      <c r="K113" s="384"/>
      <c r="L113" s="384"/>
      <c r="M113" s="384"/>
      <c r="N113" s="385"/>
    </row>
    <row r="114" spans="3:17" ht="47.25" x14ac:dyDescent="0.25">
      <c r="C114" s="559">
        <v>14</v>
      </c>
      <c r="D114" s="554" t="s">
        <v>158</v>
      </c>
      <c r="E114" s="417" t="s">
        <v>418</v>
      </c>
      <c r="F114" s="321" t="s">
        <v>122</v>
      </c>
      <c r="G114" s="326">
        <f>G109+G101</f>
        <v>125514.7</v>
      </c>
      <c r="H114" s="326">
        <f t="shared" ref="H114:N114" si="25">H109+H101</f>
        <v>142361.60000000001</v>
      </c>
      <c r="I114" s="326">
        <f t="shared" si="25"/>
        <v>149956.6</v>
      </c>
      <c r="J114" s="326">
        <f t="shared" si="25"/>
        <v>155797.4</v>
      </c>
      <c r="K114" s="326">
        <f t="shared" si="25"/>
        <v>138471</v>
      </c>
      <c r="L114" s="326">
        <f t="shared" si="25"/>
        <v>144076.6</v>
      </c>
      <c r="M114" s="326">
        <f t="shared" si="25"/>
        <v>149956.6</v>
      </c>
      <c r="N114" s="327">
        <f t="shared" si="25"/>
        <v>155797.4</v>
      </c>
    </row>
    <row r="115" spans="3:17" ht="47.25" x14ac:dyDescent="0.25">
      <c r="C115" s="559">
        <v>15</v>
      </c>
      <c r="D115" s="554" t="s">
        <v>304</v>
      </c>
      <c r="E115" s="417" t="s">
        <v>419</v>
      </c>
      <c r="F115" s="321" t="s">
        <v>122</v>
      </c>
      <c r="G115" s="326">
        <f>G109+G102</f>
        <v>125514.7</v>
      </c>
      <c r="H115" s="326">
        <f t="shared" ref="H115:M115" si="26">H109+H102</f>
        <v>137128.4</v>
      </c>
      <c r="I115" s="326">
        <f t="shared" si="26"/>
        <v>143253.4</v>
      </c>
      <c r="J115" s="326">
        <f t="shared" si="26"/>
        <v>147624.20000000001</v>
      </c>
      <c r="K115" s="326">
        <f t="shared" si="26"/>
        <v>133923.79999999999</v>
      </c>
      <c r="L115" s="326">
        <f t="shared" si="26"/>
        <v>137863.4</v>
      </c>
      <c r="M115" s="326">
        <f t="shared" si="26"/>
        <v>142273.4</v>
      </c>
      <c r="N115" s="386">
        <f>N109+N102</f>
        <v>147134.20000000001</v>
      </c>
    </row>
    <row r="116" spans="3:17" ht="31.5" x14ac:dyDescent="0.25">
      <c r="C116" s="559">
        <v>16</v>
      </c>
      <c r="D116" s="554" t="s">
        <v>164</v>
      </c>
      <c r="E116" s="418" t="s">
        <v>166</v>
      </c>
      <c r="F116" s="321" t="s">
        <v>122</v>
      </c>
      <c r="G116" s="326">
        <f>Sanierungsvarianten!$H$28</f>
        <v>16200</v>
      </c>
      <c r="H116" s="326">
        <f>Sanierungsvarianten!$H$63</f>
        <v>4455.0000000000018</v>
      </c>
      <c r="I116" s="387">
        <f>Sanierungsvarianten!$H$98</f>
        <v>0</v>
      </c>
      <c r="J116" s="387">
        <f>Sanierungsvarianten!$H$135</f>
        <v>0</v>
      </c>
      <c r="K116" s="387">
        <f>Sanierungsvarianten!$H$177</f>
        <v>0</v>
      </c>
      <c r="L116" s="387">
        <f>Sanierungsvarianten!$H$219</f>
        <v>0</v>
      </c>
      <c r="M116" s="387">
        <f>Sanierungsvarianten!$H$261</f>
        <v>0</v>
      </c>
      <c r="N116" s="388">
        <f>Sanierungsvarianten!$H$304</f>
        <v>0</v>
      </c>
    </row>
    <row r="117" spans="3:17" ht="15.75" x14ac:dyDescent="0.25">
      <c r="C117" s="559">
        <v>17</v>
      </c>
      <c r="D117" s="554" t="s">
        <v>167</v>
      </c>
      <c r="E117" s="389" t="s">
        <v>82</v>
      </c>
      <c r="F117" s="321" t="s">
        <v>122</v>
      </c>
      <c r="G117" s="390">
        <v>0</v>
      </c>
      <c r="H117" s="390">
        <v>0</v>
      </c>
      <c r="I117" s="390">
        <f>Sanierungsvarianten!$H$101</f>
        <v>1626.1714285714281</v>
      </c>
      <c r="J117" s="390">
        <f>Sanierungsvarianten!$H$138</f>
        <v>1288.2857142857149</v>
      </c>
      <c r="K117" s="326">
        <f>Sanierungsvarianten!$H$179</f>
        <v>5400</v>
      </c>
      <c r="L117" s="326">
        <f>Sanierungsvarianten!$H$221</f>
        <v>2082.8571428571427</v>
      </c>
      <c r="M117" s="326">
        <f>Sanierungsvarianten!$H$264</f>
        <v>1626.1714285714281</v>
      </c>
      <c r="N117" s="386">
        <f>Sanierungsvarianten!$H$307</f>
        <v>1288.2857142857149</v>
      </c>
    </row>
    <row r="118" spans="3:17" ht="16.149999999999999" customHeight="1" thickBot="1" x14ac:dyDescent="0.3">
      <c r="C118" s="559">
        <v>18</v>
      </c>
      <c r="D118" s="554" t="s">
        <v>167</v>
      </c>
      <c r="E118" s="419" t="s">
        <v>83</v>
      </c>
      <c r="F118" s="391" t="s">
        <v>122</v>
      </c>
      <c r="G118" s="392">
        <v>0</v>
      </c>
      <c r="H118" s="392">
        <v>0</v>
      </c>
      <c r="I118" s="392">
        <f>Sanierungsvarianten!$H$100</f>
        <v>150</v>
      </c>
      <c r="J118" s="392">
        <f>Sanierungsvarianten!$H$137</f>
        <v>150</v>
      </c>
      <c r="K118" s="393">
        <v>0</v>
      </c>
      <c r="L118" s="393">
        <v>0</v>
      </c>
      <c r="M118" s="393">
        <f>Sanierungsvarianten!$H$263</f>
        <v>150</v>
      </c>
      <c r="N118" s="394">
        <f>Sanierungsvarianten!$H$306</f>
        <v>150</v>
      </c>
    </row>
    <row r="119" spans="3:17" ht="15.75" x14ac:dyDescent="0.25">
      <c r="C119" s="559"/>
      <c r="D119" s="557"/>
      <c r="E119" s="395" t="s">
        <v>420</v>
      </c>
      <c r="F119" s="396"/>
      <c r="G119" s="397"/>
      <c r="H119" s="397"/>
      <c r="I119" s="397"/>
      <c r="J119" s="397"/>
      <c r="K119" s="397"/>
      <c r="L119" s="397"/>
      <c r="M119" s="397"/>
      <c r="N119" s="398"/>
    </row>
    <row r="120" spans="3:17" ht="31.5" x14ac:dyDescent="0.25">
      <c r="C120" s="559">
        <v>19</v>
      </c>
      <c r="D120" s="554" t="s">
        <v>305</v>
      </c>
      <c r="E120" s="399" t="s">
        <v>421</v>
      </c>
      <c r="F120" s="373" t="s">
        <v>122</v>
      </c>
      <c r="G120" s="400">
        <f>G114+G116+G117+G118+G112</f>
        <v>154914.70000000001</v>
      </c>
      <c r="H120" s="400">
        <f t="shared" ref="H120:N120" si="27">H114+H116+H117+H118+H112</f>
        <v>160016.6</v>
      </c>
      <c r="I120" s="400">
        <f t="shared" si="27"/>
        <v>164932.77142857143</v>
      </c>
      <c r="J120" s="400">
        <f t="shared" si="27"/>
        <v>170435.6857142857</v>
      </c>
      <c r="K120" s="400">
        <f t="shared" si="27"/>
        <v>157071</v>
      </c>
      <c r="L120" s="400">
        <f t="shared" si="27"/>
        <v>159359.45714285714</v>
      </c>
      <c r="M120" s="400">
        <f t="shared" si="27"/>
        <v>164932.77142857143</v>
      </c>
      <c r="N120" s="375">
        <f t="shared" si="27"/>
        <v>170435.6857142857</v>
      </c>
      <c r="P120" t="s">
        <v>86</v>
      </c>
    </row>
    <row r="121" spans="3:17" ht="31.5" x14ac:dyDescent="0.25">
      <c r="C121" s="559">
        <v>20</v>
      </c>
      <c r="D121" s="554" t="s">
        <v>306</v>
      </c>
      <c r="E121" s="328" t="s">
        <v>422</v>
      </c>
      <c r="F121" s="321" t="s">
        <v>140</v>
      </c>
      <c r="G121" s="401">
        <f t="shared" ref="G121:N121" si="28">G120/G108</f>
        <v>0.99304294871794885</v>
      </c>
      <c r="H121" s="401">
        <f t="shared" si="28"/>
        <v>1.0257474358974359</v>
      </c>
      <c r="I121" s="401">
        <f t="shared" si="28"/>
        <v>1.0572613553113552</v>
      </c>
      <c r="J121" s="401">
        <f t="shared" si="28"/>
        <v>1.0925364468864469</v>
      </c>
      <c r="K121" s="401">
        <f t="shared" si="28"/>
        <v>1.0068653846153846</v>
      </c>
      <c r="L121" s="401">
        <f t="shared" si="28"/>
        <v>1.0215349816849817</v>
      </c>
      <c r="M121" s="401">
        <f t="shared" si="28"/>
        <v>1.0572613553113552</v>
      </c>
      <c r="N121" s="402">
        <f t="shared" si="28"/>
        <v>1.0925364468864469</v>
      </c>
    </row>
    <row r="122" spans="3:17" ht="15.75" x14ac:dyDescent="0.25">
      <c r="C122" s="559">
        <v>21</v>
      </c>
      <c r="D122" s="554" t="s">
        <v>307</v>
      </c>
      <c r="E122" s="403" t="s">
        <v>170</v>
      </c>
      <c r="F122" s="321" t="s">
        <v>168</v>
      </c>
      <c r="G122" s="326">
        <f t="shared" ref="G122:N122" si="29">G120/12</f>
        <v>12909.558333333334</v>
      </c>
      <c r="H122" s="326">
        <f t="shared" si="29"/>
        <v>13334.716666666667</v>
      </c>
      <c r="I122" s="326">
        <f t="shared" si="29"/>
        <v>13744.397619047619</v>
      </c>
      <c r="J122" s="326">
        <f t="shared" si="29"/>
        <v>14202.973809523808</v>
      </c>
      <c r="K122" s="326">
        <f t="shared" si="29"/>
        <v>13089.25</v>
      </c>
      <c r="L122" s="326">
        <f t="shared" si="29"/>
        <v>13279.954761904761</v>
      </c>
      <c r="M122" s="326">
        <f t="shared" si="29"/>
        <v>13744.397619047619</v>
      </c>
      <c r="N122" s="386">
        <f t="shared" si="29"/>
        <v>14202.973809523808</v>
      </c>
    </row>
    <row r="123" spans="3:17" ht="15.75" x14ac:dyDescent="0.25">
      <c r="C123" s="559">
        <v>22</v>
      </c>
      <c r="D123" s="554" t="s">
        <v>308</v>
      </c>
      <c r="E123" s="403" t="s">
        <v>169</v>
      </c>
      <c r="F123" s="321" t="s">
        <v>168</v>
      </c>
      <c r="G123" s="326">
        <f>G122/Dateneingabe!$F$14</f>
        <v>1290.9558333333334</v>
      </c>
      <c r="H123" s="326">
        <f>H122/Dateneingabe!$F$14</f>
        <v>1333.4716666666668</v>
      </c>
      <c r="I123" s="326">
        <f>I122/Dateneingabe!$F$14</f>
        <v>1374.4397619047618</v>
      </c>
      <c r="J123" s="326">
        <f>J122/Dateneingabe!$F$14</f>
        <v>1420.2973809523808</v>
      </c>
      <c r="K123" s="326">
        <f>K122/Dateneingabe!$F$14</f>
        <v>1308.925</v>
      </c>
      <c r="L123" s="326">
        <f>L122/Dateneingabe!$F$14</f>
        <v>1327.995476190476</v>
      </c>
      <c r="M123" s="326">
        <f>M122/Dateneingabe!$F$14</f>
        <v>1374.4397619047618</v>
      </c>
      <c r="N123" s="327">
        <f>N122/Dateneingabe!$F$14</f>
        <v>1420.2973809523808</v>
      </c>
    </row>
    <row r="124" spans="3:17" ht="15.75" x14ac:dyDescent="0.25">
      <c r="C124" s="559"/>
      <c r="D124" s="557"/>
      <c r="E124" s="404" t="s">
        <v>423</v>
      </c>
      <c r="F124" s="405"/>
      <c r="G124" s="406"/>
      <c r="H124" s="406"/>
      <c r="I124" s="406"/>
      <c r="J124" s="406"/>
      <c r="K124" s="406"/>
      <c r="L124" s="406"/>
      <c r="M124" s="406"/>
      <c r="N124" s="407"/>
    </row>
    <row r="125" spans="3:17" ht="31.5" x14ac:dyDescent="0.25">
      <c r="C125" s="559">
        <v>23</v>
      </c>
      <c r="D125" s="554" t="s">
        <v>309</v>
      </c>
      <c r="E125" s="399" t="s">
        <v>424</v>
      </c>
      <c r="F125" s="373" t="s">
        <v>122</v>
      </c>
      <c r="G125" s="374">
        <f>+G115+G116+G117+G118+G112</f>
        <v>154914.70000000001</v>
      </c>
      <c r="H125" s="374">
        <f t="shared" ref="H125:N125" si="30">+H115+H116+H117+H118+H112</f>
        <v>154783.4</v>
      </c>
      <c r="I125" s="374">
        <f t="shared" si="30"/>
        <v>158229.57142857142</v>
      </c>
      <c r="J125" s="374">
        <f t="shared" si="30"/>
        <v>162262.48571428572</v>
      </c>
      <c r="K125" s="374">
        <f t="shared" si="30"/>
        <v>152523.79999999999</v>
      </c>
      <c r="L125" s="374">
        <f t="shared" si="30"/>
        <v>153146.25714285712</v>
      </c>
      <c r="M125" s="374">
        <f t="shared" si="30"/>
        <v>157249.57142857142</v>
      </c>
      <c r="N125" s="408">
        <f t="shared" si="30"/>
        <v>161772.48571428572</v>
      </c>
    </row>
    <row r="126" spans="3:17" ht="31.5" x14ac:dyDescent="0.3">
      <c r="C126" s="559">
        <v>24</v>
      </c>
      <c r="D126" s="560" t="s">
        <v>310</v>
      </c>
      <c r="E126" s="328" t="s">
        <v>425</v>
      </c>
      <c r="F126" s="321" t="s">
        <v>140</v>
      </c>
      <c r="G126" s="401">
        <f t="shared" ref="G126:N126" si="31">G125/G108</f>
        <v>0.99304294871794885</v>
      </c>
      <c r="H126" s="401">
        <f t="shared" si="31"/>
        <v>0.992201282051282</v>
      </c>
      <c r="I126" s="401">
        <f t="shared" si="31"/>
        <v>1.0142921245421246</v>
      </c>
      <c r="J126" s="401">
        <f t="shared" si="31"/>
        <v>1.0401441391941393</v>
      </c>
      <c r="K126" s="401">
        <f t="shared" si="31"/>
        <v>0.97771666666666657</v>
      </c>
      <c r="L126" s="401">
        <f t="shared" si="31"/>
        <v>0.98170677655677641</v>
      </c>
      <c r="M126" s="409">
        <f t="shared" si="31"/>
        <v>1.0080100732600732</v>
      </c>
      <c r="N126" s="410">
        <f t="shared" si="31"/>
        <v>1.0370031135531137</v>
      </c>
      <c r="Q126" s="55"/>
    </row>
    <row r="127" spans="3:17" ht="15.75" x14ac:dyDescent="0.25">
      <c r="C127" s="559">
        <v>25</v>
      </c>
      <c r="D127" s="554" t="s">
        <v>311</v>
      </c>
      <c r="E127" s="403" t="s">
        <v>170</v>
      </c>
      <c r="F127" s="321" t="s">
        <v>168</v>
      </c>
      <c r="G127" s="326">
        <f t="shared" ref="G127:N127" si="32">G125/12</f>
        <v>12909.558333333334</v>
      </c>
      <c r="H127" s="326">
        <f t="shared" si="32"/>
        <v>12898.616666666667</v>
      </c>
      <c r="I127" s="326">
        <f t="shared" si="32"/>
        <v>13185.797619047618</v>
      </c>
      <c r="J127" s="326">
        <f t="shared" si="32"/>
        <v>13521.87380952381</v>
      </c>
      <c r="K127" s="326">
        <f t="shared" si="32"/>
        <v>12710.316666666666</v>
      </c>
      <c r="L127" s="326">
        <f t="shared" si="32"/>
        <v>12762.188095238094</v>
      </c>
      <c r="M127" s="411">
        <f t="shared" si="32"/>
        <v>13104.130952380952</v>
      </c>
      <c r="N127" s="327">
        <f t="shared" si="32"/>
        <v>13481.040476190477</v>
      </c>
    </row>
    <row r="128" spans="3:17" ht="16.5" thickBot="1" x14ac:dyDescent="0.3">
      <c r="C128" s="559">
        <v>26</v>
      </c>
      <c r="D128" s="554" t="s">
        <v>312</v>
      </c>
      <c r="E128" s="412" t="s">
        <v>169</v>
      </c>
      <c r="F128" s="391" t="s">
        <v>168</v>
      </c>
      <c r="G128" s="413">
        <f>G127/Dateneingabe!$F$14</f>
        <v>1290.9558333333334</v>
      </c>
      <c r="H128" s="413">
        <f>H127/Dateneingabe!$F$14</f>
        <v>1289.8616666666667</v>
      </c>
      <c r="I128" s="413">
        <f>I127/Dateneingabe!$F$14</f>
        <v>1318.5797619047619</v>
      </c>
      <c r="J128" s="413">
        <f>J127/Dateneingabe!$F$14</f>
        <v>1352.1873809523809</v>
      </c>
      <c r="K128" s="413">
        <f>K127/Dateneingabe!$F$14</f>
        <v>1271.0316666666665</v>
      </c>
      <c r="L128" s="413">
        <f>L127/Dateneingabe!$F$14</f>
        <v>1276.2188095238093</v>
      </c>
      <c r="M128" s="413">
        <f>M127/Dateneingabe!$F$14</f>
        <v>1310.4130952380951</v>
      </c>
      <c r="N128" s="414">
        <f>N127/Dateneingabe!$F$14</f>
        <v>1348.1040476190478</v>
      </c>
    </row>
    <row r="131" spans="1:17" ht="18.75" x14ac:dyDescent="0.3">
      <c r="B131" s="235" t="s">
        <v>558</v>
      </c>
      <c r="C131" s="55" t="s">
        <v>313</v>
      </c>
      <c r="F131" s="55" t="str">
        <f>Dateneingabe!$E$17</f>
        <v>Bern</v>
      </c>
      <c r="Q131" s="235" t="s">
        <v>559</v>
      </c>
    </row>
    <row r="132" spans="1:17" ht="17.25" thickBot="1" x14ac:dyDescent="0.35">
      <c r="E132" s="62"/>
      <c r="F132" s="63"/>
      <c r="J132" s="45"/>
    </row>
    <row r="133" spans="1:17" ht="45.75" thickBot="1" x14ac:dyDescent="0.3">
      <c r="C133" s="47" t="s">
        <v>526</v>
      </c>
      <c r="D133" s="60" t="s">
        <v>111</v>
      </c>
      <c r="E133" s="609"/>
      <c r="F133" s="610" t="s">
        <v>112</v>
      </c>
      <c r="G133" s="604" t="s">
        <v>277</v>
      </c>
      <c r="H133" s="604" t="s">
        <v>99</v>
      </c>
      <c r="I133" s="604" t="s">
        <v>100</v>
      </c>
      <c r="J133" s="604" t="s">
        <v>101</v>
      </c>
      <c r="K133" s="604" t="s">
        <v>590</v>
      </c>
      <c r="L133" s="604" t="s">
        <v>591</v>
      </c>
      <c r="M133" s="604" t="s">
        <v>592</v>
      </c>
      <c r="N133" s="604" t="s">
        <v>593</v>
      </c>
    </row>
    <row r="134" spans="1:17" ht="31.5" x14ac:dyDescent="0.25">
      <c r="C134" s="555">
        <v>1</v>
      </c>
      <c r="D134" s="118" t="s">
        <v>495</v>
      </c>
      <c r="E134" s="445" t="s">
        <v>426</v>
      </c>
      <c r="F134" s="314" t="s">
        <v>122</v>
      </c>
      <c r="G134" s="421">
        <f>G101</f>
        <v>714.7</v>
      </c>
      <c r="H134" s="422">
        <f t="shared" ref="H134:N134" si="33">H101</f>
        <v>17561.599999999999</v>
      </c>
      <c r="I134" s="422">
        <f t="shared" si="33"/>
        <v>25156.600000000002</v>
      </c>
      <c r="J134" s="422">
        <f t="shared" si="33"/>
        <v>30997.4</v>
      </c>
      <c r="K134" s="422">
        <f t="shared" si="33"/>
        <v>13671.000000000002</v>
      </c>
      <c r="L134" s="422">
        <f t="shared" si="33"/>
        <v>19276.600000000002</v>
      </c>
      <c r="M134" s="422">
        <f t="shared" si="33"/>
        <v>25156.600000000002</v>
      </c>
      <c r="N134" s="423">
        <f t="shared" si="33"/>
        <v>30997.4</v>
      </c>
    </row>
    <row r="135" spans="1:17" ht="31.5" x14ac:dyDescent="0.25">
      <c r="C135" s="555">
        <v>2</v>
      </c>
      <c r="D135" s="118" t="s">
        <v>496</v>
      </c>
      <c r="E135" s="328" t="s">
        <v>427</v>
      </c>
      <c r="F135" s="317" t="s">
        <v>122</v>
      </c>
      <c r="G135" s="424">
        <f>G102</f>
        <v>714.7</v>
      </c>
      <c r="H135" s="425">
        <f t="shared" ref="H135:N135" si="34">H102</f>
        <v>12328.400000000001</v>
      </c>
      <c r="I135" s="425">
        <f t="shared" si="34"/>
        <v>18453.400000000001</v>
      </c>
      <c r="J135" s="425">
        <f t="shared" si="34"/>
        <v>22824.2</v>
      </c>
      <c r="K135" s="425">
        <f t="shared" si="34"/>
        <v>9123.7999999999993</v>
      </c>
      <c r="L135" s="425">
        <f t="shared" si="34"/>
        <v>13063.400000000001</v>
      </c>
      <c r="M135" s="425">
        <f t="shared" si="34"/>
        <v>17473.399999999998</v>
      </c>
      <c r="N135" s="426">
        <f t="shared" si="34"/>
        <v>22334.2</v>
      </c>
    </row>
    <row r="136" spans="1:17" ht="30" x14ac:dyDescent="0.25">
      <c r="C136" s="555">
        <v>3</v>
      </c>
      <c r="D136" s="554" t="s">
        <v>164</v>
      </c>
      <c r="E136" s="416" t="s">
        <v>171</v>
      </c>
      <c r="F136" s="321" t="s">
        <v>122</v>
      </c>
      <c r="G136" s="424">
        <v>0</v>
      </c>
      <c r="H136" s="424">
        <v>0</v>
      </c>
      <c r="I136" s="424">
        <v>0</v>
      </c>
      <c r="J136" s="424">
        <v>0</v>
      </c>
      <c r="K136" s="427">
        <f>-Sanierungsvarianten!H180</f>
        <v>10000</v>
      </c>
      <c r="L136" s="427">
        <f>-Sanierungsvarianten!H222</f>
        <v>10000</v>
      </c>
      <c r="M136" s="425">
        <f>-Sanierungsvarianten!H265</f>
        <v>10000</v>
      </c>
      <c r="N136" s="426">
        <f>-Sanierungsvarianten!H308</f>
        <v>10000</v>
      </c>
    </row>
    <row r="137" spans="1:17" ht="31.9" customHeight="1" x14ac:dyDescent="0.25">
      <c r="C137" s="555">
        <v>4</v>
      </c>
      <c r="D137" s="554" t="s">
        <v>317</v>
      </c>
      <c r="E137" s="328" t="s">
        <v>428</v>
      </c>
      <c r="F137" s="317" t="s">
        <v>122</v>
      </c>
      <c r="G137" s="424">
        <f t="shared" ref="G137:N137" si="35">G134+G136</f>
        <v>714.7</v>
      </c>
      <c r="H137" s="427">
        <f t="shared" si="35"/>
        <v>17561.599999999999</v>
      </c>
      <c r="I137" s="427">
        <f t="shared" si="35"/>
        <v>25156.600000000002</v>
      </c>
      <c r="J137" s="427">
        <f t="shared" si="35"/>
        <v>30997.4</v>
      </c>
      <c r="K137" s="427">
        <f t="shared" si="35"/>
        <v>23671</v>
      </c>
      <c r="L137" s="427">
        <f t="shared" si="35"/>
        <v>29276.600000000002</v>
      </c>
      <c r="M137" s="425">
        <f t="shared" si="35"/>
        <v>35156.600000000006</v>
      </c>
      <c r="N137" s="426">
        <f t="shared" si="35"/>
        <v>40997.4</v>
      </c>
    </row>
    <row r="138" spans="1:17" ht="48.6" customHeight="1" x14ac:dyDescent="0.25">
      <c r="A138" s="93"/>
      <c r="C138" s="555">
        <v>5</v>
      </c>
      <c r="D138" s="554" t="s">
        <v>497</v>
      </c>
      <c r="E138" s="436" t="s">
        <v>429</v>
      </c>
      <c r="F138" s="429" t="s">
        <v>113</v>
      </c>
      <c r="G138" s="430">
        <f>G72</f>
        <v>6126</v>
      </c>
      <c r="H138" s="430">
        <f t="shared" ref="H138:N138" si="36">H72</f>
        <v>21504</v>
      </c>
      <c r="I138" s="430">
        <f t="shared" si="36"/>
        <v>30804</v>
      </c>
      <c r="J138" s="430">
        <f t="shared" si="36"/>
        <v>37956</v>
      </c>
      <c r="K138" s="430">
        <f t="shared" si="36"/>
        <v>22740</v>
      </c>
      <c r="L138" s="430">
        <f t="shared" si="36"/>
        <v>29604</v>
      </c>
      <c r="M138" s="430">
        <f t="shared" si="36"/>
        <v>36804</v>
      </c>
      <c r="N138" s="431">
        <f t="shared" si="36"/>
        <v>43956</v>
      </c>
    </row>
    <row r="139" spans="1:17" ht="16.149999999999999" customHeight="1" x14ac:dyDescent="0.25">
      <c r="C139" s="555">
        <v>6</v>
      </c>
      <c r="D139" s="554" t="s">
        <v>502</v>
      </c>
      <c r="E139" s="432" t="s">
        <v>172</v>
      </c>
      <c r="F139" s="433" t="s">
        <v>140</v>
      </c>
      <c r="G139" s="434">
        <f t="shared" ref="G139:N139" si="37">(G137-G138)/G46</f>
        <v>-5.2999999999999999E-2</v>
      </c>
      <c r="H139" s="434">
        <f t="shared" si="37"/>
        <v>-1.1000000000000005E-2</v>
      </c>
      <c r="I139" s="434">
        <f t="shared" si="37"/>
        <v>-1.0999999999999996E-2</v>
      </c>
      <c r="J139" s="434">
        <f t="shared" si="37"/>
        <v>-1.0999999999999998E-2</v>
      </c>
      <c r="K139" s="434">
        <f t="shared" si="37"/>
        <v>2.4564643799472297E-3</v>
      </c>
      <c r="L139" s="434">
        <f t="shared" si="37"/>
        <v>-6.6355897851641229E-4</v>
      </c>
      <c r="M139" s="434">
        <f t="shared" si="37"/>
        <v>-2.6856863384414642E-3</v>
      </c>
      <c r="N139" s="435">
        <f t="shared" si="37"/>
        <v>-4.0384930384930367E-3</v>
      </c>
    </row>
    <row r="140" spans="1:17" ht="48" customHeight="1" x14ac:dyDescent="0.3">
      <c r="C140" s="555">
        <v>7</v>
      </c>
      <c r="D140" s="554" t="s">
        <v>498</v>
      </c>
      <c r="E140" s="436" t="s">
        <v>430</v>
      </c>
      <c r="F140" s="437" t="s">
        <v>113</v>
      </c>
      <c r="G140" s="430">
        <f>G75</f>
        <v>4594.5</v>
      </c>
      <c r="H140" s="430">
        <f t="shared" ref="H140:N140" si="38">H75</f>
        <v>16128</v>
      </c>
      <c r="I140" s="430">
        <f t="shared" si="38"/>
        <v>23103</v>
      </c>
      <c r="J140" s="430">
        <f t="shared" si="38"/>
        <v>28467</v>
      </c>
      <c r="K140" s="430">
        <f t="shared" si="38"/>
        <v>17055</v>
      </c>
      <c r="L140" s="430">
        <f t="shared" si="38"/>
        <v>22203</v>
      </c>
      <c r="M140" s="430">
        <f t="shared" si="38"/>
        <v>27603</v>
      </c>
      <c r="N140" s="431">
        <f t="shared" si="38"/>
        <v>32967</v>
      </c>
      <c r="Q140" s="55" t="s">
        <v>179</v>
      </c>
    </row>
    <row r="141" spans="1:17" ht="16.149999999999999" customHeight="1" x14ac:dyDescent="0.25">
      <c r="B141" t="s">
        <v>86</v>
      </c>
      <c r="C141" s="555">
        <v>8</v>
      </c>
      <c r="D141" s="558" t="s">
        <v>501</v>
      </c>
      <c r="E141" s="432" t="s">
        <v>173</v>
      </c>
      <c r="F141" s="433" t="s">
        <v>140</v>
      </c>
      <c r="G141" s="434">
        <f t="shared" ref="G141:N141" si="39">(G137-G140)/G55</f>
        <v>-5.0666666666666672E-2</v>
      </c>
      <c r="H141" s="434">
        <f t="shared" si="39"/>
        <v>5.333333333333328E-3</v>
      </c>
      <c r="I141" s="434">
        <f t="shared" si="39"/>
        <v>5.3333333333333392E-3</v>
      </c>
      <c r="J141" s="434">
        <f t="shared" si="39"/>
        <v>5.3333333333333366E-3</v>
      </c>
      <c r="K141" s="434">
        <f t="shared" si="39"/>
        <v>2.3275285839929639E-2</v>
      </c>
      <c r="L141" s="434">
        <f t="shared" si="39"/>
        <v>1.9115254695311449E-2</v>
      </c>
      <c r="M141" s="434">
        <f t="shared" si="39"/>
        <v>1.6419084882078046E-2</v>
      </c>
      <c r="N141" s="435">
        <f t="shared" si="39"/>
        <v>1.4615342615342619E-2</v>
      </c>
    </row>
    <row r="142" spans="1:17" ht="31.5" x14ac:dyDescent="0.25">
      <c r="C142" s="555">
        <v>9</v>
      </c>
      <c r="D142" s="558" t="s">
        <v>318</v>
      </c>
      <c r="E142" s="328" t="s">
        <v>431</v>
      </c>
      <c r="F142" s="317" t="s">
        <v>122</v>
      </c>
      <c r="G142" s="424">
        <f>G135+G136</f>
        <v>714.7</v>
      </c>
      <c r="H142" s="427">
        <f>H135+H136</f>
        <v>12328.400000000001</v>
      </c>
      <c r="I142" s="427">
        <f t="shared" ref="I142:N142" si="40">I135+I136</f>
        <v>18453.400000000001</v>
      </c>
      <c r="J142" s="427">
        <f t="shared" si="40"/>
        <v>22824.2</v>
      </c>
      <c r="K142" s="427">
        <f t="shared" si="40"/>
        <v>19123.8</v>
      </c>
      <c r="L142" s="427">
        <f t="shared" si="40"/>
        <v>23063.4</v>
      </c>
      <c r="M142" s="427">
        <f t="shared" si="40"/>
        <v>27473.399999999998</v>
      </c>
      <c r="N142" s="426">
        <f t="shared" si="40"/>
        <v>32334.2</v>
      </c>
    </row>
    <row r="143" spans="1:17" ht="48" customHeight="1" x14ac:dyDescent="0.25">
      <c r="C143" s="555">
        <v>10</v>
      </c>
      <c r="D143" s="554" t="s">
        <v>499</v>
      </c>
      <c r="E143" s="436" t="s">
        <v>432</v>
      </c>
      <c r="F143" s="437" t="s">
        <v>113</v>
      </c>
      <c r="G143" s="430">
        <f>G74</f>
        <v>4594.5</v>
      </c>
      <c r="H143" s="430">
        <f t="shared" ref="H143:N143" si="41">H74</f>
        <v>11322</v>
      </c>
      <c r="I143" s="430">
        <f t="shared" si="41"/>
        <v>16947</v>
      </c>
      <c r="J143" s="430">
        <f t="shared" si="41"/>
        <v>20961</v>
      </c>
      <c r="K143" s="430">
        <f t="shared" si="41"/>
        <v>12879</v>
      </c>
      <c r="L143" s="430">
        <f t="shared" si="41"/>
        <v>16497</v>
      </c>
      <c r="M143" s="430">
        <f t="shared" si="41"/>
        <v>20547</v>
      </c>
      <c r="N143" s="431">
        <f t="shared" si="41"/>
        <v>25011</v>
      </c>
    </row>
    <row r="144" spans="1:17" ht="16.149999999999999" customHeight="1" x14ac:dyDescent="0.25">
      <c r="C144" s="555">
        <v>11</v>
      </c>
      <c r="D144" s="554" t="s">
        <v>503</v>
      </c>
      <c r="E144" s="432" t="s">
        <v>174</v>
      </c>
      <c r="F144" s="433" t="s">
        <v>140</v>
      </c>
      <c r="G144" s="434">
        <f>(G142-G143)/G53</f>
        <v>-5.0666666666666672E-2</v>
      </c>
      <c r="H144" s="434">
        <f t="shared" ref="H144:N144" si="42">(H142-H143)/H53</f>
        <v>5.333333333333341E-3</v>
      </c>
      <c r="I144" s="434">
        <f t="shared" si="42"/>
        <v>5.3333333333333384E-3</v>
      </c>
      <c r="J144" s="434">
        <f t="shared" si="42"/>
        <v>5.3333333333333358E-3</v>
      </c>
      <c r="K144" s="434">
        <f t="shared" si="42"/>
        <v>2.9092941998602372E-2</v>
      </c>
      <c r="L144" s="434">
        <f t="shared" si="42"/>
        <v>2.3882160392798696E-2</v>
      </c>
      <c r="M144" s="434">
        <f t="shared" si="42"/>
        <v>2.0226018396846249E-2</v>
      </c>
      <c r="N144" s="435">
        <f t="shared" si="42"/>
        <v>1.7567950101955141E-2</v>
      </c>
    </row>
    <row r="145" spans="2:17" ht="48" customHeight="1" x14ac:dyDescent="0.25">
      <c r="C145" s="555">
        <v>12</v>
      </c>
      <c r="D145" s="554" t="s">
        <v>500</v>
      </c>
      <c r="E145" s="438" t="s">
        <v>433</v>
      </c>
      <c r="F145" s="437" t="s">
        <v>113</v>
      </c>
      <c r="G145" s="439">
        <f>G73</f>
        <v>6126</v>
      </c>
      <c r="H145" s="439">
        <f t="shared" ref="H145:N145" si="43">H73</f>
        <v>15096</v>
      </c>
      <c r="I145" s="439">
        <f t="shared" si="43"/>
        <v>22596</v>
      </c>
      <c r="J145" s="439">
        <f t="shared" si="43"/>
        <v>27948</v>
      </c>
      <c r="K145" s="439">
        <f t="shared" si="43"/>
        <v>17172</v>
      </c>
      <c r="L145" s="439">
        <f t="shared" si="43"/>
        <v>21996</v>
      </c>
      <c r="M145" s="439">
        <f t="shared" si="43"/>
        <v>27396</v>
      </c>
      <c r="N145" s="440">
        <f t="shared" si="43"/>
        <v>33348</v>
      </c>
    </row>
    <row r="146" spans="2:17" ht="16.149999999999999" customHeight="1" thickBot="1" x14ac:dyDescent="0.3">
      <c r="C146" s="555">
        <v>13</v>
      </c>
      <c r="D146" s="554" t="s">
        <v>504</v>
      </c>
      <c r="E146" s="441" t="s">
        <v>314</v>
      </c>
      <c r="F146" s="442" t="s">
        <v>140</v>
      </c>
      <c r="G146" s="443">
        <f>(G142-G145)/G50</f>
        <v>-5.2999999999999999E-2</v>
      </c>
      <c r="H146" s="443">
        <f t="shared" ref="H146:N146" si="44">(H142-H145)/H50</f>
        <v>-1.0999999999999994E-2</v>
      </c>
      <c r="I146" s="443">
        <f t="shared" si="44"/>
        <v>-1.0999999999999996E-2</v>
      </c>
      <c r="J146" s="443">
        <f t="shared" si="44"/>
        <v>-1.0999999999999998E-2</v>
      </c>
      <c r="K146" s="443">
        <f t="shared" si="44"/>
        <v>6.8197064989517792E-3</v>
      </c>
      <c r="L146" s="443">
        <f t="shared" si="44"/>
        <v>2.911620294599022E-3</v>
      </c>
      <c r="M146" s="443">
        <f t="shared" si="44"/>
        <v>1.6951379763468642E-4</v>
      </c>
      <c r="N146" s="444">
        <f t="shared" si="44"/>
        <v>-1.8240374235336438E-3</v>
      </c>
    </row>
    <row r="147" spans="2:17" x14ac:dyDescent="0.25">
      <c r="C147" s="61"/>
      <c r="G147" s="66"/>
    </row>
    <row r="148" spans="2:17" x14ac:dyDescent="0.25">
      <c r="C148" s="44" t="s">
        <v>323</v>
      </c>
      <c r="D148" s="66"/>
      <c r="G148" s="66"/>
      <c r="N148" s="67"/>
    </row>
    <row r="149" spans="2:17" x14ac:dyDescent="0.25">
      <c r="C149" s="44" t="s">
        <v>324</v>
      </c>
      <c r="D149" s="66"/>
      <c r="G149" s="66"/>
      <c r="N149" s="67"/>
    </row>
    <row r="150" spans="2:17" x14ac:dyDescent="0.25">
      <c r="C150" s="44" t="s">
        <v>325</v>
      </c>
      <c r="D150" s="66"/>
      <c r="G150" s="66"/>
    </row>
    <row r="151" spans="2:17" x14ac:dyDescent="0.25">
      <c r="C151" s="44" t="s">
        <v>326</v>
      </c>
      <c r="G151" s="66"/>
    </row>
    <row r="152" spans="2:17" x14ac:dyDescent="0.25">
      <c r="C152" s="44"/>
      <c r="G152" s="66"/>
    </row>
    <row r="153" spans="2:17" x14ac:dyDescent="0.25">
      <c r="C153" s="44"/>
      <c r="G153" s="66"/>
    </row>
    <row r="156" spans="2:17" ht="18.75" x14ac:dyDescent="0.3">
      <c r="B156" s="235" t="s">
        <v>560</v>
      </c>
      <c r="C156" s="55" t="s">
        <v>313</v>
      </c>
      <c r="F156" s="55" t="str">
        <f>Dateneingabe!$E$17</f>
        <v>Bern</v>
      </c>
      <c r="H156" s="45" t="s">
        <v>315</v>
      </c>
      <c r="Q156" s="235" t="s">
        <v>561</v>
      </c>
    </row>
    <row r="157" spans="2:17" ht="19.5" thickBot="1" x14ac:dyDescent="0.35">
      <c r="E157" s="44" t="s">
        <v>181</v>
      </c>
      <c r="G157" s="63"/>
      <c r="H157" s="64">
        <f>G56</f>
        <v>76575</v>
      </c>
      <c r="J157" s="65"/>
    </row>
    <row r="158" spans="2:17" ht="45.75" thickBot="1" x14ac:dyDescent="0.3">
      <c r="C158" s="47" t="s">
        <v>526</v>
      </c>
      <c r="D158" s="60" t="s">
        <v>111</v>
      </c>
      <c r="E158" s="611"/>
      <c r="F158" s="86" t="s">
        <v>112</v>
      </c>
      <c r="G158" s="604" t="s">
        <v>277</v>
      </c>
      <c r="H158" s="604" t="s">
        <v>99</v>
      </c>
      <c r="I158" s="604" t="s">
        <v>100</v>
      </c>
      <c r="J158" s="604" t="s">
        <v>101</v>
      </c>
      <c r="K158" s="604" t="s">
        <v>590</v>
      </c>
      <c r="L158" s="604" t="s">
        <v>591</v>
      </c>
      <c r="M158" s="604" t="s">
        <v>592</v>
      </c>
      <c r="N158" s="604" t="s">
        <v>593</v>
      </c>
    </row>
    <row r="159" spans="2:17" ht="63" x14ac:dyDescent="0.25">
      <c r="C159" s="555">
        <v>13</v>
      </c>
      <c r="D159" s="556" t="s">
        <v>505</v>
      </c>
      <c r="E159" s="313" t="s">
        <v>434</v>
      </c>
      <c r="F159" s="446" t="s">
        <v>113</v>
      </c>
      <c r="G159" s="422" t="str">
        <f>G76</f>
        <v>*</v>
      </c>
      <c r="H159" s="422">
        <f t="shared" ref="H159:N159" si="45">H76</f>
        <v>16909.5</v>
      </c>
      <c r="I159" s="422">
        <f t="shared" si="45"/>
        <v>26209.5</v>
      </c>
      <c r="J159" s="422">
        <f t="shared" si="45"/>
        <v>33361.5</v>
      </c>
      <c r="K159" s="422">
        <f t="shared" si="45"/>
        <v>18145.5</v>
      </c>
      <c r="L159" s="422">
        <f t="shared" si="45"/>
        <v>25009.5</v>
      </c>
      <c r="M159" s="422">
        <f t="shared" si="45"/>
        <v>32209.5</v>
      </c>
      <c r="N159" s="423">
        <f t="shared" si="45"/>
        <v>39361.5</v>
      </c>
    </row>
    <row r="160" spans="2:17" ht="63" x14ac:dyDescent="0.25">
      <c r="C160" s="555">
        <v>14</v>
      </c>
      <c r="D160" s="556" t="s">
        <v>506</v>
      </c>
      <c r="E160" s="274" t="s">
        <v>435</v>
      </c>
      <c r="F160" s="429" t="s">
        <v>113</v>
      </c>
      <c r="G160" s="447" t="s">
        <v>178</v>
      </c>
      <c r="H160" s="448">
        <f>H57</f>
        <v>281825</v>
      </c>
      <c r="I160" s="448">
        <f t="shared" ref="I160:N160" si="46">I57</f>
        <v>436825</v>
      </c>
      <c r="J160" s="448">
        <f t="shared" si="46"/>
        <v>556025</v>
      </c>
      <c r="K160" s="448">
        <f t="shared" si="46"/>
        <v>302425</v>
      </c>
      <c r="L160" s="448">
        <f t="shared" si="46"/>
        <v>416825</v>
      </c>
      <c r="M160" s="448">
        <f t="shared" si="46"/>
        <v>536825</v>
      </c>
      <c r="N160" s="449">
        <f t="shared" si="46"/>
        <v>656025</v>
      </c>
    </row>
    <row r="161" spans="3:15" ht="15.75" x14ac:dyDescent="0.25">
      <c r="C161" s="555">
        <v>15</v>
      </c>
      <c r="D161" s="557" t="s">
        <v>319</v>
      </c>
      <c r="E161" s="432" t="s">
        <v>175</v>
      </c>
      <c r="F161" s="433" t="s">
        <v>140</v>
      </c>
      <c r="G161" s="450"/>
      <c r="H161" s="451">
        <f t="shared" ref="H161:N161" si="47">(H137-H159)/H160</f>
        <v>2.3138472456311491E-3</v>
      </c>
      <c r="I161" s="451">
        <f t="shared" si="47"/>
        <v>-2.41034739312081E-3</v>
      </c>
      <c r="J161" s="451">
        <f t="shared" si="47"/>
        <v>-4.2517872397823814E-3</v>
      </c>
      <c r="K161" s="451">
        <f t="shared" si="47"/>
        <v>1.8270645614615194E-2</v>
      </c>
      <c r="L161" s="451">
        <f t="shared" si="47"/>
        <v>1.0237149883044448E-2</v>
      </c>
      <c r="M161" s="451">
        <f t="shared" si="47"/>
        <v>5.489871000791703E-3</v>
      </c>
      <c r="N161" s="452">
        <f t="shared" si="47"/>
        <v>2.4936549674174024E-3</v>
      </c>
    </row>
    <row r="162" spans="3:15" ht="63" x14ac:dyDescent="0.25">
      <c r="C162" s="555">
        <v>16</v>
      </c>
      <c r="D162" s="556" t="s">
        <v>507</v>
      </c>
      <c r="E162" s="274" t="s">
        <v>436</v>
      </c>
      <c r="F162" s="305" t="s">
        <v>113</v>
      </c>
      <c r="G162" s="453" t="str">
        <f>G79</f>
        <v>*</v>
      </c>
      <c r="H162" s="453">
        <f t="shared" ref="H162:N162" si="48">H79</f>
        <v>11533.5</v>
      </c>
      <c r="I162" s="453">
        <f t="shared" si="48"/>
        <v>18508.5</v>
      </c>
      <c r="J162" s="453">
        <f t="shared" si="48"/>
        <v>23872.5</v>
      </c>
      <c r="K162" s="453">
        <f t="shared" si="48"/>
        <v>12460.5</v>
      </c>
      <c r="L162" s="453">
        <f t="shared" si="48"/>
        <v>17608.5</v>
      </c>
      <c r="M162" s="453">
        <f t="shared" si="48"/>
        <v>23008.5</v>
      </c>
      <c r="N162" s="454">
        <f t="shared" si="48"/>
        <v>28372.5</v>
      </c>
    </row>
    <row r="163" spans="3:15" ht="63" x14ac:dyDescent="0.25">
      <c r="C163" s="555">
        <v>17</v>
      </c>
      <c r="D163" s="556" t="s">
        <v>508</v>
      </c>
      <c r="E163" s="274" t="s">
        <v>437</v>
      </c>
      <c r="F163" s="429" t="s">
        <v>113</v>
      </c>
      <c r="G163" s="430" t="str">
        <f>G60</f>
        <v>*</v>
      </c>
      <c r="H163" s="430">
        <f>H60</f>
        <v>192225</v>
      </c>
      <c r="I163" s="430">
        <f t="shared" ref="I163:N163" si="49">I60</f>
        <v>308475</v>
      </c>
      <c r="J163" s="430">
        <f t="shared" si="49"/>
        <v>397875</v>
      </c>
      <c r="K163" s="430">
        <f t="shared" si="49"/>
        <v>207675</v>
      </c>
      <c r="L163" s="430">
        <f t="shared" si="49"/>
        <v>293475</v>
      </c>
      <c r="M163" s="430">
        <f t="shared" si="49"/>
        <v>383475</v>
      </c>
      <c r="N163" s="431">
        <f t="shared" si="49"/>
        <v>472875</v>
      </c>
      <c r="O163" s="16"/>
    </row>
    <row r="164" spans="3:15" ht="15.75" x14ac:dyDescent="0.25">
      <c r="C164" s="555">
        <v>18</v>
      </c>
      <c r="D164" s="557" t="s">
        <v>320</v>
      </c>
      <c r="E164" s="455" t="s">
        <v>176</v>
      </c>
      <c r="F164" s="433" t="s">
        <v>140</v>
      </c>
      <c r="G164" s="456"/>
      <c r="H164" s="457">
        <f t="shared" ref="H164:N164" si="50">(H137-H162)/H163</f>
        <v>3.1359604629990885E-2</v>
      </c>
      <c r="I164" s="457">
        <f t="shared" si="50"/>
        <v>2.1551503363319562E-2</v>
      </c>
      <c r="J164" s="457">
        <f t="shared" si="50"/>
        <v>1.7907382972038959E-2</v>
      </c>
      <c r="K164" s="457">
        <f t="shared" si="50"/>
        <v>5.3980979896472853E-2</v>
      </c>
      <c r="L164" s="457">
        <f t="shared" si="50"/>
        <v>3.9758412130505162E-2</v>
      </c>
      <c r="M164" s="457">
        <f t="shared" si="50"/>
        <v>3.1678988200013053E-2</v>
      </c>
      <c r="N164" s="458">
        <f t="shared" si="50"/>
        <v>2.6698176050753374E-2</v>
      </c>
    </row>
    <row r="165" spans="3:15" ht="63" x14ac:dyDescent="0.25">
      <c r="C165" s="555">
        <v>19</v>
      </c>
      <c r="D165" s="556" t="s">
        <v>509</v>
      </c>
      <c r="E165" s="274" t="s">
        <v>438</v>
      </c>
      <c r="F165" s="305" t="s">
        <v>113</v>
      </c>
      <c r="G165" s="430" t="str">
        <f>G78</f>
        <v>*</v>
      </c>
      <c r="H165" s="430">
        <f t="shared" ref="H165:N165" si="51">H78</f>
        <v>6727.5</v>
      </c>
      <c r="I165" s="430">
        <f t="shared" si="51"/>
        <v>12352.5</v>
      </c>
      <c r="J165" s="430">
        <f t="shared" si="51"/>
        <v>16366.5</v>
      </c>
      <c r="K165" s="430">
        <f t="shared" si="51"/>
        <v>8284.5</v>
      </c>
      <c r="L165" s="430">
        <f t="shared" si="51"/>
        <v>11902.5</v>
      </c>
      <c r="M165" s="430">
        <f t="shared" si="51"/>
        <v>15952.5</v>
      </c>
      <c r="N165" s="431">
        <f t="shared" si="51"/>
        <v>20416.5</v>
      </c>
    </row>
    <row r="166" spans="3:15" ht="63" x14ac:dyDescent="0.25">
      <c r="C166" s="555">
        <v>20</v>
      </c>
      <c r="D166" s="556" t="s">
        <v>510</v>
      </c>
      <c r="E166" s="274" t="s">
        <v>439</v>
      </c>
      <c r="F166" s="437" t="s">
        <v>113</v>
      </c>
      <c r="G166" s="430" t="s">
        <v>178</v>
      </c>
      <c r="H166" s="430">
        <f>H59</f>
        <v>112125</v>
      </c>
      <c r="I166" s="430">
        <f t="shared" ref="I166:N166" si="52">I59</f>
        <v>205875</v>
      </c>
      <c r="J166" s="430">
        <f t="shared" si="52"/>
        <v>272775</v>
      </c>
      <c r="K166" s="430">
        <f t="shared" si="52"/>
        <v>138075</v>
      </c>
      <c r="L166" s="430">
        <f t="shared" si="52"/>
        <v>198375</v>
      </c>
      <c r="M166" s="430">
        <f t="shared" si="52"/>
        <v>265875</v>
      </c>
      <c r="N166" s="431">
        <f t="shared" si="52"/>
        <v>340275</v>
      </c>
    </row>
    <row r="167" spans="3:15" ht="15.75" x14ac:dyDescent="0.25">
      <c r="C167" s="555">
        <v>21</v>
      </c>
      <c r="D167" s="557" t="s">
        <v>321</v>
      </c>
      <c r="E167" s="432" t="s">
        <v>177</v>
      </c>
      <c r="F167" s="433" t="s">
        <v>140</v>
      </c>
      <c r="G167" s="434"/>
      <c r="H167" s="434">
        <f>(H142-H165)/H166</f>
        <v>4.9952285395763671E-2</v>
      </c>
      <c r="I167" s="434">
        <f t="shared" ref="I167:N167" si="53">(I142-I165)/I166</f>
        <v>2.9634001214329089E-2</v>
      </c>
      <c r="J167" s="434">
        <f t="shared" si="53"/>
        <v>2.367409036751902E-2</v>
      </c>
      <c r="K167" s="434">
        <f t="shared" si="53"/>
        <v>7.8502987506789787E-2</v>
      </c>
      <c r="L167" s="434">
        <f t="shared" si="53"/>
        <v>5.6261625708884697E-2</v>
      </c>
      <c r="M167" s="434">
        <f t="shared" si="53"/>
        <v>4.3332016925246818E-2</v>
      </c>
      <c r="N167" s="435">
        <f t="shared" si="53"/>
        <v>3.5023730805965762E-2</v>
      </c>
    </row>
    <row r="168" spans="3:15" ht="63" x14ac:dyDescent="0.25">
      <c r="C168" s="555">
        <v>22</v>
      </c>
      <c r="D168" s="556" t="s">
        <v>500</v>
      </c>
      <c r="E168" s="339" t="s">
        <v>440</v>
      </c>
      <c r="F168" s="459" t="s">
        <v>113</v>
      </c>
      <c r="G168" s="439" t="str">
        <f>G77</f>
        <v>*</v>
      </c>
      <c r="H168" s="439">
        <f>H77</f>
        <v>10501.5</v>
      </c>
      <c r="I168" s="439">
        <f t="shared" ref="I168:N168" si="54">I77</f>
        <v>18001.5</v>
      </c>
      <c r="J168" s="439">
        <f t="shared" si="54"/>
        <v>23353.5</v>
      </c>
      <c r="K168" s="439">
        <f t="shared" si="54"/>
        <v>12577.5</v>
      </c>
      <c r="L168" s="439">
        <f t="shared" si="54"/>
        <v>17401.5</v>
      </c>
      <c r="M168" s="439">
        <f t="shared" si="54"/>
        <v>22801.5</v>
      </c>
      <c r="N168" s="440">
        <f t="shared" si="54"/>
        <v>28753.5</v>
      </c>
    </row>
    <row r="169" spans="3:15" ht="63" x14ac:dyDescent="0.25">
      <c r="C169" s="555">
        <v>23</v>
      </c>
      <c r="D169" s="556" t="s">
        <v>511</v>
      </c>
      <c r="E169" s="274" t="s">
        <v>441</v>
      </c>
      <c r="F169" s="437" t="s">
        <v>113</v>
      </c>
      <c r="G169" s="430" t="s">
        <v>178</v>
      </c>
      <c r="H169" s="430">
        <f>H58</f>
        <v>175025</v>
      </c>
      <c r="I169" s="430">
        <f t="shared" ref="I169:N169" si="55">I58</f>
        <v>300025</v>
      </c>
      <c r="J169" s="430">
        <f t="shared" si="55"/>
        <v>389225</v>
      </c>
      <c r="K169" s="430">
        <f t="shared" si="55"/>
        <v>209625</v>
      </c>
      <c r="L169" s="430">
        <f t="shared" si="55"/>
        <v>290025</v>
      </c>
      <c r="M169" s="430">
        <f t="shared" si="55"/>
        <v>380025</v>
      </c>
      <c r="N169" s="431">
        <f t="shared" si="55"/>
        <v>479225</v>
      </c>
    </row>
    <row r="170" spans="3:15" ht="16.5" thickBot="1" x14ac:dyDescent="0.3">
      <c r="C170" s="555">
        <v>24</v>
      </c>
      <c r="D170" s="557" t="s">
        <v>322</v>
      </c>
      <c r="E170" s="441" t="s">
        <v>316</v>
      </c>
      <c r="F170" s="442" t="s">
        <v>140</v>
      </c>
      <c r="G170" s="443"/>
      <c r="H170" s="443">
        <f>(H142-H168)/H169</f>
        <v>1.0437937437508935E-2</v>
      </c>
      <c r="I170" s="443">
        <f t="shared" ref="I170:N170" si="56">(I142-I168)/I169</f>
        <v>1.506207816015337E-3</v>
      </c>
      <c r="J170" s="443">
        <f t="shared" si="56"/>
        <v>-1.3598818164300835E-3</v>
      </c>
      <c r="K170" s="443">
        <f t="shared" si="56"/>
        <v>3.1228622540250443E-2</v>
      </c>
      <c r="L170" s="443">
        <f t="shared" si="56"/>
        <v>1.9522110162916995E-2</v>
      </c>
      <c r="M170" s="443">
        <f t="shared" si="56"/>
        <v>1.2293664890467727E-2</v>
      </c>
      <c r="N170" s="444">
        <f t="shared" si="56"/>
        <v>7.4718556001878052E-3</v>
      </c>
    </row>
    <row r="172" spans="3:15" ht="15.75" x14ac:dyDescent="0.25">
      <c r="C172" s="44" t="s">
        <v>327</v>
      </c>
    </row>
    <row r="173" spans="3:15" ht="15.75" x14ac:dyDescent="0.25">
      <c r="C173" s="44" t="s">
        <v>328</v>
      </c>
    </row>
    <row r="174" spans="3:15" ht="15.75" x14ac:dyDescent="0.25">
      <c r="C174" s="44" t="s">
        <v>329</v>
      </c>
    </row>
    <row r="175" spans="3:15" ht="15.75" x14ac:dyDescent="0.25">
      <c r="C175" s="44" t="s">
        <v>330</v>
      </c>
    </row>
    <row r="179" spans="2:17" ht="18.75" x14ac:dyDescent="0.3">
      <c r="C179" s="55"/>
    </row>
    <row r="180" spans="2:17" ht="18.75" x14ac:dyDescent="0.3">
      <c r="B180" s="119" t="s">
        <v>562</v>
      </c>
      <c r="C180" s="55" t="s">
        <v>331</v>
      </c>
      <c r="D180" s="58"/>
      <c r="E180" s="68"/>
      <c r="J180" s="55" t="s">
        <v>484</v>
      </c>
      <c r="K180" s="55" t="str">
        <f>Dateneingabe!$E$17</f>
        <v>Bern</v>
      </c>
    </row>
    <row r="181" spans="2:17" ht="15.75" x14ac:dyDescent="0.25">
      <c r="D181" s="58"/>
      <c r="E181" s="69"/>
    </row>
    <row r="182" spans="2:17" ht="15.75" x14ac:dyDescent="0.25">
      <c r="E182" s="301" t="s">
        <v>120</v>
      </c>
      <c r="F182" s="301" t="s">
        <v>182</v>
      </c>
      <c r="G182" s="62"/>
      <c r="H182" s="480">
        <f>1-Dateneingabe!$F$28</f>
        <v>0.30000000000000004</v>
      </c>
      <c r="I182" s="131"/>
      <c r="J182" s="131"/>
      <c r="K182" s="131"/>
      <c r="L182" s="131"/>
      <c r="M182" s="131"/>
      <c r="N182" s="131"/>
    </row>
    <row r="183" spans="2:17" ht="18.75" x14ac:dyDescent="0.3">
      <c r="E183" s="131"/>
      <c r="F183" s="301" t="s">
        <v>183</v>
      </c>
      <c r="G183" s="62"/>
      <c r="H183" s="480">
        <f>Dateneingabe!$F$28</f>
        <v>0.7</v>
      </c>
      <c r="I183" s="131"/>
      <c r="J183" s="131"/>
      <c r="K183" s="131"/>
      <c r="L183" s="131"/>
      <c r="M183" s="131"/>
      <c r="N183" s="131"/>
      <c r="Q183" s="235" t="s">
        <v>566</v>
      </c>
    </row>
    <row r="184" spans="2:17" ht="16.5" thickBot="1" x14ac:dyDescent="0.3">
      <c r="E184" s="131"/>
      <c r="F184" s="301" t="s">
        <v>184</v>
      </c>
      <c r="G184" s="131"/>
      <c r="H184" s="480">
        <f>Dateneingabe!$F$29</f>
        <v>0.02</v>
      </c>
      <c r="I184" s="131"/>
      <c r="J184" s="131"/>
      <c r="K184" s="131"/>
      <c r="L184" s="131"/>
      <c r="M184" s="131"/>
      <c r="N184" s="131"/>
    </row>
    <row r="185" spans="2:17" ht="45.75" thickBot="1" x14ac:dyDescent="0.3">
      <c r="C185" s="47" t="s">
        <v>526</v>
      </c>
      <c r="D185" s="60" t="s">
        <v>111</v>
      </c>
      <c r="E185" s="609"/>
      <c r="F185" s="610" t="s">
        <v>112</v>
      </c>
      <c r="G185" s="604" t="s">
        <v>277</v>
      </c>
      <c r="H185" s="604" t="s">
        <v>99</v>
      </c>
      <c r="I185" s="604" t="s">
        <v>100</v>
      </c>
      <c r="J185" s="604" t="s">
        <v>101</v>
      </c>
      <c r="K185" s="604" t="s">
        <v>590</v>
      </c>
      <c r="L185" s="604" t="s">
        <v>591</v>
      </c>
      <c r="M185" s="604" t="s">
        <v>592</v>
      </c>
      <c r="N185" s="604" t="s">
        <v>593</v>
      </c>
    </row>
    <row r="186" spans="2:17" ht="47.25" x14ac:dyDescent="0.25">
      <c r="C186" s="47">
        <v>1</v>
      </c>
      <c r="D186" s="118" t="s">
        <v>512</v>
      </c>
      <c r="E186" s="460" t="s">
        <v>442</v>
      </c>
      <c r="F186" s="302" t="s">
        <v>113</v>
      </c>
      <c r="G186" s="461">
        <f>G46</f>
        <v>102100</v>
      </c>
      <c r="H186" s="461">
        <f t="shared" ref="H186:N186" si="57">H46</f>
        <v>358400</v>
      </c>
      <c r="I186" s="461">
        <f t="shared" si="57"/>
        <v>513400</v>
      </c>
      <c r="J186" s="461">
        <f t="shared" si="57"/>
        <v>632600</v>
      </c>
      <c r="K186" s="461">
        <f t="shared" si="57"/>
        <v>379000</v>
      </c>
      <c r="L186" s="461">
        <f t="shared" si="57"/>
        <v>493400</v>
      </c>
      <c r="M186" s="461">
        <f t="shared" si="57"/>
        <v>613400</v>
      </c>
      <c r="N186" s="462">
        <f t="shared" si="57"/>
        <v>732600</v>
      </c>
    </row>
    <row r="187" spans="2:17" ht="15.75" x14ac:dyDescent="0.25">
      <c r="C187" s="47">
        <v>2</v>
      </c>
      <c r="D187" s="118" t="s">
        <v>332</v>
      </c>
      <c r="E187" s="463" t="s">
        <v>267</v>
      </c>
      <c r="F187" s="305" t="s">
        <v>113</v>
      </c>
      <c r="G187" s="285">
        <f>G186*Dateneingabe!$F$28</f>
        <v>71470</v>
      </c>
      <c r="H187" s="285">
        <f>H186*Dateneingabe!$F$28</f>
        <v>250879.99999999997</v>
      </c>
      <c r="I187" s="285">
        <f>I186*Dateneingabe!$F$28</f>
        <v>359380</v>
      </c>
      <c r="J187" s="285">
        <f>J186*Dateneingabe!$F$28</f>
        <v>442820</v>
      </c>
      <c r="K187" s="285">
        <f>K186*Dateneingabe!$F$28</f>
        <v>265300</v>
      </c>
      <c r="L187" s="285">
        <f>L186*Dateneingabe!$F$28</f>
        <v>345380</v>
      </c>
      <c r="M187" s="285">
        <f>M186*Dateneingabe!$F$28</f>
        <v>429380</v>
      </c>
      <c r="N187" s="286">
        <f>N186*Dateneingabe!$F$28</f>
        <v>512819.99999999994</v>
      </c>
    </row>
    <row r="188" spans="2:17" ht="15.75" x14ac:dyDescent="0.25">
      <c r="C188" s="47">
        <v>3</v>
      </c>
      <c r="D188" s="118" t="s">
        <v>333</v>
      </c>
      <c r="E188" s="463" t="s">
        <v>268</v>
      </c>
      <c r="F188" s="305" t="s">
        <v>113</v>
      </c>
      <c r="G188" s="285">
        <f>G186-G187</f>
        <v>30630</v>
      </c>
      <c r="H188" s="285">
        <f t="shared" ref="H188:N188" si="58">H186-H187</f>
        <v>107520.00000000003</v>
      </c>
      <c r="I188" s="285">
        <f t="shared" si="58"/>
        <v>154020</v>
      </c>
      <c r="J188" s="285">
        <f t="shared" si="58"/>
        <v>189780</v>
      </c>
      <c r="K188" s="285">
        <f t="shared" si="58"/>
        <v>113700</v>
      </c>
      <c r="L188" s="285">
        <f t="shared" si="58"/>
        <v>148020</v>
      </c>
      <c r="M188" s="285">
        <f t="shared" si="58"/>
        <v>184020</v>
      </c>
      <c r="N188" s="286">
        <f t="shared" si="58"/>
        <v>219780.00000000006</v>
      </c>
    </row>
    <row r="189" spans="2:17" ht="31.5" x14ac:dyDescent="0.25">
      <c r="C189" s="47">
        <v>4</v>
      </c>
      <c r="D189" s="118" t="s">
        <v>495</v>
      </c>
      <c r="E189" s="325" t="s">
        <v>426</v>
      </c>
      <c r="F189" s="305" t="s">
        <v>113</v>
      </c>
      <c r="G189" s="464">
        <f>G101</f>
        <v>714.7</v>
      </c>
      <c r="H189" s="464">
        <f t="shared" ref="H189:N189" si="59">H101</f>
        <v>17561.599999999999</v>
      </c>
      <c r="I189" s="464">
        <f t="shared" si="59"/>
        <v>25156.600000000002</v>
      </c>
      <c r="J189" s="464">
        <f t="shared" si="59"/>
        <v>30997.4</v>
      </c>
      <c r="K189" s="464">
        <f t="shared" si="59"/>
        <v>13671.000000000002</v>
      </c>
      <c r="L189" s="464">
        <f t="shared" si="59"/>
        <v>19276.600000000002</v>
      </c>
      <c r="M189" s="464">
        <f t="shared" si="59"/>
        <v>25156.600000000002</v>
      </c>
      <c r="N189" s="465">
        <f t="shared" si="59"/>
        <v>30997.4</v>
      </c>
    </row>
    <row r="190" spans="2:17" ht="15.75" x14ac:dyDescent="0.25">
      <c r="C190" s="47">
        <v>5</v>
      </c>
      <c r="D190" s="118" t="s">
        <v>513</v>
      </c>
      <c r="E190" s="325" t="s">
        <v>185</v>
      </c>
      <c r="F190" s="305" t="s">
        <v>113</v>
      </c>
      <c r="G190" s="466">
        <f>G136</f>
        <v>0</v>
      </c>
      <c r="H190" s="466">
        <f t="shared" ref="H190:N190" si="60">H136</f>
        <v>0</v>
      </c>
      <c r="I190" s="466">
        <f t="shared" si="60"/>
        <v>0</v>
      </c>
      <c r="J190" s="466">
        <f t="shared" si="60"/>
        <v>0</v>
      </c>
      <c r="K190" s="466">
        <f t="shared" si="60"/>
        <v>10000</v>
      </c>
      <c r="L190" s="466">
        <f t="shared" si="60"/>
        <v>10000</v>
      </c>
      <c r="M190" s="466">
        <f t="shared" si="60"/>
        <v>10000</v>
      </c>
      <c r="N190" s="467">
        <f t="shared" si="60"/>
        <v>10000</v>
      </c>
    </row>
    <row r="191" spans="2:17" ht="31.5" x14ac:dyDescent="0.25">
      <c r="C191" s="47">
        <v>6</v>
      </c>
      <c r="D191" s="118" t="s">
        <v>334</v>
      </c>
      <c r="E191" s="331" t="s">
        <v>186</v>
      </c>
      <c r="F191" s="468" t="s">
        <v>113</v>
      </c>
      <c r="G191" s="469">
        <f t="shared" ref="G191:N191" si="61">G189+G190</f>
        <v>714.7</v>
      </c>
      <c r="H191" s="470">
        <f t="shared" si="61"/>
        <v>17561.599999999999</v>
      </c>
      <c r="I191" s="470">
        <f t="shared" si="61"/>
        <v>25156.600000000002</v>
      </c>
      <c r="J191" s="470">
        <f>J189+J190</f>
        <v>30997.4</v>
      </c>
      <c r="K191" s="470">
        <f t="shared" si="61"/>
        <v>23671</v>
      </c>
      <c r="L191" s="470">
        <f t="shared" si="61"/>
        <v>29276.600000000002</v>
      </c>
      <c r="M191" s="471">
        <f t="shared" si="61"/>
        <v>35156.600000000006</v>
      </c>
      <c r="N191" s="472">
        <f t="shared" si="61"/>
        <v>40997.4</v>
      </c>
    </row>
    <row r="192" spans="2:17" ht="31.5" x14ac:dyDescent="0.25">
      <c r="C192" s="47">
        <v>7</v>
      </c>
      <c r="D192" s="118" t="s">
        <v>335</v>
      </c>
      <c r="E192" s="473" t="s">
        <v>269</v>
      </c>
      <c r="F192" s="459" t="s">
        <v>113</v>
      </c>
      <c r="G192" s="474">
        <f>G187*Dateneingabe!$F$29</f>
        <v>1429.4</v>
      </c>
      <c r="H192" s="474">
        <f>H187*Dateneingabe!$F$29</f>
        <v>5017.5999999999995</v>
      </c>
      <c r="I192" s="474">
        <f>I187*Dateneingabe!$F$29</f>
        <v>7187.6</v>
      </c>
      <c r="J192" s="474">
        <f>J187*Dateneingabe!$F$29</f>
        <v>8856.4</v>
      </c>
      <c r="K192" s="474">
        <f>K187*Dateneingabe!$F$29</f>
        <v>5306</v>
      </c>
      <c r="L192" s="474">
        <f>L187*Dateneingabe!$F$29</f>
        <v>6907.6</v>
      </c>
      <c r="M192" s="474">
        <f>M187*Dateneingabe!$F$29</f>
        <v>8587.6</v>
      </c>
      <c r="N192" s="475">
        <f>N187*Dateneingabe!$F$29</f>
        <v>10256.4</v>
      </c>
    </row>
    <row r="193" spans="2:17" ht="62.45" customHeight="1" x14ac:dyDescent="0.25">
      <c r="C193" s="47">
        <v>8</v>
      </c>
      <c r="D193" s="118" t="s">
        <v>336</v>
      </c>
      <c r="E193" s="428" t="s">
        <v>443</v>
      </c>
      <c r="F193" s="305" t="s">
        <v>113</v>
      </c>
      <c r="G193" s="285">
        <f t="shared" ref="G193:N193" si="62">G191-G192</f>
        <v>-714.7</v>
      </c>
      <c r="H193" s="285">
        <f t="shared" si="62"/>
        <v>12544</v>
      </c>
      <c r="I193" s="285">
        <f t="shared" si="62"/>
        <v>17969</v>
      </c>
      <c r="J193" s="285">
        <f t="shared" si="62"/>
        <v>22141</v>
      </c>
      <c r="K193" s="285">
        <f t="shared" si="62"/>
        <v>18365</v>
      </c>
      <c r="L193" s="285">
        <f t="shared" si="62"/>
        <v>22369</v>
      </c>
      <c r="M193" s="285">
        <f t="shared" si="62"/>
        <v>26569.000000000007</v>
      </c>
      <c r="N193" s="286">
        <f t="shared" si="62"/>
        <v>30741</v>
      </c>
    </row>
    <row r="194" spans="2:17" ht="18" customHeight="1" thickBot="1" x14ac:dyDescent="0.3">
      <c r="C194" s="47">
        <v>9</v>
      </c>
      <c r="D194" s="118" t="s">
        <v>339</v>
      </c>
      <c r="E194" s="476" t="s">
        <v>187</v>
      </c>
      <c r="F194" s="477" t="s">
        <v>114</v>
      </c>
      <c r="G194" s="478">
        <f t="shared" ref="G194:N194" si="63">G193/G188</f>
        <v>-2.3333333333333334E-2</v>
      </c>
      <c r="H194" s="478">
        <f t="shared" si="63"/>
        <v>0.11666666666666664</v>
      </c>
      <c r="I194" s="478">
        <f t="shared" si="63"/>
        <v>0.11666666666666667</v>
      </c>
      <c r="J194" s="478">
        <f t="shared" si="63"/>
        <v>0.11666666666666667</v>
      </c>
      <c r="K194" s="478">
        <f t="shared" si="63"/>
        <v>0.16152154793315743</v>
      </c>
      <c r="L194" s="478">
        <f t="shared" si="63"/>
        <v>0.15112147007161195</v>
      </c>
      <c r="M194" s="478">
        <f t="shared" si="63"/>
        <v>0.14438104553852846</v>
      </c>
      <c r="N194" s="479">
        <f t="shared" si="63"/>
        <v>0.13987168987168982</v>
      </c>
    </row>
    <row r="196" spans="2:17" x14ac:dyDescent="0.25">
      <c r="C196" s="69" t="s">
        <v>340</v>
      </c>
    </row>
    <row r="198" spans="2:17" x14ac:dyDescent="0.25">
      <c r="D198" t="s">
        <v>86</v>
      </c>
      <c r="K198" s="93"/>
    </row>
    <row r="200" spans="2:17" ht="18.75" x14ac:dyDescent="0.3">
      <c r="B200" s="119" t="s">
        <v>563</v>
      </c>
      <c r="C200" s="55" t="s">
        <v>337</v>
      </c>
      <c r="J200" s="55" t="s">
        <v>484</v>
      </c>
      <c r="K200" s="55" t="str">
        <f>Dateneingabe!$E$17</f>
        <v>Bern</v>
      </c>
    </row>
    <row r="201" spans="2:17" ht="18" x14ac:dyDescent="0.25">
      <c r="D201" s="58"/>
      <c r="E201" s="68"/>
    </row>
    <row r="202" spans="2:17" ht="15.75" x14ac:dyDescent="0.25">
      <c r="E202" s="301" t="s">
        <v>120</v>
      </c>
      <c r="F202" s="301" t="s">
        <v>182</v>
      </c>
      <c r="G202" s="62"/>
      <c r="H202" s="480">
        <f>1-Dateneingabe!$F$28</f>
        <v>0.30000000000000004</v>
      </c>
    </row>
    <row r="203" spans="2:17" ht="15.75" x14ac:dyDescent="0.25">
      <c r="E203" s="131"/>
      <c r="F203" s="301" t="s">
        <v>183</v>
      </c>
      <c r="G203" s="62"/>
      <c r="H203" s="480">
        <f>Dateneingabe!$F$28</f>
        <v>0.7</v>
      </c>
    </row>
    <row r="204" spans="2:17" ht="16.5" thickBot="1" x14ac:dyDescent="0.3">
      <c r="E204" s="131"/>
      <c r="F204" s="301" t="s">
        <v>184</v>
      </c>
      <c r="G204" s="131"/>
      <c r="H204" s="480">
        <f>Dateneingabe!$F$29</f>
        <v>0.02</v>
      </c>
    </row>
    <row r="205" spans="2:17" ht="45.75" thickBot="1" x14ac:dyDescent="0.3">
      <c r="C205" s="47" t="s">
        <v>526</v>
      </c>
      <c r="D205" s="60" t="s">
        <v>111</v>
      </c>
      <c r="E205" s="609"/>
      <c r="F205" s="610" t="s">
        <v>112</v>
      </c>
      <c r="G205" s="604" t="s">
        <v>277</v>
      </c>
      <c r="H205" s="604" t="s">
        <v>99</v>
      </c>
      <c r="I205" s="604" t="s">
        <v>100</v>
      </c>
      <c r="J205" s="604" t="s">
        <v>101</v>
      </c>
      <c r="K205" s="604" t="s">
        <v>590</v>
      </c>
      <c r="L205" s="604" t="s">
        <v>591</v>
      </c>
      <c r="M205" s="604" t="s">
        <v>592</v>
      </c>
      <c r="N205" s="604" t="s">
        <v>593</v>
      </c>
    </row>
    <row r="206" spans="2:17" ht="47.25" x14ac:dyDescent="0.3">
      <c r="C206" s="47">
        <v>1</v>
      </c>
      <c r="D206" s="118" t="s">
        <v>514</v>
      </c>
      <c r="E206" s="460" t="s">
        <v>444</v>
      </c>
      <c r="F206" s="302" t="s">
        <v>113</v>
      </c>
      <c r="G206" s="461">
        <f>G55</f>
        <v>76575</v>
      </c>
      <c r="H206" s="461">
        <f t="shared" ref="H206:N206" si="64">H55</f>
        <v>268800</v>
      </c>
      <c r="I206" s="461">
        <f t="shared" si="64"/>
        <v>385050</v>
      </c>
      <c r="J206" s="461">
        <f t="shared" si="64"/>
        <v>474450</v>
      </c>
      <c r="K206" s="461">
        <f t="shared" si="64"/>
        <v>284250</v>
      </c>
      <c r="L206" s="461">
        <f t="shared" si="64"/>
        <v>370050</v>
      </c>
      <c r="M206" s="461">
        <f t="shared" si="64"/>
        <v>460050</v>
      </c>
      <c r="N206" s="462">
        <f t="shared" si="64"/>
        <v>549450</v>
      </c>
      <c r="Q206" s="55"/>
    </row>
    <row r="207" spans="2:17" ht="15.75" x14ac:dyDescent="0.25">
      <c r="C207" s="47">
        <v>2</v>
      </c>
      <c r="D207" s="118" t="s">
        <v>332</v>
      </c>
      <c r="E207" s="463" t="s">
        <v>267</v>
      </c>
      <c r="F207" s="305" t="s">
        <v>113</v>
      </c>
      <c r="G207" s="285">
        <f>G206*Dateneingabe!$F$28</f>
        <v>53602.5</v>
      </c>
      <c r="H207" s="285">
        <f>H206*Dateneingabe!$F$28</f>
        <v>188160</v>
      </c>
      <c r="I207" s="285">
        <f>I206*Dateneingabe!$F$28</f>
        <v>269535</v>
      </c>
      <c r="J207" s="285">
        <f>J206*Dateneingabe!$F$28</f>
        <v>332115</v>
      </c>
      <c r="K207" s="285">
        <f>K206*Dateneingabe!$F$28</f>
        <v>198975</v>
      </c>
      <c r="L207" s="285">
        <f>L206*Dateneingabe!$F$28</f>
        <v>259034.99999999997</v>
      </c>
      <c r="M207" s="285">
        <f>M206*Dateneingabe!$F$28</f>
        <v>322035</v>
      </c>
      <c r="N207" s="285">
        <f>N206*Dateneingabe!$F$28</f>
        <v>384615</v>
      </c>
    </row>
    <row r="208" spans="2:17" ht="15.75" x14ac:dyDescent="0.25">
      <c r="C208" s="47">
        <v>3</v>
      </c>
      <c r="D208" s="118" t="s">
        <v>333</v>
      </c>
      <c r="E208" s="463" t="s">
        <v>268</v>
      </c>
      <c r="F208" s="305" t="s">
        <v>113</v>
      </c>
      <c r="G208" s="285">
        <f>G206-G207</f>
        <v>22972.5</v>
      </c>
      <c r="H208" s="285">
        <f t="shared" ref="H208:N208" si="65">H206-H207</f>
        <v>80640</v>
      </c>
      <c r="I208" s="285">
        <f t="shared" si="65"/>
        <v>115515</v>
      </c>
      <c r="J208" s="285">
        <f t="shared" si="65"/>
        <v>142335</v>
      </c>
      <c r="K208" s="285">
        <f t="shared" si="65"/>
        <v>85275</v>
      </c>
      <c r="L208" s="285">
        <f t="shared" si="65"/>
        <v>111015.00000000003</v>
      </c>
      <c r="M208" s="285">
        <f t="shared" si="65"/>
        <v>138015</v>
      </c>
      <c r="N208" s="286">
        <f t="shared" si="65"/>
        <v>164835</v>
      </c>
    </row>
    <row r="209" spans="2:14" ht="31.5" x14ac:dyDescent="0.25">
      <c r="C209" s="47">
        <v>4</v>
      </c>
      <c r="D209" s="118" t="s">
        <v>495</v>
      </c>
      <c r="E209" s="325" t="s">
        <v>426</v>
      </c>
      <c r="F209" s="305" t="s">
        <v>113</v>
      </c>
      <c r="G209" s="464">
        <f>G101</f>
        <v>714.7</v>
      </c>
      <c r="H209" s="464">
        <f t="shared" ref="H209:N209" si="66">H101</f>
        <v>17561.599999999999</v>
      </c>
      <c r="I209" s="464">
        <f t="shared" si="66"/>
        <v>25156.600000000002</v>
      </c>
      <c r="J209" s="464">
        <f t="shared" si="66"/>
        <v>30997.4</v>
      </c>
      <c r="K209" s="464">
        <f t="shared" si="66"/>
        <v>13671.000000000002</v>
      </c>
      <c r="L209" s="464">
        <f t="shared" si="66"/>
        <v>19276.600000000002</v>
      </c>
      <c r="M209" s="464">
        <f t="shared" si="66"/>
        <v>25156.600000000002</v>
      </c>
      <c r="N209" s="465">
        <f t="shared" si="66"/>
        <v>30997.4</v>
      </c>
    </row>
    <row r="210" spans="2:14" ht="15.75" x14ac:dyDescent="0.25">
      <c r="C210" s="47">
        <v>5</v>
      </c>
      <c r="D210" s="118" t="s">
        <v>513</v>
      </c>
      <c r="E210" s="325" t="s">
        <v>185</v>
      </c>
      <c r="F210" s="305" t="s">
        <v>113</v>
      </c>
      <c r="G210" s="481">
        <f>G136</f>
        <v>0</v>
      </c>
      <c r="H210" s="481">
        <f t="shared" ref="H210:N210" si="67">H136</f>
        <v>0</v>
      </c>
      <c r="I210" s="481">
        <f t="shared" si="67"/>
        <v>0</v>
      </c>
      <c r="J210" s="481">
        <f t="shared" si="67"/>
        <v>0</v>
      </c>
      <c r="K210" s="481">
        <f t="shared" si="67"/>
        <v>10000</v>
      </c>
      <c r="L210" s="481">
        <f t="shared" si="67"/>
        <v>10000</v>
      </c>
      <c r="M210" s="481">
        <f t="shared" si="67"/>
        <v>10000</v>
      </c>
      <c r="N210" s="482">
        <f t="shared" si="67"/>
        <v>10000</v>
      </c>
    </row>
    <row r="211" spans="2:14" ht="31.5" x14ac:dyDescent="0.25">
      <c r="C211" s="47">
        <v>6</v>
      </c>
      <c r="D211" s="118" t="s">
        <v>234</v>
      </c>
      <c r="E211" s="331" t="s">
        <v>186</v>
      </c>
      <c r="F211" s="468" t="s">
        <v>113</v>
      </c>
      <c r="G211" s="469">
        <f>G209+G210</f>
        <v>714.7</v>
      </c>
      <c r="H211" s="469">
        <f t="shared" ref="H211:N211" si="68">H209+H210</f>
        <v>17561.599999999999</v>
      </c>
      <c r="I211" s="469">
        <f t="shared" si="68"/>
        <v>25156.600000000002</v>
      </c>
      <c r="J211" s="469">
        <f t="shared" si="68"/>
        <v>30997.4</v>
      </c>
      <c r="K211" s="469">
        <f t="shared" si="68"/>
        <v>23671</v>
      </c>
      <c r="L211" s="469">
        <f t="shared" si="68"/>
        <v>29276.600000000002</v>
      </c>
      <c r="M211" s="469">
        <f t="shared" si="68"/>
        <v>35156.600000000006</v>
      </c>
      <c r="N211" s="483">
        <f t="shared" si="68"/>
        <v>40997.4</v>
      </c>
    </row>
    <row r="212" spans="2:14" ht="31.5" x14ac:dyDescent="0.25">
      <c r="C212" s="47">
        <v>7</v>
      </c>
      <c r="D212" s="118" t="s">
        <v>335</v>
      </c>
      <c r="E212" s="473" t="s">
        <v>269</v>
      </c>
      <c r="F212" s="459" t="s">
        <v>113</v>
      </c>
      <c r="G212" s="474">
        <f>G207*Dateneingabe!$F$29</f>
        <v>1072.05</v>
      </c>
      <c r="H212" s="474">
        <f>H207*Dateneingabe!$F$29</f>
        <v>3763.2000000000003</v>
      </c>
      <c r="I212" s="474">
        <f>I207*Dateneingabe!$F$29</f>
        <v>5390.7</v>
      </c>
      <c r="J212" s="474">
        <f>J207*Dateneingabe!$F$29</f>
        <v>6642.3</v>
      </c>
      <c r="K212" s="474">
        <f>K207*Dateneingabe!$F$29</f>
        <v>3979.5</v>
      </c>
      <c r="L212" s="474">
        <f>L207*Dateneingabe!$F$29</f>
        <v>5180.7</v>
      </c>
      <c r="M212" s="474">
        <f>M207*Dateneingabe!$F$29</f>
        <v>6440.7</v>
      </c>
      <c r="N212" s="475">
        <f>N207*Dateneingabe!$F$29</f>
        <v>7692.3</v>
      </c>
    </row>
    <row r="213" spans="2:14" ht="62.45" customHeight="1" x14ac:dyDescent="0.25">
      <c r="C213" s="47">
        <v>8</v>
      </c>
      <c r="D213" s="118" t="s">
        <v>338</v>
      </c>
      <c r="E213" s="428" t="s">
        <v>443</v>
      </c>
      <c r="F213" s="305" t="s">
        <v>113</v>
      </c>
      <c r="G213" s="285">
        <f t="shared" ref="G213:N213" si="69">G211-G212</f>
        <v>-357.34999999999991</v>
      </c>
      <c r="H213" s="285">
        <f t="shared" si="69"/>
        <v>13798.399999999998</v>
      </c>
      <c r="I213" s="285">
        <f t="shared" si="69"/>
        <v>19765.900000000001</v>
      </c>
      <c r="J213" s="285">
        <f t="shared" si="69"/>
        <v>24355.100000000002</v>
      </c>
      <c r="K213" s="285">
        <f t="shared" si="69"/>
        <v>19691.5</v>
      </c>
      <c r="L213" s="285">
        <f t="shared" si="69"/>
        <v>24095.9</v>
      </c>
      <c r="M213" s="285">
        <f t="shared" si="69"/>
        <v>28715.900000000005</v>
      </c>
      <c r="N213" s="286">
        <f t="shared" si="69"/>
        <v>33305.1</v>
      </c>
    </row>
    <row r="214" spans="2:14" ht="18" customHeight="1" thickBot="1" x14ac:dyDescent="0.3">
      <c r="C214" s="47">
        <v>9</v>
      </c>
      <c r="D214" s="118" t="s">
        <v>339</v>
      </c>
      <c r="E214" s="484" t="s">
        <v>188</v>
      </c>
      <c r="F214" s="485" t="s">
        <v>114</v>
      </c>
      <c r="G214" s="486">
        <f t="shared" ref="G214:N214" si="70">G213/G208</f>
        <v>-1.5555555555555552E-2</v>
      </c>
      <c r="H214" s="486">
        <f t="shared" si="70"/>
        <v>0.17111111111111107</v>
      </c>
      <c r="I214" s="486">
        <f t="shared" si="70"/>
        <v>0.17111111111111113</v>
      </c>
      <c r="J214" s="486">
        <f t="shared" si="70"/>
        <v>0.17111111111111113</v>
      </c>
      <c r="K214" s="486">
        <f t="shared" si="70"/>
        <v>0.23091761946643213</v>
      </c>
      <c r="L214" s="486">
        <f t="shared" si="70"/>
        <v>0.21705084898437144</v>
      </c>
      <c r="M214" s="486">
        <f t="shared" si="70"/>
        <v>0.20806361627359349</v>
      </c>
      <c r="N214" s="487">
        <f t="shared" si="70"/>
        <v>0.20205114205114205</v>
      </c>
    </row>
    <row r="216" spans="2:14" x14ac:dyDescent="0.25">
      <c r="C216" s="69" t="s">
        <v>341</v>
      </c>
    </row>
    <row r="219" spans="2:14" ht="18.75" x14ac:dyDescent="0.3">
      <c r="B219" s="119" t="s">
        <v>564</v>
      </c>
      <c r="C219" s="55" t="s">
        <v>342</v>
      </c>
      <c r="J219" s="55" t="s">
        <v>484</v>
      </c>
      <c r="K219" s="55" t="str">
        <f>Dateneingabe!$E$17</f>
        <v>Bern</v>
      </c>
    </row>
    <row r="220" spans="2:14" ht="18" x14ac:dyDescent="0.25">
      <c r="D220" s="58"/>
      <c r="E220" s="68"/>
    </row>
    <row r="221" spans="2:14" ht="15.75" x14ac:dyDescent="0.25">
      <c r="E221" s="301" t="s">
        <v>120</v>
      </c>
      <c r="F221" s="301" t="s">
        <v>182</v>
      </c>
      <c r="G221" s="62"/>
      <c r="H221" s="480">
        <f>1-Dateneingabe!$F$28</f>
        <v>0.30000000000000004</v>
      </c>
      <c r="I221" s="131"/>
      <c r="J221" s="131"/>
      <c r="K221" s="131"/>
      <c r="L221" s="131"/>
      <c r="M221" s="131"/>
      <c r="N221" s="131"/>
    </row>
    <row r="222" spans="2:14" ht="15.75" x14ac:dyDescent="0.25">
      <c r="E222" s="131"/>
      <c r="F222" s="301" t="s">
        <v>183</v>
      </c>
      <c r="G222" s="62"/>
      <c r="H222" s="480">
        <f>Dateneingabe!$F$28</f>
        <v>0.7</v>
      </c>
      <c r="I222" s="131"/>
      <c r="J222" s="131"/>
      <c r="K222" s="131"/>
      <c r="L222" s="131"/>
      <c r="M222" s="131"/>
      <c r="N222" s="131"/>
    </row>
    <row r="223" spans="2:14" ht="16.5" thickBot="1" x14ac:dyDescent="0.3">
      <c r="E223" s="131"/>
      <c r="F223" s="301" t="s">
        <v>184</v>
      </c>
      <c r="G223" s="131"/>
      <c r="H223" s="480">
        <f>Dateneingabe!$F$29</f>
        <v>0.02</v>
      </c>
      <c r="I223" s="131"/>
      <c r="J223" s="131"/>
      <c r="K223" s="131"/>
      <c r="L223" s="131"/>
      <c r="M223" s="131"/>
      <c r="N223" s="131"/>
    </row>
    <row r="224" spans="2:14" ht="45.75" thickBot="1" x14ac:dyDescent="0.3">
      <c r="C224" s="47" t="s">
        <v>526</v>
      </c>
      <c r="D224" s="60" t="s">
        <v>111</v>
      </c>
      <c r="E224" s="609"/>
      <c r="F224" s="610" t="s">
        <v>112</v>
      </c>
      <c r="G224" s="604" t="s">
        <v>277</v>
      </c>
      <c r="H224" s="604" t="s">
        <v>99</v>
      </c>
      <c r="I224" s="604" t="s">
        <v>100</v>
      </c>
      <c r="J224" s="604" t="s">
        <v>101</v>
      </c>
      <c r="K224" s="604" t="s">
        <v>590</v>
      </c>
      <c r="L224" s="604" t="s">
        <v>591</v>
      </c>
      <c r="M224" s="604" t="s">
        <v>592</v>
      </c>
      <c r="N224" s="604" t="s">
        <v>593</v>
      </c>
    </row>
    <row r="225" spans="2:14" ht="47.25" x14ac:dyDescent="0.25">
      <c r="C225" s="47">
        <v>1</v>
      </c>
      <c r="D225" s="118" t="s">
        <v>515</v>
      </c>
      <c r="E225" s="460" t="s">
        <v>445</v>
      </c>
      <c r="F225" s="302" t="s">
        <v>113</v>
      </c>
      <c r="G225" s="461">
        <f>G53</f>
        <v>76575</v>
      </c>
      <c r="H225" s="461">
        <f t="shared" ref="H225:N225" si="71">H53</f>
        <v>188700</v>
      </c>
      <c r="I225" s="461">
        <f t="shared" si="71"/>
        <v>282450</v>
      </c>
      <c r="J225" s="461">
        <f t="shared" si="71"/>
        <v>349350</v>
      </c>
      <c r="K225" s="461">
        <f t="shared" si="71"/>
        <v>214650</v>
      </c>
      <c r="L225" s="461">
        <f t="shared" si="71"/>
        <v>274950</v>
      </c>
      <c r="M225" s="461">
        <f t="shared" si="71"/>
        <v>342450</v>
      </c>
      <c r="N225" s="462">
        <f t="shared" si="71"/>
        <v>416850</v>
      </c>
    </row>
    <row r="226" spans="2:14" ht="15.75" x14ac:dyDescent="0.25">
      <c r="C226" s="47">
        <v>2</v>
      </c>
      <c r="D226" s="118" t="s">
        <v>332</v>
      </c>
      <c r="E226" s="463" t="s">
        <v>267</v>
      </c>
      <c r="F226" s="305" t="s">
        <v>113</v>
      </c>
      <c r="G226" s="285">
        <f>G225*Dateneingabe!$F$28</f>
        <v>53602.5</v>
      </c>
      <c r="H226" s="285">
        <f>H225*Dateneingabe!$F$28</f>
        <v>132090</v>
      </c>
      <c r="I226" s="285">
        <f>I225*Dateneingabe!$F$28</f>
        <v>197715</v>
      </c>
      <c r="J226" s="285">
        <f>J225*Dateneingabe!$F$28</f>
        <v>244544.99999999997</v>
      </c>
      <c r="K226" s="285">
        <f>K225*Dateneingabe!$F$28</f>
        <v>150255</v>
      </c>
      <c r="L226" s="285">
        <f>L225*Dateneingabe!$F$28</f>
        <v>192465</v>
      </c>
      <c r="M226" s="285">
        <f>M225*Dateneingabe!$F$28</f>
        <v>239714.99999999997</v>
      </c>
      <c r="N226" s="286">
        <f>N225*Dateneingabe!$F$28</f>
        <v>291795</v>
      </c>
    </row>
    <row r="227" spans="2:14" ht="15.75" x14ac:dyDescent="0.25">
      <c r="C227" s="47">
        <v>3</v>
      </c>
      <c r="D227" s="118" t="s">
        <v>333</v>
      </c>
      <c r="E227" s="463" t="s">
        <v>268</v>
      </c>
      <c r="F227" s="305" t="s">
        <v>113</v>
      </c>
      <c r="G227" s="285">
        <f>G225-G226</f>
        <v>22972.5</v>
      </c>
      <c r="H227" s="285">
        <f t="shared" ref="H227" si="72">H225-H226</f>
        <v>56610</v>
      </c>
      <c r="I227" s="285">
        <f t="shared" ref="I227" si="73">I225-I226</f>
        <v>84735</v>
      </c>
      <c r="J227" s="285">
        <f t="shared" ref="J227" si="74">J225-J226</f>
        <v>104805.00000000003</v>
      </c>
      <c r="K227" s="285">
        <f t="shared" ref="K227" si="75">K225-K226</f>
        <v>64395</v>
      </c>
      <c r="L227" s="285">
        <f t="shared" ref="L227" si="76">L225-L226</f>
        <v>82485</v>
      </c>
      <c r="M227" s="285">
        <f t="shared" ref="M227" si="77">M225-M226</f>
        <v>102735.00000000003</v>
      </c>
      <c r="N227" s="286">
        <f t="shared" ref="N227" si="78">N225-N226</f>
        <v>125055</v>
      </c>
    </row>
    <row r="228" spans="2:14" ht="31.5" x14ac:dyDescent="0.25">
      <c r="C228" s="47">
        <v>4</v>
      </c>
      <c r="D228" s="118" t="s">
        <v>496</v>
      </c>
      <c r="E228" s="325" t="s">
        <v>427</v>
      </c>
      <c r="F228" s="305" t="s">
        <v>113</v>
      </c>
      <c r="G228" s="464">
        <f>G102</f>
        <v>714.7</v>
      </c>
      <c r="H228" s="464">
        <f t="shared" ref="H228:N228" si="79">H102</f>
        <v>12328.400000000001</v>
      </c>
      <c r="I228" s="464">
        <f t="shared" si="79"/>
        <v>18453.400000000001</v>
      </c>
      <c r="J228" s="464">
        <f t="shared" si="79"/>
        <v>22824.2</v>
      </c>
      <c r="K228" s="464">
        <f t="shared" si="79"/>
        <v>9123.7999999999993</v>
      </c>
      <c r="L228" s="464">
        <f t="shared" si="79"/>
        <v>13063.400000000001</v>
      </c>
      <c r="M228" s="464">
        <f t="shared" si="79"/>
        <v>17473.399999999998</v>
      </c>
      <c r="N228" s="465">
        <f t="shared" si="79"/>
        <v>22334.2</v>
      </c>
    </row>
    <row r="229" spans="2:14" ht="15.75" x14ac:dyDescent="0.25">
      <c r="C229" s="47">
        <v>5</v>
      </c>
      <c r="D229" s="118" t="s">
        <v>513</v>
      </c>
      <c r="E229" s="488" t="s">
        <v>185</v>
      </c>
      <c r="F229" s="305" t="s">
        <v>113</v>
      </c>
      <c r="G229" s="481">
        <f>G136</f>
        <v>0</v>
      </c>
      <c r="H229" s="481">
        <f t="shared" ref="H229:N229" si="80">H136</f>
        <v>0</v>
      </c>
      <c r="I229" s="481">
        <f t="shared" si="80"/>
        <v>0</v>
      </c>
      <c r="J229" s="481">
        <f t="shared" si="80"/>
        <v>0</v>
      </c>
      <c r="K229" s="481">
        <f t="shared" si="80"/>
        <v>10000</v>
      </c>
      <c r="L229" s="481">
        <f t="shared" si="80"/>
        <v>10000</v>
      </c>
      <c r="M229" s="481">
        <f t="shared" si="80"/>
        <v>10000</v>
      </c>
      <c r="N229" s="482">
        <f t="shared" si="80"/>
        <v>10000</v>
      </c>
    </row>
    <row r="230" spans="2:14" ht="31.5" x14ac:dyDescent="0.25">
      <c r="C230" s="47">
        <v>6</v>
      </c>
      <c r="D230" s="118" t="s">
        <v>234</v>
      </c>
      <c r="E230" s="331" t="s">
        <v>186</v>
      </c>
      <c r="F230" s="468" t="s">
        <v>113</v>
      </c>
      <c r="G230" s="469">
        <f>G228+G229</f>
        <v>714.7</v>
      </c>
      <c r="H230" s="469">
        <f t="shared" ref="H230" si="81">H228+H229</f>
        <v>12328.400000000001</v>
      </c>
      <c r="I230" s="469">
        <f t="shared" ref="I230" si="82">I228+I229</f>
        <v>18453.400000000001</v>
      </c>
      <c r="J230" s="469">
        <f t="shared" ref="J230" si="83">J228+J229</f>
        <v>22824.2</v>
      </c>
      <c r="K230" s="469">
        <f t="shared" ref="K230" si="84">K228+K229</f>
        <v>19123.8</v>
      </c>
      <c r="L230" s="469">
        <f t="shared" ref="L230" si="85">L228+L229</f>
        <v>23063.4</v>
      </c>
      <c r="M230" s="469">
        <f t="shared" ref="M230" si="86">M228+M229</f>
        <v>27473.399999999998</v>
      </c>
      <c r="N230" s="483">
        <f t="shared" ref="N230" si="87">N228+N229</f>
        <v>32334.2</v>
      </c>
    </row>
    <row r="231" spans="2:14" ht="31.5" x14ac:dyDescent="0.25">
      <c r="C231" s="47">
        <v>7</v>
      </c>
      <c r="D231" s="118" t="s">
        <v>335</v>
      </c>
      <c r="E231" s="473" t="s">
        <v>269</v>
      </c>
      <c r="F231" s="459" t="s">
        <v>113</v>
      </c>
      <c r="G231" s="474">
        <f>G226*Dateneingabe!$F$29</f>
        <v>1072.05</v>
      </c>
      <c r="H231" s="474">
        <f>H226*Dateneingabe!$F$29</f>
        <v>2641.8</v>
      </c>
      <c r="I231" s="474">
        <f>I226*Dateneingabe!$F$29</f>
        <v>3954.3</v>
      </c>
      <c r="J231" s="474">
        <f>J226*Dateneingabe!$F$29</f>
        <v>4890.8999999999996</v>
      </c>
      <c r="K231" s="474">
        <f>K226*Dateneingabe!$F$29</f>
        <v>3005.1</v>
      </c>
      <c r="L231" s="474">
        <f>L226*Dateneingabe!$F$29</f>
        <v>3849.3</v>
      </c>
      <c r="M231" s="474">
        <f>M226*Dateneingabe!$F$29</f>
        <v>4794.2999999999993</v>
      </c>
      <c r="N231" s="475">
        <f>N226*Dateneingabe!$F$29</f>
        <v>5835.9000000000005</v>
      </c>
    </row>
    <row r="232" spans="2:14" ht="62.45" customHeight="1" x14ac:dyDescent="0.25">
      <c r="C232" s="47">
        <v>8</v>
      </c>
      <c r="D232" s="118" t="s">
        <v>336</v>
      </c>
      <c r="E232" s="428" t="s">
        <v>446</v>
      </c>
      <c r="F232" s="305" t="s">
        <v>113</v>
      </c>
      <c r="G232" s="285">
        <f t="shared" ref="G232:N232" si="88">G230-G231</f>
        <v>-357.34999999999991</v>
      </c>
      <c r="H232" s="285">
        <f t="shared" si="88"/>
        <v>9686.6000000000022</v>
      </c>
      <c r="I232" s="285">
        <f t="shared" si="88"/>
        <v>14499.100000000002</v>
      </c>
      <c r="J232" s="285">
        <f t="shared" si="88"/>
        <v>17933.300000000003</v>
      </c>
      <c r="K232" s="285">
        <f t="shared" si="88"/>
        <v>16118.699999999999</v>
      </c>
      <c r="L232" s="285">
        <f t="shared" si="88"/>
        <v>19214.100000000002</v>
      </c>
      <c r="M232" s="285">
        <f t="shared" si="88"/>
        <v>22679.1</v>
      </c>
      <c r="N232" s="286">
        <f t="shared" si="88"/>
        <v>26498.3</v>
      </c>
    </row>
    <row r="233" spans="2:14" ht="18" customHeight="1" thickBot="1" x14ac:dyDescent="0.3">
      <c r="C233" s="47">
        <v>9</v>
      </c>
      <c r="D233" s="118" t="s">
        <v>339</v>
      </c>
      <c r="E233" s="476" t="s">
        <v>189</v>
      </c>
      <c r="F233" s="485" t="s">
        <v>114</v>
      </c>
      <c r="G233" s="486">
        <f t="shared" ref="G233:N233" si="89">G232/G227</f>
        <v>-1.5555555555555552E-2</v>
      </c>
      <c r="H233" s="486">
        <f t="shared" si="89"/>
        <v>0.17111111111111116</v>
      </c>
      <c r="I233" s="486">
        <f t="shared" si="89"/>
        <v>0.17111111111111113</v>
      </c>
      <c r="J233" s="486">
        <f t="shared" si="89"/>
        <v>0.1711111111111111</v>
      </c>
      <c r="K233" s="486">
        <f t="shared" si="89"/>
        <v>0.25030980666200792</v>
      </c>
      <c r="L233" s="486">
        <f t="shared" si="89"/>
        <v>0.23294053464266232</v>
      </c>
      <c r="M233" s="486">
        <f t="shared" si="89"/>
        <v>0.22075339465615409</v>
      </c>
      <c r="N233" s="487">
        <f t="shared" si="89"/>
        <v>0.21189316700651711</v>
      </c>
    </row>
    <row r="235" spans="2:14" x14ac:dyDescent="0.25">
      <c r="C235" s="69" t="s">
        <v>343</v>
      </c>
    </row>
    <row r="236" spans="2:14" x14ac:dyDescent="0.25">
      <c r="C236" s="69"/>
    </row>
    <row r="237" spans="2:14" x14ac:dyDescent="0.25">
      <c r="C237" s="69"/>
    </row>
    <row r="238" spans="2:14" ht="18.75" x14ac:dyDescent="0.3">
      <c r="B238" s="119" t="s">
        <v>565</v>
      </c>
      <c r="C238" s="55" t="s">
        <v>362</v>
      </c>
      <c r="J238" s="55" t="s">
        <v>484</v>
      </c>
      <c r="K238" s="55" t="str">
        <f>Dateneingabe!$E$17</f>
        <v>Bern</v>
      </c>
    </row>
    <row r="239" spans="2:14" ht="18" x14ac:dyDescent="0.25">
      <c r="D239" s="58"/>
      <c r="E239" s="68"/>
    </row>
    <row r="240" spans="2:14" ht="15.75" x14ac:dyDescent="0.25">
      <c r="E240" s="301" t="s">
        <v>120</v>
      </c>
      <c r="F240" s="301" t="s">
        <v>182</v>
      </c>
      <c r="G240" s="62"/>
      <c r="H240" s="480">
        <f>1-Dateneingabe!$F$28</f>
        <v>0.30000000000000004</v>
      </c>
      <c r="I240" s="131"/>
      <c r="J240" s="131"/>
      <c r="K240" s="131"/>
      <c r="L240" s="131"/>
      <c r="M240" s="131"/>
      <c r="N240" s="131"/>
    </row>
    <row r="241" spans="3:14" ht="15.75" x14ac:dyDescent="0.25">
      <c r="E241" s="131"/>
      <c r="F241" s="301" t="s">
        <v>183</v>
      </c>
      <c r="G241" s="62"/>
      <c r="H241" s="480">
        <f>Dateneingabe!$F$28</f>
        <v>0.7</v>
      </c>
      <c r="I241" s="131"/>
      <c r="J241" s="131"/>
      <c r="K241" s="131"/>
      <c r="L241" s="131"/>
      <c r="M241" s="131"/>
      <c r="N241" s="131"/>
    </row>
    <row r="242" spans="3:14" ht="16.5" thickBot="1" x14ac:dyDescent="0.3">
      <c r="E242" s="131"/>
      <c r="F242" s="301" t="s">
        <v>184</v>
      </c>
      <c r="G242" s="131"/>
      <c r="H242" s="480">
        <f>Dateneingabe!$F$29</f>
        <v>0.02</v>
      </c>
      <c r="I242" s="131"/>
      <c r="J242" s="131"/>
      <c r="K242" s="131"/>
      <c r="L242" s="131"/>
      <c r="M242" s="131"/>
      <c r="N242" s="131"/>
    </row>
    <row r="243" spans="3:14" ht="45.75" thickBot="1" x14ac:dyDescent="0.3">
      <c r="C243" s="47" t="s">
        <v>526</v>
      </c>
      <c r="D243" s="60" t="s">
        <v>111</v>
      </c>
      <c r="E243" s="609"/>
      <c r="F243" s="610" t="s">
        <v>112</v>
      </c>
      <c r="G243" s="604" t="s">
        <v>277</v>
      </c>
      <c r="H243" s="604" t="s">
        <v>99</v>
      </c>
      <c r="I243" s="604" t="s">
        <v>100</v>
      </c>
      <c r="J243" s="604" t="s">
        <v>101</v>
      </c>
      <c r="K243" s="604" t="s">
        <v>590</v>
      </c>
      <c r="L243" s="604" t="s">
        <v>591</v>
      </c>
      <c r="M243" s="604" t="s">
        <v>592</v>
      </c>
      <c r="N243" s="604" t="s">
        <v>593</v>
      </c>
    </row>
    <row r="244" spans="3:14" ht="47.25" x14ac:dyDescent="0.25">
      <c r="C244" s="47">
        <v>1</v>
      </c>
      <c r="D244" s="118" t="s">
        <v>516</v>
      </c>
      <c r="E244" s="460" t="s">
        <v>447</v>
      </c>
      <c r="F244" s="302" t="s">
        <v>113</v>
      </c>
      <c r="G244" s="461">
        <f>G50</f>
        <v>102100</v>
      </c>
      <c r="H244" s="461">
        <f t="shared" ref="H244:N244" si="90">H50</f>
        <v>251600</v>
      </c>
      <c r="I244" s="461">
        <f t="shared" si="90"/>
        <v>376600</v>
      </c>
      <c r="J244" s="461">
        <f t="shared" si="90"/>
        <v>465800</v>
      </c>
      <c r="K244" s="461">
        <f t="shared" si="90"/>
        <v>286200</v>
      </c>
      <c r="L244" s="461">
        <f t="shared" si="90"/>
        <v>366600</v>
      </c>
      <c r="M244" s="461">
        <f t="shared" si="90"/>
        <v>456600</v>
      </c>
      <c r="N244" s="462">
        <f t="shared" si="90"/>
        <v>555800</v>
      </c>
    </row>
    <row r="245" spans="3:14" ht="15.75" x14ac:dyDescent="0.25">
      <c r="C245" s="47">
        <v>2</v>
      </c>
      <c r="D245" s="118" t="s">
        <v>332</v>
      </c>
      <c r="E245" s="463" t="s">
        <v>267</v>
      </c>
      <c r="F245" s="305" t="s">
        <v>113</v>
      </c>
      <c r="G245" s="285">
        <f>G244*Dateneingabe!$F$28</f>
        <v>71470</v>
      </c>
      <c r="H245" s="285">
        <f>H244*Dateneingabe!$F$28</f>
        <v>176120</v>
      </c>
      <c r="I245" s="285">
        <f>I244*Dateneingabe!$F$28</f>
        <v>263620</v>
      </c>
      <c r="J245" s="285">
        <f>J244*Dateneingabe!$F$28</f>
        <v>326060</v>
      </c>
      <c r="K245" s="285">
        <f>K244*Dateneingabe!$F$28</f>
        <v>200340</v>
      </c>
      <c r="L245" s="285">
        <f>L244*Dateneingabe!$F$28</f>
        <v>256619.99999999997</v>
      </c>
      <c r="M245" s="285">
        <f>M244*Dateneingabe!$F$28</f>
        <v>319620</v>
      </c>
      <c r="N245" s="286">
        <f>N244*Dateneingabe!$F$28</f>
        <v>389060</v>
      </c>
    </row>
    <row r="246" spans="3:14" ht="15.75" x14ac:dyDescent="0.25">
      <c r="C246" s="47">
        <v>3</v>
      </c>
      <c r="D246" s="118" t="s">
        <v>333</v>
      </c>
      <c r="E246" s="463" t="s">
        <v>268</v>
      </c>
      <c r="F246" s="305" t="s">
        <v>113</v>
      </c>
      <c r="G246" s="285">
        <f>G244-G245</f>
        <v>30630</v>
      </c>
      <c r="H246" s="285">
        <f t="shared" ref="H246:N246" si="91">H244-H245</f>
        <v>75480</v>
      </c>
      <c r="I246" s="285">
        <f t="shared" si="91"/>
        <v>112980</v>
      </c>
      <c r="J246" s="285">
        <f t="shared" si="91"/>
        <v>139740</v>
      </c>
      <c r="K246" s="285">
        <f t="shared" si="91"/>
        <v>85860</v>
      </c>
      <c r="L246" s="285">
        <f t="shared" si="91"/>
        <v>109980.00000000003</v>
      </c>
      <c r="M246" s="285">
        <f t="shared" si="91"/>
        <v>136980</v>
      </c>
      <c r="N246" s="286">
        <f t="shared" si="91"/>
        <v>166740</v>
      </c>
    </row>
    <row r="247" spans="3:14" ht="31.5" x14ac:dyDescent="0.25">
      <c r="C247" s="47">
        <v>4</v>
      </c>
      <c r="D247" s="118" t="s">
        <v>496</v>
      </c>
      <c r="E247" s="325" t="s">
        <v>427</v>
      </c>
      <c r="F247" s="305" t="s">
        <v>113</v>
      </c>
      <c r="G247" s="464">
        <f>G102</f>
        <v>714.7</v>
      </c>
      <c r="H247" s="464">
        <f t="shared" ref="H247:N247" si="92">H102</f>
        <v>12328.400000000001</v>
      </c>
      <c r="I247" s="464">
        <f t="shared" si="92"/>
        <v>18453.400000000001</v>
      </c>
      <c r="J247" s="464">
        <f t="shared" si="92"/>
        <v>22824.2</v>
      </c>
      <c r="K247" s="464">
        <f t="shared" si="92"/>
        <v>9123.7999999999993</v>
      </c>
      <c r="L247" s="464">
        <f t="shared" si="92"/>
        <v>13063.400000000001</v>
      </c>
      <c r="M247" s="464">
        <f t="shared" si="92"/>
        <v>17473.399999999998</v>
      </c>
      <c r="N247" s="465">
        <f t="shared" si="92"/>
        <v>22334.2</v>
      </c>
    </row>
    <row r="248" spans="3:14" ht="15.75" x14ac:dyDescent="0.25">
      <c r="C248" s="47">
        <v>5</v>
      </c>
      <c r="D248" s="118" t="s">
        <v>513</v>
      </c>
      <c r="E248" s="488" t="s">
        <v>185</v>
      </c>
      <c r="F248" s="305" t="s">
        <v>113</v>
      </c>
      <c r="G248" s="481">
        <f>G136</f>
        <v>0</v>
      </c>
      <c r="H248" s="481">
        <f t="shared" ref="H248:N248" si="93">H136</f>
        <v>0</v>
      </c>
      <c r="I248" s="481">
        <f t="shared" si="93"/>
        <v>0</v>
      </c>
      <c r="J248" s="481">
        <f t="shared" si="93"/>
        <v>0</v>
      </c>
      <c r="K248" s="481">
        <f t="shared" si="93"/>
        <v>10000</v>
      </c>
      <c r="L248" s="481">
        <f t="shared" si="93"/>
        <v>10000</v>
      </c>
      <c r="M248" s="481">
        <f t="shared" si="93"/>
        <v>10000</v>
      </c>
      <c r="N248" s="482">
        <f t="shared" si="93"/>
        <v>10000</v>
      </c>
    </row>
    <row r="249" spans="3:14" ht="31.5" x14ac:dyDescent="0.25">
      <c r="C249" s="47">
        <v>6</v>
      </c>
      <c r="D249" s="118" t="s">
        <v>234</v>
      </c>
      <c r="E249" s="331" t="s">
        <v>186</v>
      </c>
      <c r="F249" s="468" t="s">
        <v>113</v>
      </c>
      <c r="G249" s="469">
        <f>G247+G248</f>
        <v>714.7</v>
      </c>
      <c r="H249" s="469">
        <f t="shared" ref="H249:N249" si="94">H247+H248</f>
        <v>12328.400000000001</v>
      </c>
      <c r="I249" s="469">
        <f t="shared" si="94"/>
        <v>18453.400000000001</v>
      </c>
      <c r="J249" s="469">
        <f t="shared" si="94"/>
        <v>22824.2</v>
      </c>
      <c r="K249" s="469">
        <f t="shared" si="94"/>
        <v>19123.8</v>
      </c>
      <c r="L249" s="469">
        <f t="shared" si="94"/>
        <v>23063.4</v>
      </c>
      <c r="M249" s="469">
        <f t="shared" si="94"/>
        <v>27473.399999999998</v>
      </c>
      <c r="N249" s="483">
        <f t="shared" si="94"/>
        <v>32334.2</v>
      </c>
    </row>
    <row r="250" spans="3:14" ht="31.5" x14ac:dyDescent="0.25">
      <c r="C250" s="47">
        <v>7</v>
      </c>
      <c r="D250" s="118" t="s">
        <v>335</v>
      </c>
      <c r="E250" s="473" t="s">
        <v>269</v>
      </c>
      <c r="F250" s="459" t="s">
        <v>113</v>
      </c>
      <c r="G250" s="474">
        <f>G245*Dateneingabe!$F$29</f>
        <v>1429.4</v>
      </c>
      <c r="H250" s="474">
        <f>H245*Dateneingabe!$F$29</f>
        <v>3522.4</v>
      </c>
      <c r="I250" s="474">
        <f>I245*Dateneingabe!$F$29</f>
        <v>5272.4000000000005</v>
      </c>
      <c r="J250" s="474">
        <f>J245*Dateneingabe!$F$29</f>
        <v>6521.2</v>
      </c>
      <c r="K250" s="474">
        <f>K245*Dateneingabe!$F$29</f>
        <v>4006.8</v>
      </c>
      <c r="L250" s="474">
        <f>L245*Dateneingabe!$F$29</f>
        <v>5132.3999999999996</v>
      </c>
      <c r="M250" s="474">
        <f>M245*Dateneingabe!$F$29</f>
        <v>6392.4000000000005</v>
      </c>
      <c r="N250" s="475">
        <f>N245*Dateneingabe!$F$29</f>
        <v>7781.2</v>
      </c>
    </row>
    <row r="251" spans="3:14" ht="62.45" customHeight="1" x14ac:dyDescent="0.25">
      <c r="C251" s="47">
        <v>8</v>
      </c>
      <c r="D251" s="118" t="s">
        <v>336</v>
      </c>
      <c r="E251" s="428" t="s">
        <v>446</v>
      </c>
      <c r="F251" s="305" t="s">
        <v>113</v>
      </c>
      <c r="G251" s="285">
        <f t="shared" ref="G251:N251" si="95">G249-G250</f>
        <v>-714.7</v>
      </c>
      <c r="H251" s="285">
        <f t="shared" si="95"/>
        <v>8806.0000000000018</v>
      </c>
      <c r="I251" s="285">
        <f t="shared" si="95"/>
        <v>13181</v>
      </c>
      <c r="J251" s="285">
        <f t="shared" si="95"/>
        <v>16303</v>
      </c>
      <c r="K251" s="285">
        <f t="shared" si="95"/>
        <v>15117</v>
      </c>
      <c r="L251" s="285">
        <f t="shared" si="95"/>
        <v>17931</v>
      </c>
      <c r="M251" s="285">
        <f t="shared" si="95"/>
        <v>21080.999999999996</v>
      </c>
      <c r="N251" s="286">
        <f t="shared" si="95"/>
        <v>24553</v>
      </c>
    </row>
    <row r="252" spans="3:14" ht="18" customHeight="1" thickBot="1" x14ac:dyDescent="0.3">
      <c r="C252" s="47">
        <v>9</v>
      </c>
      <c r="D252" s="118" t="s">
        <v>339</v>
      </c>
      <c r="E252" s="476" t="s">
        <v>364</v>
      </c>
      <c r="F252" s="485" t="s">
        <v>114</v>
      </c>
      <c r="G252" s="486">
        <f t="shared" ref="G252:N252" si="96">G251/G246</f>
        <v>-2.3333333333333334E-2</v>
      </c>
      <c r="H252" s="486">
        <f t="shared" si="96"/>
        <v>0.1166666666666667</v>
      </c>
      <c r="I252" s="486">
        <f t="shared" si="96"/>
        <v>0.11666666666666667</v>
      </c>
      <c r="J252" s="486">
        <f t="shared" si="96"/>
        <v>0.11666666666666667</v>
      </c>
      <c r="K252" s="486">
        <f t="shared" si="96"/>
        <v>0.17606568832983926</v>
      </c>
      <c r="L252" s="486">
        <f t="shared" si="96"/>
        <v>0.16303873431533003</v>
      </c>
      <c r="M252" s="486">
        <f t="shared" si="96"/>
        <v>0.15389837932544895</v>
      </c>
      <c r="N252" s="487">
        <f t="shared" si="96"/>
        <v>0.14725320858822119</v>
      </c>
    </row>
    <row r="254" spans="3:14" x14ac:dyDescent="0.25">
      <c r="C254" s="69" t="s">
        <v>363</v>
      </c>
    </row>
    <row r="258" spans="2:14" ht="18.75" x14ac:dyDescent="0.3">
      <c r="B258" s="119" t="s">
        <v>472</v>
      </c>
      <c r="C258" s="79" t="s">
        <v>226</v>
      </c>
    </row>
    <row r="259" spans="2:14" x14ac:dyDescent="0.25">
      <c r="D259" s="43"/>
      <c r="E259" s="74"/>
      <c r="F259" s="43"/>
      <c r="G259" s="43"/>
      <c r="H259" s="43"/>
      <c r="I259" s="43"/>
      <c r="J259" s="43"/>
      <c r="K259" s="43"/>
      <c r="L259" s="43"/>
      <c r="M259" s="43"/>
      <c r="N259" s="43"/>
    </row>
    <row r="260" spans="2:14" x14ac:dyDescent="0.25">
      <c r="C260" s="45"/>
      <c r="D260" s="43"/>
      <c r="E260" s="44" t="s">
        <v>120</v>
      </c>
      <c r="F260" s="44" t="s">
        <v>572</v>
      </c>
      <c r="G260" s="43"/>
      <c r="H260" s="43"/>
      <c r="I260" s="75">
        <f>Dateneingabe!$F$12</f>
        <v>0.15</v>
      </c>
      <c r="J260" s="44" t="s">
        <v>144</v>
      </c>
      <c r="K260" s="44" t="s">
        <v>227</v>
      </c>
      <c r="L260" s="43"/>
      <c r="M260" s="43"/>
      <c r="N260" s="43"/>
    </row>
    <row r="261" spans="2:14" x14ac:dyDescent="0.25">
      <c r="C261" s="44"/>
      <c r="D261" s="43"/>
      <c r="E261" s="43"/>
      <c r="F261" s="44" t="s">
        <v>573</v>
      </c>
      <c r="G261" s="43"/>
      <c r="H261" s="43"/>
      <c r="I261" s="75">
        <f>Dateneingabe!$F$13</f>
        <v>0.2</v>
      </c>
      <c r="J261" s="44" t="s">
        <v>144</v>
      </c>
      <c r="K261" s="44" t="s">
        <v>228</v>
      </c>
      <c r="L261" s="43"/>
      <c r="M261" s="43"/>
      <c r="N261" s="43"/>
    </row>
    <row r="262" spans="2:14" x14ac:dyDescent="0.25">
      <c r="C262" s="44"/>
      <c r="D262" s="43"/>
      <c r="E262" s="43"/>
      <c r="F262" s="44" t="s">
        <v>574</v>
      </c>
      <c r="G262" s="43"/>
      <c r="H262" s="43"/>
      <c r="I262" s="76">
        <f>Dateneingabe!$F$14</f>
        <v>10</v>
      </c>
      <c r="J262" s="44" t="s">
        <v>229</v>
      </c>
      <c r="K262" s="43"/>
      <c r="L262" s="43"/>
      <c r="M262" s="43"/>
      <c r="N262" s="43"/>
    </row>
    <row r="263" spans="2:14" x14ac:dyDescent="0.25">
      <c r="C263" s="44"/>
      <c r="D263" s="43"/>
      <c r="E263" s="43"/>
      <c r="F263" s="44" t="s">
        <v>575</v>
      </c>
      <c r="G263" s="43"/>
      <c r="H263" s="43"/>
      <c r="I263" s="76">
        <f>Dateneingabe!$F$25</f>
        <v>4500</v>
      </c>
      <c r="J263" s="44" t="s">
        <v>576</v>
      </c>
      <c r="K263" s="43"/>
      <c r="L263" s="43"/>
      <c r="M263" s="43"/>
      <c r="N263" s="43"/>
    </row>
    <row r="264" spans="2:14" ht="15.75" thickBot="1" x14ac:dyDescent="0.3">
      <c r="C264" s="44"/>
      <c r="D264" s="43"/>
      <c r="E264" s="43"/>
      <c r="F264" s="44" t="s">
        <v>577</v>
      </c>
      <c r="G264" s="43"/>
      <c r="H264" s="43"/>
      <c r="I264" s="70">
        <f>Dateneingabe!$F$26</f>
        <v>0.44</v>
      </c>
      <c r="J264" s="44"/>
      <c r="K264" s="44" t="s">
        <v>230</v>
      </c>
      <c r="L264" s="43"/>
      <c r="M264" s="43"/>
      <c r="N264" s="43"/>
    </row>
    <row r="265" spans="2:14" ht="45.75" thickBot="1" x14ac:dyDescent="0.3">
      <c r="C265" s="47" t="s">
        <v>526</v>
      </c>
      <c r="D265" s="60" t="s">
        <v>111</v>
      </c>
      <c r="E265" s="609"/>
      <c r="F265" s="610" t="s">
        <v>112</v>
      </c>
      <c r="G265" s="604" t="s">
        <v>277</v>
      </c>
      <c r="H265" s="604" t="s">
        <v>99</v>
      </c>
      <c r="I265" s="604" t="s">
        <v>100</v>
      </c>
      <c r="J265" s="604" t="s">
        <v>101</v>
      </c>
      <c r="K265" s="604" t="s">
        <v>590</v>
      </c>
      <c r="L265" s="604" t="s">
        <v>591</v>
      </c>
      <c r="M265" s="604" t="s">
        <v>592</v>
      </c>
      <c r="N265" s="604" t="s">
        <v>593</v>
      </c>
    </row>
    <row r="266" spans="2:14" x14ac:dyDescent="0.25">
      <c r="C266" s="47">
        <v>1</v>
      </c>
      <c r="D266" s="118" t="s">
        <v>264</v>
      </c>
      <c r="E266" s="587" t="s">
        <v>528</v>
      </c>
      <c r="F266" s="97" t="s">
        <v>231</v>
      </c>
      <c r="G266" s="574">
        <f>-Sanierungsvarianten!G29</f>
        <v>-1500</v>
      </c>
      <c r="H266" s="575">
        <f>-Sanierungsvarianten!G64</f>
        <v>-1500</v>
      </c>
      <c r="I266" s="575">
        <f>-Sanierungsvarianten!G99</f>
        <v>-1500</v>
      </c>
      <c r="J266" s="575">
        <f>-Sanierungsvarianten!G136</f>
        <v>-1500</v>
      </c>
      <c r="K266" s="575">
        <f>-Sanierungsvarianten!G178</f>
        <v>-1500</v>
      </c>
      <c r="L266" s="575">
        <f>-Sanierungsvarianten!G220</f>
        <v>-1500</v>
      </c>
      <c r="M266" s="575">
        <f>-Sanierungsvarianten!G262</f>
        <v>-1500</v>
      </c>
      <c r="N266" s="576">
        <f>-Sanierungsvarianten!G305</f>
        <v>-1500</v>
      </c>
    </row>
    <row r="267" spans="2:14" x14ac:dyDescent="0.25">
      <c r="C267" s="47">
        <v>2</v>
      </c>
      <c r="D267" s="118" t="s">
        <v>264</v>
      </c>
      <c r="E267" s="71" t="s">
        <v>347</v>
      </c>
      <c r="F267" s="47" t="s">
        <v>231</v>
      </c>
      <c r="G267" s="577">
        <v>0</v>
      </c>
      <c r="H267" s="577">
        <v>0</v>
      </c>
      <c r="I267" s="578">
        <f>-Sanierungsvarianten!G100</f>
        <v>-1000</v>
      </c>
      <c r="J267" s="578">
        <f>-Sanierungsvarianten!G137</f>
        <v>-1000</v>
      </c>
      <c r="K267" s="577">
        <v>0</v>
      </c>
      <c r="L267" s="577">
        <v>0</v>
      </c>
      <c r="M267" s="578">
        <f>-Sanierungsvarianten!G263</f>
        <v>-1000</v>
      </c>
      <c r="N267" s="579">
        <f>-Sanierungsvarianten!G306</f>
        <v>-1000</v>
      </c>
    </row>
    <row r="268" spans="2:14" x14ac:dyDescent="0.25">
      <c r="C268" s="47">
        <v>3</v>
      </c>
      <c r="D268" s="118" t="s">
        <v>264</v>
      </c>
      <c r="E268" s="95" t="s">
        <v>346</v>
      </c>
      <c r="F268" s="47" t="s">
        <v>231</v>
      </c>
      <c r="G268" s="577">
        <v>0</v>
      </c>
      <c r="H268" s="577">
        <v>0</v>
      </c>
      <c r="I268" s="578">
        <f>-Sanierungsvarianten!G101</f>
        <v>-10841.142857142855</v>
      </c>
      <c r="J268" s="578">
        <f>-Sanierungsvarianten!G138</f>
        <v>-8588.571428571433</v>
      </c>
      <c r="K268" s="578">
        <f>-Sanierungsvarianten!G179</f>
        <v>-36000</v>
      </c>
      <c r="L268" s="578">
        <f>-Sanierungsvarianten!G221</f>
        <v>-13885.714285714286</v>
      </c>
      <c r="M268" s="578">
        <f>-Sanierungsvarianten!G264</f>
        <v>-10841.142857142855</v>
      </c>
      <c r="N268" s="580">
        <f>-Sanierungsvarianten!G307</f>
        <v>-8588.571428571433</v>
      </c>
    </row>
    <row r="269" spans="2:14" x14ac:dyDescent="0.25">
      <c r="C269" s="47">
        <v>4</v>
      </c>
      <c r="D269" s="118" t="s">
        <v>571</v>
      </c>
      <c r="E269" s="71" t="s">
        <v>232</v>
      </c>
      <c r="F269" s="47" t="s">
        <v>231</v>
      </c>
      <c r="G269" s="578">
        <f t="shared" ref="G269:N269" si="97">SUM(G266:G268)</f>
        <v>-1500</v>
      </c>
      <c r="H269" s="578">
        <f t="shared" si="97"/>
        <v>-1500</v>
      </c>
      <c r="I269" s="578">
        <f t="shared" si="97"/>
        <v>-13341.142857142855</v>
      </c>
      <c r="J269" s="578">
        <f t="shared" si="97"/>
        <v>-11088.571428571433</v>
      </c>
      <c r="K269" s="578">
        <f t="shared" si="97"/>
        <v>-37500</v>
      </c>
      <c r="L269" s="578">
        <f t="shared" si="97"/>
        <v>-15385.714285714286</v>
      </c>
      <c r="M269" s="578">
        <f t="shared" si="97"/>
        <v>-13341.142857142855</v>
      </c>
      <c r="N269" s="579">
        <f t="shared" si="97"/>
        <v>-11088.571428571433</v>
      </c>
    </row>
    <row r="270" spans="2:14" x14ac:dyDescent="0.25">
      <c r="C270" s="47">
        <v>5</v>
      </c>
      <c r="D270" s="553"/>
      <c r="E270" s="72" t="s">
        <v>233</v>
      </c>
      <c r="F270" s="47" t="s">
        <v>231</v>
      </c>
      <c r="G270" s="578">
        <f>-Dateneingabe!$F$25*Dateneingabe!$F$14</f>
        <v>-45000</v>
      </c>
      <c r="H270" s="578">
        <f>-Dateneingabe!$F$25*Dateneingabe!$F$14</f>
        <v>-45000</v>
      </c>
      <c r="I270" s="578">
        <f>-Dateneingabe!$F$25*Dateneingabe!$F$14</f>
        <v>-45000</v>
      </c>
      <c r="J270" s="578">
        <f>-Dateneingabe!$F$25*Dateneingabe!$F$14</f>
        <v>-45000</v>
      </c>
      <c r="K270" s="578">
        <f>-Dateneingabe!$F$25*Dateneingabe!$F$14</f>
        <v>-45000</v>
      </c>
      <c r="L270" s="578">
        <f>-Dateneingabe!$F$25*Dateneingabe!$F$14</f>
        <v>-45000</v>
      </c>
      <c r="M270" s="578">
        <f>-Dateneingabe!$F$25*Dateneingabe!$F$14</f>
        <v>-45000</v>
      </c>
      <c r="N270" s="579">
        <f>-Dateneingabe!$F$25*Dateneingabe!$F$14</f>
        <v>-45000</v>
      </c>
    </row>
    <row r="271" spans="2:14" x14ac:dyDescent="0.25">
      <c r="C271" s="47">
        <v>6</v>
      </c>
      <c r="D271" s="118" t="s">
        <v>234</v>
      </c>
      <c r="E271" s="96" t="s">
        <v>529</v>
      </c>
      <c r="F271" s="80" t="s">
        <v>231</v>
      </c>
      <c r="G271" s="581">
        <f t="shared" ref="G271:N271" si="98">G269+G270</f>
        <v>-46500</v>
      </c>
      <c r="H271" s="581">
        <f t="shared" si="98"/>
        <v>-46500</v>
      </c>
      <c r="I271" s="581">
        <f t="shared" si="98"/>
        <v>-58341.142857142855</v>
      </c>
      <c r="J271" s="581">
        <f t="shared" si="98"/>
        <v>-56088.571428571435</v>
      </c>
      <c r="K271" s="581">
        <f t="shared" si="98"/>
        <v>-82500</v>
      </c>
      <c r="L271" s="581">
        <f t="shared" si="98"/>
        <v>-60385.71428571429</v>
      </c>
      <c r="M271" s="581">
        <f t="shared" si="98"/>
        <v>-58341.142857142855</v>
      </c>
      <c r="N271" s="582">
        <f t="shared" si="98"/>
        <v>-56088.571428571435</v>
      </c>
    </row>
    <row r="272" spans="2:14" x14ac:dyDescent="0.25">
      <c r="C272" s="47">
        <v>7</v>
      </c>
      <c r="D272" s="118" t="s">
        <v>265</v>
      </c>
      <c r="E272" s="71" t="s">
        <v>235</v>
      </c>
      <c r="F272" s="47" t="s">
        <v>231</v>
      </c>
      <c r="G272" s="578">
        <f>-G270*Dateneingabe!$F$26</f>
        <v>19800</v>
      </c>
      <c r="H272" s="578">
        <f>-H270*Dateneingabe!$F$26</f>
        <v>19800</v>
      </c>
      <c r="I272" s="578">
        <f>-I270*Dateneingabe!$F$26</f>
        <v>19800</v>
      </c>
      <c r="J272" s="578">
        <f>-J270*Dateneingabe!$F$26</f>
        <v>19800</v>
      </c>
      <c r="K272" s="578">
        <f>-K270*Dateneingabe!$F$26</f>
        <v>19800</v>
      </c>
      <c r="L272" s="578">
        <f>-L270*Dateneingabe!$F$26</f>
        <v>19800</v>
      </c>
      <c r="M272" s="578">
        <f>-M270*Dateneingabe!$F$26</f>
        <v>19800</v>
      </c>
      <c r="N272" s="579">
        <f>-N270*Dateneingabe!$F$26</f>
        <v>19800</v>
      </c>
    </row>
    <row r="273" spans="3:14" x14ac:dyDescent="0.25">
      <c r="C273" s="47">
        <v>8</v>
      </c>
      <c r="D273" s="118" t="s">
        <v>264</v>
      </c>
      <c r="E273" s="71" t="s">
        <v>530</v>
      </c>
      <c r="F273" s="47" t="s">
        <v>231</v>
      </c>
      <c r="G273" s="577">
        <v>0</v>
      </c>
      <c r="H273" s="577">
        <v>0</v>
      </c>
      <c r="I273" s="577">
        <v>0</v>
      </c>
      <c r="J273" s="577">
        <v>0</v>
      </c>
      <c r="K273" s="578">
        <f>Sanierungsvarianten!G180</f>
        <v>50000</v>
      </c>
      <c r="L273" s="578">
        <f>Sanierungsvarianten!G222</f>
        <v>50000</v>
      </c>
      <c r="M273" s="578">
        <f>Sanierungsvarianten!G265</f>
        <v>50000</v>
      </c>
      <c r="N273" s="579">
        <f>Sanierungsvarianten!G308</f>
        <v>50000</v>
      </c>
    </row>
    <row r="274" spans="3:14" ht="30" x14ac:dyDescent="0.25">
      <c r="C274" s="47">
        <v>9</v>
      </c>
      <c r="D274" s="118" t="s">
        <v>236</v>
      </c>
      <c r="E274" s="588" t="s">
        <v>531</v>
      </c>
      <c r="F274" s="80" t="s">
        <v>231</v>
      </c>
      <c r="G274" s="581">
        <f t="shared" ref="G274:N274" si="99">G272+G273</f>
        <v>19800</v>
      </c>
      <c r="H274" s="581">
        <f t="shared" si="99"/>
        <v>19800</v>
      </c>
      <c r="I274" s="581">
        <f t="shared" si="99"/>
        <v>19800</v>
      </c>
      <c r="J274" s="581">
        <f t="shared" si="99"/>
        <v>19800</v>
      </c>
      <c r="K274" s="581">
        <f t="shared" si="99"/>
        <v>69800</v>
      </c>
      <c r="L274" s="581">
        <f t="shared" si="99"/>
        <v>69800</v>
      </c>
      <c r="M274" s="581">
        <f t="shared" si="99"/>
        <v>69800</v>
      </c>
      <c r="N274" s="582">
        <f t="shared" si="99"/>
        <v>69800</v>
      </c>
    </row>
    <row r="275" spans="3:14" ht="30" x14ac:dyDescent="0.25">
      <c r="C275" s="47">
        <v>10</v>
      </c>
      <c r="D275" s="118" t="s">
        <v>237</v>
      </c>
      <c r="E275" s="588" t="s">
        <v>532</v>
      </c>
      <c r="F275" s="80" t="s">
        <v>231</v>
      </c>
      <c r="G275" s="581">
        <f t="shared" ref="G275:N275" si="100">G269+G273</f>
        <v>-1500</v>
      </c>
      <c r="H275" s="581">
        <f t="shared" si="100"/>
        <v>-1500</v>
      </c>
      <c r="I275" s="581">
        <f t="shared" si="100"/>
        <v>-13341.142857142855</v>
      </c>
      <c r="J275" s="581">
        <f t="shared" si="100"/>
        <v>-11088.571428571433</v>
      </c>
      <c r="K275" s="581">
        <f t="shared" si="100"/>
        <v>12500</v>
      </c>
      <c r="L275" s="581">
        <f t="shared" si="100"/>
        <v>34614.28571428571</v>
      </c>
      <c r="M275" s="581">
        <f t="shared" si="100"/>
        <v>36658.857142857145</v>
      </c>
      <c r="N275" s="582">
        <f t="shared" si="100"/>
        <v>38911.428571428565</v>
      </c>
    </row>
    <row r="276" spans="3:14" ht="30" x14ac:dyDescent="0.25">
      <c r="C276" s="47">
        <v>11</v>
      </c>
      <c r="D276" s="118" t="s">
        <v>238</v>
      </c>
      <c r="E276" s="588" t="s">
        <v>533</v>
      </c>
      <c r="F276" s="80" t="s">
        <v>231</v>
      </c>
      <c r="G276" s="581">
        <f t="shared" ref="G276:N276" si="101">G271+G273</f>
        <v>-46500</v>
      </c>
      <c r="H276" s="581">
        <f t="shared" si="101"/>
        <v>-46500</v>
      </c>
      <c r="I276" s="581">
        <f t="shared" si="101"/>
        <v>-58341.142857142855</v>
      </c>
      <c r="J276" s="581">
        <f t="shared" si="101"/>
        <v>-56088.571428571435</v>
      </c>
      <c r="K276" s="581">
        <f t="shared" si="101"/>
        <v>-32500</v>
      </c>
      <c r="L276" s="581">
        <f t="shared" si="101"/>
        <v>-10385.71428571429</v>
      </c>
      <c r="M276" s="581">
        <f t="shared" si="101"/>
        <v>-8341.1428571428551</v>
      </c>
      <c r="N276" s="582">
        <f t="shared" si="101"/>
        <v>-6088.5714285714348</v>
      </c>
    </row>
    <row r="277" spans="3:14" ht="30" x14ac:dyDescent="0.25">
      <c r="C277" s="47">
        <v>12</v>
      </c>
      <c r="D277" s="118" t="s">
        <v>239</v>
      </c>
      <c r="E277" s="588" t="s">
        <v>534</v>
      </c>
      <c r="F277" s="80" t="s">
        <v>231</v>
      </c>
      <c r="G277" s="581">
        <f t="shared" ref="G277:N277" si="102">G271+G274</f>
        <v>-26700</v>
      </c>
      <c r="H277" s="581">
        <f t="shared" si="102"/>
        <v>-26700</v>
      </c>
      <c r="I277" s="581">
        <f t="shared" si="102"/>
        <v>-38541.142857142855</v>
      </c>
      <c r="J277" s="581">
        <f t="shared" si="102"/>
        <v>-36288.571428571435</v>
      </c>
      <c r="K277" s="581">
        <f t="shared" si="102"/>
        <v>-12700</v>
      </c>
      <c r="L277" s="581">
        <f t="shared" si="102"/>
        <v>9414.2857142857101</v>
      </c>
      <c r="M277" s="581">
        <f t="shared" si="102"/>
        <v>11458.857142857145</v>
      </c>
      <c r="N277" s="582">
        <f t="shared" si="102"/>
        <v>13711.428571428565</v>
      </c>
    </row>
    <row r="278" spans="3:14" ht="30" x14ac:dyDescent="0.25">
      <c r="C278" s="47">
        <v>13</v>
      </c>
      <c r="D278" s="118" t="s">
        <v>240</v>
      </c>
      <c r="E278" s="588" t="s">
        <v>535</v>
      </c>
      <c r="F278" s="80" t="s">
        <v>114</v>
      </c>
      <c r="G278" s="583">
        <f t="shared" ref="G278:N278" si="103">-G275/G271</f>
        <v>-3.2258064516129031E-2</v>
      </c>
      <c r="H278" s="583">
        <f t="shared" si="103"/>
        <v>-3.2258064516129031E-2</v>
      </c>
      <c r="I278" s="583">
        <f t="shared" si="103"/>
        <v>-0.22867469171474183</v>
      </c>
      <c r="J278" s="583">
        <f t="shared" si="103"/>
        <v>-0.19769751922978968</v>
      </c>
      <c r="K278" s="583">
        <f t="shared" si="103"/>
        <v>0.15151515151515152</v>
      </c>
      <c r="L278" s="583">
        <f t="shared" si="103"/>
        <v>0.57321977762006138</v>
      </c>
      <c r="M278" s="583">
        <f t="shared" si="103"/>
        <v>0.62835342860221166</v>
      </c>
      <c r="N278" s="584">
        <f t="shared" si="103"/>
        <v>0.69374968162599948</v>
      </c>
    </row>
    <row r="279" spans="3:14" ht="30" x14ac:dyDescent="0.25">
      <c r="C279" s="77">
        <v>14</v>
      </c>
      <c r="D279" s="118" t="s">
        <v>241</v>
      </c>
      <c r="E279" s="588" t="s">
        <v>536</v>
      </c>
      <c r="F279" s="80" t="s">
        <v>114</v>
      </c>
      <c r="G279" s="583">
        <f t="shared" ref="G279:N279" si="104">-G276/G271</f>
        <v>-1</v>
      </c>
      <c r="H279" s="583">
        <f t="shared" si="104"/>
        <v>-1</v>
      </c>
      <c r="I279" s="583">
        <f t="shared" si="104"/>
        <v>-1</v>
      </c>
      <c r="J279" s="583">
        <f t="shared" si="104"/>
        <v>-1</v>
      </c>
      <c r="K279" s="583">
        <f t="shared" si="104"/>
        <v>-0.39393939393939392</v>
      </c>
      <c r="L279" s="583">
        <f t="shared" si="104"/>
        <v>-0.17198959072628348</v>
      </c>
      <c r="M279" s="583">
        <f t="shared" si="104"/>
        <v>-0.14297187968304648</v>
      </c>
      <c r="N279" s="584">
        <f t="shared" si="104"/>
        <v>-0.10855279914421079</v>
      </c>
    </row>
    <row r="280" spans="3:14" ht="30" x14ac:dyDescent="0.25">
      <c r="C280" s="77">
        <v>15</v>
      </c>
      <c r="D280" s="118" t="s">
        <v>242</v>
      </c>
      <c r="E280" s="588" t="s">
        <v>537</v>
      </c>
      <c r="F280" s="80" t="s">
        <v>114</v>
      </c>
      <c r="G280" s="583">
        <f t="shared" ref="G280:N280" si="105">-G277/G271</f>
        <v>-0.5741935483870968</v>
      </c>
      <c r="H280" s="583">
        <f t="shared" si="105"/>
        <v>-0.5741935483870968</v>
      </c>
      <c r="I280" s="583">
        <f t="shared" si="105"/>
        <v>-0.66061686435448641</v>
      </c>
      <c r="J280" s="583">
        <f t="shared" si="105"/>
        <v>-0.64698690846110751</v>
      </c>
      <c r="K280" s="583">
        <f t="shared" si="105"/>
        <v>-0.15393939393939393</v>
      </c>
      <c r="L280" s="583">
        <f t="shared" si="105"/>
        <v>0.15590253134610826</v>
      </c>
      <c r="M280" s="583">
        <f t="shared" si="105"/>
        <v>0.19641125596246711</v>
      </c>
      <c r="N280" s="584">
        <f t="shared" si="105"/>
        <v>0.24446029239468176</v>
      </c>
    </row>
    <row r="281" spans="3:14" ht="29.45" customHeight="1" x14ac:dyDescent="0.25">
      <c r="C281" s="77">
        <v>16</v>
      </c>
      <c r="D281" s="554" t="s">
        <v>578</v>
      </c>
      <c r="E281" s="588" t="s">
        <v>538</v>
      </c>
      <c r="F281" s="94" t="s">
        <v>113</v>
      </c>
      <c r="G281" s="585">
        <f>G269*Dateneingabe!$F$12+G273*Dateneingabe!$F$13</f>
        <v>-225</v>
      </c>
      <c r="H281" s="585">
        <f>H269*Dateneingabe!$F$12+H273*Dateneingabe!$F$13</f>
        <v>-225</v>
      </c>
      <c r="I281" s="585">
        <f>I269*Dateneingabe!$F$12+I273*Dateneingabe!$F$13</f>
        <v>-2001.1714285714281</v>
      </c>
      <c r="J281" s="585">
        <f>J269*Dateneingabe!$F$12+J273*Dateneingabe!$F$13</f>
        <v>-1663.2857142857149</v>
      </c>
      <c r="K281" s="585">
        <f>K269*Dateneingabe!$F$12+K273*Dateneingabe!$F$13</f>
        <v>4375</v>
      </c>
      <c r="L281" s="585">
        <f>L269*Dateneingabe!$F$12+L273*Dateneingabe!$F$13</f>
        <v>7692.1428571428569</v>
      </c>
      <c r="M281" s="585">
        <f>M269*Dateneingabe!$F$12+M273*Dateneingabe!$F$13</f>
        <v>7998.8285714285721</v>
      </c>
      <c r="N281" s="586">
        <f>N269*Dateneingabe!$F$12+N273*Dateneingabe!$F$13</f>
        <v>8336.7142857142844</v>
      </c>
    </row>
    <row r="282" spans="3:14" ht="29.45" customHeight="1" x14ac:dyDescent="0.25">
      <c r="C282" s="78">
        <v>17</v>
      </c>
      <c r="D282" s="554" t="s">
        <v>580</v>
      </c>
      <c r="E282" s="588" t="s">
        <v>539</v>
      </c>
      <c r="F282" s="94" t="s">
        <v>113</v>
      </c>
      <c r="G282" s="581">
        <f>G271*Dateneingabe!$F$12+G273*Dateneingabe!$F$13</f>
        <v>-6975</v>
      </c>
      <c r="H282" s="581">
        <f>H271*Dateneingabe!$F$12+H273*Dateneingabe!$F$13</f>
        <v>-6975</v>
      </c>
      <c r="I282" s="581">
        <f>I271*Dateneingabe!$F$12+I273*Dateneingabe!$F$13</f>
        <v>-8751.1714285714279</v>
      </c>
      <c r="J282" s="581">
        <f>J271*Dateneingabe!$F$12+J273*Dateneingabe!$F$13</f>
        <v>-8413.2857142857156</v>
      </c>
      <c r="K282" s="581">
        <f>K271*Dateneingabe!$F$12+K273*Dateneingabe!$F$13</f>
        <v>-2375</v>
      </c>
      <c r="L282" s="581">
        <f>L271*Dateneingabe!$F$12+L273*Dateneingabe!$F$13</f>
        <v>942.14285714285688</v>
      </c>
      <c r="M282" s="581">
        <f>M271*Dateneingabe!$F$12+M273*Dateneingabe!$F$13</f>
        <v>1248.8285714285721</v>
      </c>
      <c r="N282" s="582">
        <f>N271*Dateneingabe!$F$12+N273*Dateneingabe!$F$13</f>
        <v>1586.7142857142844</v>
      </c>
    </row>
    <row r="283" spans="3:14" ht="30" customHeight="1" thickBot="1" x14ac:dyDescent="0.3">
      <c r="C283" s="47">
        <v>18</v>
      </c>
      <c r="D283" s="554" t="s">
        <v>579</v>
      </c>
      <c r="E283" s="540" t="s">
        <v>540</v>
      </c>
      <c r="F283" s="98" t="s">
        <v>113</v>
      </c>
      <c r="G283" s="89">
        <f>G271*Dateneingabe!$F$12+G272*Dateneingabe!$F$12+G273*Dateneingabe!$F$13</f>
        <v>-4005</v>
      </c>
      <c r="H283" s="89">
        <f>H271*Dateneingabe!$F$12+H272*Dateneingabe!$F$12+H273*Dateneingabe!$F$13</f>
        <v>-4005</v>
      </c>
      <c r="I283" s="89">
        <f>I271*Dateneingabe!$F$12+I272*Dateneingabe!$F$12+I273*Dateneingabe!$F$13</f>
        <v>-5781.1714285714279</v>
      </c>
      <c r="J283" s="89">
        <f>J271*Dateneingabe!$F$12+J272*Dateneingabe!$F$12+J273*Dateneingabe!$F$13</f>
        <v>-5443.2857142857156</v>
      </c>
      <c r="K283" s="89">
        <f>K271*Dateneingabe!$F$12+K272*Dateneingabe!$F$12+K273*Dateneingabe!$F$13</f>
        <v>595</v>
      </c>
      <c r="L283" s="89">
        <f>L271*Dateneingabe!$F$12+L272*Dateneingabe!$F$12+L273*Dateneingabe!$F$13</f>
        <v>3912.1428571428569</v>
      </c>
      <c r="M283" s="89">
        <f>M271*Dateneingabe!$F$12+M272*Dateneingabe!$F$12+M273*Dateneingabe!$F$13</f>
        <v>4218.8285714285721</v>
      </c>
      <c r="N283" s="90">
        <f>N271*Dateneingabe!$F$12+N272*Dateneingabe!$F$12+N273*Dateneingabe!$F$13</f>
        <v>4556.7142857142844</v>
      </c>
    </row>
    <row r="285" spans="3:14" x14ac:dyDescent="0.25">
      <c r="E285" s="81" t="s">
        <v>541</v>
      </c>
    </row>
    <row r="286" spans="3:14" x14ac:dyDescent="0.25">
      <c r="E286" s="81" t="s">
        <v>542</v>
      </c>
    </row>
    <row r="287" spans="3:14" x14ac:dyDescent="0.25">
      <c r="E287" s="82" t="s">
        <v>543</v>
      </c>
    </row>
    <row r="289" spans="3:19" x14ac:dyDescent="0.25">
      <c r="E289" s="81" t="s">
        <v>544</v>
      </c>
    </row>
    <row r="290" spans="3:19" x14ac:dyDescent="0.25">
      <c r="E290" s="81" t="s">
        <v>545</v>
      </c>
    </row>
    <row r="291" spans="3:19" x14ac:dyDescent="0.25">
      <c r="E291" s="81" t="s">
        <v>546</v>
      </c>
    </row>
    <row r="293" spans="3:19" ht="18.75" x14ac:dyDescent="0.3">
      <c r="C293" s="99"/>
    </row>
    <row r="295" spans="3:19" ht="18.75" x14ac:dyDescent="0.3">
      <c r="C295" s="235" t="s">
        <v>365</v>
      </c>
      <c r="D295" s="55" t="s">
        <v>270</v>
      </c>
    </row>
    <row r="296" spans="3:19" ht="18.75" x14ac:dyDescent="0.3">
      <c r="D296" s="55" t="s">
        <v>271</v>
      </c>
      <c r="J296" s="55" t="str">
        <f>Dateneingabe!E17</f>
        <v>Bern</v>
      </c>
    </row>
    <row r="298" spans="3:19" ht="15.75" x14ac:dyDescent="0.25">
      <c r="D298" s="517" t="s">
        <v>212</v>
      </c>
      <c r="E298" s="517" t="s">
        <v>255</v>
      </c>
      <c r="F298" s="691" t="s">
        <v>256</v>
      </c>
      <c r="G298" s="691"/>
      <c r="H298" s="691" t="s">
        <v>254</v>
      </c>
      <c r="I298" s="691"/>
      <c r="J298" s="691"/>
      <c r="K298" s="691" t="s">
        <v>257</v>
      </c>
      <c r="L298" s="691"/>
      <c r="M298" s="691"/>
      <c r="N298" s="691" t="s">
        <v>258</v>
      </c>
      <c r="O298" s="691"/>
      <c r="P298" s="691"/>
      <c r="Q298" s="702" t="s">
        <v>259</v>
      </c>
      <c r="R298" s="703"/>
      <c r="S298" s="704"/>
    </row>
    <row r="299" spans="3:19" ht="15.75" x14ac:dyDescent="0.25">
      <c r="D299" s="518">
        <f>Dateneingabe!F20</f>
        <v>0.06</v>
      </c>
      <c r="E299" s="519">
        <f>Dateneingabe!F10</f>
        <v>100</v>
      </c>
      <c r="F299" s="692">
        <f>Dateneingabe!F11</f>
        <v>18</v>
      </c>
      <c r="G299" s="692"/>
      <c r="H299" s="693">
        <f>Dateneingabe!F30</f>
        <v>0.7</v>
      </c>
      <c r="I299" s="693"/>
      <c r="J299" s="693"/>
      <c r="K299" s="692">
        <f>100*Dateneingabe!F12</f>
        <v>15</v>
      </c>
      <c r="L299" s="692"/>
      <c r="M299" s="692"/>
      <c r="N299" s="698">
        <f>100*Dateneingabe!F13</f>
        <v>20</v>
      </c>
      <c r="O299" s="698"/>
      <c r="P299" s="698"/>
      <c r="Q299" s="705">
        <f>Dateneingabe!F24</f>
        <v>2000</v>
      </c>
      <c r="R299" s="705"/>
      <c r="S299" s="705"/>
    </row>
    <row r="300" spans="3:19" ht="15.75" x14ac:dyDescent="0.25">
      <c r="D300" s="699"/>
      <c r="E300" s="700"/>
      <c r="F300" s="700"/>
      <c r="G300" s="700"/>
      <c r="H300" s="700"/>
      <c r="I300" s="700"/>
      <c r="J300" s="700"/>
      <c r="K300" s="700"/>
      <c r="L300" s="700"/>
      <c r="M300" s="700"/>
      <c r="N300" s="700"/>
      <c r="O300" s="700"/>
      <c r="P300" s="700"/>
      <c r="Q300" s="700"/>
      <c r="R300" s="700"/>
      <c r="S300" s="701"/>
    </row>
    <row r="301" spans="3:19" ht="15.75" x14ac:dyDescent="0.25">
      <c r="D301" s="697" t="s">
        <v>197</v>
      </c>
      <c r="E301" s="697"/>
      <c r="F301" s="697" t="s">
        <v>198</v>
      </c>
      <c r="G301" s="697"/>
      <c r="H301" s="709" t="s">
        <v>452</v>
      </c>
      <c r="I301" s="710"/>
      <c r="J301" s="710"/>
      <c r="K301" s="710"/>
      <c r="L301" s="710"/>
      <c r="M301" s="710"/>
      <c r="N301" s="710"/>
      <c r="O301" s="710"/>
      <c r="P301" s="710"/>
      <c r="Q301" s="710"/>
      <c r="R301" s="710"/>
      <c r="S301" s="711"/>
    </row>
    <row r="302" spans="3:19" ht="15.75" x14ac:dyDescent="0.25">
      <c r="D302" s="695"/>
      <c r="E302" s="695"/>
      <c r="F302" s="695"/>
      <c r="G302" s="695"/>
      <c r="H302" s="706" t="s">
        <v>204</v>
      </c>
      <c r="I302" s="707"/>
      <c r="J302" s="707"/>
      <c r="K302" s="707"/>
      <c r="L302" s="707"/>
      <c r="M302" s="707"/>
      <c r="N302" s="707"/>
      <c r="O302" s="708"/>
      <c r="P302" s="706" t="s">
        <v>208</v>
      </c>
      <c r="Q302" s="707"/>
      <c r="R302" s="707"/>
      <c r="S302" s="708"/>
    </row>
    <row r="303" spans="3:19" ht="31.5" x14ac:dyDescent="0.25">
      <c r="D303" s="696"/>
      <c r="E303" s="696"/>
      <c r="F303" s="520" t="s">
        <v>199</v>
      </c>
      <c r="G303" s="520" t="s">
        <v>200</v>
      </c>
      <c r="H303" s="521" t="s">
        <v>201</v>
      </c>
      <c r="I303" s="521" t="s">
        <v>202</v>
      </c>
      <c r="J303" s="521" t="s">
        <v>203</v>
      </c>
      <c r="K303" s="521" t="s">
        <v>449</v>
      </c>
      <c r="L303" s="517" t="s">
        <v>205</v>
      </c>
      <c r="M303" s="517" t="s">
        <v>206</v>
      </c>
      <c r="N303" s="522" t="s">
        <v>207</v>
      </c>
      <c r="O303" s="522" t="s">
        <v>450</v>
      </c>
      <c r="P303" s="523" t="s">
        <v>209</v>
      </c>
      <c r="Q303" s="524" t="s">
        <v>210</v>
      </c>
      <c r="R303" s="524" t="s">
        <v>211</v>
      </c>
      <c r="S303" s="524" t="s">
        <v>451</v>
      </c>
    </row>
    <row r="304" spans="3:19" ht="15.75" x14ac:dyDescent="0.25">
      <c r="D304" s="694" t="s">
        <v>190</v>
      </c>
      <c r="E304" s="694"/>
      <c r="F304" s="525">
        <f>G121</f>
        <v>0.99304294871794885</v>
      </c>
      <c r="G304" s="525">
        <f>G126</f>
        <v>0.99304294871794885</v>
      </c>
      <c r="H304" s="526">
        <f>G139</f>
        <v>-5.2999999999999999E-2</v>
      </c>
      <c r="I304" s="527">
        <f>G141</f>
        <v>-5.0666666666666672E-2</v>
      </c>
      <c r="J304" s="527">
        <f>G144</f>
        <v>-5.0666666666666672E-2</v>
      </c>
      <c r="K304" s="527">
        <f>G146</f>
        <v>-5.2999999999999999E-2</v>
      </c>
      <c r="L304" s="528">
        <f>G161</f>
        <v>0</v>
      </c>
      <c r="M304" s="529">
        <f>G164</f>
        <v>0</v>
      </c>
      <c r="N304" s="528">
        <f>G167</f>
        <v>0</v>
      </c>
      <c r="O304" s="529">
        <f>G170</f>
        <v>0</v>
      </c>
      <c r="P304" s="530">
        <f>G194</f>
        <v>-2.3333333333333334E-2</v>
      </c>
      <c r="Q304" s="530">
        <f>G214</f>
        <v>-1.5555555555555552E-2</v>
      </c>
      <c r="R304" s="530">
        <f>G233</f>
        <v>-1.5555555555555552E-2</v>
      </c>
      <c r="S304" s="531">
        <f>G252</f>
        <v>-2.3333333333333334E-2</v>
      </c>
    </row>
    <row r="305" spans="4:20" ht="15.75" x14ac:dyDescent="0.25">
      <c r="D305" s="694" t="s">
        <v>191</v>
      </c>
      <c r="E305" s="694"/>
      <c r="F305" s="525">
        <f>H121</f>
        <v>1.0257474358974359</v>
      </c>
      <c r="G305" s="525">
        <f>H126</f>
        <v>0.992201282051282</v>
      </c>
      <c r="H305" s="526">
        <f>H139</f>
        <v>-1.1000000000000005E-2</v>
      </c>
      <c r="I305" s="526">
        <f>H141</f>
        <v>5.333333333333328E-3</v>
      </c>
      <c r="J305" s="526">
        <f>H144</f>
        <v>5.333333333333341E-3</v>
      </c>
      <c r="K305" s="526">
        <f>H146</f>
        <v>-1.0999999999999994E-2</v>
      </c>
      <c r="L305" s="532">
        <f>H161</f>
        <v>2.3138472456311491E-3</v>
      </c>
      <c r="M305" s="532">
        <f>H164</f>
        <v>3.1359604629990885E-2</v>
      </c>
      <c r="N305" s="532">
        <f>H167</f>
        <v>4.9952285395763671E-2</v>
      </c>
      <c r="O305" s="529">
        <f>H170</f>
        <v>1.0437937437508935E-2</v>
      </c>
      <c r="P305" s="530">
        <f>H194</f>
        <v>0.11666666666666664</v>
      </c>
      <c r="Q305" s="530">
        <f>H214</f>
        <v>0.17111111111111107</v>
      </c>
      <c r="R305" s="530">
        <f>H233</f>
        <v>0.17111111111111116</v>
      </c>
      <c r="S305" s="531">
        <f>H252</f>
        <v>0.1166666666666667</v>
      </c>
    </row>
    <row r="306" spans="4:20" ht="15.75" x14ac:dyDescent="0.25">
      <c r="D306" s="694" t="s">
        <v>192</v>
      </c>
      <c r="E306" s="694"/>
      <c r="F306" s="525">
        <f>I121</f>
        <v>1.0572613553113552</v>
      </c>
      <c r="G306" s="525">
        <f>I126</f>
        <v>1.0142921245421246</v>
      </c>
      <c r="H306" s="526">
        <f>I139</f>
        <v>-1.0999999999999996E-2</v>
      </c>
      <c r="I306" s="526">
        <f>I141</f>
        <v>5.3333333333333392E-3</v>
      </c>
      <c r="J306" s="526">
        <f>I144</f>
        <v>5.3333333333333384E-3</v>
      </c>
      <c r="K306" s="526">
        <f>I146</f>
        <v>-1.0999999999999996E-2</v>
      </c>
      <c r="L306" s="528">
        <f>I161</f>
        <v>-2.41034739312081E-3</v>
      </c>
      <c r="M306" s="528">
        <f>I164</f>
        <v>2.1551503363319562E-2</v>
      </c>
      <c r="N306" s="528">
        <f>I167</f>
        <v>2.9634001214329089E-2</v>
      </c>
      <c r="O306" s="529">
        <f>I170</f>
        <v>1.506207816015337E-3</v>
      </c>
      <c r="P306" s="530">
        <f>I194</f>
        <v>0.11666666666666667</v>
      </c>
      <c r="Q306" s="530">
        <f>I214</f>
        <v>0.17111111111111113</v>
      </c>
      <c r="R306" s="530">
        <f>I233</f>
        <v>0.17111111111111113</v>
      </c>
      <c r="S306" s="531">
        <f>I252</f>
        <v>0.11666666666666667</v>
      </c>
    </row>
    <row r="307" spans="4:20" ht="15.75" x14ac:dyDescent="0.25">
      <c r="D307" s="694" t="s">
        <v>193</v>
      </c>
      <c r="E307" s="694"/>
      <c r="F307" s="533">
        <f>J121</f>
        <v>1.0925364468864469</v>
      </c>
      <c r="G307" s="533">
        <f>J126</f>
        <v>1.0401441391941393</v>
      </c>
      <c r="H307" s="526">
        <f>J139</f>
        <v>-1.0999999999999998E-2</v>
      </c>
      <c r="I307" s="526">
        <f>J141</f>
        <v>5.3333333333333366E-3</v>
      </c>
      <c r="J307" s="526">
        <f>J144</f>
        <v>5.3333333333333358E-3</v>
      </c>
      <c r="K307" s="526">
        <f>J146</f>
        <v>-1.0999999999999998E-2</v>
      </c>
      <c r="L307" s="528">
        <f>J161</f>
        <v>-4.2517872397823814E-3</v>
      </c>
      <c r="M307" s="528">
        <f>J164</f>
        <v>1.7907382972038959E-2</v>
      </c>
      <c r="N307" s="532">
        <f>J167</f>
        <v>2.367409036751902E-2</v>
      </c>
      <c r="O307" s="529">
        <f>J170</f>
        <v>-1.3598818164300835E-3</v>
      </c>
      <c r="P307" s="530">
        <f>J194</f>
        <v>0.11666666666666667</v>
      </c>
      <c r="Q307" s="530">
        <f>J214</f>
        <v>0.17111111111111113</v>
      </c>
      <c r="R307" s="534">
        <f>J233</f>
        <v>0.1711111111111111</v>
      </c>
      <c r="S307" s="531">
        <f>J252</f>
        <v>0.11666666666666667</v>
      </c>
    </row>
    <row r="308" spans="4:20" ht="15.75" x14ac:dyDescent="0.25">
      <c r="D308" s="694" t="s">
        <v>194</v>
      </c>
      <c r="E308" s="694"/>
      <c r="F308" s="533">
        <f>L121</f>
        <v>1.0215349816849817</v>
      </c>
      <c r="G308" s="533">
        <f>L126</f>
        <v>0.98170677655677641</v>
      </c>
      <c r="H308" s="526">
        <f>L139</f>
        <v>-6.6355897851641229E-4</v>
      </c>
      <c r="I308" s="526">
        <f>L141</f>
        <v>1.9115254695311449E-2</v>
      </c>
      <c r="J308" s="526">
        <f>L144</f>
        <v>2.3882160392798696E-2</v>
      </c>
      <c r="K308" s="526">
        <f>L146</f>
        <v>2.911620294599022E-3</v>
      </c>
      <c r="L308" s="532">
        <f>L161</f>
        <v>1.0237149883044448E-2</v>
      </c>
      <c r="M308" s="528">
        <f>L164</f>
        <v>3.9758412130505162E-2</v>
      </c>
      <c r="N308" s="528">
        <f>L167</f>
        <v>5.6261625708884697E-2</v>
      </c>
      <c r="O308" s="529">
        <f>L170</f>
        <v>1.9522110162916995E-2</v>
      </c>
      <c r="P308" s="530">
        <f>L194</f>
        <v>0.15112147007161195</v>
      </c>
      <c r="Q308" s="530">
        <f>L214</f>
        <v>0.21705084898437144</v>
      </c>
      <c r="R308" s="530">
        <f>L233</f>
        <v>0.23294053464266232</v>
      </c>
      <c r="S308" s="531">
        <f>L252</f>
        <v>0.16303873431533003</v>
      </c>
    </row>
    <row r="309" spans="4:20" ht="15.75" x14ac:dyDescent="0.25">
      <c r="D309" s="694" t="s">
        <v>195</v>
      </c>
      <c r="E309" s="694"/>
      <c r="F309" s="525">
        <f>M121</f>
        <v>1.0572613553113552</v>
      </c>
      <c r="G309" s="525">
        <f>M126</f>
        <v>1.0080100732600732</v>
      </c>
      <c r="H309" s="526">
        <f>M139</f>
        <v>-2.6856863384414642E-3</v>
      </c>
      <c r="I309" s="526">
        <f>M141</f>
        <v>1.6419084882078046E-2</v>
      </c>
      <c r="J309" s="526">
        <f>M144</f>
        <v>2.0226018396846249E-2</v>
      </c>
      <c r="K309" s="526">
        <f>M146</f>
        <v>1.6951379763468642E-4</v>
      </c>
      <c r="L309" s="528">
        <f>M161</f>
        <v>5.489871000791703E-3</v>
      </c>
      <c r="M309" s="528">
        <f>M164</f>
        <v>3.1678988200013053E-2</v>
      </c>
      <c r="N309" s="528">
        <f>M167</f>
        <v>4.3332016925246818E-2</v>
      </c>
      <c r="O309" s="529">
        <f>M170</f>
        <v>1.2293664890467727E-2</v>
      </c>
      <c r="P309" s="530">
        <f>M194</f>
        <v>0.14438104553852846</v>
      </c>
      <c r="Q309" s="534">
        <f>M214</f>
        <v>0.20806361627359349</v>
      </c>
      <c r="R309" s="530">
        <f>M233</f>
        <v>0.22075339465615409</v>
      </c>
      <c r="S309" s="531">
        <f>M252</f>
        <v>0.15389837932544895</v>
      </c>
    </row>
    <row r="310" spans="4:20" ht="15.75" x14ac:dyDescent="0.25">
      <c r="D310" s="694" t="s">
        <v>196</v>
      </c>
      <c r="E310" s="694"/>
      <c r="F310" s="525">
        <f>N121</f>
        <v>1.0925364468864469</v>
      </c>
      <c r="G310" s="525">
        <f>N126</f>
        <v>1.0370031135531137</v>
      </c>
      <c r="H310" s="526">
        <f>N139</f>
        <v>-4.0384930384930367E-3</v>
      </c>
      <c r="I310" s="526">
        <f>N141</f>
        <v>1.4615342615342619E-2</v>
      </c>
      <c r="J310" s="526">
        <f>N144</f>
        <v>1.7567950101955141E-2</v>
      </c>
      <c r="K310" s="526">
        <f>N146</f>
        <v>-1.8240374235336438E-3</v>
      </c>
      <c r="L310" s="532">
        <f>N161</f>
        <v>2.4936549674174024E-3</v>
      </c>
      <c r="M310" s="528">
        <f>N164</f>
        <v>2.6698176050753374E-2</v>
      </c>
      <c r="N310" s="528">
        <f>N167</f>
        <v>3.5023730805965762E-2</v>
      </c>
      <c r="O310" s="529">
        <f>N170</f>
        <v>7.4718556001878052E-3</v>
      </c>
      <c r="P310" s="530">
        <f>N194</f>
        <v>0.13987168987168982</v>
      </c>
      <c r="Q310" s="534">
        <f>N214</f>
        <v>0.20205114205114205</v>
      </c>
      <c r="R310" s="530">
        <f>N233</f>
        <v>0.21189316700651711</v>
      </c>
      <c r="S310" s="531">
        <f>N252</f>
        <v>0.14725320858822119</v>
      </c>
    </row>
    <row r="311" spans="4:20" x14ac:dyDescent="0.25">
      <c r="D311" s="508"/>
      <c r="E311" s="509"/>
      <c r="F311" s="509"/>
      <c r="G311" s="509"/>
      <c r="H311" s="509"/>
      <c r="I311" s="509"/>
      <c r="J311" s="509"/>
      <c r="K311" s="509"/>
      <c r="L311" s="509"/>
      <c r="M311" s="509"/>
      <c r="N311" s="509"/>
      <c r="O311" s="509"/>
      <c r="P311" s="509"/>
      <c r="Q311" s="510"/>
      <c r="R311" s="510"/>
      <c r="S311" s="511"/>
    </row>
    <row r="312" spans="4:20" x14ac:dyDescent="0.25">
      <c r="D312" s="512"/>
      <c r="E312" s="513"/>
      <c r="F312" s="513"/>
      <c r="G312" s="513"/>
      <c r="H312" s="513"/>
      <c r="I312" s="513"/>
      <c r="J312" s="513"/>
      <c r="K312" s="513"/>
      <c r="L312" s="513"/>
      <c r="M312" s="513"/>
      <c r="N312" s="513"/>
      <c r="O312" s="513"/>
      <c r="P312" s="513"/>
      <c r="Q312" s="514"/>
      <c r="R312" s="514"/>
      <c r="S312" s="515"/>
    </row>
    <row r="313" spans="4:20" ht="14.45" customHeight="1" x14ac:dyDescent="0.25">
      <c r="D313" s="505" t="s">
        <v>453</v>
      </c>
      <c r="E313" s="682" t="s">
        <v>260</v>
      </c>
      <c r="F313" s="682"/>
      <c r="G313" s="683"/>
      <c r="H313" s="100" t="s">
        <v>213</v>
      </c>
      <c r="I313" s="684" t="s">
        <v>222</v>
      </c>
      <c r="J313" s="684"/>
      <c r="K313" s="684"/>
      <c r="L313" s="684"/>
      <c r="M313" s="684"/>
      <c r="N313" s="102" t="s">
        <v>220</v>
      </c>
      <c r="O313" s="677" t="s">
        <v>223</v>
      </c>
      <c r="P313" s="678"/>
      <c r="Q313" s="678"/>
      <c r="R313" s="678"/>
      <c r="S313" s="679"/>
      <c r="T313" s="507"/>
    </row>
    <row r="314" spans="4:20" ht="14.45" customHeight="1" x14ac:dyDescent="0.25">
      <c r="D314" s="18"/>
      <c r="E314" s="686" t="s">
        <v>261</v>
      </c>
      <c r="F314" s="686"/>
      <c r="G314" s="687"/>
      <c r="H314" s="100" t="s">
        <v>214</v>
      </c>
      <c r="I314" s="684" t="s">
        <v>460</v>
      </c>
      <c r="J314" s="684"/>
      <c r="K314" s="684"/>
      <c r="L314" s="684"/>
      <c r="M314" s="684"/>
      <c r="N314" s="102" t="s">
        <v>221</v>
      </c>
      <c r="O314" s="677" t="s">
        <v>224</v>
      </c>
      <c r="P314" s="678"/>
      <c r="Q314" s="678"/>
      <c r="R314" s="678"/>
      <c r="S314" s="679"/>
      <c r="T314" s="507"/>
    </row>
    <row r="315" spans="4:20" ht="15" customHeight="1" x14ac:dyDescent="0.25">
      <c r="D315" s="18"/>
      <c r="E315" s="16"/>
      <c r="F315" s="16"/>
      <c r="G315" s="16"/>
      <c r="H315" s="100" t="s">
        <v>215</v>
      </c>
      <c r="I315" s="684" t="s">
        <v>459</v>
      </c>
      <c r="J315" s="684"/>
      <c r="K315" s="684"/>
      <c r="L315" s="684"/>
      <c r="M315" s="684"/>
      <c r="N315" s="102" t="s">
        <v>218</v>
      </c>
      <c r="O315" s="677" t="s">
        <v>225</v>
      </c>
      <c r="P315" s="678"/>
      <c r="Q315" s="678"/>
      <c r="R315" s="678"/>
      <c r="S315" s="679"/>
      <c r="T315" s="507"/>
    </row>
    <row r="316" spans="4:20" ht="15" customHeight="1" x14ac:dyDescent="0.25">
      <c r="D316" s="503" t="s">
        <v>243</v>
      </c>
      <c r="E316" s="682" t="s">
        <v>262</v>
      </c>
      <c r="F316" s="682"/>
      <c r="G316" s="683"/>
      <c r="H316" s="100" t="s">
        <v>457</v>
      </c>
      <c r="I316" s="684" t="s">
        <v>458</v>
      </c>
      <c r="J316" s="684"/>
      <c r="K316" s="684"/>
      <c r="L316" s="684"/>
      <c r="M316" s="684"/>
      <c r="N316" s="102" t="s">
        <v>463</v>
      </c>
      <c r="O316" s="677" t="s">
        <v>464</v>
      </c>
      <c r="P316" s="678"/>
      <c r="Q316" s="678"/>
      <c r="R316" s="678"/>
      <c r="S316" s="679"/>
    </row>
    <row r="317" spans="4:20" ht="15" customHeight="1" x14ac:dyDescent="0.25">
      <c r="D317" s="506" t="s">
        <v>245</v>
      </c>
      <c r="E317" s="680" t="s">
        <v>246</v>
      </c>
      <c r="F317" s="680"/>
      <c r="G317" s="681"/>
      <c r="H317" s="16"/>
      <c r="I317" s="16"/>
      <c r="J317" s="16"/>
      <c r="K317" s="16"/>
      <c r="L317" s="16"/>
      <c r="M317" s="16"/>
      <c r="N317" s="507"/>
      <c r="O317" s="16"/>
      <c r="P317" s="16"/>
      <c r="Q317" s="16"/>
      <c r="R317" s="16"/>
      <c r="S317" s="19"/>
    </row>
    <row r="318" spans="4:20" ht="15" customHeight="1" x14ac:dyDescent="0.25">
      <c r="D318" s="502"/>
      <c r="E318" s="16"/>
      <c r="F318" s="16"/>
      <c r="G318" s="16"/>
      <c r="H318" s="101" t="s">
        <v>216</v>
      </c>
      <c r="I318" s="685" t="s">
        <v>454</v>
      </c>
      <c r="J318" s="685"/>
      <c r="K318" s="685"/>
      <c r="L318" s="685"/>
      <c r="M318" s="685"/>
      <c r="N318" s="507"/>
      <c r="O318" s="16"/>
      <c r="P318" s="16"/>
      <c r="Q318" s="16"/>
      <c r="R318" s="16"/>
      <c r="S318" s="19"/>
    </row>
    <row r="319" spans="4:20" x14ac:dyDescent="0.25">
      <c r="D319" s="503" t="s">
        <v>243</v>
      </c>
      <c r="E319" s="682" t="s">
        <v>263</v>
      </c>
      <c r="F319" s="682"/>
      <c r="G319" s="683"/>
      <c r="H319" s="101" t="s">
        <v>217</v>
      </c>
      <c r="I319" s="673" t="s">
        <v>455</v>
      </c>
      <c r="J319" s="674"/>
      <c r="K319" s="674"/>
      <c r="L319" s="674"/>
      <c r="M319" s="675"/>
      <c r="N319" s="507"/>
      <c r="O319" s="16"/>
      <c r="P319" s="16"/>
      <c r="Q319" s="16"/>
      <c r="R319" s="16"/>
      <c r="S319" s="19"/>
    </row>
    <row r="320" spans="4:20" x14ac:dyDescent="0.25">
      <c r="D320" s="504" t="s">
        <v>244</v>
      </c>
      <c r="E320" s="671" t="s">
        <v>246</v>
      </c>
      <c r="F320" s="671"/>
      <c r="G320" s="672"/>
      <c r="H320" s="101" t="s">
        <v>219</v>
      </c>
      <c r="I320" s="673" t="s">
        <v>456</v>
      </c>
      <c r="J320" s="674"/>
      <c r="K320" s="674"/>
      <c r="L320" s="674"/>
      <c r="M320" s="675"/>
      <c r="N320" s="507"/>
      <c r="O320" s="12"/>
      <c r="P320" s="12"/>
      <c r="Q320" s="16"/>
      <c r="R320" s="16"/>
      <c r="S320" s="19"/>
    </row>
    <row r="321" spans="2:19" x14ac:dyDescent="0.25">
      <c r="D321" s="18"/>
      <c r="E321" s="16"/>
      <c r="F321" s="16"/>
      <c r="G321" s="19"/>
      <c r="H321" s="516" t="s">
        <v>461</v>
      </c>
      <c r="I321" s="676" t="s">
        <v>462</v>
      </c>
      <c r="J321" s="674"/>
      <c r="K321" s="674"/>
      <c r="L321" s="674"/>
      <c r="M321" s="675"/>
      <c r="N321" s="16"/>
      <c r="O321" s="16"/>
      <c r="P321" s="16"/>
      <c r="Q321" s="16"/>
      <c r="R321" s="16"/>
      <c r="S321" s="19"/>
    </row>
    <row r="322" spans="2:19" ht="15" customHeight="1" x14ac:dyDescent="0.25">
      <c r="D322" s="20"/>
      <c r="E322" s="21"/>
      <c r="F322" s="21"/>
      <c r="G322" s="21"/>
      <c r="H322" s="41"/>
      <c r="I322" s="41"/>
      <c r="J322" s="21"/>
      <c r="K322" s="21"/>
      <c r="L322" s="21"/>
      <c r="M322" s="21"/>
      <c r="N322" s="21"/>
      <c r="O322" s="21"/>
      <c r="P322" s="21"/>
      <c r="Q322" s="21"/>
      <c r="R322" s="21"/>
      <c r="S322" s="22"/>
    </row>
    <row r="323" spans="2:19" ht="15" customHeight="1" x14ac:dyDescent="0.25">
      <c r="D323" s="16"/>
      <c r="E323" s="16"/>
      <c r="F323" s="16"/>
      <c r="G323" s="16"/>
      <c r="H323" s="16"/>
      <c r="I323" s="16"/>
    </row>
    <row r="328" spans="2:19" ht="18.75" x14ac:dyDescent="0.3">
      <c r="B328" s="235" t="s">
        <v>567</v>
      </c>
      <c r="C328" s="55" t="s">
        <v>448</v>
      </c>
      <c r="J328" s="55" t="s">
        <v>484</v>
      </c>
      <c r="K328" s="55" t="str">
        <f>Dateneingabe!$E$17</f>
        <v>Bern</v>
      </c>
      <c r="Q328" s="235" t="s">
        <v>569</v>
      </c>
    </row>
    <row r="329" spans="2:19" ht="15.75" thickBot="1" x14ac:dyDescent="0.3"/>
    <row r="330" spans="2:19" ht="45.75" thickBot="1" x14ac:dyDescent="0.3">
      <c r="C330" s="47" t="s">
        <v>526</v>
      </c>
      <c r="D330" s="60" t="s">
        <v>111</v>
      </c>
      <c r="E330" s="609"/>
      <c r="F330" s="610" t="s">
        <v>112</v>
      </c>
      <c r="G330" s="604" t="s">
        <v>277</v>
      </c>
      <c r="H330" s="604" t="s">
        <v>99</v>
      </c>
      <c r="I330" s="604" t="s">
        <v>100</v>
      </c>
      <c r="J330" s="604" t="s">
        <v>101</v>
      </c>
      <c r="K330" s="604" t="s">
        <v>590</v>
      </c>
      <c r="L330" s="604" t="s">
        <v>591</v>
      </c>
      <c r="M330" s="604" t="s">
        <v>592</v>
      </c>
      <c r="N330" s="604" t="s">
        <v>593</v>
      </c>
    </row>
    <row r="331" spans="2:19" ht="31.5" x14ac:dyDescent="0.25">
      <c r="C331" s="47">
        <v>1</v>
      </c>
      <c r="D331" s="118" t="s">
        <v>264</v>
      </c>
      <c r="E331" s="460" t="s">
        <v>344</v>
      </c>
      <c r="F331" s="302" t="s">
        <v>113</v>
      </c>
      <c r="G331" s="461">
        <f>Sanierungsvarianten!$H$12</f>
        <v>18000</v>
      </c>
      <c r="H331" s="461">
        <f>Sanierungsvarianten!$H$12</f>
        <v>18000</v>
      </c>
      <c r="I331" s="461">
        <f>Sanierungsvarianten!$H$12</f>
        <v>18000</v>
      </c>
      <c r="J331" s="461">
        <f>Sanierungsvarianten!$H$12</f>
        <v>18000</v>
      </c>
      <c r="K331" s="461">
        <f>Sanierungsvarianten!$H$12</f>
        <v>18000</v>
      </c>
      <c r="L331" s="461">
        <f>Sanierungsvarianten!$H$12</f>
        <v>18000</v>
      </c>
      <c r="M331" s="461">
        <f>Sanierungsvarianten!$H$12</f>
        <v>18000</v>
      </c>
      <c r="N331" s="462">
        <f>Sanierungsvarianten!$H$12</f>
        <v>18000</v>
      </c>
    </row>
    <row r="332" spans="2:19" ht="15.75" x14ac:dyDescent="0.25">
      <c r="C332" s="47">
        <v>2</v>
      </c>
      <c r="D332" s="118" t="s">
        <v>522</v>
      </c>
      <c r="E332" s="463" t="s">
        <v>345</v>
      </c>
      <c r="F332" s="305" t="s">
        <v>113</v>
      </c>
      <c r="G332" s="326">
        <f>Sanierungsvarianten!$H$28</f>
        <v>16200</v>
      </c>
      <c r="H332" s="326">
        <f>Sanierungsvarianten!$H$63</f>
        <v>4455.0000000000018</v>
      </c>
      <c r="I332" s="387">
        <f>Sanierungsvarianten!$H$98</f>
        <v>0</v>
      </c>
      <c r="J332" s="387">
        <f>Sanierungsvarianten!$H$135</f>
        <v>0</v>
      </c>
      <c r="K332" s="387">
        <f>Sanierungsvarianten!$H$177</f>
        <v>0</v>
      </c>
      <c r="L332" s="387">
        <f>Sanierungsvarianten!$H$219</f>
        <v>0</v>
      </c>
      <c r="M332" s="387">
        <f>Sanierungsvarianten!$H$261</f>
        <v>0</v>
      </c>
      <c r="N332" s="388">
        <f>Sanierungsvarianten!$H$304</f>
        <v>0</v>
      </c>
    </row>
    <row r="333" spans="2:19" ht="15.75" x14ac:dyDescent="0.25">
      <c r="C333" s="47">
        <v>3</v>
      </c>
      <c r="D333" s="118" t="s">
        <v>523</v>
      </c>
      <c r="E333" s="463" t="s">
        <v>346</v>
      </c>
      <c r="F333" s="305" t="s">
        <v>113</v>
      </c>
      <c r="G333" s="390">
        <v>0</v>
      </c>
      <c r="H333" s="390">
        <v>0</v>
      </c>
      <c r="I333" s="390">
        <f>Sanierungsvarianten!$H$101</f>
        <v>1626.1714285714281</v>
      </c>
      <c r="J333" s="390">
        <f>Sanierungsvarianten!$H$138</f>
        <v>1288.2857142857149</v>
      </c>
      <c r="K333" s="326">
        <f>Sanierungsvarianten!$H$179</f>
        <v>5400</v>
      </c>
      <c r="L333" s="326">
        <f>Sanierungsvarianten!$H$221</f>
        <v>2082.8571428571427</v>
      </c>
      <c r="M333" s="326">
        <f>Sanierungsvarianten!$H$264</f>
        <v>1626.1714285714281</v>
      </c>
      <c r="N333" s="386">
        <f>Sanierungsvarianten!$H$307</f>
        <v>1288.2857142857149</v>
      </c>
    </row>
    <row r="334" spans="2:19" ht="15.75" x14ac:dyDescent="0.25">
      <c r="C334" s="47">
        <v>4</v>
      </c>
      <c r="D334" s="118" t="s">
        <v>524</v>
      </c>
      <c r="E334" s="325" t="s">
        <v>347</v>
      </c>
      <c r="F334" s="305" t="s">
        <v>113</v>
      </c>
      <c r="G334" s="390">
        <v>0</v>
      </c>
      <c r="H334" s="390">
        <v>0</v>
      </c>
      <c r="I334" s="390">
        <f>Sanierungsvarianten!$H$100</f>
        <v>150</v>
      </c>
      <c r="J334" s="390">
        <f>Sanierungsvarianten!$H$137</f>
        <v>150</v>
      </c>
      <c r="K334" s="387">
        <v>0</v>
      </c>
      <c r="L334" s="387">
        <v>0</v>
      </c>
      <c r="M334" s="387">
        <f>Sanierungsvarianten!$H$263</f>
        <v>150</v>
      </c>
      <c r="N334" s="388">
        <f>Sanierungsvarianten!$H$306</f>
        <v>150</v>
      </c>
    </row>
    <row r="335" spans="2:19" ht="31.5" x14ac:dyDescent="0.25">
      <c r="C335" s="47">
        <v>5</v>
      </c>
      <c r="D335" s="118" t="s">
        <v>361</v>
      </c>
      <c r="E335" s="428" t="s">
        <v>348</v>
      </c>
      <c r="F335" s="305" t="s">
        <v>113</v>
      </c>
      <c r="G335" s="568">
        <f>SUM(G332:G334)</f>
        <v>16200</v>
      </c>
      <c r="H335" s="568">
        <f t="shared" ref="H335:N335" si="106">SUM(H332:H334)</f>
        <v>4455.0000000000018</v>
      </c>
      <c r="I335" s="568">
        <f t="shared" si="106"/>
        <v>1776.1714285714281</v>
      </c>
      <c r="J335" s="568">
        <f t="shared" si="106"/>
        <v>1438.2857142857149</v>
      </c>
      <c r="K335" s="568">
        <f t="shared" si="106"/>
        <v>5400</v>
      </c>
      <c r="L335" s="568">
        <f t="shared" si="106"/>
        <v>2082.8571428571427</v>
      </c>
      <c r="M335" s="568">
        <f t="shared" si="106"/>
        <v>1776.1714285714281</v>
      </c>
      <c r="N335" s="569">
        <f t="shared" si="106"/>
        <v>1438.2857142857149</v>
      </c>
    </row>
    <row r="336" spans="2:19" ht="31.5" x14ac:dyDescent="0.25">
      <c r="C336" s="47">
        <v>6</v>
      </c>
      <c r="D336" s="551" t="s">
        <v>527</v>
      </c>
      <c r="E336" s="489" t="s">
        <v>353</v>
      </c>
      <c r="F336" s="468" t="s">
        <v>113</v>
      </c>
      <c r="G336" s="570">
        <f>G331-G335</f>
        <v>1800</v>
      </c>
      <c r="H336" s="570">
        <f t="shared" ref="H336:N336" si="107">H331-H335</f>
        <v>13544.999999999998</v>
      </c>
      <c r="I336" s="570">
        <f t="shared" si="107"/>
        <v>16223.828571428572</v>
      </c>
      <c r="J336" s="570">
        <f t="shared" si="107"/>
        <v>16561.714285714286</v>
      </c>
      <c r="K336" s="570">
        <f t="shared" si="107"/>
        <v>12600</v>
      </c>
      <c r="L336" s="570">
        <f t="shared" si="107"/>
        <v>15917.142857142857</v>
      </c>
      <c r="M336" s="570">
        <f t="shared" si="107"/>
        <v>16223.828571428572</v>
      </c>
      <c r="N336" s="571">
        <f t="shared" si="107"/>
        <v>16561.714285714286</v>
      </c>
    </row>
    <row r="337" spans="3:14" ht="31.5" x14ac:dyDescent="0.25">
      <c r="C337" s="47">
        <v>7</v>
      </c>
      <c r="D337" s="552" t="s">
        <v>521</v>
      </c>
      <c r="E337" s="416" t="s">
        <v>355</v>
      </c>
      <c r="F337" s="305" t="s">
        <v>113</v>
      </c>
      <c r="G337" s="572">
        <f>G136</f>
        <v>0</v>
      </c>
      <c r="H337" s="572">
        <f t="shared" ref="H337:N337" si="108">H136</f>
        <v>0</v>
      </c>
      <c r="I337" s="572">
        <f t="shared" si="108"/>
        <v>0</v>
      </c>
      <c r="J337" s="572">
        <f t="shared" si="108"/>
        <v>0</v>
      </c>
      <c r="K337" s="572">
        <f t="shared" si="108"/>
        <v>10000</v>
      </c>
      <c r="L337" s="572">
        <f t="shared" si="108"/>
        <v>10000</v>
      </c>
      <c r="M337" s="572">
        <f t="shared" si="108"/>
        <v>10000</v>
      </c>
      <c r="N337" s="573">
        <f t="shared" si="108"/>
        <v>10000</v>
      </c>
    </row>
    <row r="338" spans="3:14" ht="15.75" x14ac:dyDescent="0.25">
      <c r="C338" s="47">
        <v>8</v>
      </c>
      <c r="D338" s="552" t="s">
        <v>354</v>
      </c>
      <c r="E338" s="490" t="s">
        <v>356</v>
      </c>
      <c r="F338" s="491" t="s">
        <v>113</v>
      </c>
      <c r="G338" s="492">
        <f>G336+G337</f>
        <v>1800</v>
      </c>
      <c r="H338" s="492">
        <f t="shared" ref="H338:N338" si="109">H336+H337</f>
        <v>13544.999999999998</v>
      </c>
      <c r="I338" s="492">
        <f t="shared" si="109"/>
        <v>16223.828571428572</v>
      </c>
      <c r="J338" s="492">
        <f t="shared" si="109"/>
        <v>16561.714285714286</v>
      </c>
      <c r="K338" s="492">
        <f t="shared" si="109"/>
        <v>22600</v>
      </c>
      <c r="L338" s="492">
        <f t="shared" si="109"/>
        <v>25917.142857142855</v>
      </c>
      <c r="M338" s="492">
        <f t="shared" si="109"/>
        <v>26223.828571428574</v>
      </c>
      <c r="N338" s="493">
        <f t="shared" si="109"/>
        <v>26561.714285714286</v>
      </c>
    </row>
    <row r="339" spans="3:14" ht="47.25" x14ac:dyDescent="0.25">
      <c r="C339" s="47">
        <v>9</v>
      </c>
      <c r="D339" s="118" t="s">
        <v>520</v>
      </c>
      <c r="E339" s="494" t="s">
        <v>388</v>
      </c>
      <c r="F339" s="468" t="s">
        <v>113</v>
      </c>
      <c r="G339" s="469">
        <f>G46</f>
        <v>102100</v>
      </c>
      <c r="H339" s="469">
        <f t="shared" ref="H339:N339" si="110">H46</f>
        <v>358400</v>
      </c>
      <c r="I339" s="469">
        <f t="shared" si="110"/>
        <v>513400</v>
      </c>
      <c r="J339" s="469">
        <f t="shared" si="110"/>
        <v>632600</v>
      </c>
      <c r="K339" s="469">
        <f t="shared" si="110"/>
        <v>379000</v>
      </c>
      <c r="L339" s="469">
        <f t="shared" si="110"/>
        <v>493400</v>
      </c>
      <c r="M339" s="469">
        <f t="shared" si="110"/>
        <v>613400</v>
      </c>
      <c r="N339" s="483">
        <f t="shared" si="110"/>
        <v>732600</v>
      </c>
    </row>
    <row r="340" spans="3:14" ht="15.75" x14ac:dyDescent="0.25">
      <c r="C340" s="47">
        <v>10</v>
      </c>
      <c r="D340" s="118" t="s">
        <v>357</v>
      </c>
      <c r="E340" s="495" t="s">
        <v>349</v>
      </c>
      <c r="F340" s="496" t="s">
        <v>114</v>
      </c>
      <c r="G340" s="497">
        <f>G338/G339</f>
        <v>1.762977473065622E-2</v>
      </c>
      <c r="H340" s="497">
        <f t="shared" ref="H340:M340" si="111">H338/H339</f>
        <v>3.7792968749999996E-2</v>
      </c>
      <c r="I340" s="497">
        <f t="shared" si="111"/>
        <v>3.1600756859035004E-2</v>
      </c>
      <c r="J340" s="497">
        <f t="shared" si="111"/>
        <v>2.6180389322975475E-2</v>
      </c>
      <c r="K340" s="497">
        <f t="shared" si="111"/>
        <v>5.9630606860158308E-2</v>
      </c>
      <c r="L340" s="497">
        <f t="shared" si="111"/>
        <v>5.2527650703572869E-2</v>
      </c>
      <c r="M340" s="497">
        <f t="shared" si="111"/>
        <v>4.275159532348969E-2</v>
      </c>
      <c r="N340" s="498">
        <f>N338/N339</f>
        <v>3.6256776256776257E-2</v>
      </c>
    </row>
    <row r="341" spans="3:14" ht="47.25" x14ac:dyDescent="0.25">
      <c r="C341" s="47">
        <v>11</v>
      </c>
      <c r="D341" s="118" t="s">
        <v>519</v>
      </c>
      <c r="E341" s="279" t="s">
        <v>393</v>
      </c>
      <c r="F341" s="499" t="s">
        <v>113</v>
      </c>
      <c r="G341" s="474">
        <f>G55</f>
        <v>76575</v>
      </c>
      <c r="H341" s="474">
        <f t="shared" ref="H341:N341" si="112">H55</f>
        <v>268800</v>
      </c>
      <c r="I341" s="474">
        <f t="shared" si="112"/>
        <v>385050</v>
      </c>
      <c r="J341" s="474">
        <f t="shared" si="112"/>
        <v>474450</v>
      </c>
      <c r="K341" s="474">
        <f t="shared" si="112"/>
        <v>284250</v>
      </c>
      <c r="L341" s="474">
        <f t="shared" si="112"/>
        <v>370050</v>
      </c>
      <c r="M341" s="474">
        <f t="shared" si="112"/>
        <v>460050</v>
      </c>
      <c r="N341" s="475">
        <f t="shared" si="112"/>
        <v>549450</v>
      </c>
    </row>
    <row r="342" spans="3:14" ht="15.75" x14ac:dyDescent="0.25">
      <c r="C342" s="47">
        <v>12</v>
      </c>
      <c r="D342" s="118" t="s">
        <v>358</v>
      </c>
      <c r="E342" s="500" t="s">
        <v>350</v>
      </c>
      <c r="F342" s="496" t="s">
        <v>114</v>
      </c>
      <c r="G342" s="497">
        <f>G338/G341</f>
        <v>2.3506366307541625E-2</v>
      </c>
      <c r="H342" s="497">
        <f t="shared" ref="H342:N342" si="113">H338/H341</f>
        <v>5.0390624999999994E-2</v>
      </c>
      <c r="I342" s="497">
        <f t="shared" si="113"/>
        <v>4.2134342478713338E-2</v>
      </c>
      <c r="J342" s="497">
        <f t="shared" si="113"/>
        <v>3.4907185763967299E-2</v>
      </c>
      <c r="K342" s="497">
        <f t="shared" si="113"/>
        <v>7.950747581354442E-2</v>
      </c>
      <c r="L342" s="497">
        <f t="shared" si="113"/>
        <v>7.0036867604763825E-2</v>
      </c>
      <c r="M342" s="497">
        <f t="shared" si="113"/>
        <v>5.7002127097986251E-2</v>
      </c>
      <c r="N342" s="498">
        <f t="shared" si="113"/>
        <v>4.8342368342368346E-2</v>
      </c>
    </row>
    <row r="343" spans="3:14" ht="47.25" x14ac:dyDescent="0.25">
      <c r="C343" s="47">
        <v>13</v>
      </c>
      <c r="D343" s="118" t="s">
        <v>517</v>
      </c>
      <c r="E343" s="279" t="s">
        <v>391</v>
      </c>
      <c r="F343" s="499" t="s">
        <v>113</v>
      </c>
      <c r="G343" s="474">
        <f>G53</f>
        <v>76575</v>
      </c>
      <c r="H343" s="474">
        <f t="shared" ref="H343:N343" si="114">H53</f>
        <v>188700</v>
      </c>
      <c r="I343" s="474">
        <f t="shared" si="114"/>
        <v>282450</v>
      </c>
      <c r="J343" s="474">
        <f t="shared" si="114"/>
        <v>349350</v>
      </c>
      <c r="K343" s="474">
        <f t="shared" si="114"/>
        <v>214650</v>
      </c>
      <c r="L343" s="474">
        <f t="shared" si="114"/>
        <v>274950</v>
      </c>
      <c r="M343" s="474">
        <f t="shared" si="114"/>
        <v>342450</v>
      </c>
      <c r="N343" s="475">
        <f t="shared" si="114"/>
        <v>416850</v>
      </c>
    </row>
    <row r="344" spans="3:14" ht="15.75" x14ac:dyDescent="0.25">
      <c r="C344" s="47">
        <v>14</v>
      </c>
      <c r="D344" s="118" t="s">
        <v>359</v>
      </c>
      <c r="E344" s="500" t="s">
        <v>351</v>
      </c>
      <c r="F344" s="496" t="s">
        <v>114</v>
      </c>
      <c r="G344" s="497">
        <f>G338/G343</f>
        <v>2.3506366307541625E-2</v>
      </c>
      <c r="H344" s="497">
        <f t="shared" ref="H344:N344" si="115">H338/H343</f>
        <v>7.1780604133545298E-2</v>
      </c>
      <c r="I344" s="497">
        <f t="shared" si="115"/>
        <v>5.743964797815037E-2</v>
      </c>
      <c r="J344" s="497">
        <f t="shared" si="115"/>
        <v>4.7407225663988223E-2</v>
      </c>
      <c r="K344" s="497">
        <f t="shared" si="115"/>
        <v>0.10528767761472164</v>
      </c>
      <c r="L344" s="497">
        <f t="shared" si="115"/>
        <v>9.4261294261294259E-2</v>
      </c>
      <c r="M344" s="497">
        <f t="shared" si="115"/>
        <v>7.6577101975262296E-2</v>
      </c>
      <c r="N344" s="498">
        <f t="shared" si="115"/>
        <v>6.3720077451635562E-2</v>
      </c>
    </row>
    <row r="345" spans="3:14" ht="47.25" x14ac:dyDescent="0.25">
      <c r="C345" s="47">
        <v>15</v>
      </c>
      <c r="D345" s="118" t="s">
        <v>518</v>
      </c>
      <c r="E345" s="279" t="s">
        <v>389</v>
      </c>
      <c r="F345" s="499" t="s">
        <v>113</v>
      </c>
      <c r="G345" s="285">
        <f>G50</f>
        <v>102100</v>
      </c>
      <c r="H345" s="285">
        <f t="shared" ref="H345:N345" si="116">H50</f>
        <v>251600</v>
      </c>
      <c r="I345" s="285">
        <f t="shared" si="116"/>
        <v>376600</v>
      </c>
      <c r="J345" s="285">
        <f t="shared" si="116"/>
        <v>465800</v>
      </c>
      <c r="K345" s="285">
        <f t="shared" si="116"/>
        <v>286200</v>
      </c>
      <c r="L345" s="285">
        <f t="shared" si="116"/>
        <v>366600</v>
      </c>
      <c r="M345" s="285">
        <f t="shared" si="116"/>
        <v>456600</v>
      </c>
      <c r="N345" s="286">
        <f t="shared" si="116"/>
        <v>555800</v>
      </c>
    </row>
    <row r="346" spans="3:14" ht="16.5" thickBot="1" x14ac:dyDescent="0.3">
      <c r="C346" s="47">
        <v>16</v>
      </c>
      <c r="D346" s="118" t="s">
        <v>360</v>
      </c>
      <c r="E346" s="476" t="s">
        <v>352</v>
      </c>
      <c r="F346" s="485" t="s">
        <v>114</v>
      </c>
      <c r="G346" s="486">
        <f>G338/G345</f>
        <v>1.762977473065622E-2</v>
      </c>
      <c r="H346" s="486">
        <f t="shared" ref="H346:N346" si="117">H338/H345</f>
        <v>5.3835453100158977E-2</v>
      </c>
      <c r="I346" s="486">
        <f t="shared" si="117"/>
        <v>4.3079735983612776E-2</v>
      </c>
      <c r="J346" s="486">
        <f t="shared" si="117"/>
        <v>3.5555419247991167E-2</v>
      </c>
      <c r="K346" s="486">
        <f t="shared" si="117"/>
        <v>7.8965758211041223E-2</v>
      </c>
      <c r="L346" s="486">
        <f t="shared" si="117"/>
        <v>7.0695970695970695E-2</v>
      </c>
      <c r="M346" s="486">
        <f t="shared" si="117"/>
        <v>5.7432826481446722E-2</v>
      </c>
      <c r="N346" s="501">
        <f t="shared" si="117"/>
        <v>4.7790058088726675E-2</v>
      </c>
    </row>
    <row r="348" spans="3:14" x14ac:dyDescent="0.25">
      <c r="C348" s="44" t="s">
        <v>366</v>
      </c>
    </row>
    <row r="349" spans="3:14" x14ac:dyDescent="0.25">
      <c r="C349" s="44" t="s">
        <v>367</v>
      </c>
    </row>
    <row r="350" spans="3:14" x14ac:dyDescent="0.25">
      <c r="C350" s="44" t="s">
        <v>368</v>
      </c>
    </row>
    <row r="351" spans="3:14" x14ac:dyDescent="0.25">
      <c r="C351" s="44" t="s">
        <v>369</v>
      </c>
    </row>
    <row r="355" spans="2:17" ht="18.75" x14ac:dyDescent="0.3">
      <c r="B355" s="235" t="s">
        <v>568</v>
      </c>
      <c r="C355" s="55" t="s">
        <v>473</v>
      </c>
    </row>
    <row r="357" spans="2:17" ht="18.75" x14ac:dyDescent="0.3">
      <c r="E357" s="44" t="s">
        <v>120</v>
      </c>
      <c r="F357" s="44" t="s">
        <v>145</v>
      </c>
      <c r="G357" s="43"/>
      <c r="H357" s="43"/>
      <c r="I357" s="541">
        <f>Dateneingabe!F14</f>
        <v>10</v>
      </c>
      <c r="J357" s="542" t="s">
        <v>9</v>
      </c>
      <c r="P357" s="235"/>
      <c r="Q357" s="235" t="s">
        <v>570</v>
      </c>
    </row>
    <row r="358" spans="2:17" x14ac:dyDescent="0.25">
      <c r="E358" s="43"/>
      <c r="F358" s="44" t="s">
        <v>474</v>
      </c>
      <c r="G358" s="43"/>
      <c r="H358" s="43"/>
      <c r="I358" s="541">
        <f>Dateneingabe!F15</f>
        <v>100</v>
      </c>
      <c r="J358" s="44" t="s">
        <v>16</v>
      </c>
    </row>
    <row r="359" spans="2:17" ht="15.75" thickBot="1" x14ac:dyDescent="0.3">
      <c r="E359" s="43"/>
      <c r="F359" s="44" t="s">
        <v>475</v>
      </c>
      <c r="G359" s="43"/>
      <c r="H359" s="43"/>
      <c r="I359" s="76">
        <f>Standardwerte!D40</f>
        <v>2.65</v>
      </c>
      <c r="J359" s="44" t="s">
        <v>470</v>
      </c>
    </row>
    <row r="360" spans="2:17" ht="45.75" thickBot="1" x14ac:dyDescent="0.3">
      <c r="C360" s="47" t="s">
        <v>526</v>
      </c>
      <c r="D360" s="60" t="s">
        <v>111</v>
      </c>
      <c r="E360" s="609"/>
      <c r="F360" s="607" t="s">
        <v>112</v>
      </c>
      <c r="G360" s="604" t="s">
        <v>277</v>
      </c>
      <c r="H360" s="604" t="s">
        <v>99</v>
      </c>
      <c r="I360" s="604" t="s">
        <v>100</v>
      </c>
      <c r="J360" s="604" t="s">
        <v>101</v>
      </c>
      <c r="K360" s="604" t="s">
        <v>590</v>
      </c>
      <c r="L360" s="604" t="s">
        <v>591</v>
      </c>
      <c r="M360" s="604" t="s">
        <v>592</v>
      </c>
      <c r="N360" s="604" t="s">
        <v>593</v>
      </c>
    </row>
    <row r="361" spans="2:17" ht="31.5" x14ac:dyDescent="0.25">
      <c r="C361" s="543">
        <v>1</v>
      </c>
      <c r="D361" s="543" t="s">
        <v>264</v>
      </c>
      <c r="E361" s="608" t="s">
        <v>476</v>
      </c>
      <c r="F361" s="606" t="s">
        <v>477</v>
      </c>
      <c r="G361" s="545">
        <f>Sanierungsvarianten!F12</f>
        <v>18000</v>
      </c>
      <c r="H361" s="545">
        <f>Sanierungsvarianten!F46</f>
        <v>18000</v>
      </c>
      <c r="I361" s="545">
        <f>Sanierungsvarianten!F81</f>
        <v>18000</v>
      </c>
      <c r="J361" s="545">
        <f>Sanierungsvarianten!F118</f>
        <v>18000</v>
      </c>
      <c r="K361" s="545">
        <f>Sanierungsvarianten!F158</f>
        <v>18000</v>
      </c>
      <c r="L361" s="545">
        <f>Sanierungsvarianten!F200</f>
        <v>18000</v>
      </c>
      <c r="M361" s="545">
        <f>Sanierungsvarianten!F242</f>
        <v>18000</v>
      </c>
      <c r="N361" s="545">
        <f>Sanierungsvarianten!F285</f>
        <v>18000</v>
      </c>
    </row>
    <row r="362" spans="2:17" ht="31.5" x14ac:dyDescent="0.25">
      <c r="C362" s="543">
        <v>2</v>
      </c>
      <c r="D362" s="543"/>
      <c r="E362" s="544" t="s">
        <v>478</v>
      </c>
      <c r="F362" s="543" t="s">
        <v>479</v>
      </c>
      <c r="G362" s="546">
        <f>G361*Standardwerte!$D$40/1000</f>
        <v>47.7</v>
      </c>
      <c r="H362" s="546">
        <f>H361*Standardwerte!$D$40/1000</f>
        <v>47.7</v>
      </c>
      <c r="I362" s="546">
        <f>I361*Standardwerte!$D$40/1000</f>
        <v>47.7</v>
      </c>
      <c r="J362" s="546">
        <f>J361*Standardwerte!$D$40/1000</f>
        <v>47.7</v>
      </c>
      <c r="K362" s="546">
        <f>K361*Standardwerte!$D$40/1000</f>
        <v>47.7</v>
      </c>
      <c r="L362" s="546">
        <f>L361*Standardwerte!$D$40/1000</f>
        <v>47.7</v>
      </c>
      <c r="M362" s="546">
        <f>M361*Standardwerte!$D$40/1000</f>
        <v>47.7</v>
      </c>
      <c r="N362" s="546">
        <f>N361*Standardwerte!$D$40/1000</f>
        <v>47.7</v>
      </c>
    </row>
    <row r="363" spans="2:17" ht="31.5" x14ac:dyDescent="0.25">
      <c r="C363" s="543">
        <v>3</v>
      </c>
      <c r="D363" s="543" t="s">
        <v>264</v>
      </c>
      <c r="E363" s="544" t="s">
        <v>480</v>
      </c>
      <c r="F363" s="543" t="s">
        <v>477</v>
      </c>
      <c r="G363" s="545">
        <f>Sanierungsvarianten!F12+Sanierungsvarianten!F28</f>
        <v>16200</v>
      </c>
      <c r="H363" s="545">
        <f>Sanierungsvarianten!F46+Sanierungsvarianten!F63</f>
        <v>4455.0000000000036</v>
      </c>
      <c r="I363" s="545">
        <f>Sanierungsvarianten!F81+Sanierungsvarianten!F98</f>
        <v>0</v>
      </c>
      <c r="J363" s="545">
        <f>Sanierungsvarianten!F118+Sanierungsvarianten!F135</f>
        <v>0</v>
      </c>
      <c r="K363" s="545">
        <f>Sanierungsvarianten!F158+Sanierungsvarianten!F177</f>
        <v>0</v>
      </c>
      <c r="L363" s="545">
        <f>Sanierungsvarianten!F200+Sanierungsvarianten!F219</f>
        <v>0</v>
      </c>
      <c r="M363" s="545">
        <f>Sanierungsvarianten!F242+Sanierungsvarianten!F261</f>
        <v>0</v>
      </c>
      <c r="N363" s="545">
        <f>Sanierungsvarianten!F285+Sanierungsvarianten!F304</f>
        <v>0</v>
      </c>
    </row>
    <row r="364" spans="2:17" ht="31.5" x14ac:dyDescent="0.25">
      <c r="C364" s="543">
        <v>4</v>
      </c>
      <c r="D364" s="543"/>
      <c r="E364" s="544" t="s">
        <v>481</v>
      </c>
      <c r="F364" s="543" t="s">
        <v>479</v>
      </c>
      <c r="G364" s="547">
        <f>G363*Standardwerte!$D$40/1000</f>
        <v>42.93</v>
      </c>
      <c r="H364" s="547">
        <f>H363*Standardwerte!$D$40/1000</f>
        <v>11.805750000000009</v>
      </c>
      <c r="I364" s="547">
        <f>I363*Standardwerte!$D$40/1000</f>
        <v>0</v>
      </c>
      <c r="J364" s="547">
        <f>J363*Standardwerte!$D$40/1000</f>
        <v>0</v>
      </c>
      <c r="K364" s="547">
        <f>K363*Standardwerte!$D$40/1000</f>
        <v>0</v>
      </c>
      <c r="L364" s="547">
        <f>L363*Standardwerte!$D$40/1000</f>
        <v>0</v>
      </c>
      <c r="M364" s="547">
        <f>M363*Standardwerte!$D$40/1000</f>
        <v>0</v>
      </c>
      <c r="N364" s="547">
        <f>N363*Standardwerte!$D$40/1000</f>
        <v>0</v>
      </c>
    </row>
    <row r="365" spans="2:17" ht="31.5" x14ac:dyDescent="0.25">
      <c r="C365" s="543">
        <v>5</v>
      </c>
      <c r="D365" s="543"/>
      <c r="E365" s="548" t="s">
        <v>482</v>
      </c>
      <c r="F365" s="549" t="s">
        <v>479</v>
      </c>
      <c r="G365" s="550">
        <f>G362-G364</f>
        <v>4.7700000000000031</v>
      </c>
      <c r="H365" s="550">
        <f t="shared" ref="H365:N365" si="118">H362-H364</f>
        <v>35.894249999999992</v>
      </c>
      <c r="I365" s="550">
        <f t="shared" si="118"/>
        <v>47.7</v>
      </c>
      <c r="J365" s="550">
        <f t="shared" si="118"/>
        <v>47.7</v>
      </c>
      <c r="K365" s="550">
        <f t="shared" si="118"/>
        <v>47.7</v>
      </c>
      <c r="L365" s="550">
        <f t="shared" si="118"/>
        <v>47.7</v>
      </c>
      <c r="M365" s="550">
        <f t="shared" si="118"/>
        <v>47.7</v>
      </c>
      <c r="N365" s="550">
        <f t="shared" si="118"/>
        <v>47.7</v>
      </c>
    </row>
  </sheetData>
  <sheetProtection password="C75E" sheet="1" objects="1" scenarios="1"/>
  <mergeCells count="47">
    <mergeCell ref="O316:S316"/>
    <mergeCell ref="N298:P298"/>
    <mergeCell ref="N299:P299"/>
    <mergeCell ref="K298:M298"/>
    <mergeCell ref="K299:M299"/>
    <mergeCell ref="D300:S300"/>
    <mergeCell ref="E316:G316"/>
    <mergeCell ref="Q298:S298"/>
    <mergeCell ref="Q299:S299"/>
    <mergeCell ref="P302:S302"/>
    <mergeCell ref="H302:O302"/>
    <mergeCell ref="H301:S301"/>
    <mergeCell ref="D308:E308"/>
    <mergeCell ref="D309:E309"/>
    <mergeCell ref="D310:E310"/>
    <mergeCell ref="D39:E39"/>
    <mergeCell ref="D41:E41"/>
    <mergeCell ref="D305:E305"/>
    <mergeCell ref="D306:E306"/>
    <mergeCell ref="D307:E307"/>
    <mergeCell ref="D302:G302"/>
    <mergeCell ref="D303:E303"/>
    <mergeCell ref="D304:E304"/>
    <mergeCell ref="F301:G301"/>
    <mergeCell ref="D301:E301"/>
    <mergeCell ref="K92:L92"/>
    <mergeCell ref="D40:E40"/>
    <mergeCell ref="F298:G298"/>
    <mergeCell ref="F299:G299"/>
    <mergeCell ref="H298:J298"/>
    <mergeCell ref="H299:J299"/>
    <mergeCell ref="E320:G320"/>
    <mergeCell ref="I320:M320"/>
    <mergeCell ref="I321:M321"/>
    <mergeCell ref="O313:S313"/>
    <mergeCell ref="O314:S314"/>
    <mergeCell ref="O315:S315"/>
    <mergeCell ref="E317:G317"/>
    <mergeCell ref="E319:G319"/>
    <mergeCell ref="I313:M313"/>
    <mergeCell ref="I314:M314"/>
    <mergeCell ref="I315:M315"/>
    <mergeCell ref="I318:M318"/>
    <mergeCell ref="E313:G313"/>
    <mergeCell ref="E314:G314"/>
    <mergeCell ref="I316:M316"/>
    <mergeCell ref="I319:M319"/>
  </mergeCells>
  <pageMargins left="0.70866141732283472" right="0.70866141732283472" top="0.78740157480314965" bottom="0.78740157480314965" header="0.31496062992125984" footer="0.31496062992125984"/>
  <pageSetup paperSize="9" scale="12" fitToHeight="2" orientation="landscape" r:id="rId1"/>
  <ignoredErrors>
    <ignoredError sqref="G139 H139:N139 G145:N145 G363:N363" formula="1"/>
    <ignoredError sqref="I9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80" zoomScaleNormal="80" workbookViewId="0">
      <selection sqref="A1:XFD1048576"/>
    </sheetView>
  </sheetViews>
  <sheetFormatPr baseColWidth="10" defaultRowHeight="15" x14ac:dyDescent="0.25"/>
  <sheetData>
    <row r="1" spans="1:10" ht="18.75" x14ac:dyDescent="0.3">
      <c r="A1" s="55" t="s">
        <v>266</v>
      </c>
    </row>
    <row r="3" spans="1:10" x14ac:dyDescent="0.25">
      <c r="A3" s="23" t="s">
        <v>249</v>
      </c>
      <c r="B3" s="1" t="s">
        <v>466</v>
      </c>
    </row>
    <row r="4" spans="1:10" ht="15.75" thickBot="1" x14ac:dyDescent="0.3"/>
    <row r="5" spans="1:10" ht="45.75" thickBot="1" x14ac:dyDescent="0.3">
      <c r="B5" s="105" t="s">
        <v>252</v>
      </c>
      <c r="C5" s="88" t="s">
        <v>98</v>
      </c>
      <c r="D5" s="91" t="s">
        <v>99</v>
      </c>
      <c r="E5" s="91" t="s">
        <v>100</v>
      </c>
      <c r="F5" s="91" t="s">
        <v>101</v>
      </c>
      <c r="G5" s="91" t="s">
        <v>125</v>
      </c>
      <c r="H5" s="91" t="s">
        <v>102</v>
      </c>
      <c r="I5" s="91" t="s">
        <v>103</v>
      </c>
      <c r="J5" s="92" t="s">
        <v>104</v>
      </c>
    </row>
    <row r="6" spans="1:10" x14ac:dyDescent="0.25">
      <c r="B6" s="106">
        <v>100</v>
      </c>
      <c r="C6" s="107">
        <v>0.99304294871794885</v>
      </c>
      <c r="D6" s="107">
        <v>1.0257474358974359</v>
      </c>
      <c r="E6" s="107">
        <v>1.0572613553113552</v>
      </c>
      <c r="F6" s="107">
        <v>1.0925364468864469</v>
      </c>
      <c r="G6" s="107">
        <v>1.0068653846153846</v>
      </c>
      <c r="H6" s="107">
        <v>1.0215349816849817</v>
      </c>
      <c r="I6" s="107">
        <v>1.0572613553113552</v>
      </c>
      <c r="J6" s="107">
        <v>1.0925364468864469</v>
      </c>
    </row>
    <row r="7" spans="1:10" x14ac:dyDescent="0.25">
      <c r="B7" s="106">
        <v>150</v>
      </c>
      <c r="C7" s="107">
        <v>1.0449660256410258</v>
      </c>
      <c r="D7" s="107">
        <v>1.040026282051282</v>
      </c>
      <c r="E7" s="107">
        <v>1.0572613553113552</v>
      </c>
      <c r="F7" s="107">
        <v>1.0925364468864469</v>
      </c>
      <c r="G7" s="107">
        <v>1.0068653846153846</v>
      </c>
      <c r="H7" s="107">
        <v>1.0215349816849817</v>
      </c>
      <c r="I7" s="107">
        <v>1.0572613553113552</v>
      </c>
      <c r="J7" s="107">
        <v>1.0925364468864469</v>
      </c>
    </row>
    <row r="8" spans="1:10" x14ac:dyDescent="0.25">
      <c r="B8" s="106">
        <v>200</v>
      </c>
      <c r="C8" s="107">
        <v>1.0968891025641025</v>
      </c>
      <c r="D8" s="107">
        <v>1.0543051282051283</v>
      </c>
      <c r="E8" s="107">
        <v>1.0572613553113552</v>
      </c>
      <c r="F8" s="107">
        <v>1.0925364468864469</v>
      </c>
      <c r="G8" s="107">
        <v>1.0068653846153846</v>
      </c>
      <c r="H8" s="107">
        <v>1.0215349816849817</v>
      </c>
      <c r="I8" s="107">
        <v>1.0572613553113552</v>
      </c>
      <c r="J8" s="107">
        <v>1.0925364468864469</v>
      </c>
    </row>
    <row r="9" spans="1:10" x14ac:dyDescent="0.25">
      <c r="B9" s="106">
        <v>250</v>
      </c>
      <c r="C9" s="107">
        <v>1.1488121794871795</v>
      </c>
      <c r="D9" s="107">
        <v>1.0685839743589745</v>
      </c>
      <c r="E9" s="107">
        <v>1.0572613553113552</v>
      </c>
      <c r="F9" s="107">
        <v>1.0925364468864469</v>
      </c>
      <c r="G9" s="107">
        <v>1.0068653846153846</v>
      </c>
      <c r="H9" s="107">
        <v>1.0215349816849817</v>
      </c>
      <c r="I9" s="107">
        <v>1.0572613553113552</v>
      </c>
      <c r="J9" s="107">
        <v>1.0925364468864469</v>
      </c>
    </row>
    <row r="10" spans="1:10" x14ac:dyDescent="0.25">
      <c r="B10" s="73"/>
    </row>
    <row r="11" spans="1:10" x14ac:dyDescent="0.25">
      <c r="B11" t="s">
        <v>247</v>
      </c>
    </row>
    <row r="12" spans="1:10" x14ac:dyDescent="0.25">
      <c r="B12" s="106">
        <f>Dateneingabe!F10</f>
        <v>100</v>
      </c>
      <c r="C12" s="107">
        <f>Berechnungen!G$121</f>
        <v>0.99304294871794885</v>
      </c>
      <c r="D12" s="107">
        <f>Berechnungen!H$121</f>
        <v>1.0257474358974359</v>
      </c>
      <c r="E12" s="107">
        <f>Berechnungen!I$121</f>
        <v>1.0572613553113552</v>
      </c>
      <c r="F12" s="107">
        <f>Berechnungen!J$121</f>
        <v>1.0925364468864469</v>
      </c>
      <c r="G12" s="107">
        <f>Berechnungen!K$121</f>
        <v>1.0068653846153846</v>
      </c>
      <c r="H12" s="107">
        <f>Berechnungen!L$121</f>
        <v>1.0215349816849817</v>
      </c>
      <c r="I12" s="107">
        <f>Berechnungen!M$121</f>
        <v>1.0572613553113552</v>
      </c>
      <c r="J12" s="107">
        <f>Berechnungen!N$121</f>
        <v>1.0925364468864469</v>
      </c>
    </row>
    <row r="13" spans="1:10" x14ac:dyDescent="0.25">
      <c r="B13" s="73"/>
      <c r="C13" t="s">
        <v>468</v>
      </c>
    </row>
    <row r="14" spans="1:10" x14ac:dyDescent="0.25">
      <c r="B14" s="73"/>
      <c r="C14" t="s">
        <v>251</v>
      </c>
    </row>
    <row r="15" spans="1:10" x14ac:dyDescent="0.25">
      <c r="C15" t="s">
        <v>253</v>
      </c>
    </row>
    <row r="16" spans="1:10" x14ac:dyDescent="0.25">
      <c r="C16" t="s">
        <v>278</v>
      </c>
    </row>
    <row r="18" spans="1:10" x14ac:dyDescent="0.25">
      <c r="A18" s="23" t="s">
        <v>248</v>
      </c>
      <c r="B18" s="1" t="s">
        <v>250</v>
      </c>
    </row>
    <row r="19" spans="1:10" ht="15.75" thickBot="1" x14ac:dyDescent="0.3"/>
    <row r="20" spans="1:10" ht="45.75" thickBot="1" x14ac:dyDescent="0.3">
      <c r="B20" t="s">
        <v>212</v>
      </c>
      <c r="C20" s="88" t="s">
        <v>98</v>
      </c>
      <c r="D20" s="91" t="s">
        <v>99</v>
      </c>
      <c r="E20" s="91" t="s">
        <v>100</v>
      </c>
      <c r="F20" s="91" t="s">
        <v>101</v>
      </c>
      <c r="G20" s="91" t="s">
        <v>125</v>
      </c>
      <c r="H20" s="91" t="s">
        <v>102</v>
      </c>
      <c r="I20" s="91" t="s">
        <v>103</v>
      </c>
      <c r="J20" s="92" t="s">
        <v>104</v>
      </c>
    </row>
    <row r="21" spans="1:10" x14ac:dyDescent="0.25">
      <c r="B21" s="104">
        <v>0.02</v>
      </c>
      <c r="C21" s="103">
        <v>18467</v>
      </c>
      <c r="D21" s="103">
        <v>11848.000000000002</v>
      </c>
      <c r="E21" s="103">
        <v>12269.171428571428</v>
      </c>
      <c r="F21" s="103">
        <v>14315.285714285716</v>
      </c>
      <c r="G21" s="103">
        <v>3205</v>
      </c>
      <c r="H21" s="103">
        <v>2175.8571428571431</v>
      </c>
      <c r="I21" s="103">
        <v>4269.1714285714279</v>
      </c>
      <c r="J21" s="103">
        <v>6315.2857142857156</v>
      </c>
    </row>
    <row r="22" spans="1:10" x14ac:dyDescent="0.25">
      <c r="B22" s="104">
        <v>0.04</v>
      </c>
      <c r="C22" s="103">
        <v>20509</v>
      </c>
      <c r="D22" s="103">
        <v>19016</v>
      </c>
      <c r="E22" s="103">
        <v>22537.17142857143</v>
      </c>
      <c r="F22" s="103">
        <v>26967.285714285714</v>
      </c>
      <c r="G22" s="103">
        <v>10785</v>
      </c>
      <c r="H22" s="103">
        <v>12043.857142857143</v>
      </c>
      <c r="I22" s="103">
        <v>16537.171428571426</v>
      </c>
      <c r="J22" s="103">
        <v>20967.285714285717</v>
      </c>
    </row>
    <row r="23" spans="1:10" x14ac:dyDescent="0.25">
      <c r="B23" s="104">
        <v>0.06</v>
      </c>
      <c r="C23" s="103">
        <v>22551</v>
      </c>
      <c r="D23" s="103">
        <v>26184</v>
      </c>
      <c r="E23" s="103">
        <v>32805.171428571426</v>
      </c>
      <c r="F23" s="103">
        <v>39619.285714285717</v>
      </c>
      <c r="G23" s="103">
        <v>18365</v>
      </c>
      <c r="H23" s="103">
        <v>21911.857142857145</v>
      </c>
      <c r="I23" s="103">
        <v>28805.171428571426</v>
      </c>
      <c r="J23" s="103">
        <v>35619.285714285717</v>
      </c>
    </row>
    <row r="24" spans="1:10" x14ac:dyDescent="0.25">
      <c r="B24" s="104">
        <v>0.08</v>
      </c>
      <c r="C24" s="103">
        <v>24593</v>
      </c>
      <c r="D24" s="103">
        <v>33352</v>
      </c>
      <c r="E24" s="103">
        <v>43073.171428571426</v>
      </c>
      <c r="F24" s="103">
        <v>52271.285714285717</v>
      </c>
      <c r="G24" s="103">
        <v>25945</v>
      </c>
      <c r="H24" s="103">
        <v>31779.857142857145</v>
      </c>
      <c r="I24" s="103">
        <v>41073.171428571426</v>
      </c>
      <c r="J24" s="103">
        <v>50271.285714285717</v>
      </c>
    </row>
    <row r="25" spans="1:10" x14ac:dyDescent="0.25">
      <c r="B25" s="104">
        <v>0.1</v>
      </c>
      <c r="C25" s="103">
        <v>26635</v>
      </c>
      <c r="D25" s="103">
        <v>40520</v>
      </c>
      <c r="E25" s="103">
        <v>53341.171428571426</v>
      </c>
      <c r="F25" s="103">
        <v>64923.285714285717</v>
      </c>
      <c r="G25" s="103">
        <v>33525</v>
      </c>
      <c r="H25" s="103">
        <v>41647.857142857145</v>
      </c>
      <c r="I25" s="103">
        <v>53341.171428571426</v>
      </c>
      <c r="J25" s="103">
        <v>64923.285714285717</v>
      </c>
    </row>
    <row r="26" spans="1:10" x14ac:dyDescent="0.25">
      <c r="B26" s="73"/>
    </row>
    <row r="27" spans="1:10" x14ac:dyDescent="0.25">
      <c r="B27" t="s">
        <v>247</v>
      </c>
    </row>
    <row r="28" spans="1:10" x14ac:dyDescent="0.25">
      <c r="B28" s="104">
        <f>Dateneingabe!F20</f>
        <v>0.06</v>
      </c>
      <c r="C28" s="103">
        <f>Berechnungen!G72 + Sanierungsvarianten!$H$30</f>
        <v>22551</v>
      </c>
      <c r="D28" s="103">
        <f>Berechnungen!H72 + Sanierungsvarianten!$H$65</f>
        <v>26184</v>
      </c>
      <c r="E28" s="103">
        <f>Berechnungen!I72 + Sanierungsvarianten!$H$102</f>
        <v>32805.171428571426</v>
      </c>
      <c r="F28" s="103">
        <f>Berechnungen!J72 + Sanierungsvarianten!$H$139</f>
        <v>39619.285714285717</v>
      </c>
      <c r="G28" s="103">
        <f>Berechnungen!K72 + Sanierungsvarianten!$H$181</f>
        <v>18365</v>
      </c>
      <c r="H28" s="103">
        <f>Berechnungen!L72 + Sanierungsvarianten!$H$223</f>
        <v>21911.857142857145</v>
      </c>
      <c r="I28" s="103">
        <f>Berechnungen!M72 + Sanierungsvarianten!$H$266</f>
        <v>28805.171428571426</v>
      </c>
      <c r="J28" s="103">
        <f>Berechnungen!N72 + Sanierungsvarianten!$H$309</f>
        <v>35619.285714285717</v>
      </c>
    </row>
    <row r="29" spans="1:10" x14ac:dyDescent="0.25">
      <c r="C29" t="s">
        <v>467</v>
      </c>
    </row>
    <row r="30" spans="1:10" x14ac:dyDescent="0.25">
      <c r="C30" t="s">
        <v>251</v>
      </c>
    </row>
    <row r="31" spans="1:10" x14ac:dyDescent="0.25">
      <c r="C31" t="s">
        <v>279</v>
      </c>
    </row>
  </sheetData>
  <sheetProtection password="C75E" sheet="1" objects="1" scenarios="1"/>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Hinweise</vt:lpstr>
      <vt:lpstr>Dateneingabe</vt:lpstr>
      <vt:lpstr>Standardwerte</vt:lpstr>
      <vt:lpstr>Sanierungsvarianten</vt:lpstr>
      <vt:lpstr>Berechnungen</vt:lpstr>
      <vt:lpstr>Sensitivitäten</vt:lpstr>
      <vt:lpstr>Dateneingabe!Druckbereich</vt:lpstr>
      <vt:lpstr>Standardwerte!Druckbereich</vt:lpstr>
      <vt:lpstr>Stadt</vt:lpstr>
      <vt:lpstr>Subvention</vt:lpstr>
      <vt:lpstr>Überwälzung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Wirtschaftlichkeit von Energiemassnahmen</dc:title>
  <dc:subject>energie-cluster.ch</dc:subject>
  <dc:creator>Johannes Höfler</dc:creator>
  <cp:lastModifiedBy>Frank Kalvelage</cp:lastModifiedBy>
  <cp:lastPrinted>2015-09-18T12:40:45Z</cp:lastPrinted>
  <dcterms:created xsi:type="dcterms:W3CDTF">2014-06-18T14:05:34Z</dcterms:created>
  <dcterms:modified xsi:type="dcterms:W3CDTF">2016-05-26T07:14:48Z</dcterms:modified>
  <cp:contentStatus>Version 1b</cp:contentStatus>
</cp:coreProperties>
</file>