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charts/chart11.xml" ContentType="application/vnd.openxmlformats-officedocument.drawingml.chart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ieseArbeitsmappe"/>
  <bookViews>
    <workbookView xWindow="-12" yWindow="6168" windowWidth="25260" windowHeight="6108" tabRatio="888"/>
  </bookViews>
  <sheets>
    <sheet name="2.1" sheetId="28" r:id="rId1"/>
    <sheet name="2.3" sheetId="5" r:id="rId2"/>
    <sheet name="3" sheetId="2" r:id="rId3"/>
    <sheet name="4.1" sheetId="7" r:id="rId4"/>
    <sheet name="4.2" sheetId="9" r:id="rId5"/>
    <sheet name="4.3" sheetId="11" r:id="rId6"/>
    <sheet name="4.4" sheetId="37" r:id="rId7"/>
    <sheet name="4.5" sheetId="1" r:id="rId8"/>
    <sheet name="5.2.1" sheetId="34" r:id="rId9"/>
    <sheet name="5.2.2" sheetId="38" r:id="rId10"/>
    <sheet name="5.3.1" sheetId="14" r:id="rId11"/>
    <sheet name="5.3.1_Heizung" sheetId="33" r:id="rId12"/>
    <sheet name="5.3.1_EL" sheetId="20" r:id="rId13"/>
    <sheet name="5.3.2" sheetId="26" r:id="rId14"/>
    <sheet name="5.4" sheetId="17" r:id="rId15"/>
    <sheet name="6.2" sheetId="39" r:id="rId16"/>
    <sheet name="Listen_Umrechnungen (hide)" sheetId="6" r:id="rId17"/>
    <sheet name="Farbgebung" sheetId="21" r:id="rId18"/>
    <sheet name="5.3.1_WT" sheetId="22" r:id="rId19"/>
  </sheets>
  <definedNames>
    <definedName name="_ftn1" localSheetId="2">'3'!$C$32</definedName>
    <definedName name="_ftnref1" localSheetId="2">'3'!$C$21</definedName>
    <definedName name="Ausgangseinheit">'Listen_Umrechnungen (hide)'!$B$57:$B$61</definedName>
    <definedName name="Befr_ab">'3'!$M$6</definedName>
    <definedName name="BefrJahr1">'3'!$M$4</definedName>
    <definedName name="BefrJahr2">'3'!$M$5</definedName>
    <definedName name="_xlnm.Print_Area" localSheetId="1">'2.3'!$A$1:$E$15</definedName>
    <definedName name="_xlnm.Print_Area" localSheetId="2">'3'!$A$1:$N$70</definedName>
    <definedName name="_xlnm.Print_Area" localSheetId="3">'4.1'!$A$1:$S$74</definedName>
    <definedName name="_xlnm.Print_Area" localSheetId="4">'4.2'!$A$1:$I$47</definedName>
    <definedName name="_xlnm.Print_Area" localSheetId="8">'5.2.1'!$A$1:$AX$84</definedName>
    <definedName name="_xlnm.Print_Area" localSheetId="9">'5.2.2'!$A$1:$AA$61</definedName>
    <definedName name="_xlnm.Print_Area" localSheetId="10">'5.3.1'!$A$1:$J$56</definedName>
    <definedName name="_xlnm.Print_Area" localSheetId="12">'5.3.1_EL'!$A$1:$W$112</definedName>
    <definedName name="_xlnm.Print_Area" localSheetId="11">'5.3.1_Heizung'!$A$1:$AF$163</definedName>
    <definedName name="_xlnm.Print_Area" localSheetId="18">'5.3.1_WT'!$A$1:$AG$96</definedName>
    <definedName name="_xlnm.Print_Area" localSheetId="14">'5.4'!$A$1:$J$24</definedName>
    <definedName name="_xlnm.Print_Area" localSheetId="17">Farbgebung!$A$1:$D$13</definedName>
    <definedName name="EErzeugung_th">'Listen_Umrechnungen (hide)'!$B$40:$B$47</definedName>
    <definedName name="Effizienzklassen">'Listen_Umrechnungen (hide)'!$B$75:$B$82</definedName>
    <definedName name="EinheitEinsparung">'Listen_Umrechnungen (hide)'!$B$10:$B$10</definedName>
    <definedName name="endeinheit">'Listen_Umrechnungen (hide)'!$B$64:$B$66</definedName>
    <definedName name="Energie_Export">'Listen_Umrechnungen (hide)'!$B$27:$B$29</definedName>
    <definedName name="Energieträger">'Listen_Umrechnungen (hide)'!$D$5:$D$28</definedName>
    <definedName name="EnergieträgerMatrix">'3'!$C$5:$E$28</definedName>
    <definedName name="Erhebungsart">'Listen_Umrechnungen (hide)'!$B$91:$B$94</definedName>
    <definedName name="Everbrauchsind_Titel1" localSheetId="6">'4.4'!#REF!</definedName>
    <definedName name="Everbrauchsind_Titel1" localSheetId="15">'6.2'!#REF!</definedName>
    <definedName name="Everbrauchsind_Titel1">'4.3'!$C$4:$L$4</definedName>
    <definedName name="EVerbrauchsind1" localSheetId="6">'4.4'!#REF!</definedName>
    <definedName name="EVerbrauchsind1" localSheetId="15">'6.2'!#REF!</definedName>
    <definedName name="EVerbrauchsind1">'4.3'!$C$5:$L$17</definedName>
    <definedName name="EVerbrauchsind2" localSheetId="6">'4.4'!#REF!</definedName>
    <definedName name="EVerbrauchsind2" localSheetId="15">'6.2'!#REF!</definedName>
    <definedName name="EVerbrauchsind2">'4.3'!$C$22:$L$34</definedName>
    <definedName name="EVerbrauchsindikatoren">'Listen_Umrechnungen (hide)'!$D$31:$D$41</definedName>
    <definedName name="i">#REF!</definedName>
    <definedName name="Indikatortyp">'Listen_Umrechnungen (hide)'!$B$69:$B$72</definedName>
    <definedName name="janein">'Listen_Umrechnungen (hide)'!$B$5:$B$7</definedName>
    <definedName name="KostenanteilEnergie">'Listen_Umrechnungen (hide)'!$B$97:$B$125</definedName>
    <definedName name="Kühlmedium">'Listen_Umrechnungen (hide)'!$B$50:$B$54</definedName>
    <definedName name="Prio.Massnahmen">'Listen_Umrechnungen (hide)'!$B$85:$B$88</definedName>
    <definedName name="Produktionsindex1" localSheetId="6">'4.4'!#REF!</definedName>
    <definedName name="Produktionsindex1" localSheetId="15">'6.2'!#REF!</definedName>
    <definedName name="Produktionsindex1">'4.3'!$C$4:$G$4</definedName>
    <definedName name="Produktionsindex2" localSheetId="6">'4.4'!#REF!</definedName>
    <definedName name="Produktionsindex2" localSheetId="15">'6.2'!#REF!</definedName>
    <definedName name="Produktionsindex2">'4.3'!$C$21:$G$21</definedName>
    <definedName name="Produktionsindikatoren">'Listen_Umrechnungen (hide)'!$D$44:$D$49</definedName>
    <definedName name="solver_adj" localSheetId="5" hidden="1">'4.3'!$M$5,'4.3'!$N$5,'4.3'!$O$5,'4.3'!$P$5</definedName>
    <definedName name="solver_adj" localSheetId="6" hidden="1">'4.4'!#REF!,'4.4'!#REF!,'4.4'!#REF!,'4.4'!#REF!</definedName>
    <definedName name="solver_adj" localSheetId="12" hidden="1">'5.3.1_EL'!$H$65,'5.3.1_EL'!$I$65,'5.3.1_EL'!$J$65,'5.3.1_EL'!$K$65</definedName>
    <definedName name="solver_adj" localSheetId="15" hidden="1">'6.2'!#REF!,'6.2'!#REF!,'6.2'!#REF!,'6.2'!#REF!</definedName>
    <definedName name="solver_cvg" localSheetId="5" hidden="1">0.0001</definedName>
    <definedName name="solver_cvg" localSheetId="6" hidden="1">0.0001</definedName>
    <definedName name="solver_cvg" localSheetId="12" hidden="1">0.0001</definedName>
    <definedName name="solver_cvg" localSheetId="15" hidden="1">0.0001</definedName>
    <definedName name="solver_drv" localSheetId="5" hidden="1">2</definedName>
    <definedName name="solver_drv" localSheetId="6" hidden="1">2</definedName>
    <definedName name="solver_drv" localSheetId="12" hidden="1">2</definedName>
    <definedName name="solver_drv" localSheetId="15" hidden="1">2</definedName>
    <definedName name="solver_eng" localSheetId="5" hidden="1">1</definedName>
    <definedName name="solver_eng" localSheetId="6" hidden="1">1</definedName>
    <definedName name="solver_eng" localSheetId="12" hidden="1">3</definedName>
    <definedName name="solver_eng" localSheetId="15" hidden="1">1</definedName>
    <definedName name="solver_est" localSheetId="5" hidden="1">1</definedName>
    <definedName name="solver_est" localSheetId="6" hidden="1">1</definedName>
    <definedName name="solver_est" localSheetId="12" hidden="1">1</definedName>
    <definedName name="solver_est" localSheetId="15" hidden="1">1</definedName>
    <definedName name="solver_itr" localSheetId="5" hidden="1">2147483647</definedName>
    <definedName name="solver_itr" localSheetId="6" hidden="1">2147483647</definedName>
    <definedName name="solver_itr" localSheetId="12" hidden="1">2147483647</definedName>
    <definedName name="solver_itr" localSheetId="15" hidden="1">2147483647</definedName>
    <definedName name="solver_lhs0" localSheetId="12" hidden="1">'5.3.1_EL'!$Q$60</definedName>
    <definedName name="solver_lhs1" localSheetId="5" hidden="1">'4.3'!$O$5</definedName>
    <definedName name="solver_lhs1" localSheetId="6" hidden="1">'4.4'!#REF!</definedName>
    <definedName name="solver_lhs1" localSheetId="12" hidden="1">'5.3.1_EL'!$Q$60</definedName>
    <definedName name="solver_lhs1" localSheetId="15" hidden="1">'6.2'!#REF!</definedName>
    <definedName name="solver_lhs2" localSheetId="12" hidden="1">'5.3.1_EL'!$Q$60</definedName>
    <definedName name="solver_lhs3" localSheetId="12" hidden="1">'5.3.1_EL'!$Q$60</definedName>
    <definedName name="solver_lhs4" localSheetId="12" hidden="1">'5.3.1_EL'!$Q$60</definedName>
    <definedName name="solver_mip" localSheetId="5" hidden="1">2147483647</definedName>
    <definedName name="solver_mip" localSheetId="6" hidden="1">2147483647</definedName>
    <definedName name="solver_mip" localSheetId="12" hidden="1">2147483647</definedName>
    <definedName name="solver_mip" localSheetId="15" hidden="1">2147483647</definedName>
    <definedName name="solver_mni" localSheetId="5" hidden="1">30</definedName>
    <definedName name="solver_mni" localSheetId="6" hidden="1">30</definedName>
    <definedName name="solver_mni" localSheetId="12" hidden="1">30</definedName>
    <definedName name="solver_mni" localSheetId="15" hidden="1">30</definedName>
    <definedName name="solver_mrt" localSheetId="5" hidden="1">0.075</definedName>
    <definedName name="solver_mrt" localSheetId="6" hidden="1">0.075</definedName>
    <definedName name="solver_mrt" localSheetId="12" hidden="1">0.075</definedName>
    <definedName name="solver_mrt" localSheetId="15" hidden="1">0.075</definedName>
    <definedName name="solver_msl" localSheetId="5" hidden="1">2</definedName>
    <definedName name="solver_msl" localSheetId="6" hidden="1">2</definedName>
    <definedName name="solver_msl" localSheetId="12" hidden="1">2</definedName>
    <definedName name="solver_msl" localSheetId="15" hidden="1">2</definedName>
    <definedName name="solver_neg" localSheetId="5" hidden="1">1</definedName>
    <definedName name="solver_neg" localSheetId="6" hidden="1">1</definedName>
    <definedName name="solver_neg" localSheetId="12" hidden="1">1</definedName>
    <definedName name="solver_neg" localSheetId="15" hidden="1">1</definedName>
    <definedName name="solver_nod" localSheetId="5" hidden="1">2147483647</definedName>
    <definedName name="solver_nod" localSheetId="6" hidden="1">2147483647</definedName>
    <definedName name="solver_nod" localSheetId="12" hidden="1">2147483647</definedName>
    <definedName name="solver_nod" localSheetId="15" hidden="1">2147483647</definedName>
    <definedName name="solver_num" localSheetId="5" hidden="1">1</definedName>
    <definedName name="solver_num" localSheetId="6" hidden="1">1</definedName>
    <definedName name="solver_num" localSheetId="12" hidden="1">0</definedName>
    <definedName name="solver_num" localSheetId="15" hidden="1">1</definedName>
    <definedName name="solver_nwt" localSheetId="5" hidden="1">1</definedName>
    <definedName name="solver_nwt" localSheetId="6" hidden="1">1</definedName>
    <definedName name="solver_nwt" localSheetId="12" hidden="1">1</definedName>
    <definedName name="solver_nwt" localSheetId="15" hidden="1">1</definedName>
    <definedName name="solver_opt" localSheetId="5" hidden="1">'4.3'!$R$29</definedName>
    <definedName name="solver_opt" localSheetId="6" hidden="1">'4.4'!#REF!</definedName>
    <definedName name="solver_opt" localSheetId="12" hidden="1">'5.3.1_EL'!$S$90</definedName>
    <definedName name="solver_opt" localSheetId="15" hidden="1">'6.2'!#REF!</definedName>
    <definedName name="solver_pre" localSheetId="5" hidden="1">0.000001</definedName>
    <definedName name="solver_pre" localSheetId="6" hidden="1">0.000001</definedName>
    <definedName name="solver_pre" localSheetId="12" hidden="1">0.000001</definedName>
    <definedName name="solver_pre" localSheetId="15" hidden="1">0.000001</definedName>
    <definedName name="solver_rbv" localSheetId="5" hidden="1">2</definedName>
    <definedName name="solver_rbv" localSheetId="6" hidden="1">2</definedName>
    <definedName name="solver_rbv" localSheetId="12" hidden="1">2</definedName>
    <definedName name="solver_rbv" localSheetId="15" hidden="1">2</definedName>
    <definedName name="solver_rel0" localSheetId="12" hidden="1">3</definedName>
    <definedName name="solver_rel1" localSheetId="5" hidden="1">3</definedName>
    <definedName name="solver_rel1" localSheetId="6" hidden="1">3</definedName>
    <definedName name="solver_rel1" localSheetId="12" hidden="1">3</definedName>
    <definedName name="solver_rel1" localSheetId="15" hidden="1">3</definedName>
    <definedName name="solver_rel2" localSheetId="12" hidden="1">3</definedName>
    <definedName name="solver_rel3" localSheetId="12" hidden="1">3</definedName>
    <definedName name="solver_rel4" localSheetId="12" hidden="1">3</definedName>
    <definedName name="solver_rhs0" localSheetId="12" hidden="1">'5.3.1_EL'!#REF!</definedName>
    <definedName name="solver_rhs1" localSheetId="5" hidden="1">'4.3'!$P$5</definedName>
    <definedName name="solver_rhs1" localSheetId="6" hidden="1">'4.4'!#REF!</definedName>
    <definedName name="solver_rhs1" localSheetId="12" hidden="1">'5.3.1_EL'!#REF!</definedName>
    <definedName name="solver_rhs1" localSheetId="15" hidden="1">'6.2'!#REF!</definedName>
    <definedName name="solver_rhs2" localSheetId="12" hidden="1">'5.3.1_EL'!#REF!</definedName>
    <definedName name="solver_rhs3" localSheetId="12" hidden="1">'5.3.1_EL'!#REF!</definedName>
    <definedName name="solver_rhs4" localSheetId="12" hidden="1">'5.3.1_EL'!#REF!</definedName>
    <definedName name="solver_rlx" localSheetId="5" hidden="1">2</definedName>
    <definedName name="solver_rlx" localSheetId="6" hidden="1">2</definedName>
    <definedName name="solver_rlx" localSheetId="12" hidden="1">2</definedName>
    <definedName name="solver_rlx" localSheetId="15" hidden="1">2</definedName>
    <definedName name="solver_rsd" localSheetId="5" hidden="1">0</definedName>
    <definedName name="solver_rsd" localSheetId="6" hidden="1">0</definedName>
    <definedName name="solver_rsd" localSheetId="12" hidden="1">0</definedName>
    <definedName name="solver_rsd" localSheetId="15" hidden="1">0</definedName>
    <definedName name="solver_scl" localSheetId="5" hidden="1">2</definedName>
    <definedName name="solver_scl" localSheetId="6" hidden="1">2</definedName>
    <definedName name="solver_scl" localSheetId="12" hidden="1">2</definedName>
    <definedName name="solver_scl" localSheetId="15" hidden="1">2</definedName>
    <definedName name="solver_sho" localSheetId="5" hidden="1">2</definedName>
    <definedName name="solver_sho" localSheetId="6" hidden="1">2</definedName>
    <definedName name="solver_sho" localSheetId="12" hidden="1">2</definedName>
    <definedName name="solver_sho" localSheetId="15" hidden="1">2</definedName>
    <definedName name="solver_ssz" localSheetId="5" hidden="1">100</definedName>
    <definedName name="solver_ssz" localSheetId="6" hidden="1">100</definedName>
    <definedName name="solver_ssz" localSheetId="12" hidden="1">100</definedName>
    <definedName name="solver_ssz" localSheetId="15" hidden="1">100</definedName>
    <definedName name="solver_tim" localSheetId="5" hidden="1">2147483647</definedName>
    <definedName name="solver_tim" localSheetId="6" hidden="1">2147483647</definedName>
    <definedName name="solver_tim" localSheetId="12" hidden="1">2147483647</definedName>
    <definedName name="solver_tim" localSheetId="15" hidden="1">2147483647</definedName>
    <definedName name="solver_tol" localSheetId="5" hidden="1">0.01</definedName>
    <definedName name="solver_tol" localSheetId="6" hidden="1">0.01</definedName>
    <definedName name="solver_tol" localSheetId="12" hidden="1">0.01</definedName>
    <definedName name="solver_tol" localSheetId="15" hidden="1">0.01</definedName>
    <definedName name="solver_typ" localSheetId="5" hidden="1">2</definedName>
    <definedName name="solver_typ" localSheetId="6" hidden="1">2</definedName>
    <definedName name="solver_typ" localSheetId="12" hidden="1">1</definedName>
    <definedName name="solver_typ" localSheetId="15" hidden="1">2</definedName>
    <definedName name="solver_val" localSheetId="5" hidden="1">0</definedName>
    <definedName name="solver_val" localSheetId="6" hidden="1">0</definedName>
    <definedName name="solver_val" localSheetId="12" hidden="1">0</definedName>
    <definedName name="solver_val" localSheetId="15" hidden="1">0</definedName>
    <definedName name="solver_ver" localSheetId="5" hidden="1">3</definedName>
    <definedName name="solver_ver" localSheetId="6" hidden="1">3</definedName>
    <definedName name="solver_ver" localSheetId="12" hidden="1">3</definedName>
    <definedName name="solver_ver" localSheetId="15" hidden="1">3</definedName>
    <definedName name="Sonne_Wind_Wasser">'Listen_Umrechnungen (hide)'!$B$20:$B$24</definedName>
    <definedName name="UmrechnungsMatrix">'Listen_Umrechnungen (hide)'!$G$5:$M$20</definedName>
    <definedName name="Umsetzung" localSheetId="6">'Listen_Umrechnungen (hide)'!#REF!</definedName>
    <definedName name="Umsetzung" localSheetId="9">'Listen_Umrechnungen (hide)'!#REF!</definedName>
    <definedName name="Umsetzung" localSheetId="15">'Listen_Umrechnungen (hide)'!#REF!</definedName>
    <definedName name="Umsetzung">'Listen_Umrechnungen (hide)'!#REF!</definedName>
    <definedName name="Verteilmedium">'Listen_Umrechnungen (hide)'!$B$32:$B$37</definedName>
    <definedName name="Verwendungszweck">'Listen_Umrechnungen (hide)'!$B$13:$B$17</definedName>
  </definedNames>
  <calcPr calcId="152511"/>
</workbook>
</file>

<file path=xl/calcChain.xml><?xml version="1.0" encoding="utf-8"?>
<calcChain xmlns="http://schemas.openxmlformats.org/spreadsheetml/2006/main">
  <c r="B3" i="39" l="1"/>
  <c r="B4" i="37" l="1"/>
  <c r="B3" i="11"/>
  <c r="B3" i="7"/>
  <c r="M6" i="2"/>
  <c r="U33" i="7"/>
  <c r="U8" i="7"/>
  <c r="B161" i="33"/>
  <c r="B130" i="33"/>
  <c r="B93" i="5"/>
  <c r="B93" i="2"/>
  <c r="B93" i="7"/>
  <c r="B93" i="9"/>
  <c r="B93" i="11"/>
  <c r="B93" i="37"/>
  <c r="B93" i="1"/>
  <c r="B93" i="34"/>
  <c r="B93" i="38"/>
  <c r="B93" i="14"/>
  <c r="B93" i="20"/>
  <c r="B93" i="26"/>
  <c r="B93" i="17"/>
  <c r="B93" i="39"/>
  <c r="B93" i="6"/>
  <c r="B93" i="21"/>
  <c r="B93" i="22"/>
  <c r="B93" i="28"/>
  <c r="B93" i="33"/>
  <c r="D62" i="5"/>
  <c r="D62" i="2"/>
  <c r="D62" i="7"/>
  <c r="D62" i="9"/>
  <c r="D62" i="11"/>
  <c r="D62" i="37"/>
  <c r="D62" i="1"/>
  <c r="D62" i="34"/>
  <c r="D62" i="38"/>
  <c r="D62" i="14"/>
  <c r="D62" i="20"/>
  <c r="D62" i="26"/>
  <c r="D62" i="17"/>
  <c r="D62" i="39"/>
  <c r="D62" i="6"/>
  <c r="D62" i="21"/>
  <c r="D62" i="22"/>
  <c r="D62" i="28"/>
  <c r="D62" i="33"/>
  <c r="M5" i="2"/>
  <c r="D63" i="5" l="1"/>
  <c r="B94" i="33"/>
  <c r="D63" i="11"/>
  <c r="D63" i="22"/>
  <c r="B94" i="7"/>
  <c r="B94" i="1"/>
  <c r="D63" i="38"/>
  <c r="B94" i="20"/>
  <c r="B131" i="33"/>
  <c r="D63" i="17"/>
  <c r="B94" i="6"/>
  <c r="U20" i="7"/>
  <c r="D63" i="39"/>
  <c r="D63" i="37"/>
  <c r="B94" i="21"/>
  <c r="B94" i="34"/>
  <c r="D63" i="33"/>
  <c r="D63" i="6"/>
  <c r="D63" i="20"/>
  <c r="D63" i="1"/>
  <c r="D63" i="7"/>
  <c r="B94" i="22"/>
  <c r="B94" i="17"/>
  <c r="B94" i="38"/>
  <c r="B94" i="11"/>
  <c r="B94" i="5"/>
  <c r="B162" i="33"/>
  <c r="U34" i="7"/>
  <c r="D63" i="28"/>
  <c r="D63" i="14"/>
  <c r="D63" i="2"/>
  <c r="B94" i="26"/>
  <c r="B94" i="9"/>
  <c r="D63" i="21"/>
  <c r="D63" i="26"/>
  <c r="D63" i="34"/>
  <c r="D63" i="9"/>
  <c r="B94" i="28"/>
  <c r="B94" i="39"/>
  <c r="B94" i="14"/>
  <c r="B94" i="37"/>
  <c r="B94" i="2"/>
  <c r="Q47" i="7" l="1"/>
  <c r="K47" i="7"/>
  <c r="Q22" i="7"/>
  <c r="K22" i="7"/>
  <c r="B47" i="7"/>
  <c r="B22" i="7"/>
  <c r="K76" i="20"/>
  <c r="K74" i="20"/>
  <c r="K72" i="20"/>
  <c r="G76" i="20"/>
  <c r="G74" i="20"/>
  <c r="G75" i="20"/>
  <c r="G73" i="20"/>
  <c r="G72" i="20"/>
  <c r="B30" i="20"/>
  <c r="B29" i="20"/>
  <c r="E60" i="20"/>
  <c r="E59" i="20"/>
  <c r="E66" i="20"/>
  <c r="E65" i="20"/>
  <c r="E69" i="20"/>
  <c r="E68" i="20"/>
  <c r="B11" i="33"/>
  <c r="B10" i="33"/>
  <c r="B56" i="33"/>
  <c r="B55" i="33"/>
  <c r="N34" i="34"/>
  <c r="B20" i="11"/>
  <c r="H40" i="9"/>
  <c r="G40" i="9"/>
  <c r="D39" i="9"/>
  <c r="C39" i="9"/>
  <c r="H5" i="9"/>
  <c r="G5" i="9"/>
  <c r="D5" i="9"/>
  <c r="C5" i="9"/>
  <c r="Q3" i="7"/>
  <c r="Q28" i="7"/>
  <c r="K28" i="7"/>
  <c r="B28" i="7"/>
  <c r="K3" i="7"/>
  <c r="F6" i="39"/>
  <c r="F24" i="39"/>
  <c r="F18" i="39"/>
  <c r="F12" i="39"/>
  <c r="H22" i="26" l="1"/>
  <c r="L26" i="34" l="1"/>
  <c r="N56" i="34"/>
  <c r="Q56" i="34" s="1"/>
  <c r="N57" i="34"/>
  <c r="Q57" i="34" s="1"/>
  <c r="N55" i="34"/>
  <c r="Q55" i="34" s="1"/>
  <c r="N53" i="34"/>
  <c r="Q53" i="34" s="1"/>
  <c r="N54" i="34"/>
  <c r="Q54" i="34" s="1"/>
  <c r="N47" i="34"/>
  <c r="Q47" i="34" s="1"/>
  <c r="N48" i="34"/>
  <c r="Q48" i="34" s="1"/>
  <c r="N49" i="34"/>
  <c r="Q49" i="34" s="1"/>
  <c r="N50" i="34"/>
  <c r="Q50" i="34" s="1"/>
  <c r="N51" i="34"/>
  <c r="Q51" i="34" s="1"/>
  <c r="N52" i="34"/>
  <c r="Q52" i="34" s="1"/>
  <c r="N46" i="34"/>
  <c r="Q46" i="34" s="1"/>
  <c r="F32" i="38"/>
  <c r="B26" i="9"/>
  <c r="B25" i="9"/>
  <c r="C25" i="9" s="1"/>
  <c r="B24" i="9"/>
  <c r="B23" i="9"/>
  <c r="C23" i="9" s="1"/>
  <c r="B22" i="9"/>
  <c r="B21" i="9"/>
  <c r="C21" i="9" s="1"/>
  <c r="B20" i="9"/>
  <c r="B19" i="9"/>
  <c r="C19" i="9" s="1"/>
  <c r="B18" i="9"/>
  <c r="AL8" i="7"/>
  <c r="AL9" i="7"/>
  <c r="AL10" i="7"/>
  <c r="AL11" i="7"/>
  <c r="L19" i="7"/>
  <c r="E44" i="7"/>
  <c r="F44" i="7"/>
  <c r="H7" i="37"/>
  <c r="F13" i="37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G18" i="6"/>
  <c r="I18" i="6"/>
  <c r="H18" i="6" s="1"/>
  <c r="G19" i="6"/>
  <c r="I19" i="6"/>
  <c r="H19" i="6" s="1"/>
  <c r="G20" i="6"/>
  <c r="I20" i="6"/>
  <c r="H20" i="6" s="1"/>
  <c r="G21" i="6"/>
  <c r="I21" i="6"/>
  <c r="H21" i="6" s="1"/>
  <c r="G22" i="6"/>
  <c r="I22" i="6"/>
  <c r="H22" i="6" s="1"/>
  <c r="G23" i="6"/>
  <c r="I23" i="6"/>
  <c r="H23" i="6" s="1"/>
  <c r="G24" i="6"/>
  <c r="I24" i="6"/>
  <c r="H24" i="6" s="1"/>
  <c r="G25" i="6"/>
  <c r="I25" i="6"/>
  <c r="H25" i="6" s="1"/>
  <c r="G26" i="6"/>
  <c r="I26" i="6"/>
  <c r="H26" i="6" s="1"/>
  <c r="G27" i="6"/>
  <c r="I27" i="6"/>
  <c r="H27" i="6" s="1"/>
  <c r="G28" i="6"/>
  <c r="I28" i="6"/>
  <c r="H28" i="6" s="1"/>
  <c r="H19" i="2"/>
  <c r="L19" i="6" s="1"/>
  <c r="M19" i="6" s="1"/>
  <c r="H20" i="2"/>
  <c r="L20" i="6" s="1"/>
  <c r="M20" i="6" s="1"/>
  <c r="H18" i="2"/>
  <c r="L18" i="6" s="1"/>
  <c r="M18" i="6" s="1"/>
  <c r="H21" i="2"/>
  <c r="L21" i="6" s="1"/>
  <c r="M21" i="6" s="1"/>
  <c r="H22" i="2"/>
  <c r="L22" i="6" s="1"/>
  <c r="M22" i="6" s="1"/>
  <c r="H23" i="2"/>
  <c r="L23" i="6" s="1"/>
  <c r="M23" i="6" s="1"/>
  <c r="H24" i="2"/>
  <c r="L24" i="6" s="1"/>
  <c r="M24" i="6" s="1"/>
  <c r="H25" i="2"/>
  <c r="L25" i="6" s="1"/>
  <c r="M25" i="6" s="1"/>
  <c r="H14" i="2"/>
  <c r="H11" i="2"/>
  <c r="H43" i="37"/>
  <c r="H37" i="37"/>
  <c r="H31" i="37"/>
  <c r="H25" i="37"/>
  <c r="H19" i="37"/>
  <c r="H13" i="37"/>
  <c r="H60" i="39"/>
  <c r="H54" i="39"/>
  <c r="H48" i="39"/>
  <c r="H42" i="39"/>
  <c r="H36" i="39"/>
  <c r="H30" i="39"/>
  <c r="H24" i="39"/>
  <c r="H18" i="39"/>
  <c r="H12" i="39"/>
  <c r="D25" i="9" l="1"/>
  <c r="P54" i="34" s="1"/>
  <c r="D18" i="9"/>
  <c r="P47" i="34" s="1"/>
  <c r="D26" i="9"/>
  <c r="P55" i="34" s="1"/>
  <c r="C18" i="9"/>
  <c r="D19" i="9"/>
  <c r="P48" i="34" s="1"/>
  <c r="D21" i="9"/>
  <c r="P50" i="34" s="1"/>
  <c r="C22" i="9"/>
  <c r="D23" i="9"/>
  <c r="P52" i="34" s="1"/>
  <c r="C24" i="9"/>
  <c r="C26" i="9"/>
  <c r="D20" i="9"/>
  <c r="P49" i="34" s="1"/>
  <c r="D22" i="9"/>
  <c r="P51" i="34" s="1"/>
  <c r="D24" i="9"/>
  <c r="P53" i="34" s="1"/>
  <c r="AO8" i="7"/>
  <c r="AO10" i="7"/>
  <c r="AO12" i="7"/>
  <c r="AO14" i="7"/>
  <c r="AO16" i="7"/>
  <c r="AO18" i="7"/>
  <c r="AO20" i="7"/>
  <c r="AO22" i="7"/>
  <c r="AO24" i="7"/>
  <c r="AO26" i="7"/>
  <c r="AO28" i="7"/>
  <c r="AO30" i="7"/>
  <c r="AO9" i="7"/>
  <c r="AO11" i="7"/>
  <c r="AO13" i="7"/>
  <c r="AO15" i="7"/>
  <c r="AO17" i="7"/>
  <c r="AO19" i="7"/>
  <c r="AO21" i="7"/>
  <c r="AO23" i="7"/>
  <c r="AO25" i="7"/>
  <c r="AO27" i="7"/>
  <c r="AO29" i="7"/>
  <c r="AO31" i="7"/>
  <c r="AM8" i="7"/>
  <c r="AM10" i="7"/>
  <c r="AM12" i="7"/>
  <c r="AM14" i="7"/>
  <c r="AM16" i="7"/>
  <c r="AM18" i="7"/>
  <c r="AM20" i="7"/>
  <c r="AM22" i="7"/>
  <c r="AM24" i="7"/>
  <c r="AM26" i="7"/>
  <c r="AM28" i="7"/>
  <c r="AM30" i="7"/>
  <c r="AM27" i="7"/>
  <c r="AM29" i="7"/>
  <c r="AM31" i="7"/>
  <c r="AM9" i="7"/>
  <c r="AM11" i="7"/>
  <c r="AM13" i="7"/>
  <c r="AM15" i="7"/>
  <c r="AM17" i="7"/>
  <c r="AM19" i="7"/>
  <c r="AM21" i="7"/>
  <c r="AM23" i="7"/>
  <c r="AM25" i="7"/>
  <c r="AP9" i="7"/>
  <c r="AP11" i="7"/>
  <c r="AP13" i="7"/>
  <c r="AP15" i="7"/>
  <c r="AP17" i="7"/>
  <c r="AP19" i="7"/>
  <c r="AP21" i="7"/>
  <c r="AP23" i="7"/>
  <c r="AP25" i="7"/>
  <c r="AP27" i="7"/>
  <c r="AP29" i="7"/>
  <c r="AP31" i="7"/>
  <c r="AP8" i="7"/>
  <c r="AP10" i="7"/>
  <c r="AP12" i="7"/>
  <c r="AP14" i="7"/>
  <c r="AP16" i="7"/>
  <c r="AP18" i="7"/>
  <c r="AP20" i="7"/>
  <c r="AP22" i="7"/>
  <c r="AP24" i="7"/>
  <c r="AP26" i="7"/>
  <c r="AP28" i="7"/>
  <c r="AP30" i="7"/>
  <c r="AN9" i="7"/>
  <c r="AN11" i="7"/>
  <c r="AN13" i="7"/>
  <c r="AN15" i="7"/>
  <c r="AN17" i="7"/>
  <c r="AN19" i="7"/>
  <c r="AN21" i="7"/>
  <c r="AN23" i="7"/>
  <c r="AN25" i="7"/>
  <c r="AN27" i="7"/>
  <c r="AN29" i="7"/>
  <c r="AN31" i="7"/>
  <c r="AN28" i="7"/>
  <c r="AN30" i="7"/>
  <c r="AN8" i="7"/>
  <c r="AN10" i="7"/>
  <c r="AN12" i="7"/>
  <c r="AN14" i="7"/>
  <c r="AN16" i="7"/>
  <c r="AN18" i="7"/>
  <c r="AN20" i="7"/>
  <c r="AN22" i="7"/>
  <c r="AN24" i="7"/>
  <c r="AN26" i="7"/>
  <c r="AL13" i="7"/>
  <c r="AL15" i="7"/>
  <c r="AL17" i="7"/>
  <c r="AL19" i="7"/>
  <c r="AL21" i="7"/>
  <c r="AL23" i="7"/>
  <c r="AL25" i="7"/>
  <c r="AL27" i="7"/>
  <c r="AL29" i="7"/>
  <c r="AL31" i="7"/>
  <c r="AL30" i="7"/>
  <c r="AL12" i="7"/>
  <c r="AL14" i="7"/>
  <c r="AL16" i="7"/>
  <c r="AL18" i="7"/>
  <c r="AL20" i="7"/>
  <c r="AL22" i="7"/>
  <c r="AL24" i="7"/>
  <c r="AL26" i="7"/>
  <c r="AL28" i="7"/>
  <c r="F43" i="37"/>
  <c r="F37" i="37"/>
  <c r="F31" i="37"/>
  <c r="F25" i="37"/>
  <c r="F19" i="37"/>
  <c r="F7" i="37"/>
  <c r="E18" i="9" l="1"/>
  <c r="E26" i="9"/>
  <c r="E22" i="9"/>
  <c r="E21" i="9"/>
  <c r="E23" i="9"/>
  <c r="E24" i="9"/>
  <c r="E25" i="9"/>
  <c r="E19" i="9"/>
  <c r="AN34" i="7"/>
  <c r="AN33" i="7"/>
  <c r="AP34" i="7"/>
  <c r="AP33" i="7"/>
  <c r="AM34" i="7"/>
  <c r="AM33" i="7"/>
  <c r="AO34" i="7"/>
  <c r="AO33" i="7"/>
  <c r="AL34" i="7"/>
  <c r="AL33" i="7"/>
  <c r="J12" i="17"/>
  <c r="J9" i="17"/>
  <c r="J10" i="17"/>
  <c r="J11" i="17"/>
  <c r="H6" i="39" l="1"/>
  <c r="K69" i="20"/>
  <c r="J69" i="20"/>
  <c r="I69" i="20"/>
  <c r="H69" i="20"/>
  <c r="L69" i="20"/>
  <c r="M69" i="20"/>
  <c r="N69" i="20"/>
  <c r="O69" i="20"/>
  <c r="P69" i="20"/>
  <c r="G69" i="20"/>
  <c r="H66" i="20"/>
  <c r="I66" i="20"/>
  <c r="J66" i="20"/>
  <c r="K66" i="20"/>
  <c r="L66" i="20"/>
  <c r="M66" i="20"/>
  <c r="N66" i="20"/>
  <c r="O66" i="20"/>
  <c r="P66" i="20"/>
  <c r="F33" i="38"/>
  <c r="F34" i="38"/>
  <c r="F35" i="38"/>
  <c r="F36" i="38"/>
  <c r="F37" i="38"/>
  <c r="F38" i="38"/>
  <c r="F39" i="38"/>
  <c r="F40" i="38"/>
  <c r="F41" i="38"/>
  <c r="F9" i="38"/>
  <c r="F10" i="38"/>
  <c r="F11" i="38"/>
  <c r="F12" i="38"/>
  <c r="F13" i="38"/>
  <c r="F14" i="38"/>
  <c r="F15" i="38"/>
  <c r="F16" i="38"/>
  <c r="F17" i="38"/>
  <c r="F18" i="38"/>
  <c r="F19" i="38"/>
  <c r="F20" i="38"/>
  <c r="F21" i="38"/>
  <c r="F22" i="38"/>
  <c r="F23" i="38"/>
  <c r="F24" i="38"/>
  <c r="F25" i="38"/>
  <c r="F26" i="38"/>
  <c r="H41" i="38"/>
  <c r="I41" i="38" s="1"/>
  <c r="G41" i="38"/>
  <c r="H40" i="38"/>
  <c r="G40" i="38"/>
  <c r="H39" i="38"/>
  <c r="I39" i="38" s="1"/>
  <c r="G39" i="38"/>
  <c r="H38" i="38"/>
  <c r="G38" i="38"/>
  <c r="H37" i="38"/>
  <c r="I37" i="38" s="1"/>
  <c r="G37" i="38"/>
  <c r="H36" i="38"/>
  <c r="G36" i="38"/>
  <c r="H35" i="38"/>
  <c r="I35" i="38" s="1"/>
  <c r="G35" i="38"/>
  <c r="H34" i="38"/>
  <c r="G34" i="38"/>
  <c r="H33" i="38"/>
  <c r="I33" i="38" s="1"/>
  <c r="G33" i="38"/>
  <c r="H32" i="38"/>
  <c r="G32" i="38"/>
  <c r="G42" i="38" s="1"/>
  <c r="H26" i="38"/>
  <c r="I26" i="38" s="1"/>
  <c r="L26" i="38" s="1"/>
  <c r="G26" i="38"/>
  <c r="H25" i="38"/>
  <c r="I25" i="38" s="1"/>
  <c r="L25" i="38" s="1"/>
  <c r="G25" i="38"/>
  <c r="H24" i="38"/>
  <c r="G24" i="38"/>
  <c r="H23" i="38"/>
  <c r="I23" i="38" s="1"/>
  <c r="L23" i="38" s="1"/>
  <c r="G23" i="38"/>
  <c r="H22" i="38"/>
  <c r="I22" i="38" s="1"/>
  <c r="L22" i="38" s="1"/>
  <c r="G22" i="38"/>
  <c r="H21" i="38"/>
  <c r="G21" i="38"/>
  <c r="H20" i="38"/>
  <c r="G20" i="38"/>
  <c r="H19" i="38"/>
  <c r="G19" i="38"/>
  <c r="H18" i="38"/>
  <c r="I18" i="38" s="1"/>
  <c r="L18" i="38" s="1"/>
  <c r="G18" i="38"/>
  <c r="H17" i="38"/>
  <c r="G17" i="38"/>
  <c r="H16" i="38"/>
  <c r="I16" i="38" s="1"/>
  <c r="L16" i="38" s="1"/>
  <c r="G16" i="38"/>
  <c r="H15" i="38"/>
  <c r="G15" i="38"/>
  <c r="H14" i="38"/>
  <c r="G14" i="38"/>
  <c r="H13" i="38"/>
  <c r="G13" i="38"/>
  <c r="H12" i="38"/>
  <c r="G12" i="38"/>
  <c r="H11" i="38"/>
  <c r="G11" i="38"/>
  <c r="H10" i="38"/>
  <c r="G10" i="38"/>
  <c r="H9" i="38"/>
  <c r="I9" i="38" s="1"/>
  <c r="L9" i="38" s="1"/>
  <c r="G9" i="38"/>
  <c r="H8" i="38"/>
  <c r="G8" i="38"/>
  <c r="F8" i="38"/>
  <c r="H7" i="38"/>
  <c r="G7" i="38"/>
  <c r="F7" i="38"/>
  <c r="I14" i="38" l="1"/>
  <c r="L14" i="38" s="1"/>
  <c r="I10" i="38"/>
  <c r="L10" i="38" s="1"/>
  <c r="G27" i="38"/>
  <c r="I11" i="38"/>
  <c r="L11" i="38" s="1"/>
  <c r="I13" i="38"/>
  <c r="L13" i="38" s="1"/>
  <c r="I20" i="38"/>
  <c r="L20" i="38" s="1"/>
  <c r="I8" i="38"/>
  <c r="L8" i="38" s="1"/>
  <c r="I15" i="38"/>
  <c r="L15" i="38" s="1"/>
  <c r="I17" i="38"/>
  <c r="L17" i="38" s="1"/>
  <c r="I24" i="38"/>
  <c r="L24" i="38" s="1"/>
  <c r="H42" i="38"/>
  <c r="I34" i="38"/>
  <c r="I36" i="38"/>
  <c r="I38" i="38"/>
  <c r="I40" i="38"/>
  <c r="H27" i="38"/>
  <c r="I12" i="38"/>
  <c r="L12" i="38" s="1"/>
  <c r="I19" i="38"/>
  <c r="L19" i="38" s="1"/>
  <c r="I21" i="38"/>
  <c r="L21" i="38" s="1"/>
  <c r="I7" i="38"/>
  <c r="I32" i="38"/>
  <c r="G42" i="9"/>
  <c r="H42" i="9"/>
  <c r="G43" i="9"/>
  <c r="H43" i="9"/>
  <c r="H41" i="9"/>
  <c r="G41" i="9"/>
  <c r="I42" i="9" l="1"/>
  <c r="I41" i="9"/>
  <c r="I45" i="9" s="1"/>
  <c r="I43" i="9"/>
  <c r="H45" i="9"/>
  <c r="I42" i="38"/>
  <c r="I27" i="38"/>
  <c r="L7" i="38"/>
  <c r="L27" i="38" s="1"/>
  <c r="G45" i="9"/>
  <c r="G66" i="20"/>
  <c r="H18" i="11" l="1"/>
  <c r="I18" i="11"/>
  <c r="J18" i="11"/>
  <c r="K18" i="11"/>
  <c r="L18" i="11"/>
  <c r="H21" i="11"/>
  <c r="I21" i="11"/>
  <c r="J21" i="11"/>
  <c r="K21" i="11"/>
  <c r="L21" i="11"/>
  <c r="H22" i="11"/>
  <c r="I22" i="11"/>
  <c r="J22" i="11"/>
  <c r="K22" i="11"/>
  <c r="L22" i="11"/>
  <c r="H35" i="11"/>
  <c r="I35" i="11"/>
  <c r="J35" i="11"/>
  <c r="K35" i="11"/>
  <c r="L35" i="11"/>
  <c r="F33" i="26" l="1"/>
  <c r="H33" i="26" s="1"/>
  <c r="K33" i="26" s="1"/>
  <c r="F34" i="26"/>
  <c r="H34" i="26" s="1"/>
  <c r="K34" i="26" s="1"/>
  <c r="F35" i="26"/>
  <c r="H35" i="26" s="1"/>
  <c r="K35" i="26" s="1"/>
  <c r="F36" i="26"/>
  <c r="H36" i="26" s="1"/>
  <c r="K36" i="26" s="1"/>
  <c r="F37" i="26"/>
  <c r="H37" i="26" s="1"/>
  <c r="K37" i="26" s="1"/>
  <c r="F38" i="26"/>
  <c r="H38" i="26" s="1"/>
  <c r="K38" i="26" s="1"/>
  <c r="G25" i="34"/>
  <c r="G26" i="34"/>
  <c r="G27" i="34" l="1"/>
  <c r="G28" i="34" s="1"/>
  <c r="G32" i="34" s="1"/>
  <c r="L3" i="20"/>
  <c r="M3" i="20"/>
  <c r="N3" i="20"/>
  <c r="O3" i="20"/>
  <c r="P3" i="20"/>
  <c r="L4" i="20"/>
  <c r="M4" i="20"/>
  <c r="N4" i="20"/>
  <c r="O4" i="20"/>
  <c r="P4" i="20"/>
  <c r="L5" i="20"/>
  <c r="L35" i="20" s="1"/>
  <c r="M5" i="20"/>
  <c r="M35" i="20" s="1"/>
  <c r="N5" i="20"/>
  <c r="N35" i="20" s="1"/>
  <c r="O5" i="20"/>
  <c r="O35" i="20" s="1"/>
  <c r="P5" i="20"/>
  <c r="P35" i="20" s="1"/>
  <c r="L6" i="20"/>
  <c r="L36" i="20" s="1"/>
  <c r="M6" i="20"/>
  <c r="M36" i="20" s="1"/>
  <c r="N6" i="20"/>
  <c r="N36" i="20" s="1"/>
  <c r="O6" i="20"/>
  <c r="O36" i="20" s="1"/>
  <c r="P6" i="20"/>
  <c r="P36" i="20" s="1"/>
  <c r="L7" i="20"/>
  <c r="L37" i="20" s="1"/>
  <c r="M7" i="20"/>
  <c r="M37" i="20" s="1"/>
  <c r="N7" i="20"/>
  <c r="N37" i="20" s="1"/>
  <c r="O7" i="20"/>
  <c r="O37" i="20" s="1"/>
  <c r="P7" i="20"/>
  <c r="P37" i="20" s="1"/>
  <c r="L8" i="20"/>
  <c r="L38" i="20" s="1"/>
  <c r="M8" i="20"/>
  <c r="M38" i="20" s="1"/>
  <c r="N8" i="20"/>
  <c r="N38" i="20" s="1"/>
  <c r="O8" i="20"/>
  <c r="O38" i="20" s="1"/>
  <c r="P8" i="20"/>
  <c r="P38" i="20" s="1"/>
  <c r="L9" i="20"/>
  <c r="L39" i="20" s="1"/>
  <c r="M9" i="20"/>
  <c r="M39" i="20" s="1"/>
  <c r="N9" i="20"/>
  <c r="N39" i="20" s="1"/>
  <c r="O9" i="20"/>
  <c r="O39" i="20" s="1"/>
  <c r="P9" i="20"/>
  <c r="P39" i="20" s="1"/>
  <c r="L10" i="20"/>
  <c r="L40" i="20" s="1"/>
  <c r="M10" i="20"/>
  <c r="M40" i="20" s="1"/>
  <c r="N10" i="20"/>
  <c r="N40" i="20" s="1"/>
  <c r="O10" i="20"/>
  <c r="O40" i="20" s="1"/>
  <c r="P10" i="20"/>
  <c r="P40" i="20" s="1"/>
  <c r="L11" i="20"/>
  <c r="L41" i="20" s="1"/>
  <c r="M11" i="20"/>
  <c r="M41" i="20" s="1"/>
  <c r="N11" i="20"/>
  <c r="N41" i="20" s="1"/>
  <c r="O11" i="20"/>
  <c r="O41" i="20" s="1"/>
  <c r="P11" i="20"/>
  <c r="P41" i="20" s="1"/>
  <c r="L12" i="20"/>
  <c r="L42" i="20" s="1"/>
  <c r="M12" i="20"/>
  <c r="M42" i="20" s="1"/>
  <c r="N12" i="20"/>
  <c r="N42" i="20" s="1"/>
  <c r="O12" i="20"/>
  <c r="O42" i="20" s="1"/>
  <c r="P12" i="20"/>
  <c r="P42" i="20" s="1"/>
  <c r="L13" i="20"/>
  <c r="L43" i="20" s="1"/>
  <c r="M13" i="20"/>
  <c r="M43" i="20" s="1"/>
  <c r="N13" i="20"/>
  <c r="N43" i="20" s="1"/>
  <c r="O13" i="20"/>
  <c r="O43" i="20" s="1"/>
  <c r="P13" i="20"/>
  <c r="P43" i="20" s="1"/>
  <c r="L14" i="20"/>
  <c r="L44" i="20" s="1"/>
  <c r="M14" i="20"/>
  <c r="M44" i="20" s="1"/>
  <c r="N14" i="20"/>
  <c r="N44" i="20" s="1"/>
  <c r="O14" i="20"/>
  <c r="O44" i="20" s="1"/>
  <c r="P14" i="20"/>
  <c r="P44" i="20" s="1"/>
  <c r="L15" i="20"/>
  <c r="L45" i="20" s="1"/>
  <c r="M15" i="20"/>
  <c r="M45" i="20" s="1"/>
  <c r="N15" i="20"/>
  <c r="N45" i="20" s="1"/>
  <c r="O15" i="20"/>
  <c r="O45" i="20" s="1"/>
  <c r="P15" i="20"/>
  <c r="P45" i="20" s="1"/>
  <c r="L16" i="20"/>
  <c r="L46" i="20" s="1"/>
  <c r="M16" i="20"/>
  <c r="M46" i="20" s="1"/>
  <c r="N16" i="20"/>
  <c r="N46" i="20" s="1"/>
  <c r="O16" i="20"/>
  <c r="O46" i="20" s="1"/>
  <c r="P16" i="20"/>
  <c r="P46" i="20" s="1"/>
  <c r="L17" i="20"/>
  <c r="L47" i="20" s="1"/>
  <c r="M17" i="20"/>
  <c r="M47" i="20" s="1"/>
  <c r="N17" i="20"/>
  <c r="N47" i="20" s="1"/>
  <c r="O17" i="20"/>
  <c r="O47" i="20" s="1"/>
  <c r="P17" i="20"/>
  <c r="P47" i="20" s="1"/>
  <c r="L18" i="20"/>
  <c r="L48" i="20" s="1"/>
  <c r="M18" i="20"/>
  <c r="M48" i="20" s="1"/>
  <c r="N18" i="20"/>
  <c r="N48" i="20" s="1"/>
  <c r="O18" i="20"/>
  <c r="O48" i="20" s="1"/>
  <c r="P18" i="20"/>
  <c r="P48" i="20" s="1"/>
  <c r="L19" i="20"/>
  <c r="L49" i="20" s="1"/>
  <c r="M19" i="20"/>
  <c r="M49" i="20" s="1"/>
  <c r="N19" i="20"/>
  <c r="N49" i="20" s="1"/>
  <c r="O19" i="20"/>
  <c r="O49" i="20" s="1"/>
  <c r="P19" i="20"/>
  <c r="P49" i="20" s="1"/>
  <c r="L20" i="20"/>
  <c r="L50" i="20" s="1"/>
  <c r="M20" i="20"/>
  <c r="M50" i="20" s="1"/>
  <c r="N20" i="20"/>
  <c r="N50" i="20" s="1"/>
  <c r="O20" i="20"/>
  <c r="O50" i="20" s="1"/>
  <c r="P20" i="20"/>
  <c r="P50" i="20" s="1"/>
  <c r="L21" i="20"/>
  <c r="L51" i="20" s="1"/>
  <c r="M21" i="20"/>
  <c r="M51" i="20" s="1"/>
  <c r="N21" i="20"/>
  <c r="N51" i="20" s="1"/>
  <c r="O21" i="20"/>
  <c r="O51" i="20" s="1"/>
  <c r="P21" i="20"/>
  <c r="P51" i="20" s="1"/>
  <c r="L22" i="20"/>
  <c r="L52" i="20" s="1"/>
  <c r="M22" i="20"/>
  <c r="M52" i="20" s="1"/>
  <c r="N22" i="20"/>
  <c r="N52" i="20" s="1"/>
  <c r="O22" i="20"/>
  <c r="O52" i="20" s="1"/>
  <c r="P22" i="20"/>
  <c r="P52" i="20" s="1"/>
  <c r="L23" i="20"/>
  <c r="L53" i="20" s="1"/>
  <c r="M23" i="20"/>
  <c r="M53" i="20" s="1"/>
  <c r="N23" i="20"/>
  <c r="N53" i="20" s="1"/>
  <c r="O23" i="20"/>
  <c r="O53" i="20" s="1"/>
  <c r="P23" i="20"/>
  <c r="P53" i="20" s="1"/>
  <c r="L24" i="20"/>
  <c r="L54" i="20" s="1"/>
  <c r="M24" i="20"/>
  <c r="M54" i="20" s="1"/>
  <c r="N24" i="20"/>
  <c r="N54" i="20" s="1"/>
  <c r="O24" i="20"/>
  <c r="O54" i="20" s="1"/>
  <c r="P24" i="20"/>
  <c r="P54" i="20" s="1"/>
  <c r="L25" i="20"/>
  <c r="L55" i="20" s="1"/>
  <c r="M25" i="20"/>
  <c r="M55" i="20" s="1"/>
  <c r="N25" i="20"/>
  <c r="N55" i="20" s="1"/>
  <c r="O25" i="20"/>
  <c r="O55" i="20" s="1"/>
  <c r="P25" i="20"/>
  <c r="P55" i="20" s="1"/>
  <c r="L26" i="20"/>
  <c r="L56" i="20" s="1"/>
  <c r="M26" i="20"/>
  <c r="M56" i="20" s="1"/>
  <c r="N26" i="20"/>
  <c r="N56" i="20" s="1"/>
  <c r="O26" i="20"/>
  <c r="O56" i="20" s="1"/>
  <c r="P26" i="20"/>
  <c r="P56" i="20" s="1"/>
  <c r="L27" i="20"/>
  <c r="L57" i="20" s="1"/>
  <c r="M27" i="20"/>
  <c r="M57" i="20" s="1"/>
  <c r="N27" i="20"/>
  <c r="N57" i="20" s="1"/>
  <c r="O27" i="20"/>
  <c r="O57" i="20" s="1"/>
  <c r="P27" i="20"/>
  <c r="P57" i="20" s="1"/>
  <c r="L28" i="20"/>
  <c r="L58" i="20" s="1"/>
  <c r="M28" i="20"/>
  <c r="M58" i="20" s="1"/>
  <c r="N28" i="20"/>
  <c r="N58" i="20" s="1"/>
  <c r="O28" i="20"/>
  <c r="O58" i="20" s="1"/>
  <c r="P28" i="20"/>
  <c r="P58" i="20" s="1"/>
  <c r="N44" i="34"/>
  <c r="Q44" i="34" s="1"/>
  <c r="N45" i="34"/>
  <c r="Q45" i="34" s="1"/>
  <c r="N43" i="34"/>
  <c r="Q43" i="34" s="1"/>
  <c r="N37" i="34"/>
  <c r="Q37" i="34" s="1"/>
  <c r="N38" i="34"/>
  <c r="Q38" i="34" s="1"/>
  <c r="N39" i="34"/>
  <c r="Q39" i="34" s="1"/>
  <c r="N40" i="34"/>
  <c r="Q40" i="34" s="1"/>
  <c r="N41" i="34"/>
  <c r="Q41" i="34" s="1"/>
  <c r="N36" i="34"/>
  <c r="Q36" i="34" s="1"/>
  <c r="W7" i="7" a="1"/>
  <c r="Z7" i="7" s="1"/>
  <c r="B7" i="9"/>
  <c r="B8" i="9"/>
  <c r="C8" i="9" s="1"/>
  <c r="B9" i="9"/>
  <c r="C9" i="9" s="1"/>
  <c r="B10" i="9"/>
  <c r="D10" i="9" s="1"/>
  <c r="P39" i="34" s="1"/>
  <c r="B11" i="9"/>
  <c r="D11" i="9" s="1"/>
  <c r="P40" i="34" s="1"/>
  <c r="B12" i="9"/>
  <c r="D12" i="9" s="1"/>
  <c r="P41" i="34" s="1"/>
  <c r="B13" i="9"/>
  <c r="C13" i="9" s="1"/>
  <c r="B14" i="9"/>
  <c r="C14" i="9" s="1"/>
  <c r="B15" i="9"/>
  <c r="D15" i="9" s="1"/>
  <c r="P44" i="34" s="1"/>
  <c r="B16" i="9"/>
  <c r="D16" i="9" s="1"/>
  <c r="P45" i="34" s="1"/>
  <c r="B17" i="9"/>
  <c r="B27" i="9"/>
  <c r="D27" i="9" s="1"/>
  <c r="P56" i="34" s="1"/>
  <c r="B28" i="9"/>
  <c r="D28" i="9" s="1"/>
  <c r="P57" i="34" s="1"/>
  <c r="B6" i="9"/>
  <c r="O33" i="20" l="1"/>
  <c r="O64" i="20"/>
  <c r="M33" i="20"/>
  <c r="M64" i="20"/>
  <c r="P33" i="20"/>
  <c r="P64" i="20"/>
  <c r="N33" i="20"/>
  <c r="N64" i="20"/>
  <c r="L33" i="20"/>
  <c r="L64" i="20"/>
  <c r="N30" i="20"/>
  <c r="N29" i="20"/>
  <c r="P30" i="20"/>
  <c r="L30" i="20"/>
  <c r="M30" i="20"/>
  <c r="M29" i="20"/>
  <c r="O30" i="20"/>
  <c r="P29" i="20"/>
  <c r="L29" i="20"/>
  <c r="O29" i="20"/>
  <c r="W7" i="7"/>
  <c r="W8" i="7" s="1"/>
  <c r="D13" i="9"/>
  <c r="AE7" i="7"/>
  <c r="D14" i="9"/>
  <c r="P43" i="34" s="1"/>
  <c r="AI7" i="7"/>
  <c r="C17" i="9"/>
  <c r="D17" i="9"/>
  <c r="P46" i="34" s="1"/>
  <c r="D9" i="9"/>
  <c r="C28" i="9"/>
  <c r="C16" i="9"/>
  <c r="C12" i="9"/>
  <c r="E12" i="9" s="1"/>
  <c r="D8" i="9"/>
  <c r="C27" i="9"/>
  <c r="C15" i="9"/>
  <c r="C10" i="9"/>
  <c r="AA7" i="7"/>
  <c r="AK7" i="7"/>
  <c r="AG7" i="7"/>
  <c r="AC7" i="7"/>
  <c r="Y7" i="7"/>
  <c r="AJ7" i="7"/>
  <c r="AF7" i="7"/>
  <c r="AB7" i="7"/>
  <c r="X7" i="7"/>
  <c r="AH7" i="7"/>
  <c r="AD7" i="7"/>
  <c r="M31" i="20" l="1"/>
  <c r="N31" i="20"/>
  <c r="O31" i="20"/>
  <c r="L31" i="20"/>
  <c r="P31" i="20"/>
  <c r="E14" i="9"/>
  <c r="E13" i="9"/>
  <c r="E8" i="9"/>
  <c r="P37" i="34"/>
  <c r="E9" i="9"/>
  <c r="P38" i="34"/>
  <c r="E17" i="9"/>
  <c r="E15" i="9"/>
  <c r="E16" i="9"/>
  <c r="E10" i="9"/>
  <c r="E27" i="9"/>
  <c r="E28" i="9"/>
  <c r="D53" i="14"/>
  <c r="D52" i="14"/>
  <c r="D51" i="14"/>
  <c r="D50" i="14"/>
  <c r="D35" i="14"/>
  <c r="D34" i="14"/>
  <c r="D33" i="14"/>
  <c r="D32" i="14"/>
  <c r="D31" i="14"/>
  <c r="Y32" i="34" l="1"/>
  <c r="Y26" i="34"/>
  <c r="W49" i="34"/>
  <c r="W43" i="34"/>
  <c r="W37" i="34"/>
  <c r="W31" i="34"/>
  <c r="W25" i="34"/>
  <c r="W19" i="34"/>
  <c r="W13" i="34"/>
  <c r="T48" i="34"/>
  <c r="T42" i="34"/>
  <c r="T36" i="34"/>
  <c r="T30" i="34"/>
  <c r="T24" i="34"/>
  <c r="T18" i="34"/>
  <c r="T12" i="34"/>
  <c r="U48" i="34"/>
  <c r="U42" i="34"/>
  <c r="U36" i="34"/>
  <c r="U30" i="34"/>
  <c r="U24" i="34"/>
  <c r="U18" i="34"/>
  <c r="U12" i="34"/>
  <c r="T6" i="34"/>
  <c r="W7" i="34"/>
  <c r="U6" i="34"/>
  <c r="J13" i="17" l="1"/>
  <c r="J14" i="17"/>
  <c r="J15" i="17"/>
  <c r="J16" i="17"/>
  <c r="J17" i="17"/>
  <c r="I7" i="6" l="1"/>
  <c r="H7" i="6" s="1"/>
  <c r="I8" i="6"/>
  <c r="H8" i="6" s="1"/>
  <c r="I9" i="6"/>
  <c r="H9" i="6" s="1"/>
  <c r="I10" i="6"/>
  <c r="H10" i="6" s="1"/>
  <c r="I11" i="6"/>
  <c r="H11" i="6" s="1"/>
  <c r="I12" i="6"/>
  <c r="H12" i="6" s="1"/>
  <c r="I13" i="6"/>
  <c r="H13" i="6" s="1"/>
  <c r="I14" i="6"/>
  <c r="H14" i="6" s="1"/>
  <c r="I15" i="6"/>
  <c r="H15" i="6" s="1"/>
  <c r="I16" i="6"/>
  <c r="H16" i="6" s="1"/>
  <c r="I17" i="6"/>
  <c r="H17" i="6" s="1"/>
  <c r="I6" i="6"/>
  <c r="H6" i="6" s="1"/>
  <c r="G7" i="6"/>
  <c r="G8" i="6"/>
  <c r="G9" i="6"/>
  <c r="G10" i="6"/>
  <c r="G11" i="6"/>
  <c r="G12" i="6"/>
  <c r="G13" i="6"/>
  <c r="G14" i="6"/>
  <c r="G15" i="6"/>
  <c r="G16" i="6"/>
  <c r="G17" i="6"/>
  <c r="G6" i="6"/>
  <c r="D32" i="6" l="1" a="1"/>
  <c r="D33" i="6" s="1"/>
  <c r="D40" i="6" l="1"/>
  <c r="D36" i="6"/>
  <c r="D32" i="6"/>
  <c r="D39" i="6"/>
  <c r="D35" i="6"/>
  <c r="D38" i="6"/>
  <c r="D34" i="6"/>
  <c r="D41" i="6"/>
  <c r="D37" i="6"/>
  <c r="E32" i="33"/>
  <c r="F32" i="33" s="1"/>
  <c r="C138" i="33" s="1"/>
  <c r="E33" i="33"/>
  <c r="F33" i="33" s="1"/>
  <c r="C139" i="33" s="1"/>
  <c r="E34" i="33"/>
  <c r="F34" i="33" s="1"/>
  <c r="C140" i="33" s="1"/>
  <c r="E35" i="33"/>
  <c r="F35" i="33" s="1"/>
  <c r="C141" i="33" s="1"/>
  <c r="E36" i="33"/>
  <c r="F36" i="33" s="1"/>
  <c r="C142" i="33" s="1"/>
  <c r="E37" i="33"/>
  <c r="F37" i="33" s="1"/>
  <c r="C143" i="33" s="1"/>
  <c r="E38" i="33"/>
  <c r="F38" i="33" s="1"/>
  <c r="C144" i="33" s="1"/>
  <c r="E39" i="33"/>
  <c r="F39" i="33" s="1"/>
  <c r="C145" i="33" s="1"/>
  <c r="E40" i="33"/>
  <c r="F40" i="33" s="1"/>
  <c r="C146" i="33" s="1"/>
  <c r="E41" i="33"/>
  <c r="F41" i="33" s="1"/>
  <c r="C147" i="33" s="1"/>
  <c r="E42" i="33"/>
  <c r="F42" i="33" s="1"/>
  <c r="C148" i="33" s="1"/>
  <c r="E43" i="33"/>
  <c r="F43" i="33" s="1"/>
  <c r="C149" i="33" s="1"/>
  <c r="E44" i="33"/>
  <c r="F44" i="33" s="1"/>
  <c r="C150" i="33" s="1"/>
  <c r="E45" i="33"/>
  <c r="F45" i="33" s="1"/>
  <c r="C151" i="33" s="1"/>
  <c r="E46" i="33"/>
  <c r="F46" i="33" s="1"/>
  <c r="C152" i="33" s="1"/>
  <c r="E47" i="33"/>
  <c r="F47" i="33" s="1"/>
  <c r="C153" i="33" s="1"/>
  <c r="E48" i="33"/>
  <c r="F48" i="33" s="1"/>
  <c r="C154" i="33" s="1"/>
  <c r="E49" i="33"/>
  <c r="F49" i="33" s="1"/>
  <c r="C155" i="33" s="1"/>
  <c r="E50" i="33"/>
  <c r="F50" i="33" s="1"/>
  <c r="C156" i="33" s="1"/>
  <c r="E51" i="33"/>
  <c r="F51" i="33" s="1"/>
  <c r="C157" i="33" s="1"/>
  <c r="E52" i="33"/>
  <c r="F52" i="33" s="1"/>
  <c r="C158" i="33" s="1"/>
  <c r="E53" i="33"/>
  <c r="F53" i="33" s="1"/>
  <c r="C159" i="33" s="1"/>
  <c r="E54" i="33"/>
  <c r="F54" i="33" s="1"/>
  <c r="C160" i="33" s="1"/>
  <c r="E31" i="33"/>
  <c r="F31" i="33" s="1"/>
  <c r="C137" i="33" s="1"/>
  <c r="C161" i="33" l="1"/>
  <c r="C10" i="33" s="1"/>
  <c r="C162" i="33"/>
  <c r="C11" i="33" s="1"/>
  <c r="F56" i="33"/>
  <c r="F55" i="33"/>
  <c r="E56" i="33"/>
  <c r="E55" i="33"/>
  <c r="F7" i="26"/>
  <c r="H7" i="26" s="1"/>
  <c r="F11" i="26"/>
  <c r="H11" i="26" s="1"/>
  <c r="K11" i="26" s="1"/>
  <c r="F12" i="26"/>
  <c r="F13" i="26"/>
  <c r="H13" i="26" s="1"/>
  <c r="K13" i="26"/>
  <c r="F14" i="26"/>
  <c r="H14" i="26" s="1"/>
  <c r="F15" i="26"/>
  <c r="F16" i="26"/>
  <c r="H17" i="14"/>
  <c r="L11" i="6"/>
  <c r="M11" i="6" s="1"/>
  <c r="E19" i="7"/>
  <c r="F24" i="26"/>
  <c r="H24" i="26" s="1"/>
  <c r="K24" i="26" s="1"/>
  <c r="F25" i="26"/>
  <c r="H25" i="26" s="1"/>
  <c r="K25" i="26" s="1"/>
  <c r="F26" i="26"/>
  <c r="H26" i="26" s="1"/>
  <c r="K26" i="26" s="1"/>
  <c r="F27" i="26"/>
  <c r="H27" i="26" s="1"/>
  <c r="K27" i="26" s="1"/>
  <c r="F28" i="26"/>
  <c r="H28" i="26" s="1"/>
  <c r="F29" i="26"/>
  <c r="H29" i="26" s="1"/>
  <c r="K29" i="26" s="1"/>
  <c r="F30" i="26"/>
  <c r="H30" i="26" s="1"/>
  <c r="K30" i="26" s="1"/>
  <c r="F31" i="26"/>
  <c r="H31" i="26" s="1"/>
  <c r="K31" i="26" s="1"/>
  <c r="F32" i="26"/>
  <c r="H32" i="26" s="1"/>
  <c r="K32" i="26" s="1"/>
  <c r="F39" i="26"/>
  <c r="H39" i="26" s="1"/>
  <c r="K39" i="26" s="1"/>
  <c r="F40" i="26"/>
  <c r="H40" i="26" s="1"/>
  <c r="K40" i="26" s="1"/>
  <c r="F41" i="26"/>
  <c r="H41" i="26" s="1"/>
  <c r="K41" i="26" s="1"/>
  <c r="K22" i="26"/>
  <c r="F8" i="26"/>
  <c r="F9" i="26"/>
  <c r="F10" i="26"/>
  <c r="F25" i="34"/>
  <c r="F26" i="34"/>
  <c r="L24" i="34"/>
  <c r="L25" i="34"/>
  <c r="K25" i="34"/>
  <c r="K26" i="34"/>
  <c r="K24" i="34"/>
  <c r="J25" i="34"/>
  <c r="J26" i="34"/>
  <c r="J24" i="34"/>
  <c r="D25" i="34"/>
  <c r="D26" i="34"/>
  <c r="E25" i="34"/>
  <c r="E26" i="34"/>
  <c r="D44" i="14"/>
  <c r="E34" i="14" s="1"/>
  <c r="D45" i="14"/>
  <c r="E35" i="14" s="1"/>
  <c r="H16" i="14"/>
  <c r="H15" i="14"/>
  <c r="H25" i="14"/>
  <c r="H24" i="14"/>
  <c r="H25" i="34"/>
  <c r="I25" i="34"/>
  <c r="N44" i="7"/>
  <c r="D31" i="9" s="1"/>
  <c r="O44" i="7"/>
  <c r="D32" i="9" s="1"/>
  <c r="N19" i="7"/>
  <c r="C31" i="9" s="1"/>
  <c r="O19" i="7"/>
  <c r="C32" i="9" s="1"/>
  <c r="H3" i="20"/>
  <c r="I3" i="20"/>
  <c r="J3" i="20"/>
  <c r="K3" i="20"/>
  <c r="H4" i="20"/>
  <c r="I4" i="20"/>
  <c r="J4" i="20"/>
  <c r="K4" i="20"/>
  <c r="H5" i="20"/>
  <c r="H35" i="20" s="1"/>
  <c r="I5" i="20"/>
  <c r="I35" i="20" s="1"/>
  <c r="J5" i="20"/>
  <c r="J35" i="20" s="1"/>
  <c r="K5" i="20"/>
  <c r="K35" i="20" s="1"/>
  <c r="H6" i="20"/>
  <c r="H36" i="20" s="1"/>
  <c r="I6" i="20"/>
  <c r="I36" i="20" s="1"/>
  <c r="J6" i="20"/>
  <c r="J36" i="20" s="1"/>
  <c r="K6" i="20"/>
  <c r="K36" i="20" s="1"/>
  <c r="H7" i="20"/>
  <c r="H37" i="20" s="1"/>
  <c r="I7" i="20"/>
  <c r="I37" i="20" s="1"/>
  <c r="J7" i="20"/>
  <c r="J37" i="20" s="1"/>
  <c r="K7" i="20"/>
  <c r="K37" i="20" s="1"/>
  <c r="H8" i="20"/>
  <c r="H38" i="20" s="1"/>
  <c r="I8" i="20"/>
  <c r="I38" i="20" s="1"/>
  <c r="J8" i="20"/>
  <c r="J38" i="20" s="1"/>
  <c r="K8" i="20"/>
  <c r="K38" i="20" s="1"/>
  <c r="H9" i="20"/>
  <c r="H39" i="20" s="1"/>
  <c r="I9" i="20"/>
  <c r="I39" i="20" s="1"/>
  <c r="J9" i="20"/>
  <c r="J39" i="20" s="1"/>
  <c r="K9" i="20"/>
  <c r="K39" i="20" s="1"/>
  <c r="H10" i="20"/>
  <c r="H40" i="20" s="1"/>
  <c r="I10" i="20"/>
  <c r="I40" i="20" s="1"/>
  <c r="J10" i="20"/>
  <c r="J40" i="20" s="1"/>
  <c r="K10" i="20"/>
  <c r="K40" i="20" s="1"/>
  <c r="H11" i="20"/>
  <c r="H41" i="20" s="1"/>
  <c r="I11" i="20"/>
  <c r="I41" i="20" s="1"/>
  <c r="J11" i="20"/>
  <c r="J41" i="20" s="1"/>
  <c r="K11" i="20"/>
  <c r="K41" i="20" s="1"/>
  <c r="H12" i="20"/>
  <c r="H42" i="20" s="1"/>
  <c r="I12" i="20"/>
  <c r="I42" i="20" s="1"/>
  <c r="J12" i="20"/>
  <c r="J42" i="20" s="1"/>
  <c r="K12" i="20"/>
  <c r="K42" i="20" s="1"/>
  <c r="H13" i="20"/>
  <c r="H43" i="20" s="1"/>
  <c r="I13" i="20"/>
  <c r="I43" i="20" s="1"/>
  <c r="J13" i="20"/>
  <c r="J43" i="20" s="1"/>
  <c r="K13" i="20"/>
  <c r="K43" i="20" s="1"/>
  <c r="H14" i="20"/>
  <c r="H44" i="20" s="1"/>
  <c r="I14" i="20"/>
  <c r="I44" i="20" s="1"/>
  <c r="J14" i="20"/>
  <c r="J44" i="20" s="1"/>
  <c r="K14" i="20"/>
  <c r="K44" i="20" s="1"/>
  <c r="H15" i="20"/>
  <c r="H45" i="20" s="1"/>
  <c r="I15" i="20"/>
  <c r="I45" i="20" s="1"/>
  <c r="J15" i="20"/>
  <c r="J45" i="20" s="1"/>
  <c r="K15" i="20"/>
  <c r="K45" i="20" s="1"/>
  <c r="H16" i="20"/>
  <c r="H46" i="20" s="1"/>
  <c r="I16" i="20"/>
  <c r="I46" i="20" s="1"/>
  <c r="J16" i="20"/>
  <c r="J46" i="20" s="1"/>
  <c r="K16" i="20"/>
  <c r="K46" i="20" s="1"/>
  <c r="H17" i="20"/>
  <c r="H47" i="20" s="1"/>
  <c r="I17" i="20"/>
  <c r="I47" i="20" s="1"/>
  <c r="J17" i="20"/>
  <c r="J47" i="20" s="1"/>
  <c r="K17" i="20"/>
  <c r="K47" i="20" s="1"/>
  <c r="H18" i="20"/>
  <c r="H48" i="20" s="1"/>
  <c r="I18" i="20"/>
  <c r="I48" i="20" s="1"/>
  <c r="J18" i="20"/>
  <c r="J48" i="20" s="1"/>
  <c r="K18" i="20"/>
  <c r="K48" i="20" s="1"/>
  <c r="H19" i="20"/>
  <c r="H49" i="20" s="1"/>
  <c r="I19" i="20"/>
  <c r="I49" i="20" s="1"/>
  <c r="J19" i="20"/>
  <c r="J49" i="20" s="1"/>
  <c r="K19" i="20"/>
  <c r="K49" i="20" s="1"/>
  <c r="H20" i="20"/>
  <c r="H50" i="20" s="1"/>
  <c r="I20" i="20"/>
  <c r="I50" i="20" s="1"/>
  <c r="J20" i="20"/>
  <c r="J50" i="20" s="1"/>
  <c r="K20" i="20"/>
  <c r="K50" i="20" s="1"/>
  <c r="H21" i="20"/>
  <c r="H51" i="20" s="1"/>
  <c r="I21" i="20"/>
  <c r="I51" i="20" s="1"/>
  <c r="J21" i="20"/>
  <c r="J51" i="20" s="1"/>
  <c r="K21" i="20"/>
  <c r="K51" i="20" s="1"/>
  <c r="H22" i="20"/>
  <c r="H52" i="20" s="1"/>
  <c r="I22" i="20"/>
  <c r="I52" i="20" s="1"/>
  <c r="J22" i="20"/>
  <c r="J52" i="20" s="1"/>
  <c r="K22" i="20"/>
  <c r="K52" i="20" s="1"/>
  <c r="H23" i="20"/>
  <c r="H53" i="20" s="1"/>
  <c r="I23" i="20"/>
  <c r="I53" i="20" s="1"/>
  <c r="J23" i="20"/>
  <c r="J53" i="20" s="1"/>
  <c r="K23" i="20"/>
  <c r="K53" i="20" s="1"/>
  <c r="H24" i="20"/>
  <c r="H54" i="20" s="1"/>
  <c r="I24" i="20"/>
  <c r="I54" i="20" s="1"/>
  <c r="J24" i="20"/>
  <c r="J54" i="20" s="1"/>
  <c r="K24" i="20"/>
  <c r="K54" i="20" s="1"/>
  <c r="H25" i="20"/>
  <c r="H55" i="20" s="1"/>
  <c r="I25" i="20"/>
  <c r="I55" i="20" s="1"/>
  <c r="J25" i="20"/>
  <c r="J55" i="20" s="1"/>
  <c r="K25" i="20"/>
  <c r="K55" i="20" s="1"/>
  <c r="H26" i="20"/>
  <c r="H56" i="20" s="1"/>
  <c r="I26" i="20"/>
  <c r="I56" i="20" s="1"/>
  <c r="J26" i="20"/>
  <c r="J56" i="20" s="1"/>
  <c r="K26" i="20"/>
  <c r="K56" i="20" s="1"/>
  <c r="H27" i="20"/>
  <c r="H57" i="20" s="1"/>
  <c r="I27" i="20"/>
  <c r="I57" i="20" s="1"/>
  <c r="J27" i="20"/>
  <c r="J57" i="20" s="1"/>
  <c r="K27" i="20"/>
  <c r="K57" i="20" s="1"/>
  <c r="H28" i="20"/>
  <c r="H58" i="20" s="1"/>
  <c r="I28" i="20"/>
  <c r="I58" i="20" s="1"/>
  <c r="J28" i="20"/>
  <c r="J58" i="20" s="1"/>
  <c r="K28" i="20"/>
  <c r="K58" i="20" s="1"/>
  <c r="G18" i="20"/>
  <c r="G48" i="20" s="1"/>
  <c r="G19" i="20"/>
  <c r="G49" i="20" s="1"/>
  <c r="G20" i="20"/>
  <c r="G50" i="20" s="1"/>
  <c r="G21" i="20"/>
  <c r="G51" i="20" s="1"/>
  <c r="G22" i="20"/>
  <c r="G52" i="20" s="1"/>
  <c r="G23" i="20"/>
  <c r="G53" i="20" s="1"/>
  <c r="G24" i="20"/>
  <c r="G54" i="20" s="1"/>
  <c r="G25" i="20"/>
  <c r="G55" i="20" s="1"/>
  <c r="G26" i="20"/>
  <c r="G56" i="20" s="1"/>
  <c r="G27" i="20"/>
  <c r="G57" i="20" s="1"/>
  <c r="G28" i="20"/>
  <c r="G58" i="20" s="1"/>
  <c r="G17" i="20"/>
  <c r="G47" i="20" s="1"/>
  <c r="G6" i="20"/>
  <c r="G36" i="20" s="1"/>
  <c r="G7" i="20"/>
  <c r="G37" i="20" s="1"/>
  <c r="G8" i="20"/>
  <c r="G38" i="20" s="1"/>
  <c r="G9" i="20"/>
  <c r="G39" i="20" s="1"/>
  <c r="G10" i="20"/>
  <c r="G40" i="20" s="1"/>
  <c r="G11" i="20"/>
  <c r="G41" i="20" s="1"/>
  <c r="G12" i="20"/>
  <c r="G42" i="20" s="1"/>
  <c r="G13" i="20"/>
  <c r="G43" i="20" s="1"/>
  <c r="G14" i="20"/>
  <c r="G44" i="20" s="1"/>
  <c r="G15" i="20"/>
  <c r="G45" i="20" s="1"/>
  <c r="G16" i="20"/>
  <c r="G46" i="20" s="1"/>
  <c r="G5" i="20"/>
  <c r="G35" i="20" s="1"/>
  <c r="G4" i="20"/>
  <c r="G3" i="20"/>
  <c r="D29" i="20"/>
  <c r="D30" i="20"/>
  <c r="D6" i="6"/>
  <c r="D5" i="6"/>
  <c r="R19" i="7"/>
  <c r="C33" i="9" s="1"/>
  <c r="S19" i="7"/>
  <c r="C34" i="9" s="1"/>
  <c r="R44" i="7"/>
  <c r="D33" i="9" s="1"/>
  <c r="S44" i="7"/>
  <c r="D34" i="9" s="1"/>
  <c r="D129" i="33"/>
  <c r="D94" i="33"/>
  <c r="D93" i="33"/>
  <c r="E69" i="33" s="1"/>
  <c r="D56" i="33"/>
  <c r="D55" i="33"/>
  <c r="M44" i="7"/>
  <c r="D30" i="9" s="1"/>
  <c r="L44" i="7"/>
  <c r="D29" i="9" s="1"/>
  <c r="M19" i="7"/>
  <c r="C30" i="9" s="1"/>
  <c r="C29" i="9"/>
  <c r="J7" i="17"/>
  <c r="J6" i="17"/>
  <c r="D36" i="14"/>
  <c r="H30" i="22"/>
  <c r="D17" i="22"/>
  <c r="J5" i="17"/>
  <c r="H31" i="22"/>
  <c r="T47" i="22" s="1"/>
  <c r="D18" i="22"/>
  <c r="H6" i="22" s="1"/>
  <c r="Q47" i="22"/>
  <c r="Q46" i="22"/>
  <c r="R47" i="22"/>
  <c r="R46" i="22"/>
  <c r="H7" i="14"/>
  <c r="H8" i="14"/>
  <c r="H9" i="14"/>
  <c r="H10" i="14"/>
  <c r="H11" i="14"/>
  <c r="H12" i="14"/>
  <c r="H13" i="14"/>
  <c r="H14" i="14"/>
  <c r="H18" i="14"/>
  <c r="H19" i="14"/>
  <c r="H20" i="14"/>
  <c r="H21" i="14"/>
  <c r="H22" i="14"/>
  <c r="H23" i="14"/>
  <c r="H6" i="14"/>
  <c r="D21" i="11"/>
  <c r="E21" i="11"/>
  <c r="F21" i="11"/>
  <c r="G21" i="11"/>
  <c r="D22" i="11"/>
  <c r="E22" i="11"/>
  <c r="F22" i="11"/>
  <c r="G22" i="11"/>
  <c r="C22" i="11"/>
  <c r="C21" i="11"/>
  <c r="C35" i="11"/>
  <c r="C18" i="11"/>
  <c r="D45" i="6" a="1"/>
  <c r="D48" i="6" s="1"/>
  <c r="H7" i="2"/>
  <c r="L7" i="6" s="1"/>
  <c r="M7" i="6" s="1"/>
  <c r="H8" i="2"/>
  <c r="L8" i="6" s="1"/>
  <c r="M8" i="6" s="1"/>
  <c r="H9" i="2"/>
  <c r="L9" i="6" s="1"/>
  <c r="M9" i="6" s="1"/>
  <c r="H10" i="2"/>
  <c r="L10" i="6" s="1"/>
  <c r="H12" i="2"/>
  <c r="L12" i="6" s="1"/>
  <c r="M12" i="6" s="1"/>
  <c r="H13" i="2"/>
  <c r="L13" i="6" s="1"/>
  <c r="M13" i="6" s="1"/>
  <c r="L14" i="6"/>
  <c r="M14" i="6" s="1"/>
  <c r="H15" i="2"/>
  <c r="L15" i="6" s="1"/>
  <c r="M15" i="6" s="1"/>
  <c r="H16" i="2"/>
  <c r="L16" i="6" s="1"/>
  <c r="M16" i="6" s="1"/>
  <c r="H17" i="2"/>
  <c r="L17" i="6" s="1"/>
  <c r="M17" i="6" s="1"/>
  <c r="H26" i="2"/>
  <c r="L26" i="6" s="1"/>
  <c r="M26" i="6" s="1"/>
  <c r="H27" i="2"/>
  <c r="L27" i="6" s="1"/>
  <c r="M27" i="6" s="1"/>
  <c r="H28" i="2"/>
  <c r="L28" i="6" s="1"/>
  <c r="M28" i="6" s="1"/>
  <c r="H6" i="2"/>
  <c r="L6" i="6" s="1"/>
  <c r="M6" i="6" s="1"/>
  <c r="G35" i="11"/>
  <c r="F35" i="11"/>
  <c r="E35" i="11"/>
  <c r="D35" i="11"/>
  <c r="G18" i="11"/>
  <c r="F18" i="11"/>
  <c r="E18" i="11"/>
  <c r="D18" i="11"/>
  <c r="J8" i="17"/>
  <c r="J18" i="17"/>
  <c r="J19" i="17"/>
  <c r="J20" i="17"/>
  <c r="J21" i="17"/>
  <c r="J22" i="17"/>
  <c r="J23" i="17"/>
  <c r="J24" i="17"/>
  <c r="I44" i="7"/>
  <c r="H44" i="7"/>
  <c r="G44" i="7"/>
  <c r="G19" i="7"/>
  <c r="H19" i="7"/>
  <c r="I19" i="7"/>
  <c r="F19" i="7"/>
  <c r="D19" i="7"/>
  <c r="C6" i="9" s="1"/>
  <c r="C19" i="7"/>
  <c r="C7" i="9" s="1"/>
  <c r="D44" i="7"/>
  <c r="D6" i="9" s="1"/>
  <c r="C44" i="7"/>
  <c r="D7" i="9" s="1"/>
  <c r="H15" i="26" l="1"/>
  <c r="K15" i="26" s="1"/>
  <c r="J27" i="34"/>
  <c r="K8" i="26"/>
  <c r="H8" i="26"/>
  <c r="K16" i="26"/>
  <c r="H16" i="26"/>
  <c r="K10" i="26"/>
  <c r="H10" i="26"/>
  <c r="K12" i="26"/>
  <c r="H12" i="26"/>
  <c r="K27" i="34"/>
  <c r="Y44" i="34" s="1"/>
  <c r="Y45" i="34" s="1"/>
  <c r="AA45" i="34" s="1"/>
  <c r="L27" i="34"/>
  <c r="K9" i="26"/>
  <c r="H9" i="26"/>
  <c r="C11" i="9"/>
  <c r="C36" i="9" s="1"/>
  <c r="C20" i="9"/>
  <c r="E20" i="9" s="1"/>
  <c r="G23" i="9"/>
  <c r="G19" i="9"/>
  <c r="G25" i="9"/>
  <c r="G21" i="9"/>
  <c r="H25" i="9"/>
  <c r="H20" i="9"/>
  <c r="H26" i="9"/>
  <c r="G18" i="9"/>
  <c r="H24" i="9"/>
  <c r="H23" i="9"/>
  <c r="H19" i="9"/>
  <c r="H22" i="9"/>
  <c r="H18" i="9"/>
  <c r="G26" i="9"/>
  <c r="G22" i="9"/>
  <c r="H21" i="9"/>
  <c r="G24" i="9"/>
  <c r="I24" i="9" s="1"/>
  <c r="I7" i="39"/>
  <c r="I8" i="37"/>
  <c r="P42" i="34"/>
  <c r="G33" i="20"/>
  <c r="G64" i="20"/>
  <c r="K33" i="20"/>
  <c r="K64" i="20"/>
  <c r="I33" i="20"/>
  <c r="I64" i="20"/>
  <c r="J33" i="20"/>
  <c r="J64" i="20"/>
  <c r="H33" i="20"/>
  <c r="H64" i="20"/>
  <c r="K64" i="39"/>
  <c r="K58" i="39"/>
  <c r="K52" i="39"/>
  <c r="K46" i="39"/>
  <c r="K40" i="39"/>
  <c r="K34" i="39"/>
  <c r="K28" i="39"/>
  <c r="K22" i="39"/>
  <c r="K16" i="39"/>
  <c r="K8" i="39"/>
  <c r="K63" i="39"/>
  <c r="K57" i="39"/>
  <c r="K51" i="39"/>
  <c r="K45" i="39"/>
  <c r="K39" i="39"/>
  <c r="K33" i="39"/>
  <c r="K27" i="39"/>
  <c r="K21" i="39"/>
  <c r="K9" i="39"/>
  <c r="K62" i="39"/>
  <c r="K56" i="39"/>
  <c r="K50" i="39"/>
  <c r="K44" i="39"/>
  <c r="K38" i="39"/>
  <c r="K32" i="39"/>
  <c r="K26" i="39"/>
  <c r="K20" i="39"/>
  <c r="K14" i="39"/>
  <c r="K10" i="39"/>
  <c r="K61" i="39"/>
  <c r="K55" i="39"/>
  <c r="K49" i="39"/>
  <c r="K43" i="39"/>
  <c r="K37" i="39"/>
  <c r="K31" i="39"/>
  <c r="K25" i="39"/>
  <c r="K19" i="39"/>
  <c r="K13" i="39"/>
  <c r="K15" i="39"/>
  <c r="K7" i="39"/>
  <c r="I61" i="39"/>
  <c r="I55" i="39"/>
  <c r="I49" i="39"/>
  <c r="I43" i="39"/>
  <c r="I37" i="39"/>
  <c r="I31" i="39"/>
  <c r="I25" i="39"/>
  <c r="I19" i="39"/>
  <c r="I13" i="39"/>
  <c r="I45" i="39"/>
  <c r="I27" i="39"/>
  <c r="I15" i="39"/>
  <c r="I56" i="39"/>
  <c r="I44" i="39"/>
  <c r="I32" i="39"/>
  <c r="I20" i="39"/>
  <c r="I10" i="39"/>
  <c r="I64" i="39"/>
  <c r="I58" i="39"/>
  <c r="I52" i="39"/>
  <c r="I46" i="39"/>
  <c r="I40" i="39"/>
  <c r="I34" i="39"/>
  <c r="I28" i="39"/>
  <c r="I22" i="39"/>
  <c r="I16" i="39"/>
  <c r="I8" i="39"/>
  <c r="I63" i="39"/>
  <c r="I57" i="39"/>
  <c r="I51" i="39"/>
  <c r="I39" i="39"/>
  <c r="I33" i="39"/>
  <c r="I21" i="39"/>
  <c r="I9" i="39"/>
  <c r="I62" i="39"/>
  <c r="I50" i="39"/>
  <c r="I38" i="39"/>
  <c r="I26" i="39"/>
  <c r="I14" i="39"/>
  <c r="I47" i="37"/>
  <c r="I45" i="37"/>
  <c r="I41" i="37"/>
  <c r="I39" i="37"/>
  <c r="I35" i="37"/>
  <c r="I33" i="37"/>
  <c r="I29" i="37"/>
  <c r="I27" i="37"/>
  <c r="I23" i="37"/>
  <c r="I21" i="37"/>
  <c r="I17" i="37"/>
  <c r="I15" i="37"/>
  <c r="I11" i="37"/>
  <c r="I9" i="37"/>
  <c r="I44" i="37"/>
  <c r="I38" i="37"/>
  <c r="I32" i="37"/>
  <c r="I26" i="37"/>
  <c r="I20" i="37"/>
  <c r="I14" i="37"/>
  <c r="K45" i="37"/>
  <c r="K39" i="37"/>
  <c r="K33" i="37"/>
  <c r="K27" i="37"/>
  <c r="K21" i="37"/>
  <c r="K15" i="37"/>
  <c r="K9" i="37"/>
  <c r="K46" i="37"/>
  <c r="K44" i="37"/>
  <c r="K40" i="37"/>
  <c r="K38" i="37"/>
  <c r="K34" i="37"/>
  <c r="K32" i="37"/>
  <c r="K28" i="37"/>
  <c r="K26" i="37"/>
  <c r="K22" i="37"/>
  <c r="K20" i="37"/>
  <c r="K16" i="37"/>
  <c r="K14" i="37"/>
  <c r="K10" i="37"/>
  <c r="K8" i="37"/>
  <c r="I46" i="37"/>
  <c r="I40" i="37"/>
  <c r="I34" i="37"/>
  <c r="I28" i="37"/>
  <c r="I22" i="37"/>
  <c r="I16" i="37"/>
  <c r="I10" i="37"/>
  <c r="K47" i="37"/>
  <c r="K41" i="37"/>
  <c r="K35" i="37"/>
  <c r="K29" i="37"/>
  <c r="K23" i="37"/>
  <c r="K17" i="37"/>
  <c r="K11" i="37"/>
  <c r="T46" i="22"/>
  <c r="H7" i="22"/>
  <c r="H8" i="22" s="1"/>
  <c r="W12" i="34"/>
  <c r="W14" i="34" s="1"/>
  <c r="Y15" i="34" s="1"/>
  <c r="AA15" i="34" s="1"/>
  <c r="E27" i="34"/>
  <c r="Y14" i="34" s="1"/>
  <c r="W42" i="34"/>
  <c r="W44" i="34" s="1"/>
  <c r="E29" i="9"/>
  <c r="H7" i="9"/>
  <c r="P36" i="34"/>
  <c r="D31" i="20"/>
  <c r="F17" i="26"/>
  <c r="H23" i="26"/>
  <c r="F42" i="26"/>
  <c r="K28" i="26"/>
  <c r="K7" i="26"/>
  <c r="K14" i="26"/>
  <c r="H30" i="20"/>
  <c r="J30" i="20"/>
  <c r="J29" i="20"/>
  <c r="E30" i="9"/>
  <c r="E31" i="9"/>
  <c r="E32" i="9"/>
  <c r="G14" i="9"/>
  <c r="H17" i="9"/>
  <c r="H11" i="9"/>
  <c r="H13" i="9"/>
  <c r="G8" i="9"/>
  <c r="H28" i="9"/>
  <c r="H16" i="9"/>
  <c r="G9" i="9"/>
  <c r="H27" i="9"/>
  <c r="H12" i="9"/>
  <c r="H15" i="9"/>
  <c r="G17" i="9"/>
  <c r="H10" i="9"/>
  <c r="H9" i="9"/>
  <c r="G13" i="9"/>
  <c r="G16" i="9"/>
  <c r="H8" i="9"/>
  <c r="G27" i="9"/>
  <c r="G28" i="9"/>
  <c r="H14" i="9"/>
  <c r="G15" i="9"/>
  <c r="G10" i="9"/>
  <c r="G12" i="9"/>
  <c r="M10" i="6"/>
  <c r="M14" i="2"/>
  <c r="G7" i="9"/>
  <c r="E7" i="9"/>
  <c r="G6" i="9"/>
  <c r="E6" i="9"/>
  <c r="H6" i="9"/>
  <c r="I28" i="34"/>
  <c r="I32" i="34" s="1"/>
  <c r="W30" i="34"/>
  <c r="W32" i="34" s="1"/>
  <c r="Y33" i="34" s="1"/>
  <c r="AA33" i="34" s="1"/>
  <c r="H28" i="34"/>
  <c r="H32" i="34" s="1"/>
  <c r="W24" i="34"/>
  <c r="W26" i="34" s="1"/>
  <c r="Y27" i="34" s="1"/>
  <c r="AA27" i="34" s="1"/>
  <c r="Y38" i="34"/>
  <c r="W36" i="34"/>
  <c r="W38" i="34" s="1"/>
  <c r="Y50" i="34"/>
  <c r="W48" i="34"/>
  <c r="W50" i="34" s="1"/>
  <c r="D27" i="34"/>
  <c r="Y8" i="34" s="1"/>
  <c r="W18" i="34"/>
  <c r="W20" i="34" s="1"/>
  <c r="D28" i="34"/>
  <c r="D32" i="34" s="1"/>
  <c r="F27" i="34"/>
  <c r="L28" i="34"/>
  <c r="L32" i="34" s="1"/>
  <c r="K28" i="34"/>
  <c r="K32" i="34" s="1"/>
  <c r="W6" i="34"/>
  <c r="W8" i="34" s="1"/>
  <c r="D54" i="14"/>
  <c r="H29" i="20"/>
  <c r="D49" i="6"/>
  <c r="G30" i="20"/>
  <c r="D46" i="6"/>
  <c r="D45" i="6"/>
  <c r="G29" i="20"/>
  <c r="I29" i="20"/>
  <c r="D47" i="6"/>
  <c r="I30" i="20"/>
  <c r="K30" i="20"/>
  <c r="K29" i="20"/>
  <c r="E70" i="33"/>
  <c r="F70" i="33" s="1"/>
  <c r="D138" i="33" s="1"/>
  <c r="E74" i="33"/>
  <c r="F74" i="33" s="1"/>
  <c r="D142" i="33" s="1"/>
  <c r="E78" i="33"/>
  <c r="F78" i="33" s="1"/>
  <c r="D146" i="33" s="1"/>
  <c r="E71" i="33"/>
  <c r="F71" i="33" s="1"/>
  <c r="D139" i="33" s="1"/>
  <c r="E75" i="33"/>
  <c r="F75" i="33" s="1"/>
  <c r="D143" i="33" s="1"/>
  <c r="E79" i="33"/>
  <c r="F79" i="33" s="1"/>
  <c r="D147" i="33" s="1"/>
  <c r="E72" i="33"/>
  <c r="F72" i="33" s="1"/>
  <c r="D140" i="33" s="1"/>
  <c r="E76" i="33"/>
  <c r="F76" i="33" s="1"/>
  <c r="D144" i="33" s="1"/>
  <c r="E80" i="33"/>
  <c r="F80" i="33" s="1"/>
  <c r="D148" i="33" s="1"/>
  <c r="E73" i="33"/>
  <c r="F73" i="33" s="1"/>
  <c r="D141" i="33" s="1"/>
  <c r="E77" i="33"/>
  <c r="F77" i="33" s="1"/>
  <c r="D145" i="33" s="1"/>
  <c r="F69" i="33"/>
  <c r="E81" i="33"/>
  <c r="F81" i="33" s="1"/>
  <c r="D149" i="33" s="1"/>
  <c r="E86" i="33"/>
  <c r="F86" i="33" s="1"/>
  <c r="D154" i="33" s="1"/>
  <c r="E90" i="33"/>
  <c r="F90" i="33" s="1"/>
  <c r="D158" i="33" s="1"/>
  <c r="E83" i="33"/>
  <c r="F83" i="33" s="1"/>
  <c r="D151" i="33" s="1"/>
  <c r="E87" i="33"/>
  <c r="F87" i="33" s="1"/>
  <c r="D155" i="33" s="1"/>
  <c r="E91" i="33"/>
  <c r="F91" i="33" s="1"/>
  <c r="D159" i="33" s="1"/>
  <c r="E84" i="33"/>
  <c r="F84" i="33" s="1"/>
  <c r="D152" i="33" s="1"/>
  <c r="E88" i="33"/>
  <c r="F88" i="33" s="1"/>
  <c r="D156" i="33" s="1"/>
  <c r="E92" i="33"/>
  <c r="E85" i="33"/>
  <c r="F85" i="33" s="1"/>
  <c r="D153" i="33" s="1"/>
  <c r="E89" i="33"/>
  <c r="F89" i="33" s="1"/>
  <c r="D157" i="33" s="1"/>
  <c r="E82" i="33"/>
  <c r="F82" i="33" s="1"/>
  <c r="D150" i="33" s="1"/>
  <c r="Y39" i="34" l="1"/>
  <c r="AA39" i="34" s="1"/>
  <c r="G11" i="9"/>
  <c r="I11" i="9" s="1"/>
  <c r="E11" i="9"/>
  <c r="I25" i="9"/>
  <c r="I21" i="9"/>
  <c r="I26" i="9"/>
  <c r="I13" i="9"/>
  <c r="D36" i="9"/>
  <c r="D42" i="14"/>
  <c r="E32" i="14" s="1"/>
  <c r="Y51" i="34"/>
  <c r="AA51" i="34" s="1"/>
  <c r="G20" i="9"/>
  <c r="I20" i="9" s="1"/>
  <c r="I18" i="9"/>
  <c r="I22" i="9"/>
  <c r="I19" i="9"/>
  <c r="I23" i="9"/>
  <c r="K7" i="37"/>
  <c r="L7" i="37" s="1"/>
  <c r="K13" i="37"/>
  <c r="L13" i="37" s="1"/>
  <c r="K25" i="37"/>
  <c r="L25" i="37" s="1"/>
  <c r="K37" i="37"/>
  <c r="L37" i="37" s="1"/>
  <c r="E34" i="9"/>
  <c r="I18" i="39"/>
  <c r="I42" i="39"/>
  <c r="K6" i="39"/>
  <c r="L6" i="39" s="1"/>
  <c r="K24" i="39"/>
  <c r="L24" i="39" s="1"/>
  <c r="K48" i="39"/>
  <c r="L48" i="39" s="1"/>
  <c r="I13" i="37"/>
  <c r="I43" i="37"/>
  <c r="I24" i="39"/>
  <c r="K54" i="39"/>
  <c r="L54" i="39" s="1"/>
  <c r="K19" i="37"/>
  <c r="L19" i="37" s="1"/>
  <c r="K31" i="37"/>
  <c r="L31" i="37" s="1"/>
  <c r="K43" i="37"/>
  <c r="L43" i="37" s="1"/>
  <c r="I25" i="37"/>
  <c r="I6" i="39"/>
  <c r="I30" i="39"/>
  <c r="I54" i="39"/>
  <c r="K12" i="39"/>
  <c r="L12" i="39" s="1"/>
  <c r="K36" i="39"/>
  <c r="L36" i="39" s="1"/>
  <c r="K60" i="39"/>
  <c r="L60" i="39" s="1"/>
  <c r="I37" i="37"/>
  <c r="I19" i="37"/>
  <c r="I48" i="39"/>
  <c r="K30" i="39"/>
  <c r="L30" i="39" s="1"/>
  <c r="I7" i="37"/>
  <c r="I31" i="37"/>
  <c r="I12" i="39"/>
  <c r="I36" i="39"/>
  <c r="I60" i="39"/>
  <c r="K18" i="39"/>
  <c r="L18" i="39" s="1"/>
  <c r="K42" i="39"/>
  <c r="L42" i="39" s="1"/>
  <c r="I31" i="20"/>
  <c r="G31" i="20"/>
  <c r="J31" i="20"/>
  <c r="K31" i="20"/>
  <c r="H31" i="20"/>
  <c r="E28" i="34"/>
  <c r="E32" i="34" s="1"/>
  <c r="I7" i="9"/>
  <c r="K17" i="26"/>
  <c r="K23" i="26"/>
  <c r="K42" i="26" s="1"/>
  <c r="H42" i="26"/>
  <c r="G42" i="26" s="1"/>
  <c r="H17" i="26"/>
  <c r="G17" i="26" s="1"/>
  <c r="I12" i="9"/>
  <c r="I28" i="9"/>
  <c r="I15" i="9"/>
  <c r="I16" i="9"/>
  <c r="I9" i="9"/>
  <c r="I27" i="9"/>
  <c r="I17" i="9"/>
  <c r="I8" i="9"/>
  <c r="I14" i="9"/>
  <c r="H36" i="9"/>
  <c r="H47" i="9" s="1"/>
  <c r="I10" i="9"/>
  <c r="E33" i="9"/>
  <c r="I6" i="9"/>
  <c r="Y9" i="34"/>
  <c r="AA9" i="34" s="1"/>
  <c r="J28" i="34"/>
  <c r="J32" i="34" s="1"/>
  <c r="F28" i="34"/>
  <c r="D41" i="14" s="1"/>
  <c r="E31" i="14" s="1"/>
  <c r="Y20" i="34"/>
  <c r="Y21" i="34" s="1"/>
  <c r="AA21" i="34" s="1"/>
  <c r="D137" i="33"/>
  <c r="D161" i="33" s="1"/>
  <c r="D10" i="33" s="1"/>
  <c r="F93" i="33"/>
  <c r="F92" i="33"/>
  <c r="E93" i="33"/>
  <c r="E94" i="33"/>
  <c r="G36" i="9" l="1"/>
  <c r="G47" i="9" s="1"/>
  <c r="J3" i="37" s="1"/>
  <c r="J7" i="37" s="1"/>
  <c r="E36" i="9"/>
  <c r="D43" i="14"/>
  <c r="E33" i="14" s="1"/>
  <c r="I36" i="9"/>
  <c r="I47" i="9" s="1"/>
  <c r="F32" i="34"/>
  <c r="AT31" i="7"/>
  <c r="AT14" i="7"/>
  <c r="AT22" i="7"/>
  <c r="AT28" i="7"/>
  <c r="AT16" i="7"/>
  <c r="AT29" i="7"/>
  <c r="AT27" i="7"/>
  <c r="AT30" i="7"/>
  <c r="AT9" i="7"/>
  <c r="AT20" i="7"/>
  <c r="AT12" i="7"/>
  <c r="AT18" i="7"/>
  <c r="AT13" i="7"/>
  <c r="AT24" i="7"/>
  <c r="AT10" i="7"/>
  <c r="AT19" i="7"/>
  <c r="AT15" i="7"/>
  <c r="AT23" i="7"/>
  <c r="AT25" i="7"/>
  <c r="AT17" i="7"/>
  <c r="AT8" i="7"/>
  <c r="AT11" i="7"/>
  <c r="AT26" i="7"/>
  <c r="AT21" i="7"/>
  <c r="AD9" i="7"/>
  <c r="AD13" i="7"/>
  <c r="AD19" i="7"/>
  <c r="AD10" i="7"/>
  <c r="AD12" i="7"/>
  <c r="AD24" i="7"/>
  <c r="AD21" i="7"/>
  <c r="AD23" i="7"/>
  <c r="AD18" i="7"/>
  <c r="AD15" i="7"/>
  <c r="AD14" i="7"/>
  <c r="AD8" i="7"/>
  <c r="AD26" i="7"/>
  <c r="AD29" i="7"/>
  <c r="AD17" i="7"/>
  <c r="AD30" i="7"/>
  <c r="AD22" i="7"/>
  <c r="AD16" i="7"/>
  <c r="AD20" i="7"/>
  <c r="AD25" i="7"/>
  <c r="AD28" i="7"/>
  <c r="AD31" i="7"/>
  <c r="AD27" i="7"/>
  <c r="AD11" i="7"/>
  <c r="AJ9" i="7"/>
  <c r="AJ16" i="7"/>
  <c r="AJ15" i="7"/>
  <c r="AJ19" i="7"/>
  <c r="AJ8" i="7"/>
  <c r="AJ20" i="7"/>
  <c r="AJ30" i="7"/>
  <c r="AJ29" i="7"/>
  <c r="AJ12" i="7"/>
  <c r="AJ11" i="7"/>
  <c r="AJ10" i="7"/>
  <c r="AJ17" i="7"/>
  <c r="AJ23" i="7"/>
  <c r="AJ22" i="7"/>
  <c r="AJ13" i="7"/>
  <c r="AJ31" i="7"/>
  <c r="AJ27" i="7"/>
  <c r="AJ25" i="7"/>
  <c r="AJ24" i="7"/>
  <c r="AJ21" i="7"/>
  <c r="AJ28" i="7"/>
  <c r="AJ14" i="7"/>
  <c r="AJ18" i="7"/>
  <c r="AJ26" i="7"/>
  <c r="W29" i="7"/>
  <c r="W28" i="7"/>
  <c r="W30" i="7"/>
  <c r="W16" i="7"/>
  <c r="W13" i="7"/>
  <c r="W12" i="7"/>
  <c r="W31" i="7"/>
  <c r="W27" i="7"/>
  <c r="W15" i="7"/>
  <c r="W20" i="7"/>
  <c r="W21" i="7"/>
  <c r="W24" i="7"/>
  <c r="W19" i="7"/>
  <c r="W14" i="7"/>
  <c r="W26" i="7"/>
  <c r="W11" i="7"/>
  <c r="W9" i="7"/>
  <c r="W22" i="7"/>
  <c r="W23" i="7"/>
  <c r="W18" i="7"/>
  <c r="W17" i="7"/>
  <c r="W10" i="7"/>
  <c r="W25" i="7"/>
  <c r="AI17" i="7"/>
  <c r="AI27" i="7"/>
  <c r="AI26" i="7"/>
  <c r="AI20" i="7"/>
  <c r="AI9" i="7"/>
  <c r="AI12" i="7"/>
  <c r="AI22" i="7"/>
  <c r="AI30" i="7"/>
  <c r="AI14" i="7"/>
  <c r="AI11" i="7"/>
  <c r="AI31" i="7"/>
  <c r="AI15" i="7"/>
  <c r="AI10" i="7"/>
  <c r="AI21" i="7"/>
  <c r="AI28" i="7"/>
  <c r="AI18" i="7"/>
  <c r="AI29" i="7"/>
  <c r="AI25" i="7"/>
  <c r="AI16" i="7"/>
  <c r="AI8" i="7"/>
  <c r="AI23" i="7"/>
  <c r="AI13" i="7"/>
  <c r="AI24" i="7"/>
  <c r="AI19" i="7"/>
  <c r="AG16" i="7"/>
  <c r="AG9" i="7"/>
  <c r="AG11" i="7"/>
  <c r="AG10" i="7"/>
  <c r="AG13" i="7"/>
  <c r="AG19" i="7"/>
  <c r="AG27" i="7"/>
  <c r="AG29" i="7"/>
  <c r="AG20" i="7"/>
  <c r="AG12" i="7"/>
  <c r="AG8" i="7"/>
  <c r="AG17" i="7"/>
  <c r="AG25" i="7"/>
  <c r="AG26" i="7"/>
  <c r="AG15" i="7"/>
  <c r="AG24" i="7"/>
  <c r="AG23" i="7"/>
  <c r="AG18" i="7"/>
  <c r="AG21" i="7"/>
  <c r="AG28" i="7"/>
  <c r="AG22" i="7"/>
  <c r="AG14" i="7"/>
  <c r="AG31" i="7"/>
  <c r="AG30" i="7"/>
  <c r="AH12" i="7"/>
  <c r="AH13" i="7"/>
  <c r="AH17" i="7"/>
  <c r="AH16" i="7"/>
  <c r="AH10" i="7"/>
  <c r="AH20" i="7"/>
  <c r="AH21" i="7"/>
  <c r="AH25" i="7"/>
  <c r="AH19" i="7"/>
  <c r="AH18" i="7"/>
  <c r="AH8" i="7"/>
  <c r="AH28" i="7"/>
  <c r="AH26" i="7"/>
  <c r="AH11" i="7"/>
  <c r="AH14" i="7"/>
  <c r="AH22" i="7"/>
  <c r="AH30" i="7"/>
  <c r="AH27" i="7"/>
  <c r="AH31" i="7"/>
  <c r="AH24" i="7"/>
  <c r="AH9" i="7"/>
  <c r="AH23" i="7"/>
  <c r="AH29" i="7"/>
  <c r="AH15" i="7"/>
  <c r="AC10" i="7"/>
  <c r="AC22" i="7"/>
  <c r="AC26" i="7"/>
  <c r="AC28" i="7"/>
  <c r="AC31" i="7"/>
  <c r="AC20" i="7"/>
  <c r="AC13" i="7"/>
  <c r="AC25" i="7"/>
  <c r="AC27" i="7"/>
  <c r="AC18" i="7"/>
  <c r="AC21" i="7"/>
  <c r="AC23" i="7"/>
  <c r="AC14" i="7"/>
  <c r="AC17" i="7"/>
  <c r="AC30" i="7"/>
  <c r="AC15" i="7"/>
  <c r="AC9" i="7"/>
  <c r="AC16" i="7"/>
  <c r="AC11" i="7"/>
  <c r="AC29" i="7"/>
  <c r="AC8" i="7"/>
  <c r="AC24" i="7"/>
  <c r="AC19" i="7"/>
  <c r="AC12" i="7"/>
  <c r="AA22" i="7"/>
  <c r="AA26" i="7"/>
  <c r="AA30" i="7"/>
  <c r="AA12" i="7"/>
  <c r="AA19" i="7"/>
  <c r="AA23" i="7"/>
  <c r="AA27" i="7"/>
  <c r="AA31" i="7"/>
  <c r="AA25" i="7"/>
  <c r="AA17" i="7"/>
  <c r="AA16" i="7"/>
  <c r="AA28" i="7"/>
  <c r="AA8" i="7"/>
  <c r="AA20" i="7"/>
  <c r="AA10" i="7"/>
  <c r="AA14" i="7"/>
  <c r="AA15" i="7"/>
  <c r="AA21" i="7"/>
  <c r="AA18" i="7"/>
  <c r="AA24" i="7"/>
  <c r="AA13" i="7"/>
  <c r="AA11" i="7"/>
  <c r="AA9" i="7"/>
  <c r="AA29" i="7"/>
  <c r="AV13" i="7"/>
  <c r="AV21" i="7"/>
  <c r="AV29" i="7"/>
  <c r="AV14" i="7"/>
  <c r="AV22" i="7"/>
  <c r="AV20" i="7"/>
  <c r="AV9" i="7"/>
  <c r="AV19" i="7"/>
  <c r="AV31" i="7"/>
  <c r="AV28" i="7"/>
  <c r="AV24" i="7"/>
  <c r="AV11" i="7"/>
  <c r="AV23" i="7"/>
  <c r="AV8" i="7"/>
  <c r="AV16" i="7"/>
  <c r="AV12" i="7"/>
  <c r="AV27" i="7"/>
  <c r="AV30" i="7"/>
  <c r="AV15" i="7"/>
  <c r="AV10" i="7"/>
  <c r="AV17" i="7"/>
  <c r="AV25" i="7"/>
  <c r="AV18" i="7"/>
  <c r="AV26" i="7"/>
  <c r="AU23" i="7"/>
  <c r="AU31" i="7"/>
  <c r="AU16" i="7"/>
  <c r="AU20" i="7"/>
  <c r="AU26" i="7"/>
  <c r="AU13" i="7"/>
  <c r="AU27" i="7"/>
  <c r="AU14" i="7"/>
  <c r="AU11" i="7"/>
  <c r="AU8" i="7"/>
  <c r="AU29" i="7"/>
  <c r="AU18" i="7"/>
  <c r="AU19" i="7"/>
  <c r="AU9" i="7"/>
  <c r="AU12" i="7"/>
  <c r="AU30" i="7"/>
  <c r="AU28" i="7"/>
  <c r="AU22" i="7"/>
  <c r="AU21" i="7"/>
  <c r="AU24" i="7"/>
  <c r="AU17" i="7"/>
  <c r="AU25" i="7"/>
  <c r="AU15" i="7"/>
  <c r="AU10" i="7"/>
  <c r="Z24" i="7"/>
  <c r="Z29" i="7"/>
  <c r="Z26" i="7"/>
  <c r="Z17" i="7"/>
  <c r="Z18" i="7"/>
  <c r="Z14" i="7"/>
  <c r="Z23" i="7"/>
  <c r="Z21" i="7"/>
  <c r="Z22" i="7"/>
  <c r="Z15" i="7"/>
  <c r="Z13" i="7"/>
  <c r="Z25" i="7"/>
  <c r="Z9" i="7"/>
  <c r="Z16" i="7"/>
  <c r="Z12" i="7"/>
  <c r="Z30" i="7"/>
  <c r="Z28" i="7"/>
  <c r="Z8" i="7"/>
  <c r="Z27" i="7"/>
  <c r="Z10" i="7"/>
  <c r="Z19" i="7"/>
  <c r="Z20" i="7"/>
  <c r="Z11" i="7"/>
  <c r="Z31" i="7"/>
  <c r="AK14" i="7"/>
  <c r="AK8" i="7"/>
  <c r="AK13" i="7"/>
  <c r="AK16" i="7"/>
  <c r="AK10" i="7"/>
  <c r="AK11" i="7"/>
  <c r="AK21" i="7"/>
  <c r="AK30" i="7"/>
  <c r="AK27" i="7"/>
  <c r="AK12" i="7"/>
  <c r="AK19" i="7"/>
  <c r="AK18" i="7"/>
  <c r="AK26" i="7"/>
  <c r="AK29" i="7"/>
  <c r="AK23" i="7"/>
  <c r="AK15" i="7"/>
  <c r="AK22" i="7"/>
  <c r="AK24" i="7"/>
  <c r="AK28" i="7"/>
  <c r="AK17" i="7"/>
  <c r="AK25" i="7"/>
  <c r="AK31" i="7"/>
  <c r="AK9" i="7"/>
  <c r="AK20" i="7"/>
  <c r="AF15" i="7"/>
  <c r="AF8" i="7"/>
  <c r="AF12" i="7"/>
  <c r="AF31" i="7"/>
  <c r="AF29" i="7"/>
  <c r="AF22" i="7"/>
  <c r="AF18" i="7"/>
  <c r="AF13" i="7"/>
  <c r="AF26" i="7"/>
  <c r="AF25" i="7"/>
  <c r="AF10" i="7"/>
  <c r="AF11" i="7"/>
  <c r="AF16" i="7"/>
  <c r="AF24" i="7"/>
  <c r="AF23" i="7"/>
  <c r="AF27" i="7"/>
  <c r="AF30" i="7"/>
  <c r="AF17" i="7"/>
  <c r="AF20" i="7"/>
  <c r="AF28" i="7"/>
  <c r="AF14" i="7"/>
  <c r="AF19" i="7"/>
  <c r="AF21" i="7"/>
  <c r="AF9" i="7"/>
  <c r="AB22" i="7"/>
  <c r="AB26" i="7"/>
  <c r="AB30" i="7"/>
  <c r="AB9" i="7"/>
  <c r="AB13" i="7"/>
  <c r="AB17" i="7"/>
  <c r="AB23" i="7"/>
  <c r="AB27" i="7"/>
  <c r="AB31" i="7"/>
  <c r="AB10" i="7"/>
  <c r="AB14" i="7"/>
  <c r="AB18" i="7"/>
  <c r="AB21" i="7"/>
  <c r="AB29" i="7"/>
  <c r="AB12" i="7"/>
  <c r="AB24" i="7"/>
  <c r="AB15" i="7"/>
  <c r="AB8" i="7"/>
  <c r="AB20" i="7"/>
  <c r="AB11" i="7"/>
  <c r="AB16" i="7"/>
  <c r="AB25" i="7"/>
  <c r="AB28" i="7"/>
  <c r="AB19" i="7"/>
  <c r="AE9" i="7"/>
  <c r="AE17" i="7"/>
  <c r="AE10" i="7"/>
  <c r="AE11" i="7"/>
  <c r="AE12" i="7"/>
  <c r="AE8" i="7"/>
  <c r="AE25" i="7"/>
  <c r="AE24" i="7"/>
  <c r="AE27" i="7"/>
  <c r="AE13" i="7"/>
  <c r="AE16" i="7"/>
  <c r="AE15" i="7"/>
  <c r="AE30" i="7"/>
  <c r="AE26" i="7"/>
  <c r="AE21" i="7"/>
  <c r="AE19" i="7"/>
  <c r="AE31" i="7"/>
  <c r="AE28" i="7"/>
  <c r="AE18" i="7"/>
  <c r="AE22" i="7"/>
  <c r="AE20" i="7"/>
  <c r="AE14" i="7"/>
  <c r="AE23" i="7"/>
  <c r="AE29" i="7"/>
  <c r="X28" i="7"/>
  <c r="X30" i="7"/>
  <c r="X31" i="7"/>
  <c r="X16" i="7"/>
  <c r="X8" i="7"/>
  <c r="X13" i="7"/>
  <c r="X27" i="7"/>
  <c r="X20" i="7"/>
  <c r="X12" i="7"/>
  <c r="X10" i="7"/>
  <c r="X11" i="7"/>
  <c r="X26" i="7"/>
  <c r="X23" i="7"/>
  <c r="X9" i="7"/>
  <c r="X18" i="7"/>
  <c r="X22" i="7"/>
  <c r="X15" i="7"/>
  <c r="X29" i="7"/>
  <c r="X17" i="7"/>
  <c r="X25" i="7"/>
  <c r="X19" i="7"/>
  <c r="X21" i="7"/>
  <c r="X14" i="7"/>
  <c r="X24" i="7"/>
  <c r="AQ19" i="7"/>
  <c r="AQ14" i="7"/>
  <c r="AQ12" i="7"/>
  <c r="AQ22" i="7"/>
  <c r="AQ17" i="7"/>
  <c r="AQ18" i="7"/>
  <c r="AQ27" i="7"/>
  <c r="AQ23" i="7"/>
  <c r="AQ26" i="7"/>
  <c r="AQ8" i="7"/>
  <c r="AQ9" i="7"/>
  <c r="AQ28" i="7"/>
  <c r="AQ31" i="7"/>
  <c r="AQ29" i="7"/>
  <c r="AQ30" i="7"/>
  <c r="AQ15" i="7"/>
  <c r="AQ10" i="7"/>
  <c r="AQ13" i="7"/>
  <c r="AQ20" i="7"/>
  <c r="AQ25" i="7"/>
  <c r="AQ16" i="7"/>
  <c r="AQ24" i="7"/>
  <c r="AQ21" i="7"/>
  <c r="AQ11" i="7"/>
  <c r="AS22" i="7"/>
  <c r="AS9" i="7"/>
  <c r="AS26" i="7"/>
  <c r="AS8" i="7"/>
  <c r="AS21" i="7"/>
  <c r="AS14" i="7"/>
  <c r="AS24" i="7"/>
  <c r="AS19" i="7"/>
  <c r="AS16" i="7"/>
  <c r="AS27" i="7"/>
  <c r="AS31" i="7"/>
  <c r="AS11" i="7"/>
  <c r="AS20" i="7"/>
  <c r="AS30" i="7"/>
  <c r="AS25" i="7"/>
  <c r="AS29" i="7"/>
  <c r="AS23" i="7"/>
  <c r="AS17" i="7"/>
  <c r="AS13" i="7"/>
  <c r="AS15" i="7"/>
  <c r="AS28" i="7"/>
  <c r="AS18" i="7"/>
  <c r="AS10" i="7"/>
  <c r="AS12" i="7"/>
  <c r="Y13" i="7"/>
  <c r="Y11" i="7"/>
  <c r="Y9" i="7"/>
  <c r="Y30" i="7"/>
  <c r="Y24" i="7"/>
  <c r="Y31" i="7"/>
  <c r="Y10" i="7"/>
  <c r="Y12" i="7"/>
  <c r="Y26" i="7"/>
  <c r="Y27" i="7"/>
  <c r="Y29" i="7"/>
  <c r="Y28" i="7"/>
  <c r="Y22" i="7"/>
  <c r="Y8" i="7"/>
  <c r="Y16" i="7"/>
  <c r="Y18" i="7"/>
  <c r="Y20" i="7"/>
  <c r="Y17" i="7"/>
  <c r="Y14" i="7"/>
  <c r="Y15" i="7"/>
  <c r="Y19" i="7"/>
  <c r="Y23" i="7"/>
  <c r="Y21" i="7"/>
  <c r="Y25" i="7"/>
  <c r="AR11" i="7"/>
  <c r="AR24" i="7"/>
  <c r="AR26" i="7"/>
  <c r="AR31" i="7"/>
  <c r="AR17" i="7"/>
  <c r="AR20" i="7"/>
  <c r="AR27" i="7"/>
  <c r="AR10" i="7"/>
  <c r="AR30" i="7"/>
  <c r="AR19" i="7"/>
  <c r="AR25" i="7"/>
  <c r="AR15" i="7"/>
  <c r="AR16" i="7"/>
  <c r="AR18" i="7"/>
  <c r="AR21" i="7"/>
  <c r="AR22" i="7"/>
  <c r="AR12" i="7"/>
  <c r="AR29" i="7"/>
  <c r="AR23" i="7"/>
  <c r="AR14" i="7"/>
  <c r="AR8" i="7"/>
  <c r="AR13" i="7"/>
  <c r="AR28" i="7"/>
  <c r="AR9" i="7"/>
  <c r="F94" i="33"/>
  <c r="D160" i="33"/>
  <c r="D162" i="33" s="1"/>
  <c r="D11" i="33" s="1"/>
  <c r="J2" i="39" l="1"/>
  <c r="J25" i="37"/>
  <c r="D46" i="14"/>
  <c r="E36" i="14" s="1"/>
  <c r="AB33" i="7"/>
  <c r="Z34" i="7"/>
  <c r="Z33" i="7"/>
  <c r="AV33" i="7"/>
  <c r="AX15" i="7"/>
  <c r="AX10" i="7"/>
  <c r="AX12" i="7"/>
  <c r="AX28" i="7"/>
  <c r="AR34" i="7"/>
  <c r="Y33" i="7"/>
  <c r="AE33" i="7"/>
  <c r="AX22" i="7"/>
  <c r="W34" i="7"/>
  <c r="AX20" i="7"/>
  <c r="AD34" i="7"/>
  <c r="AY25" i="7"/>
  <c r="C22" i="20" s="1"/>
  <c r="AY12" i="7"/>
  <c r="C9" i="20" s="1"/>
  <c r="AY27" i="7"/>
  <c r="C24" i="20" s="1"/>
  <c r="AR33" i="7"/>
  <c r="AS34" i="7"/>
  <c r="X33" i="7"/>
  <c r="AE34" i="7"/>
  <c r="AA33" i="7"/>
  <c r="AC33" i="7"/>
  <c r="AX17" i="7"/>
  <c r="AX19" i="7"/>
  <c r="AX13" i="7"/>
  <c r="AJ34" i="7"/>
  <c r="AY11" i="7"/>
  <c r="C8" i="20" s="1"/>
  <c r="AY23" i="7"/>
  <c r="C20" i="20" s="1"/>
  <c r="AY24" i="7"/>
  <c r="C21" i="20" s="1"/>
  <c r="AY20" i="7"/>
  <c r="C17" i="20" s="1"/>
  <c r="AT34" i="7"/>
  <c r="AY29" i="7"/>
  <c r="C26" i="20" s="1"/>
  <c r="AY14" i="7"/>
  <c r="C11" i="20" s="1"/>
  <c r="AS33" i="7"/>
  <c r="X34" i="7"/>
  <c r="AK34" i="7"/>
  <c r="AU34" i="7"/>
  <c r="AX18" i="7"/>
  <c r="AX11" i="7"/>
  <c r="AX24" i="7"/>
  <c r="AX27" i="7"/>
  <c r="AX16" i="7"/>
  <c r="AX8" i="7"/>
  <c r="W33" i="7"/>
  <c r="AJ33" i="7"/>
  <c r="AY8" i="7"/>
  <c r="C5" i="20" s="1"/>
  <c r="AT33" i="7"/>
  <c r="AY15" i="7"/>
  <c r="C12" i="20" s="1"/>
  <c r="AY13" i="7"/>
  <c r="C10" i="20" s="1"/>
  <c r="AY9" i="7"/>
  <c r="C6" i="20" s="1"/>
  <c r="AY16" i="7"/>
  <c r="C13" i="20" s="1"/>
  <c r="AY31" i="7"/>
  <c r="C28" i="20" s="1"/>
  <c r="AQ33" i="7"/>
  <c r="AF33" i="7"/>
  <c r="AK33" i="7"/>
  <c r="AU33" i="7"/>
  <c r="AV34" i="7"/>
  <c r="AA34" i="7"/>
  <c r="AC34" i="7"/>
  <c r="AH34" i="7"/>
  <c r="AX14" i="7"/>
  <c r="AZ14" i="7" s="1"/>
  <c r="AY26" i="7"/>
  <c r="C23" i="20" s="1"/>
  <c r="AY10" i="7"/>
  <c r="C7" i="20" s="1"/>
  <c r="AY22" i="7"/>
  <c r="C19" i="20" s="1"/>
  <c r="Y34" i="7"/>
  <c r="AG34" i="7"/>
  <c r="AX9" i="7"/>
  <c r="AX29" i="7"/>
  <c r="AQ34" i="7"/>
  <c r="AB34" i="7"/>
  <c r="AF34" i="7"/>
  <c r="AH33" i="7"/>
  <c r="AG33" i="7"/>
  <c r="AI33" i="7"/>
  <c r="AI34" i="7"/>
  <c r="AX25" i="7"/>
  <c r="AX23" i="7"/>
  <c r="AX26" i="7"/>
  <c r="AX21" i="7"/>
  <c r="AX31" i="7"/>
  <c r="AX30" i="7"/>
  <c r="AD33" i="7"/>
  <c r="AY21" i="7"/>
  <c r="C18" i="20" s="1"/>
  <c r="AY17" i="7"/>
  <c r="C14" i="20" s="1"/>
  <c r="AY19" i="7"/>
  <c r="C16" i="20" s="1"/>
  <c r="AY18" i="7"/>
  <c r="C15" i="20" s="1"/>
  <c r="AY30" i="7"/>
  <c r="C27" i="20" s="1"/>
  <c r="AY28" i="7"/>
  <c r="C25" i="20" s="1"/>
  <c r="C29" i="20" l="1"/>
  <c r="C30" i="20"/>
  <c r="J37" i="37"/>
  <c r="J19" i="37"/>
  <c r="J43" i="37"/>
  <c r="J13" i="37"/>
  <c r="J18" i="39"/>
  <c r="J48" i="39"/>
  <c r="J24" i="39"/>
  <c r="J6" i="39"/>
  <c r="J36" i="39"/>
  <c r="J42" i="39"/>
  <c r="J12" i="39"/>
  <c r="J30" i="39"/>
  <c r="J60" i="39"/>
  <c r="J54" i="39"/>
  <c r="J31" i="37"/>
  <c r="AZ11" i="7"/>
  <c r="AZ28" i="7"/>
  <c r="AZ27" i="7"/>
  <c r="AZ15" i="7"/>
  <c r="AZ12" i="7"/>
  <c r="AZ16" i="7"/>
  <c r="AZ18" i="7"/>
  <c r="AZ26" i="7"/>
  <c r="AZ23" i="7"/>
  <c r="C53" i="33"/>
  <c r="AZ21" i="7"/>
  <c r="C32" i="33"/>
  <c r="AY33" i="7"/>
  <c r="C31" i="33"/>
  <c r="C48" i="33"/>
  <c r="C41" i="33"/>
  <c r="AZ9" i="7"/>
  <c r="C33" i="33"/>
  <c r="AZ10" i="7"/>
  <c r="C36" i="33"/>
  <c r="C37" i="33"/>
  <c r="C47" i="33"/>
  <c r="AZ13" i="7"/>
  <c r="AZ22" i="7"/>
  <c r="C42" i="33"/>
  <c r="AZ30" i="7"/>
  <c r="C49" i="33"/>
  <c r="C54" i="33"/>
  <c r="C38" i="33"/>
  <c r="AZ24" i="7"/>
  <c r="C52" i="33"/>
  <c r="C46" i="33"/>
  <c r="AZ19" i="7"/>
  <c r="C50" i="33"/>
  <c r="C51" i="33"/>
  <c r="C40" i="33"/>
  <c r="AZ31" i="7"/>
  <c r="AZ25" i="7"/>
  <c r="AZ29" i="7"/>
  <c r="C39" i="33"/>
  <c r="AZ8" i="7"/>
  <c r="AX33" i="7"/>
  <c r="C34" i="33"/>
  <c r="AZ17" i="7"/>
  <c r="C35" i="33"/>
  <c r="AZ20" i="7"/>
  <c r="AX34" i="7"/>
  <c r="C44" i="33"/>
  <c r="C45" i="33"/>
  <c r="C43" i="33"/>
  <c r="AY34" i="7"/>
  <c r="G52" i="33" l="1"/>
  <c r="E26" i="20"/>
  <c r="C90" i="33"/>
  <c r="C69" i="33"/>
  <c r="G31" i="33"/>
  <c r="C55" i="33"/>
  <c r="G37" i="33"/>
  <c r="C75" i="33"/>
  <c r="E11" i="20"/>
  <c r="G41" i="33"/>
  <c r="E15" i="20"/>
  <c r="C79" i="33"/>
  <c r="E19" i="20"/>
  <c r="C83" i="33"/>
  <c r="G45" i="33"/>
  <c r="AZ33" i="7"/>
  <c r="G51" i="33"/>
  <c r="E25" i="20"/>
  <c r="C89" i="33"/>
  <c r="G54" i="33"/>
  <c r="E28" i="20"/>
  <c r="C92" i="33"/>
  <c r="C71" i="33"/>
  <c r="E7" i="20"/>
  <c r="G33" i="33"/>
  <c r="AZ34" i="7"/>
  <c r="G34" i="33"/>
  <c r="E8" i="20"/>
  <c r="C72" i="33"/>
  <c r="C77" i="33"/>
  <c r="G39" i="33"/>
  <c r="E13" i="20"/>
  <c r="G46" i="33"/>
  <c r="C84" i="33"/>
  <c r="E20" i="20"/>
  <c r="C80" i="33"/>
  <c r="E16" i="20"/>
  <c r="G42" i="33"/>
  <c r="C85" i="33"/>
  <c r="G47" i="33"/>
  <c r="E21" i="20"/>
  <c r="G36" i="33"/>
  <c r="E10" i="20"/>
  <c r="C74" i="33"/>
  <c r="G48" i="33"/>
  <c r="C86" i="33"/>
  <c r="E22" i="20"/>
  <c r="G53" i="33"/>
  <c r="E27" i="20"/>
  <c r="C91" i="33"/>
  <c r="G43" i="33"/>
  <c r="C56" i="33"/>
  <c r="C81" i="33"/>
  <c r="E18" i="20"/>
  <c r="C82" i="33"/>
  <c r="G44" i="33"/>
  <c r="G35" i="33"/>
  <c r="E9" i="20"/>
  <c r="C73" i="33"/>
  <c r="G40" i="33"/>
  <c r="E14" i="20"/>
  <c r="C78" i="33"/>
  <c r="G50" i="33"/>
  <c r="C88" i="33"/>
  <c r="E24" i="20"/>
  <c r="G38" i="33"/>
  <c r="C76" i="33"/>
  <c r="E12" i="20"/>
  <c r="G49" i="33"/>
  <c r="E23" i="20"/>
  <c r="C87" i="33"/>
  <c r="G32" i="33"/>
  <c r="C70" i="33"/>
  <c r="E6" i="20"/>
  <c r="G56" i="33" l="1"/>
  <c r="G85" i="33"/>
  <c r="C122" i="33"/>
  <c r="G87" i="33"/>
  <c r="C124" i="33"/>
  <c r="C113" i="33"/>
  <c r="G76" i="33"/>
  <c r="C128" i="33"/>
  <c r="G91" i="33"/>
  <c r="G77" i="33"/>
  <c r="C114" i="33"/>
  <c r="C94" i="33"/>
  <c r="C118" i="33"/>
  <c r="G81" i="33"/>
  <c r="G78" i="33"/>
  <c r="C115" i="33"/>
  <c r="C108" i="33"/>
  <c r="G71" i="33"/>
  <c r="G89" i="33"/>
  <c r="C126" i="33"/>
  <c r="C106" i="33"/>
  <c r="G69" i="33"/>
  <c r="C93" i="33"/>
  <c r="E17" i="20"/>
  <c r="G83" i="33"/>
  <c r="C120" i="33"/>
  <c r="C116" i="33"/>
  <c r="G79" i="33"/>
  <c r="G75" i="33"/>
  <c r="C112" i="33"/>
  <c r="C127" i="33"/>
  <c r="G90" i="33"/>
  <c r="C125" i="33"/>
  <c r="G88" i="33"/>
  <c r="G72" i="33"/>
  <c r="C109" i="33"/>
  <c r="E5" i="20"/>
  <c r="G70" i="33"/>
  <c r="C107" i="33"/>
  <c r="C110" i="33"/>
  <c r="G73" i="33"/>
  <c r="G82" i="33"/>
  <c r="C119" i="33"/>
  <c r="C123" i="33"/>
  <c r="G86" i="33"/>
  <c r="G74" i="33"/>
  <c r="C111" i="33"/>
  <c r="C117" i="33"/>
  <c r="G80" i="33"/>
  <c r="G84" i="33"/>
  <c r="C121" i="33"/>
  <c r="C129" i="33"/>
  <c r="E129" i="33" s="1"/>
  <c r="E160" i="33" s="1"/>
  <c r="G92" i="33"/>
  <c r="G55" i="33"/>
  <c r="C31" i="20" l="1"/>
  <c r="D117" i="33"/>
  <c r="E117" i="33"/>
  <c r="E148" i="33" s="1"/>
  <c r="D123" i="33"/>
  <c r="E123" i="33"/>
  <c r="E154" i="33" s="1"/>
  <c r="E110" i="33"/>
  <c r="E141" i="33" s="1"/>
  <c r="D110" i="33"/>
  <c r="E29" i="20"/>
  <c r="D125" i="33"/>
  <c r="E125" i="33"/>
  <c r="E156" i="33" s="1"/>
  <c r="G93" i="33"/>
  <c r="D124" i="33"/>
  <c r="E124" i="33"/>
  <c r="E155" i="33" s="1"/>
  <c r="E121" i="33"/>
  <c r="E152" i="33" s="1"/>
  <c r="D121" i="33"/>
  <c r="E111" i="33"/>
  <c r="E142" i="33" s="1"/>
  <c r="D111" i="33"/>
  <c r="E119" i="33"/>
  <c r="E150" i="33" s="1"/>
  <c r="D119" i="33"/>
  <c r="D107" i="33"/>
  <c r="E107" i="33"/>
  <c r="E138" i="33" s="1"/>
  <c r="D109" i="33"/>
  <c r="E109" i="33"/>
  <c r="E140" i="33" s="1"/>
  <c r="D102" i="33"/>
  <c r="D106" i="33"/>
  <c r="E106" i="33"/>
  <c r="C130" i="33"/>
  <c r="E108" i="33"/>
  <c r="E139" i="33" s="1"/>
  <c r="D108" i="33"/>
  <c r="C131" i="33"/>
  <c r="D118" i="33"/>
  <c r="E118" i="33"/>
  <c r="E128" i="33"/>
  <c r="E159" i="33" s="1"/>
  <c r="D128" i="33"/>
  <c r="E127" i="33"/>
  <c r="E158" i="33" s="1"/>
  <c r="D127" i="33"/>
  <c r="D116" i="33"/>
  <c r="E116" i="33"/>
  <c r="E147" i="33" s="1"/>
  <c r="E30" i="20"/>
  <c r="E126" i="33"/>
  <c r="E157" i="33" s="1"/>
  <c r="D126" i="33"/>
  <c r="D115" i="33"/>
  <c r="E115" i="33"/>
  <c r="E146" i="33" s="1"/>
  <c r="E122" i="33"/>
  <c r="E153" i="33" s="1"/>
  <c r="D122" i="33"/>
  <c r="G94" i="33"/>
  <c r="E112" i="33"/>
  <c r="E143" i="33" s="1"/>
  <c r="D112" i="33"/>
  <c r="D120" i="33"/>
  <c r="E120" i="33"/>
  <c r="E151" i="33" s="1"/>
  <c r="D114" i="33"/>
  <c r="E114" i="33"/>
  <c r="E145" i="33" s="1"/>
  <c r="D113" i="33"/>
  <c r="E113" i="33"/>
  <c r="E144" i="33" s="1"/>
  <c r="E31" i="20" l="1"/>
  <c r="D131" i="33"/>
  <c r="E137" i="33"/>
  <c r="E161" i="33" s="1"/>
  <c r="E10" i="33" s="1"/>
  <c r="E130" i="33"/>
  <c r="E149" i="33"/>
  <c r="E162" i="33" s="1"/>
  <c r="E11" i="33" s="1"/>
  <c r="E131" i="33"/>
  <c r="D130" i="33"/>
  <c r="G59" i="20" l="1"/>
  <c r="G67" i="20" s="1"/>
  <c r="G60" i="20"/>
  <c r="G70" i="20" s="1"/>
  <c r="G61" i="20" l="1"/>
  <c r="M60" i="20" l="1"/>
  <c r="M70" i="20" s="1"/>
  <c r="Q38" i="20"/>
  <c r="L60" i="20"/>
  <c r="L70" i="20" s="1"/>
  <c r="Q45" i="20"/>
  <c r="Q52" i="20"/>
  <c r="Q55" i="20"/>
  <c r="O60" i="20"/>
  <c r="O70" i="20" s="1"/>
  <c r="Q57" i="20"/>
  <c r="Q37" i="20"/>
  <c r="Q44" i="20"/>
  <c r="Q51" i="20"/>
  <c r="Q53" i="20"/>
  <c r="J59" i="20"/>
  <c r="J67" i="20" s="1"/>
  <c r="Q36" i="20"/>
  <c r="Q58" i="20"/>
  <c r="K59" i="20"/>
  <c r="K67" i="20" s="1"/>
  <c r="Q56" i="20"/>
  <c r="Q35" i="20"/>
  <c r="P60" i="20"/>
  <c r="P70" i="20" s="1"/>
  <c r="N60" i="20"/>
  <c r="N70" i="20" s="1"/>
  <c r="Q47" i="20"/>
  <c r="H60" i="20"/>
  <c r="H70" i="20" s="1"/>
  <c r="Q49" i="20"/>
  <c r="Q41" i="20"/>
  <c r="O59" i="20"/>
  <c r="O67" i="20" s="1"/>
  <c r="Q39" i="20"/>
  <c r="I60" i="20"/>
  <c r="I70" i="20" s="1"/>
  <c r="N59" i="20"/>
  <c r="N67" i="20" s="1"/>
  <c r="J60" i="20"/>
  <c r="J70" i="20" s="1"/>
  <c r="M59" i="20"/>
  <c r="M67" i="20" s="1"/>
  <c r="P59" i="20"/>
  <c r="Q40" i="20"/>
  <c r="Q42" i="20"/>
  <c r="Q43" i="20"/>
  <c r="L59" i="20"/>
  <c r="I59" i="20"/>
  <c r="I67" i="20" s="1"/>
  <c r="K60" i="20"/>
  <c r="K70" i="20" s="1"/>
  <c r="Q46" i="20"/>
  <c r="Q54" i="20"/>
  <c r="Q50" i="20"/>
  <c r="Q48" i="20"/>
  <c r="H59" i="20"/>
  <c r="H67" i="20" s="1"/>
  <c r="S90" i="20" l="1"/>
  <c r="L61" i="20"/>
  <c r="L67" i="20"/>
  <c r="P61" i="20"/>
  <c r="P67" i="20"/>
  <c r="N61" i="20"/>
  <c r="M61" i="20"/>
  <c r="J61" i="20"/>
  <c r="O61" i="20"/>
  <c r="I61" i="20"/>
  <c r="K61" i="20"/>
  <c r="Q59" i="20"/>
  <c r="H61" i="20"/>
  <c r="Q60" i="20"/>
  <c r="J74" i="20" s="1"/>
  <c r="Q61" i="20" l="1"/>
  <c r="J76" i="20" s="1"/>
  <c r="J72" i="20"/>
</calcChain>
</file>

<file path=xl/comments1.xml><?xml version="1.0" encoding="utf-8"?>
<comments xmlns="http://schemas.openxmlformats.org/spreadsheetml/2006/main">
  <authors>
    <author>Autor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>Grundlage: Mittelwert des historischen Verbrauchs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Grundlage: Mittelwert des historischen Verbrauchs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Grundlage: Mittelwert des historischen Verbrauchs</t>
        </r>
      </text>
    </comment>
    <comment ref="J25" authorId="0" shapeId="0">
      <text>
        <r>
          <rPr>
            <b/>
            <sz val="9"/>
            <color indexed="81"/>
            <rFont val="Tahoma"/>
            <family val="2"/>
          </rPr>
          <t>Grundlage: Mittelwert des historischen Verbrauchs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Grundlage: Mittelwert des historischen Verbrauchs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</rPr>
          <t>Grundlage: Mittelwert des historischen Verbrauchs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Grundlage: Mittelwert des historischen Verbrauchs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11" authorId="0" shapeId="0">
      <text>
        <r>
          <rPr>
            <sz val="9"/>
            <color indexed="81"/>
            <rFont val="Tahoma"/>
            <family val="2"/>
          </rPr>
          <t>Eingangsleistung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Verbrauch basierend auf Hu (unterer Heizwert)</t>
        </r>
      </text>
    </comment>
    <comment ref="B17" authorId="0" shapeId="0">
      <text>
        <r>
          <rPr>
            <sz val="9"/>
            <color indexed="81"/>
            <rFont val="Tahoma"/>
            <family val="2"/>
          </rPr>
          <t>Nur im Falle von Wärme-Kraft-Kopplung einzutragen.</t>
        </r>
      </text>
    </comment>
    <comment ref="B18" authorId="0" shapeId="0">
      <text>
        <r>
          <rPr>
            <sz val="9"/>
            <color indexed="81"/>
            <rFont val="Tahoma"/>
            <family val="2"/>
          </rPr>
          <t>Gibt den Wirkungsgrad des Getriebes und des Generators an. In der Regel bei ca. 96 %.</t>
        </r>
      </text>
    </comment>
    <comment ref="B19" authorId="0" shapeId="0">
      <text>
        <r>
          <rPr>
            <sz val="9"/>
            <color indexed="81"/>
            <rFont val="Tahoma"/>
            <family val="2"/>
          </rPr>
          <t>Die Rauchgasverluste sind auf dem Prüfprotokoll (Emissionsmessung) ersichtlich (siehe Abbildung rechts). Sie beziehen sich auf den Endenergieverbrauch.</t>
        </r>
      </text>
    </comment>
    <comment ref="B21" authorId="0" shapeId="0">
      <text>
        <r>
          <rPr>
            <sz val="9"/>
            <color indexed="81"/>
            <rFont val="Tahoma"/>
            <family val="2"/>
          </rPr>
          <t>Bezogen auf den Endenergieverbrauch</t>
        </r>
      </text>
    </comment>
    <comment ref="B22" authorId="0" shapeId="0">
      <text>
        <r>
          <rPr>
            <sz val="9"/>
            <color indexed="81"/>
            <rFont val="Tahoma"/>
            <family val="2"/>
          </rPr>
          <t>Bezogen auf Endenergieverbrauch abzüglich Stromerzeugung, Verluste Stromerzeugung,  An- und Abfahrverluste, stand-by-Verluste.
Der Einfachheit halber soll der Verlustwert über den Vor- und Rücklauf abgeschätzt werden.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>Bezogen auf den Endenergieverbrauch</t>
        </r>
      </text>
    </comment>
    <comment ref="B26" authorId="0" shapeId="0">
      <text>
        <r>
          <rPr>
            <sz val="9"/>
            <color indexed="81"/>
            <rFont val="Tahoma"/>
            <family val="2"/>
          </rPr>
          <t>Bezogen auf den Endenergieverbrauch</t>
        </r>
      </text>
    </comment>
    <comment ref="B27" authorId="0" shapeId="0">
      <text>
        <r>
          <rPr>
            <sz val="9"/>
            <color indexed="81"/>
            <rFont val="Tahoma"/>
            <family val="2"/>
          </rPr>
          <t>Bezogen auf den Endenergieverbrauch abzüglich Stromerzeugung, abzüglich Rauchgasverluste und abzüglich An- und Abfahrverluste / stand-by</t>
        </r>
      </text>
    </comment>
    <comment ref="N42" authorId="0" shapeId="0">
      <text>
        <r>
          <rPr>
            <sz val="9"/>
            <color indexed="81"/>
            <rFont val="Tahoma"/>
            <family val="2"/>
          </rPr>
          <t>Nutzung im Betrieb, d.h. Fernwärmebezug minus Fernwärme Export.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5" authorId="0" shapeId="0">
      <text>
        <r>
          <rPr>
            <sz val="9"/>
            <color indexed="81"/>
            <rFont val="Tahoma"/>
            <family val="2"/>
          </rPr>
          <t>Die Berechnung der Volllastbetriebszeit kann anhand des Excel-Files XY (siehe unten) gemacht werden. Im Sinne einer Potenzialanalyse der Abwärme ist eine grobe Abschätzung der Volllastbetriebszeit ausreichend.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Ist bereits eine Wärmerückgewinnung installiert?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Falls nicht luftgekühlt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Falls nicht luftgekühlt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Kälteleistung Verdichter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Leistungsaufnahme Verdichter</t>
        </r>
      </text>
    </comment>
    <comment ref="C30" authorId="0" shapeId="0">
      <text>
        <r>
          <rPr>
            <sz val="9"/>
            <color indexed="81"/>
            <rFont val="Tahoma"/>
            <family val="2"/>
          </rPr>
          <t>Die Berechnung der Volllastbetriebszeit kann anhand des Excel-Files XY (siehe unten) gemacht werden. Im Sinne einer Potenzialanalyse der Abwärme ist eine grobe Abschätzung der Volllastbetriebszeit ausreichend.</t>
        </r>
      </text>
    </comment>
    <comment ref="D31" authorId="0" shapeId="0">
      <text>
        <r>
          <rPr>
            <sz val="9"/>
            <color indexed="81"/>
            <rFont val="Tahoma"/>
            <family val="2"/>
          </rPr>
          <t>Wärmeleistung Kondensator</t>
        </r>
      </text>
    </comment>
    <comment ref="E31" authorId="0" shapeId="0">
      <text>
        <r>
          <rPr>
            <sz val="9"/>
            <color indexed="81"/>
            <rFont val="Tahoma"/>
            <family val="2"/>
          </rPr>
          <t>Leistungsaufnahme Verdichter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40" authorId="0" shapeId="0">
      <text>
        <r>
          <rPr>
            <sz val="9"/>
            <color indexed="81"/>
            <rFont val="Tahoma"/>
            <family val="2"/>
          </rPr>
          <t>Nutzenergie gemäss Formular 5.2.1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C3" authorId="0" shapeId="0">
      <text>
        <r>
          <rPr>
            <sz val="9"/>
            <color indexed="81"/>
            <rFont val="Tahoma"/>
            <family val="2"/>
          </rPr>
          <t>Hier den thermischen Endenergieverbrauch im Unternehmen eintragen oder aus Formular 4.1 übernehmen.
Achtung: Fernwärmeexport soll in dieser Rechnung abgezogen werden!</t>
        </r>
      </text>
    </comment>
    <comment ref="D3" authorId="0" shapeId="0">
      <text>
        <r>
          <rPr>
            <sz val="9"/>
            <color indexed="81"/>
            <rFont val="Tahoma"/>
            <family val="2"/>
          </rPr>
          <t>Hier den thermischen Endenergieverbrauch für die Heizung eintragen, falls verfügbar (z.B. berechnet gemäss einer der drei Varianten aus Formular 5.3.1_Heizung)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>Default-Wert: 65 %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Die Abwärme der Druckluftkompressoren kann grob mit 65 % des Elektrizitätsverbrauchs geschätzt werden. 
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Default-Wert: 65 %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Die Abwärme der Druckluftkompressoren wird grob mit 65 % des Elektrizitätsverbrauchs geschätzt.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36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  <comment ref="J60" authorId="0" shapeId="0">
      <text>
        <r>
          <rPr>
            <b/>
            <sz val="9"/>
            <color indexed="81"/>
            <rFont val="Tahoma"/>
            <family val="2"/>
          </rPr>
          <t xml:space="preserve">Grundlage: </t>
        </r>
        <r>
          <rPr>
            <sz val="9"/>
            <color indexed="81"/>
            <rFont val="Tahoma"/>
            <family val="2"/>
          </rPr>
          <t>Mittelwert des historischen Verbrauchs</t>
        </r>
      </text>
    </comment>
  </commentList>
</comments>
</file>

<file path=xl/sharedStrings.xml><?xml version="1.0" encoding="utf-8"?>
<sst xmlns="http://schemas.openxmlformats.org/spreadsheetml/2006/main" count="1601" uniqueCount="674">
  <si>
    <t>Jahr</t>
  </si>
  <si>
    <t>Bezeichnung</t>
  </si>
  <si>
    <t>Energieträger</t>
  </si>
  <si>
    <t>#</t>
  </si>
  <si>
    <t>Elektrizität</t>
  </si>
  <si>
    <t>Heizöl extra leicht</t>
  </si>
  <si>
    <t>Heizöl mittel/schwer</t>
  </si>
  <si>
    <t>MJ/kg</t>
  </si>
  <si>
    <t>Erdgas</t>
  </si>
  <si>
    <t>Naturbelassenes Holz, Restholz</t>
  </si>
  <si>
    <t>Altholz und Holzabfälle</t>
  </si>
  <si>
    <t>MWh/a</t>
  </si>
  <si>
    <t>Benutzerdefiniert 1</t>
  </si>
  <si>
    <t>Benutzerdefiniert 2</t>
  </si>
  <si>
    <t>Benutzerdefiniert 3</t>
  </si>
  <si>
    <t>Ja</t>
  </si>
  <si>
    <t>Nein</t>
  </si>
  <si>
    <t>CHF/MWh</t>
  </si>
  <si>
    <t>Heizwert (Hu)</t>
  </si>
  <si>
    <t>Dichte</t>
  </si>
  <si>
    <t>Emissionsfaktor</t>
  </si>
  <si>
    <t>Fernwärme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</si>
  <si>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</si>
  <si>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</si>
  <si>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</si>
  <si>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</si>
  <si>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</si>
  <si>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</si>
  <si>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</si>
  <si>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</si>
  <si>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</si>
  <si>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</si>
  <si>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</si>
  <si>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</si>
  <si>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Verwendungszweck</t>
  </si>
  <si>
    <t>Prozess</t>
  </si>
  <si>
    <t>Total</t>
  </si>
  <si>
    <t>Andere</t>
  </si>
  <si>
    <t>Emissionen in tCO2</t>
  </si>
  <si>
    <t>Verteilmedium</t>
  </si>
  <si>
    <t>Nr</t>
  </si>
  <si>
    <t>Bemerkung</t>
  </si>
  <si>
    <t>Abwärme</t>
  </si>
  <si>
    <t xml:space="preserve">Kühlung Vorlauf </t>
  </si>
  <si>
    <t>Kühlung Rücklauf</t>
  </si>
  <si>
    <t>Gebäude</t>
  </si>
  <si>
    <t>Raum</t>
  </si>
  <si>
    <t>Baujahr</t>
  </si>
  <si>
    <t>Hersteller</t>
  </si>
  <si>
    <t>Anlage/Typ/Nr.</t>
  </si>
  <si>
    <t>Leistung Anlage</t>
  </si>
  <si>
    <t>h/a</t>
  </si>
  <si>
    <t>%</t>
  </si>
  <si>
    <t>°C</t>
  </si>
  <si>
    <t>Wasser</t>
  </si>
  <si>
    <t>Name</t>
  </si>
  <si>
    <t>Einheit</t>
  </si>
  <si>
    <t>kWh/a</t>
  </si>
  <si>
    <t>Nutzenergie</t>
  </si>
  <si>
    <t>Verteilverluste</t>
  </si>
  <si>
    <t>Dampf</t>
  </si>
  <si>
    <t>Heisswasser</t>
  </si>
  <si>
    <t>Thermoöl</t>
  </si>
  <si>
    <t>-</t>
  </si>
  <si>
    <t>kW</t>
  </si>
  <si>
    <t>Betriebsst.</t>
  </si>
  <si>
    <t>Verwendung</t>
  </si>
  <si>
    <t>CIP A</t>
  </si>
  <si>
    <t>CIP B</t>
  </si>
  <si>
    <t>CIP C</t>
  </si>
  <si>
    <t>CIP Camion</t>
  </si>
  <si>
    <t>CIP PSF 2</t>
  </si>
  <si>
    <t>Sterilisation Anlage</t>
  </si>
  <si>
    <t>Warmwasser</t>
  </si>
  <si>
    <t>Raumheizung</t>
  </si>
  <si>
    <t>Produktion</t>
  </si>
  <si>
    <t>Kühlmedium</t>
  </si>
  <si>
    <t>Kühlwasser</t>
  </si>
  <si>
    <t>Eiswasser</t>
  </si>
  <si>
    <t>Max Payback Produktion</t>
  </si>
  <si>
    <t>Max Payback Infrastruktur</t>
  </si>
  <si>
    <t>Wirtschaftliche Grundlagen</t>
  </si>
  <si>
    <t>Jahre</t>
  </si>
  <si>
    <t>CHF/m3</t>
  </si>
  <si>
    <t>Heizung/Klima</t>
  </si>
  <si>
    <t>Wärmeverbrauch nach Verwendungszweck</t>
  </si>
  <si>
    <t>Medium</t>
  </si>
  <si>
    <t>Wärmeverbrauch nach Verteilmedium</t>
  </si>
  <si>
    <t>Wärmeverbraucher</t>
  </si>
  <si>
    <t>Druckluftkompressoren</t>
  </si>
  <si>
    <t>Stromver-brauch</t>
  </si>
  <si>
    <t>kWh/kg</t>
  </si>
  <si>
    <t>Verbraucher
(Wie auf Schema)</t>
  </si>
  <si>
    <t>Wärmequellen</t>
  </si>
  <si>
    <t>Wärmestrom</t>
  </si>
  <si>
    <t>[°C]</t>
  </si>
  <si>
    <t>Wärme</t>
  </si>
  <si>
    <t>Massenfluss</t>
  </si>
  <si>
    <t>Wärmekapazität</t>
  </si>
  <si>
    <t>Milch</t>
  </si>
  <si>
    <t>kJ/kg K</t>
  </si>
  <si>
    <t>Pasteurisation Vollmilch AE</t>
  </si>
  <si>
    <t>Betriebsstunden</t>
  </si>
  <si>
    <t>Molke</t>
  </si>
  <si>
    <t>Projekt / Studie / Prozessänderung</t>
  </si>
  <si>
    <t>Beilage</t>
  </si>
  <si>
    <t>Studie zur Energiekostenreduktion im ganzen Unternehmen</t>
  </si>
  <si>
    <t>Neubau gekühlter Rampen im Bau 50</t>
  </si>
  <si>
    <t>Bau einer neuen Kühlzelle für Käse im Bau 52</t>
  </si>
  <si>
    <t>Evtl. wird in Zukunft nur noch UHT-Vollmilch und keine Pastmilch mehr produziert.</t>
  </si>
  <si>
    <t>Verarbeitete Milchmenge</t>
  </si>
  <si>
    <t>Past-Milch</t>
  </si>
  <si>
    <t>UHT-Milch</t>
  </si>
  <si>
    <t>Käse</t>
  </si>
  <si>
    <t>Rahm</t>
  </si>
  <si>
    <t>Payback</t>
  </si>
  <si>
    <t>Energiepreis</t>
  </si>
  <si>
    <t>Ausgangseinheit</t>
  </si>
  <si>
    <t>Endeinheit</t>
  </si>
  <si>
    <t>Liter [l]</t>
  </si>
  <si>
    <t>Kilogramm [kg]</t>
  </si>
  <si>
    <t>Tonnen [t]</t>
  </si>
  <si>
    <t>Kilowattstunde [kWh]</t>
  </si>
  <si>
    <t>Megawattstunde [MWh]</t>
  </si>
  <si>
    <t>Kubikmeter [m3]</t>
  </si>
  <si>
    <t>Menge</t>
  </si>
  <si>
    <t>Dichte [kg/]</t>
  </si>
  <si>
    <t>Energie [/kg]</t>
  </si>
  <si>
    <t>Verbrauch in kWh (Hu)</t>
  </si>
  <si>
    <t>Indikatortyp</t>
  </si>
  <si>
    <t>thermisch</t>
  </si>
  <si>
    <t>elektrisch</t>
  </si>
  <si>
    <t>CO2</t>
  </si>
  <si>
    <t>Tage/Monat</t>
  </si>
  <si>
    <t>kWh/Monat</t>
  </si>
  <si>
    <t>Produktionsindikatoren</t>
  </si>
  <si>
    <t>Variante 1</t>
  </si>
  <si>
    <t>Variante 2</t>
  </si>
  <si>
    <t>Variante 3</t>
  </si>
  <si>
    <t>Der Jahresverbrauch der Heizung (inkl. Erzeugungs- und Verteilverluste) ist (ungefähr) bekannt.</t>
  </si>
  <si>
    <t>Der Jahresverbrauch wird über die Heizgradtage auf die einzelnen Monate heruntergebrochen.</t>
  </si>
  <si>
    <t>Vergleich Varianten</t>
  </si>
  <si>
    <t>Optionales Eingabefeld</t>
  </si>
  <si>
    <t>kWh/a (Hu)</t>
  </si>
  <si>
    <t>Rauchgasverluste</t>
  </si>
  <si>
    <t>Rauchgastemperatur</t>
  </si>
  <si>
    <t>Datum</t>
  </si>
  <si>
    <t>Vorlauftemperatur</t>
  </si>
  <si>
    <t>Rücklauftemperatur</t>
  </si>
  <si>
    <t>bar a</t>
  </si>
  <si>
    <t>Einheitenumrechner</t>
  </si>
  <si>
    <t>Weiterführende Informationen:</t>
  </si>
  <si>
    <t>http://www.bfs.admin.ch/bfs/portal/de/index/themen/05/02.html</t>
  </si>
  <si>
    <t xml:space="preserve">Der Heizenergieverbrauch wird über die Sommermonate ohne Heizung abgeschätzt. </t>
  </si>
  <si>
    <t>Energieversorgung</t>
  </si>
  <si>
    <t>Bezeichung</t>
  </si>
  <si>
    <t>Sanierungspflicht</t>
  </si>
  <si>
    <t>Nr.</t>
  </si>
  <si>
    <t>Dateiname Schema (Beilagen)</t>
  </si>
  <si>
    <t>Ausgangslage</t>
  </si>
  <si>
    <t xml:space="preserve"> </t>
  </si>
  <si>
    <t>Spezifische Wärmekapazität</t>
  </si>
  <si>
    <t>kg/h</t>
  </si>
  <si>
    <t>m</t>
  </si>
  <si>
    <t>Wärmebilanz</t>
  </si>
  <si>
    <t>Bilanz Wärmeverbraucher</t>
  </si>
  <si>
    <t>Differenz</t>
  </si>
  <si>
    <t>Glykol/Wasser</t>
  </si>
  <si>
    <t>Aceton</t>
  </si>
  <si>
    <t>Benzol</t>
  </si>
  <si>
    <t>Brom</t>
  </si>
  <si>
    <t>Essigsäure</t>
  </si>
  <si>
    <t>Ethanol</t>
  </si>
  <si>
    <t>Glyzerin</t>
  </si>
  <si>
    <t>Maschinenöl</t>
  </si>
  <si>
    <t>Methanol</t>
  </si>
  <si>
    <t>Nitrobenzol</t>
  </si>
  <si>
    <t>Quecksilber</t>
  </si>
  <si>
    <t>Hg</t>
  </si>
  <si>
    <t>Salpetersäure</t>
  </si>
  <si>
    <r>
      <t>HNO</t>
    </r>
    <r>
      <rPr>
        <vertAlign val="subscript"/>
        <sz val="10"/>
        <color theme="1"/>
        <rFont val="Arial"/>
        <family val="2"/>
      </rPr>
      <t>3</t>
    </r>
  </si>
  <si>
    <t>Schwefelsäure</t>
  </si>
  <si>
    <t>Terpentinöl</t>
  </si>
  <si>
    <t>Trichlormethan</t>
  </si>
  <si>
    <r>
      <t>CHCl</t>
    </r>
    <r>
      <rPr>
        <vertAlign val="subscript"/>
        <sz val="10"/>
        <color theme="1"/>
        <rFont val="Arial"/>
        <family val="2"/>
      </rPr>
      <t>3</t>
    </r>
  </si>
  <si>
    <t>Wasser mit 45 % Ethylenglykol bei 20 °C (1,05 g/cm³)</t>
  </si>
  <si>
    <t>Wasser, bei 20 °C (siehe auch Stoffdaten Wasser)</t>
  </si>
  <si>
    <t>http://de.wikibooks.org/wiki/Tabellensammlung_Chemie/_spezifische_W%C3%A4rmekapazit%C3%A4ten</t>
  </si>
  <si>
    <t>Thermalöl (stark Temperaturabhängig, bei 100°C ca:)</t>
  </si>
  <si>
    <t>http://www.wts-online.de/</t>
  </si>
  <si>
    <t>Temperaturverlauf</t>
  </si>
  <si>
    <t>P</t>
  </si>
  <si>
    <t>aufgenommene Wärmeleistung</t>
  </si>
  <si>
    <t>abgegebene Wärmeleistung</t>
  </si>
  <si>
    <t>Eintrittstemperatur</t>
  </si>
  <si>
    <t>Austrittstemperatur</t>
  </si>
  <si>
    <t>Leistung [kW]</t>
  </si>
  <si>
    <t>Wärmequelle (Verteilmedium)</t>
  </si>
  <si>
    <t>Bilanz Wärmequelle</t>
  </si>
  <si>
    <t>Wärmequelle</t>
  </si>
  <si>
    <t>Wärmebezüger</t>
  </si>
  <si>
    <t>Muss Feld</t>
  </si>
  <si>
    <t>Optinales Feld</t>
  </si>
  <si>
    <t>Berechneter Wert</t>
  </si>
  <si>
    <t>Bilanz / Titel</t>
  </si>
  <si>
    <t>Konstant / Titel</t>
  </si>
  <si>
    <t>Akzent 1</t>
  </si>
  <si>
    <t>Akzent 2</t>
  </si>
  <si>
    <t>Akzent 3</t>
  </si>
  <si>
    <t>Akzent 4</t>
  </si>
  <si>
    <t>Akzent 5</t>
  </si>
  <si>
    <t>Hilfestellung</t>
  </si>
  <si>
    <t>Akzent 6</t>
  </si>
  <si>
    <t>IE3</t>
  </si>
  <si>
    <t>Effizienzklassen</t>
  </si>
  <si>
    <t>keine</t>
  </si>
  <si>
    <t>EFF3</t>
  </si>
  <si>
    <t>EFF2</t>
  </si>
  <si>
    <t>EFF1</t>
  </si>
  <si>
    <t>IE1</t>
  </si>
  <si>
    <t>IE2</t>
  </si>
  <si>
    <t>http://www.ezv.admin.ch/zollinfo_firmen/steuern_abgaben/00379/02315/index.html?lang=de</t>
  </si>
  <si>
    <t>Energie-träger</t>
  </si>
  <si>
    <t>-Auswahl-</t>
  </si>
  <si>
    <t>t/a</t>
  </si>
  <si>
    <t>tCO2/t</t>
  </si>
  <si>
    <t>Neue Lastwagenreinigungsanlage</t>
  </si>
  <si>
    <t xml:space="preserve">Cross Flow Membranfiltrationsanlage (Umkehrosmose). </t>
  </si>
  <si>
    <t>Neuer Käsefertiger ab 2015, Anstieg der Milchmenge um ca. 10'000 l/d</t>
  </si>
  <si>
    <t>Nennleistung total (Input)</t>
  </si>
  <si>
    <t>Andere/Mehrere</t>
  </si>
  <si>
    <t>Nutzenergie thermisch</t>
  </si>
  <si>
    <t>Massenfluss pro Jahr</t>
  </si>
  <si>
    <t>Massenfluss pro Stunde</t>
  </si>
  <si>
    <t>Massnefluss pro Jahr</t>
  </si>
  <si>
    <t>Einsparung (Grobschätzung)</t>
  </si>
  <si>
    <t>Priorität</t>
  </si>
  <si>
    <t>[a]</t>
  </si>
  <si>
    <t>[-]</t>
  </si>
  <si>
    <t>[CHF]</t>
  </si>
  <si>
    <t>[kWh/a]</t>
  </si>
  <si>
    <t>[tCO2/a]</t>
  </si>
  <si>
    <t>[% CO2]</t>
  </si>
  <si>
    <t>[CHF/a]</t>
  </si>
  <si>
    <t>Umsetzbarkeit</t>
  </si>
  <si>
    <t>Komplexität</t>
  </si>
  <si>
    <t>Wirtschaftlichkeit</t>
  </si>
  <si>
    <t>Prio.Massnahmen</t>
  </si>
  <si>
    <t>[mm.jjjj]</t>
  </si>
  <si>
    <t>05.2015</t>
  </si>
  <si>
    <t>Kriterien Priorität</t>
  </si>
  <si>
    <t>PLZ</t>
  </si>
  <si>
    <t>Ort</t>
  </si>
  <si>
    <t>Kontaktperson</t>
  </si>
  <si>
    <t>Vorname</t>
  </si>
  <si>
    <t>Nachname</t>
  </si>
  <si>
    <t>E-Mail</t>
  </si>
  <si>
    <t>Telefon</t>
  </si>
  <si>
    <t>Molkenweg 3</t>
  </si>
  <si>
    <t>Hans</t>
  </si>
  <si>
    <t>Muster</t>
  </si>
  <si>
    <t>hans.muster@muk.ch</t>
  </si>
  <si>
    <t>035 123 12 12</t>
  </si>
  <si>
    <t>Firma 1</t>
  </si>
  <si>
    <t>Firma 2</t>
  </si>
  <si>
    <t>Firma 3</t>
  </si>
  <si>
    <t>Postfach</t>
  </si>
  <si>
    <t>Strasse, Nr.</t>
  </si>
  <si>
    <t>Abteilung Energie</t>
  </si>
  <si>
    <t>CHE-123.456.789 MWST</t>
  </si>
  <si>
    <t>NOGA</t>
  </si>
  <si>
    <t>1051</t>
  </si>
  <si>
    <t>Anstieg der Käseproduktion um ca. 10 % und Rückgang Frischmilchproduktion um 20 % im Vergleich zum Jahr 2008</t>
  </si>
  <si>
    <t>Informationen zu NOGA 2008 finden Sie unter</t>
  </si>
  <si>
    <t>http://www.bfs.admin.ch/bfs/portal/de/index/infothek/nomenklaturen/blank/blank/noga0/questions_frequentes.0003.html</t>
  </si>
  <si>
    <t>Die NOGA 2008 Nomenklatur ist zum Download verfügbar unter</t>
  </si>
  <si>
    <t xml:space="preserve">http://www.bfs.admin.ch/bfs/portal/de/index/news/publikationen.html?publicationID=3222 </t>
  </si>
  <si>
    <t xml:space="preserve">Informationen zur Unternehmens-Identifikationsnummer (UID-Nummer) finden Sie unter </t>
  </si>
  <si>
    <t>http://www.bfs.admin.ch/bfs/portal/de/index/themen/00/05/blank/03.html</t>
  </si>
  <si>
    <t>UID-Nummer</t>
  </si>
  <si>
    <t>[%]</t>
  </si>
  <si>
    <t>Investition total</t>
  </si>
  <si>
    <t>Massnahme / 
Beilage</t>
  </si>
  <si>
    <t>Beilage Massnahme 1.pdf</t>
  </si>
  <si>
    <t>Beilage Massnahme 2.xls</t>
  </si>
  <si>
    <r>
      <t>c</t>
    </r>
    <r>
      <rPr>
        <b/>
        <vertAlign val="sub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[kJ/kg K]</t>
    </r>
  </si>
  <si>
    <r>
      <t>c</t>
    </r>
    <r>
      <rPr>
        <vertAlign val="subscript"/>
        <sz val="10"/>
        <rFont val="Arial"/>
        <family val="2"/>
      </rPr>
      <t>p</t>
    </r>
  </si>
  <si>
    <r>
      <t>T</t>
    </r>
    <r>
      <rPr>
        <vertAlign val="subscript"/>
        <sz val="10"/>
        <rFont val="Arial"/>
        <family val="2"/>
      </rPr>
      <t>ein</t>
    </r>
  </si>
  <si>
    <r>
      <t>T</t>
    </r>
    <r>
      <rPr>
        <vertAlign val="subscript"/>
        <sz val="10"/>
        <rFont val="Arial"/>
        <family val="2"/>
      </rPr>
      <t>aus</t>
    </r>
  </si>
  <si>
    <r>
      <t>C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O</t>
    </r>
  </si>
  <si>
    <r>
      <t>C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6</t>
    </r>
  </si>
  <si>
    <r>
      <t>C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</si>
  <si>
    <r>
      <t>C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OH</t>
    </r>
  </si>
  <si>
    <r>
      <t>C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3</t>
    </r>
  </si>
  <si>
    <r>
      <t>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OH</t>
    </r>
  </si>
  <si>
    <r>
      <t>C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N</t>
    </r>
  </si>
  <si>
    <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SO</t>
    </r>
    <r>
      <rPr>
        <vertAlign val="subscript"/>
        <sz val="10"/>
        <color theme="1"/>
        <rFont val="Arial"/>
        <family val="2"/>
      </rPr>
      <t>4</t>
    </r>
  </si>
  <si>
    <r>
      <t>C</t>
    </r>
    <r>
      <rPr>
        <vertAlign val="sub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16</t>
    </r>
  </si>
  <si>
    <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</si>
  <si>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r>
      <t>T</t>
    </r>
    <r>
      <rPr>
        <vertAlign val="subscript"/>
        <sz val="10"/>
        <rFont val="Arial"/>
        <family val="2"/>
      </rPr>
      <t>kalt</t>
    </r>
    <r>
      <rPr>
        <sz val="10"/>
        <rFont val="Arial"/>
        <family val="2"/>
      </rPr>
      <t xml:space="preserve"> [°C]</t>
    </r>
  </si>
  <si>
    <r>
      <t>T</t>
    </r>
    <r>
      <rPr>
        <vertAlign val="subscript"/>
        <sz val="10"/>
        <rFont val="Arial"/>
        <family val="2"/>
      </rPr>
      <t>warm</t>
    </r>
    <r>
      <rPr>
        <sz val="10"/>
        <rFont val="Arial"/>
        <family val="2"/>
      </rPr>
      <t xml:space="preserve"> [°C]</t>
    </r>
  </si>
  <si>
    <t>06.2008</t>
  </si>
  <si>
    <t>08.2009</t>
  </si>
  <si>
    <t>Isolation Rohrleitungen</t>
  </si>
  <si>
    <t>Einbau Economizer in Heizkessel 1</t>
  </si>
  <si>
    <t>4.5 Vergangene Projekte / Produktions- und Prozessänderungen / Energiestudien</t>
  </si>
  <si>
    <t>3 Grundlagen Wirtschaftlichkeit und Energie(-Kosten)</t>
  </si>
  <si>
    <t>Kosten</t>
  </si>
  <si>
    <t>Strom10.pdf</t>
  </si>
  <si>
    <t>Strom11.pdf</t>
  </si>
  <si>
    <t>*Warenbuchhaltung</t>
  </si>
  <si>
    <t>HEL10.pdf</t>
  </si>
  <si>
    <t>HEL11.pdf</t>
  </si>
  <si>
    <t>Solarwärme</t>
  </si>
  <si>
    <t>Nutzung für Gebäudeheizung?</t>
  </si>
  <si>
    <t>Rauchgas-WRG vorhanden?</t>
  </si>
  <si>
    <t>Endenergieverbrauch</t>
  </si>
  <si>
    <t>An- und Abfahrverluste, stand-by</t>
  </si>
  <si>
    <t>Abwasser Total</t>
  </si>
  <si>
    <t>Abwasser</t>
  </si>
  <si>
    <t>5.3 Verbraucher</t>
  </si>
  <si>
    <t>5.2 Endenergieeinsatz, -Umwandlung und -Verteilung</t>
  </si>
  <si>
    <t>Ø Leistung</t>
  </si>
  <si>
    <t>Verteilverluste (Vor- und Rücklauf)</t>
  </si>
  <si>
    <r>
      <t>CO</t>
    </r>
    <r>
      <rPr>
        <b/>
        <vertAlign val="subscript"/>
        <sz val="10"/>
        <color theme="1"/>
        <rFont val="Arial"/>
        <family val="2"/>
      </rPr>
      <t>2</t>
    </r>
  </si>
  <si>
    <r>
      <t>kg/m</t>
    </r>
    <r>
      <rPr>
        <b/>
        <vertAlign val="superscript"/>
        <sz val="10"/>
        <color theme="1"/>
        <rFont val="Arial"/>
        <family val="2"/>
      </rPr>
      <t>3</t>
    </r>
  </si>
  <si>
    <t>Endenergieverbrauch in kWh</t>
  </si>
  <si>
    <t>Endenergie</t>
  </si>
  <si>
    <t>Fernwärme Export</t>
  </si>
  <si>
    <t>Zur Beschreibung der Erzeugung von Kälte mittels Kältemaschinen</t>
  </si>
  <si>
    <t>WRG installiert?</t>
  </si>
  <si>
    <t>Abwärme genutzt</t>
  </si>
  <si>
    <t>Konden-sations-temp.</t>
  </si>
  <si>
    <t>Verdam-pfungs-temp.</t>
  </si>
  <si>
    <t>Verbraucher</t>
  </si>
  <si>
    <t>Kältemittel</t>
  </si>
  <si>
    <t>Bezeich-nung</t>
  </si>
  <si>
    <t>Inhalt</t>
  </si>
  <si>
    <t>Leckage[kg/a]</t>
  </si>
  <si>
    <t>Luft</t>
  </si>
  <si>
    <t>Gebäude A</t>
  </si>
  <si>
    <t>1. UG Maschinenraum</t>
  </si>
  <si>
    <t>Schaller Uto</t>
  </si>
  <si>
    <t>Die Berechnung des jährlichen Elektrizitätsverbrauchs bzw. der jährlichen Kälteproduktion kann auf einfache Weise mittels folgendem Tool gemacht werden:</t>
  </si>
  <si>
    <t>Erhebung des Energieexports</t>
  </si>
  <si>
    <t>Strom Export</t>
  </si>
  <si>
    <t>Export kWh</t>
  </si>
  <si>
    <t>Produktion kWh</t>
  </si>
  <si>
    <t>Photovoltaik</t>
  </si>
  <si>
    <t>Wasserkraft</t>
  </si>
  <si>
    <t>Windenergie</t>
  </si>
  <si>
    <t>Erhebung der Eigenproduktion</t>
  </si>
  <si>
    <t xml:space="preserve">In diesem Kapitel sollen die Energieträger auf der linken Seite der Grafik unten erhoben werden. </t>
  </si>
  <si>
    <t>Nutzenergie Gebäude</t>
  </si>
  <si>
    <t>Typ</t>
  </si>
  <si>
    <t>Heizkessel</t>
  </si>
  <si>
    <t>Brenner direkt</t>
  </si>
  <si>
    <t>Brenner indirekt</t>
  </si>
  <si>
    <t>Wirkungsgrad Stromerzeugung</t>
  </si>
  <si>
    <t>Sonne_Wind_Wasser</t>
  </si>
  <si>
    <t>janein</t>
  </si>
  <si>
    <t>EinheitEinsparung</t>
  </si>
  <si>
    <t>Energie_Export</t>
  </si>
  <si>
    <t>Solar, Wasser, Wind</t>
  </si>
  <si>
    <t>Export</t>
  </si>
  <si>
    <t>Betrieb</t>
  </si>
  <si>
    <t>Total El</t>
  </si>
  <si>
    <t>Total th</t>
  </si>
  <si>
    <t>Der monatliche Heizenergieverbrauch ist nicht bekannt.</t>
  </si>
  <si>
    <t>V2 Berechnung Heizgradtage</t>
  </si>
  <si>
    <t>V3 Berechnung Produktion konstant</t>
  </si>
  <si>
    <t>Annahme: Der Energieverbrauch für die Produktion ist monatlich etwa konstant.</t>
  </si>
  <si>
    <t>V1 Heizenergieverbrauch gemessen</t>
  </si>
  <si>
    <t>Summe</t>
  </si>
  <si>
    <t>Verluste Stromerzeugung</t>
  </si>
  <si>
    <t>Fernwärmenutzung im Betrieb</t>
  </si>
  <si>
    <t>Druck bei Erzeuger</t>
  </si>
  <si>
    <t>Σ</t>
  </si>
  <si>
    <t>Kessel 1</t>
  </si>
  <si>
    <t>Kessel 2</t>
  </si>
  <si>
    <t>Dampfkessel</t>
  </si>
  <si>
    <t>Stromerzeugung</t>
  </si>
  <si>
    <t>Formular 5.2.1</t>
  </si>
  <si>
    <t>5241/030</t>
  </si>
  <si>
    <t>5.3 Verbraucher (Nutzenergie)</t>
  </si>
  <si>
    <t>5.2.1 Thermische Endenergieträger, interne Abfälle</t>
  </si>
  <si>
    <t>5.2.2 Elektrizität (Kältemaschinen, Wärmepumpen)</t>
  </si>
  <si>
    <t>5.3.1 Wärme (thermische Nutzenergie)</t>
  </si>
  <si>
    <t>Propan</t>
  </si>
  <si>
    <t>Butan</t>
  </si>
  <si>
    <t>Beispielhafte Darstellung der Endenergie, Umwandlung, Verteilung und Nutzenergie in einem Sankey-Diagramm. Alle dargestellten Werte können über die tabellarische Erfassung erhoben werden.</t>
  </si>
  <si>
    <t>2.3 Geplante Prozessänderungen, Umbauprojekte, Kapazitätsänderungen</t>
  </si>
  <si>
    <r>
      <t>Q</t>
    </r>
    <r>
      <rPr>
        <b/>
        <vertAlign val="subscript"/>
        <sz val="10"/>
        <rFont val="Arial"/>
        <family val="2"/>
      </rPr>
      <t xml:space="preserve">0 </t>
    </r>
    <r>
      <rPr>
        <b/>
        <sz val="10"/>
        <rFont val="Arial"/>
        <family val="2"/>
      </rPr>
      <t xml:space="preserve">
[kW]</t>
    </r>
  </si>
  <si>
    <r>
      <t>P</t>
    </r>
    <r>
      <rPr>
        <b/>
        <vertAlign val="sub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
[kW]</t>
    </r>
  </si>
  <si>
    <r>
      <t>COP</t>
    </r>
    <r>
      <rPr>
        <b/>
        <vertAlign val="subscript"/>
        <sz val="10"/>
        <rFont val="Arial"/>
        <family val="2"/>
      </rPr>
      <t>Kälte</t>
    </r>
    <r>
      <rPr>
        <b/>
        <sz val="10"/>
        <rFont val="Arial"/>
        <family val="2"/>
      </rPr>
      <t xml:space="preserve">
[-]</t>
    </r>
  </si>
  <si>
    <r>
      <t>COP</t>
    </r>
    <r>
      <rPr>
        <b/>
        <vertAlign val="subscript"/>
        <sz val="10"/>
        <rFont val="Arial"/>
        <family val="2"/>
      </rPr>
      <t>Wärme</t>
    </r>
    <r>
      <rPr>
        <b/>
        <sz val="10"/>
        <rFont val="Arial"/>
        <family val="2"/>
      </rPr>
      <t xml:space="preserve">
[-]</t>
    </r>
  </si>
  <si>
    <t>Wärme-erzeugung</t>
  </si>
  <si>
    <t>Wärmebedarf</t>
  </si>
  <si>
    <t>R-717 NH3</t>
  </si>
  <si>
    <t>EErzeugung_th</t>
  </si>
  <si>
    <t>Muster AG</t>
  </si>
  <si>
    <t>Lugano</t>
  </si>
  <si>
    <t>Locarno</t>
  </si>
  <si>
    <t>Hauptsitz</t>
  </si>
  <si>
    <t>Musterweg 3</t>
  </si>
  <si>
    <t>5200</t>
  </si>
  <si>
    <t>Heisswasser.pdf</t>
  </si>
  <si>
    <t>Dampfkessel.pdf</t>
  </si>
  <si>
    <t>Wasser-/Glykolkreis für Raumkühlung</t>
  </si>
  <si>
    <t>5321/032</t>
  </si>
  <si>
    <t>Pasteurisation Milch</t>
  </si>
  <si>
    <t>Pasteurisation Rahm</t>
  </si>
  <si>
    <t>Käsesorte 1</t>
  </si>
  <si>
    <t>Käsesorte 2</t>
  </si>
  <si>
    <t>[MWh/a]</t>
  </si>
  <si>
    <t>Bau 70</t>
  </si>
  <si>
    <t>E1</t>
  </si>
  <si>
    <t>Atlas Copco</t>
  </si>
  <si>
    <t>Abluft Produktionsraum</t>
  </si>
  <si>
    <t>Abluft</t>
  </si>
  <si>
    <t>Inhalt [kg]</t>
  </si>
  <si>
    <t>Endenergieverbrauch thermisch</t>
  </si>
  <si>
    <t>Heizung gemessen (Endenergie)</t>
  </si>
  <si>
    <t>Produktion berechnet (Endenergie)</t>
  </si>
  <si>
    <t xml:space="preserve">Der monatliche Heizenergieverbrauch gibt wichtige Informationen über die saisonale Abhängigkeit des Energieverbrauchs. </t>
  </si>
  <si>
    <t>Anteil Wärmerückgewinnung an der gemessenen Nutzenergie</t>
  </si>
  <si>
    <t>Heizung gemessen (Nutzenergie ohne WRG)</t>
  </si>
  <si>
    <t>Werden 747 MWh/a als Heizenergie gemessen, (d.h. nur Heisswasser), soll der Anteil Wärmerückgewinnung auf 0 % gesetzt werden.</t>
  </si>
  <si>
    <t>durchschnitttlicher Wirkungsgrad Energieerzeugung</t>
  </si>
  <si>
    <t>--&gt; Die entsprechenden Werte der Endenergie bzw. Nutzenergie etc. sind im Formular 5.2.1 erfasst.</t>
  </si>
  <si>
    <t>durch die Angabe des Wirkungsgrades der Energieerzeugung (gemäss Formular 5.2.1) bestimmt werden.</t>
  </si>
  <si>
    <t>Heizung gerechnet (Endenergie)</t>
  </si>
  <si>
    <t>Bezogen auf die Endenergie</t>
  </si>
  <si>
    <t>Produktion geschätzt (Endenergie)</t>
  </si>
  <si>
    <t>Heizung geschätzt (Endenergie)</t>
  </si>
  <si>
    <t>Nachfolgend werden drei vereinfachende Varianten gezeigt, anhand derer der Endenergieverbrauch für die Gebäudeheizung berechnet bzw. abgeschätzt werden kann.</t>
  </si>
  <si>
    <t>Werden 747 MWh/a als Heizenergie gemessen, soll der Wirkungsgrad auf 747 / 1'000 = 74.7 % gesetzt werden. (1'000 MWh/a: Heizölverbrauch)</t>
  </si>
  <si>
    <t>Werden 830 MWh/a als Heizenergie gemessen, soll der Wirkungsgrad auf 830 / 1'000 = 83.0 % gesetzt werden. (1'000 MWh/a: Heizölverbrauch)</t>
  </si>
  <si>
    <t>Heizgrad-
tage</t>
  </si>
  <si>
    <t>Produktion ohne Heizung</t>
  </si>
  <si>
    <t>Heizenergie
(Endenergie)</t>
  </si>
  <si>
    <t>Endenergie-verbrauch thermisch Produktion</t>
  </si>
  <si>
    <t>Tiefster Monatsverbrauch</t>
  </si>
  <si>
    <t>l/Monat</t>
  </si>
  <si>
    <t>EVerbrauchsindikatoren</t>
  </si>
  <si>
    <t>Sammlung des CIP-Abwassers in Speichertank, Abwärmenutzung für CIP-Nachspeisewasser</t>
  </si>
  <si>
    <t>Nutzung der Kältemaschinenabwärme zur CIP-Wasser-Vorwärmung</t>
  </si>
  <si>
    <t>Hochdruckwärmepumpe zur Warmwasserproduktion</t>
  </si>
  <si>
    <t>Offerte Wettstein.pdf</t>
  </si>
  <si>
    <t>12.2020</t>
  </si>
  <si>
    <t>gut</t>
  </si>
  <si>
    <t>mittel</t>
  </si>
  <si>
    <t>schlecht</t>
  </si>
  <si>
    <t>Offerte1.pdf</t>
  </si>
  <si>
    <t>Offerte2.xls</t>
  </si>
  <si>
    <t>Unabhängige Listen</t>
  </si>
  <si>
    <t>Variable Listen</t>
  </si>
  <si>
    <t>Quelle</t>
  </si>
  <si>
    <t xml:space="preserve">Formular 3 </t>
  </si>
  <si>
    <t>Formular 4.3</t>
  </si>
  <si>
    <t>-Auswahl'</t>
  </si>
  <si>
    <t>[h/a]</t>
  </si>
  <si>
    <t>[kW]</t>
  </si>
  <si>
    <t>[kg/a]</t>
  </si>
  <si>
    <t>[kJ/kg K]</t>
  </si>
  <si>
    <t>Umwandlung</t>
  </si>
  <si>
    <t>Verteilung</t>
  </si>
  <si>
    <t>Rechts sind die erhobenen Energieerzeuger als "Sankey-Tabellen" abgebildet.</t>
  </si>
  <si>
    <t>Heizwärmebedarf gemessen (Nutzenergie)</t>
  </si>
  <si>
    <t>Heizwärmebedarf gerechnet (Nutzenergie ohne WRG)</t>
  </si>
  <si>
    <t>5.3.1_Heizung: Erhebung bzw. Abschätzung des monatlichen Heizenergiebedarfs- und Verbrauchs</t>
  </si>
  <si>
    <t>Erhebungsart</t>
  </si>
  <si>
    <t>gemessen</t>
  </si>
  <si>
    <t>berechnet</t>
  </si>
  <si>
    <t>m2</t>
  </si>
  <si>
    <t>kWh/m2</t>
  </si>
  <si>
    <t xml:space="preserve">[Für Testeingaben: Heizkessel, die z.B. mit Gas und Oel betrieben werden zwei mal identisch eintragen und lediglich Energieträger und Endenergieverbrauch anpassen] </t>
  </si>
  <si>
    <t>Verbraucher Wärme</t>
  </si>
  <si>
    <t>Als Startwert soll der erwartete verhältnismässige Energieverbrauch der verschiedenen Produkte abgebildet werden.</t>
  </si>
  <si>
    <t>Erklärung der Definition des Äquivalenzfaktors:</t>
  </si>
  <si>
    <t>Die Faktoren sollen auch angepasst werden, wenn z.B. für ein Produkt ein verhältnismässig grösserer Reinigungsaufwand erwartet wird.</t>
  </si>
  <si>
    <t>Äquivalenzfaktor (A) x Multiplikationsfaktor (B) = Endfaktor (C )</t>
  </si>
  <si>
    <t>Situationsplan</t>
  </si>
  <si>
    <t>Situationsplan.pdf</t>
  </si>
  <si>
    <t>Zur Beschreibung der Erzeugung von Wärme mittels Wärmepumpen</t>
  </si>
  <si>
    <t>Siehe Berechnung unten</t>
  </si>
  <si>
    <t>Endenergieverbrauch pro m2</t>
  </si>
  <si>
    <t>Äquivalenzfaktor</t>
  </si>
  <si>
    <t>Wenn z.B. Past-Milch eine Energieeinheit benötigt, weil z.B. im Wärmetauscher ein Delta T von 10 °C erreicht wird, benötigt die UHT-Milch 2 Energieeinheiten, wenn ein Delta T von 20 °C erreicht wird usw.</t>
  </si>
  <si>
    <t>Auch z.B. die Reinigungszeit kann mit einem Faktor hinterlegt werden.</t>
  </si>
  <si>
    <t>* Zu Beginn der Berechnung auf 1.0 setzen</t>
  </si>
  <si>
    <t>Die Summe aller Faktoren soll den Gesamtverbrauch (ohne Gebäudeheizung) abbilden. Eine gleichzeitige Berücksichtigung von z.B. gesamter verarbeiteter Milchmenge UND der Produkte ist demnach nicht zielführend.</t>
  </si>
  <si>
    <t>Funktion</t>
  </si>
  <si>
    <t>2.1 Unternehmen, Produktionsstandort, Sachbearbeiter</t>
  </si>
  <si>
    <t>Produktionsstandort Objektadresse</t>
  </si>
  <si>
    <t>Produktionsstandort Postadresse</t>
  </si>
  <si>
    <t>Sachbearbeiter 1</t>
  </si>
  <si>
    <t>Sachbearbeiter 2</t>
  </si>
  <si>
    <t xml:space="preserve">Thomas </t>
  </si>
  <si>
    <t>Mustermann</t>
  </si>
  <si>
    <t>EnAW</t>
  </si>
  <si>
    <t>th.mustermann@enaw.ch</t>
  </si>
  <si>
    <t>Techn. Leiter</t>
  </si>
  <si>
    <t>044 123 12 12</t>
  </si>
  <si>
    <t>Firma, Ort</t>
  </si>
  <si>
    <t>Begleitung</t>
  </si>
  <si>
    <t>Link bzw. Beilage Beschreibung Unternehmensstruktur</t>
  </si>
  <si>
    <t>www.musterag.ch/unternehmensstruktur</t>
  </si>
  <si>
    <t>Frischwasserkosten</t>
  </si>
  <si>
    <t>Abwasserkosten</t>
  </si>
  <si>
    <t>Link auf die Eidg. Zollverwaltung zu Umrechnung der gängigsten Energieträger</t>
  </si>
  <si>
    <t>Economizer in Kessel 2</t>
  </si>
  <si>
    <t>07.2016</t>
  </si>
  <si>
    <t>Offerte Ygnis.ch</t>
  </si>
  <si>
    <t>Strombezug vom Netz</t>
  </si>
  <si>
    <t>Total Endenergie</t>
  </si>
  <si>
    <t>Emissionen Total</t>
  </si>
  <si>
    <t>tCO2/a*</t>
  </si>
  <si>
    <t>Indikator</t>
  </si>
  <si>
    <t>[Hier Eingabefelder in Softwareumsetzung automatisiert anpassen (Eingabe, optional etc.) auf Art der Energieerzeugung gemäss Tabelle unten]</t>
  </si>
  <si>
    <t>[Für Testeingaben: Bei z.B. zusätzlichem Heizkessel über "Zellen einfügen" neue Einheit einfügen.]</t>
  </si>
  <si>
    <t>[Dieses Formular war als Hilfsformular zur Validierung von Energieverbrauchswerten gedacht und ist für das Checkup-Tool nicht nötig.]</t>
  </si>
  <si>
    <t>Endenergieverbrauch pro Energiebezugsfläche</t>
  </si>
  <si>
    <t xml:space="preserve">Die Varianten liefern für eine erste grobe Abschätzung des Endenergieverbrauchs für die Heizung ausreichend genaue Resultate, </t>
  </si>
  <si>
    <t>sofern es im Betrieb keine signifikanten Energieumwandlungen von Strom zu Wärme (für die Gebäudeheizung) und von Wärme zu Strom gibt (z.B. Dampfturbine).</t>
  </si>
  <si>
    <t>Berechnung siehe Beispiel Variante 1</t>
  </si>
  <si>
    <t xml:space="preserve">Neben zugekauften Energieträgern wie z.B. Holzabfällen oder Pellets sollen auch intern anfallende, </t>
  </si>
  <si>
    <t>thermisch genutzte Reststoffe angegeben werden (z.B. Lösemittelabfälle, Holzspäne etc.)</t>
  </si>
  <si>
    <t>4.3 Energieverbrauchsindikatoren der vergangenen zwei Jahre</t>
  </si>
  <si>
    <t>4.2 Treibhausgasemissionen der vergangenen zwei Jahre</t>
  </si>
  <si>
    <t>4.4 Umgesetzte Massnahmen zur Energie- und CO2-Einsparung</t>
  </si>
  <si>
    <t>Rück-kühl-medium</t>
  </si>
  <si>
    <t>Kühlung Rück-lauf</t>
  </si>
  <si>
    <t xml:space="preserve">Erzeugte Nutzenergie </t>
  </si>
  <si>
    <t>gemäss Formular 5.2.1</t>
  </si>
  <si>
    <t>Definition des Wirkungsgrads der Energieerzeugung gemäss Variante 1 und Variante 2:</t>
  </si>
  <si>
    <t xml:space="preserve">[Hier verweisen auf die Quelle der monatlichen Heizgradtage, </t>
  </si>
  <si>
    <t>welche für die Berechnungen verwendet werden soll]</t>
  </si>
  <si>
    <t xml:space="preserve">[Der Endenergieverbrauch thermisch ist nur richtig aus den </t>
  </si>
  <si>
    <t>Formularen übertragen, falls kein Strom thermisch genutzt wird.</t>
  </si>
  <si>
    <t>mechanischen Brüdenverdichtern nicht ganz korrekt ist.]</t>
  </si>
  <si>
    <t>(siehe Erklärung rechts)</t>
  </si>
  <si>
    <t>Die monatliche Heizenergie ist bekannt. Je nachdem, wo sie gemessen wurde, muss sie über geeignete Umrechnungsfaktoren</t>
  </si>
  <si>
    <t xml:space="preserve">Wird z.B. ein Kessel ausschliesslich für die Gebäudeheizung verwendet und ist somit z.B. der Heizölverbrauch vom Kessel bekannt (die 1'000 MWh/a), </t>
  </si>
  <si>
    <t>soll der Wirkungsgrad auf 100 % gesetzt werden.</t>
  </si>
  <si>
    <t xml:space="preserve">[Die Validierung der Energieverbrauchsindikatoren soll </t>
  </si>
  <si>
    <t xml:space="preserve">nicht vom Unternehmen gemacht werden, sondern vom Auditor </t>
  </si>
  <si>
    <t xml:space="preserve">[Die Validierung ist erst bei einer starken Abweichung </t>
  </si>
  <si>
    <t xml:space="preserve">vom Absenkpfad nötig. Sie kann allerdings schon bei der </t>
  </si>
  <si>
    <t xml:space="preserve">Datenplausibilisierung helfen, Zusammenhänge zwischen </t>
  </si>
  <si>
    <t>Produktion und Energieverbrauch zu erkennen.]</t>
  </si>
  <si>
    <t>Eine Vielzahl von Informationen zur Drucklufterzeugung und möglichen Einsparungen von Betriebskosten</t>
  </si>
  <si>
    <t xml:space="preserve">sind auf www.druckluft.ch zu finden. U.a. stehen auf der Seite auch verschiedene Tools zur </t>
  </si>
  <si>
    <t>Verfügung, die z.B. für die Abschätzung der Wärmerückgewinnung oder für die Leckagenberechnung genutzt</t>
  </si>
  <si>
    <t>werden können.</t>
  </si>
  <si>
    <t>Eine Vielzahl an Informationen zu elektrischen Antrieben und möglichen Einsparungen von Betriebskosten</t>
  </si>
  <si>
    <t>stehen auf www.topmotors.ch zur Verfügung. U.a. sind dort auch Informationen über die rasche Beurteilung</t>
  </si>
  <si>
    <t>sämtlicher Motoren in einem Unternehmen (Grobanalyse), die Erarbeitung von Investitionsplänen zur</t>
  </si>
  <si>
    <t>Verbesserung der Effizienz (Feinanalyse), sowie verschiedene nützliche Tools und Datenbanken abgelegt.</t>
  </si>
  <si>
    <t xml:space="preserve">[Falls die Energieverbrauchsindikatoren in die Erarbeitung </t>
  </si>
  <si>
    <t xml:space="preserve">des "Ist-Zustand und Potenzialanalyse" übernommen werden </t>
  </si>
  <si>
    <t>in die kommenden Jahre.</t>
  </si>
  <si>
    <t>Falls es in einem Jahr zu Effizienzssteigerungen bei einem der betrachteten Produktionsschritte gekommen ist, können die Äquivalenzfaktoren angepasst werden.</t>
  </si>
  <si>
    <t>Endfaktor</t>
  </si>
  <si>
    <t>Spez. Energieverbrauch</t>
  </si>
  <si>
    <t>kWh/Einheit</t>
  </si>
  <si>
    <t>Ein Hinweis auf die Aussagekraft der Äquivalenzfaktoren bzw. auf den Grad, auf den die Äquivalenzfaktoren mit dem Energieverbrauch korellieren, liefert der Korrelationsfaktor:</t>
  </si>
  <si>
    <t>Endfaktor (C ) x Energieverbrauchsindikator = Energieverbrauch pro Indikator</t>
  </si>
  <si>
    <t>Energieverbrauchsindikatoren</t>
  </si>
  <si>
    <t>Benchmark!</t>
  </si>
  <si>
    <t xml:space="preserve">[U.a. lassen sich über die Energieverbrauchsindikatoren </t>
  </si>
  <si>
    <t>auch Benchmarks berechnen.]</t>
  </si>
  <si>
    <t>5.3.1 Hilfestellung zur Energiebilanzierung um einen einzelnen Verbraucher</t>
  </si>
  <si>
    <t>D.h.,  dass die Berechnung für Unternehmen mit Wärmpumpen und</t>
  </si>
  <si>
    <t>Molke PSF2</t>
  </si>
  <si>
    <t>Molke PSF1</t>
  </si>
  <si>
    <t>Pasteurisation Panna</t>
  </si>
  <si>
    <t>Abwasser CIP (Teil von Abw. Total)</t>
  </si>
  <si>
    <t>5.4 Erhebung des Abwärmepotenzials und der Kühlanforderungen</t>
  </si>
  <si>
    <t>6.2 Massnahmenliste</t>
  </si>
  <si>
    <t>Geogene Emissionen und weitere Treibhausgase</t>
  </si>
  <si>
    <t>Total geogene und weitere THG</t>
  </si>
  <si>
    <t>Geogene und weitere THG</t>
  </si>
  <si>
    <t>WKK Verbrennungsmotor</t>
  </si>
  <si>
    <t>WKK Brennstoffzelle</t>
  </si>
  <si>
    <t>WKK Gasturbine</t>
  </si>
  <si>
    <t>Weitere elektrische Verbraucher (dezentrale Klimageräte, Lüftung, IT, Beleuchtung, mechanische Antriebe und andere grosse Stromverbraucher)</t>
  </si>
  <si>
    <t>(technische) Umsetzbarkeit</t>
  </si>
  <si>
    <t>Produktionsstillstände, technische Machbarkeit, Risiko Produktequalität</t>
  </si>
  <si>
    <t>Abhängigkeit von anderen Prozesseinheiten, Technologie, Regelungstechnik</t>
  </si>
  <si>
    <t>5.3.2 Elektrizität (Druckluftkompressoren, weitere elektrische Verbraucher)</t>
  </si>
  <si>
    <t>Werden 1072 MWh/a als Heizenergie gemessen (d.h. Heisswasser plus Druckluftabwärme), soll der Anteil an Wärmerückgewinnung auf 325/1'072 = 30 % gesetzt werden</t>
  </si>
  <si>
    <t>Definition des Anteils der Wärmerückgewinngung gemäss Variante 1:</t>
  </si>
  <si>
    <t>Spezifische</t>
  </si>
  <si>
    <t>in kJ/(kg·K)</t>
  </si>
  <si>
    <t>Spezifische
Wärmekap.
in kJ/(kg·K)</t>
  </si>
  <si>
    <t>Chemische
Formel</t>
  </si>
  <si>
    <t>T in</t>
  </si>
  <si>
    <t>T out</t>
  </si>
  <si>
    <t>Payback, Investitionsvolumen, Budgetplanung</t>
  </si>
  <si>
    <t>Schlussbericht Einsparungen.pdf</t>
  </si>
  <si>
    <t>KostenanteilEnergie</t>
  </si>
  <si>
    <t>Acetylen</t>
  </si>
  <si>
    <t>Altöl (fossiler Anteil 100 %)</t>
  </si>
  <si>
    <t>Altpneu (fossiler Anteil 73 %)</t>
  </si>
  <si>
    <t>Kunststoffe (fossiler Anteil 72 %)</t>
  </si>
  <si>
    <t>Lösungsmittel (fossiler Anteil 99 %)</t>
  </si>
  <si>
    <t>Imprägniertes Sägemehl (fossiler Anteil 22 %)</t>
  </si>
  <si>
    <t>Steinkohle</t>
  </si>
  <si>
    <t>Braunkohle</t>
  </si>
  <si>
    <t>Koks</t>
  </si>
  <si>
    <t>Petrolkoks</t>
  </si>
  <si>
    <t>Luftvorwärmung vorhanden?</t>
  </si>
  <si>
    <t>Eiswassertank für Pasteurisierung und für Käseanlage</t>
  </si>
  <si>
    <t>CIP Steritube</t>
  </si>
  <si>
    <t>Biogas (roh, Durchschnittswert)</t>
  </si>
  <si>
    <t>Kälte-erzeu-gung</t>
  </si>
  <si>
    <t>Kriterien 
Prio.</t>
  </si>
  <si>
    <t>Wirkung der Massnahme</t>
  </si>
  <si>
    <t>von [mm.jjjj]</t>
  </si>
  <si>
    <t>bis [mm.jjjj]</t>
  </si>
  <si>
    <t>04.2014</t>
  </si>
  <si>
    <t>08.2018</t>
  </si>
  <si>
    <t>Kühlmedium bzw. Abwärme-nutzung für</t>
  </si>
  <si>
    <t>Effizienz-klasse</t>
  </si>
  <si>
    <t>Bau-jahr</t>
  </si>
  <si>
    <t>Rauchgasverluste bzw. 
Umwandlungsverluste</t>
  </si>
  <si>
    <t>Formular 4.2</t>
  </si>
  <si>
    <t>www.effizientekaelte.ch</t>
  </si>
  <si>
    <t xml:space="preserve">http://www.energieschweiz.ch/pub/p6673/de-ch </t>
  </si>
  <si>
    <t xml:space="preserve">http://www.energieschweiz.ch/pub/p6500/de-ch </t>
  </si>
  <si>
    <t>Elektrizitätsbedarf Kälteanlage</t>
  </si>
  <si>
    <t>Abschätzung Elektrizitätsverbrauch Kälteanlagen</t>
  </si>
  <si>
    <t>5.3.1_EI: Korrelation der Energieverbrauchsindikatoren mit dem thermischen Endenergieverbrauch (ohne Gebäudeheizung)</t>
  </si>
  <si>
    <t>Produktion A</t>
  </si>
  <si>
    <t>123</t>
  </si>
  <si>
    <t>Emissionen in tCO2eq</t>
  </si>
  <si>
    <r>
      <t>tCO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eq/MWh</t>
    </r>
  </si>
  <si>
    <t>Kosten-
anteil 
Energie</t>
  </si>
  <si>
    <t>Investition
energetischer
 Anteil</t>
  </si>
  <si>
    <t>Um-
setzung</t>
  </si>
  <si>
    <t>Anteil Nutzenergie th. für Geb.heizung</t>
  </si>
  <si>
    <t>Voll-
last-betr.
zeit</t>
  </si>
  <si>
    <t>Elektr.
Verbr.</t>
  </si>
  <si>
    <t>Ab-
wärme genutzt</t>
  </si>
  <si>
    <t>Verbraucher 
Kälte 
/ (Abwärme)</t>
  </si>
  <si>
    <t>Leistung 
installiert</t>
  </si>
  <si>
    <t>Anlage/
Typ/Nr.</t>
  </si>
  <si>
    <t>Verbrau-
cher</t>
  </si>
  <si>
    <t>Vollast-
betriebs-
zeit</t>
  </si>
  <si>
    <t>Elektr.
Leistung 
Anlage</t>
  </si>
  <si>
    <t>Stromver-
brauch</t>
  </si>
  <si>
    <t>Rückge-
winnbare Energie</t>
  </si>
  <si>
    <t>WRG instal-
liert?</t>
  </si>
  <si>
    <t>Bemer-
kungen</t>
  </si>
  <si>
    <t>Bau
jahr</t>
  </si>
  <si>
    <t>Her-
steller</t>
  </si>
  <si>
    <t>Ge-
bäude</t>
  </si>
  <si>
    <t>Ab-
wärme</t>
  </si>
  <si>
    <t>Kosten-
anteil Energie</t>
  </si>
  <si>
    <t>Investi-
tion total</t>
  </si>
  <si>
    <t>Investi-
tion Energie</t>
  </si>
  <si>
    <t>Elektr. Verbr.</t>
  </si>
  <si>
    <t xml:space="preserve">können, lohnt sich eine Erweiterung der Indikatoren-Rechnung </t>
  </si>
  <si>
    <t>[Beispielhafte Darstellung der Energieerzeugung, nicht zwingend für "Ist-Zustand und Potenzialanalyse".]</t>
  </si>
  <si>
    <t>Bezugsjahre</t>
  </si>
  <si>
    <t>Befreiung ab</t>
  </si>
  <si>
    <t>4.1 Endenergieverbrauch und Energieabgabe an Dritte</t>
  </si>
  <si>
    <t>Unternehmen</t>
  </si>
  <si>
    <t>Ausgangsjahr 1</t>
  </si>
  <si>
    <t>Ausgangsjahr 2</t>
  </si>
  <si>
    <t>Energiebezugsfläche</t>
  </si>
  <si>
    <t>Muss-Eingabefeld</t>
  </si>
  <si>
    <t>bzw. act- oder EnAW-Moderator.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</si>
</sst>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0.0"/>
    <numFmt numFmtId="166" formatCode="0.000"/>
    <numFmt numFmtId="167" formatCode="#,###\ [$CHF]"/>
    <numFmt numFmtId="168" formatCode="0.0%"/>
    <numFmt numFmtId="169" formatCode="_ * #,##0_ ;_ * \-#,##0_ ;_ * &quot;-&quot;??_ ;_ @_ "/>
    <numFmt numFmtId="170" formatCode="_ * #,##0.0_ ;_ * \-#,##0.0_ ;_ * &quot;-&quot;??_ ;_ @_ "/>
    <numFmt numFmtId="171" formatCode="0.0000"/>
    <numFmt numFmtId="172" formatCode="0.000000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vertAlign val="subscript"/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0"/>
      <color theme="4"/>
      <name val="Arial"/>
      <family val="2"/>
    </font>
    <font>
      <b/>
      <vertAlign val="subscript"/>
      <sz val="10"/>
      <name val="Arial"/>
      <family val="2"/>
    </font>
    <font>
      <sz val="10"/>
      <color rgb="FF000000"/>
      <name val="Arial"/>
      <family val="2"/>
    </font>
    <font>
      <vertAlign val="subscript"/>
      <sz val="10"/>
      <name val="Arial"/>
      <family val="2"/>
    </font>
    <font>
      <sz val="10"/>
      <color rgb="FFC00000"/>
      <name val="Arial"/>
      <family val="2"/>
    </font>
    <font>
      <b/>
      <vertAlign val="sub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C00000"/>
      <name val="Arial"/>
      <family val="2"/>
    </font>
    <font>
      <sz val="10"/>
      <color theme="0"/>
      <name val="Arial"/>
      <family val="2"/>
    </font>
    <font>
      <b/>
      <sz val="9.5"/>
      <color rgb="FF000000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rgb="FF006699"/>
      <name val="Courier"/>
      <family val="3"/>
    </font>
  </fonts>
  <fills count="2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B7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9DAFF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B8FB21"/>
        <bgColor indexed="64"/>
      </patternFill>
    </fill>
    <fill>
      <patternFill patternType="solid">
        <fgColor rgb="FFB9DAFF"/>
        <bgColor rgb="FF000000"/>
      </patternFill>
    </fill>
    <fill>
      <patternFill patternType="solid">
        <fgColor rgb="FFB8FB21"/>
        <bgColor rgb="FF000000"/>
      </patternFill>
    </fill>
    <fill>
      <patternFill patternType="solid">
        <fgColor rgb="FFE6DAFF"/>
        <bgColor indexed="64"/>
      </patternFill>
    </fill>
    <fill>
      <patternFill patternType="solid">
        <fgColor theme="3" tint="0.79998168889431442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49" fontId="6" fillId="0" borderId="0"/>
    <xf numFmtId="49" fontId="3" fillId="0" borderId="0">
      <alignment horizontal="left" vertical="top" wrapText="1"/>
    </xf>
    <xf numFmtId="49" fontId="3" fillId="2" borderId="1" applyBorder="0" applyProtection="0">
      <alignment vertical="top"/>
    </xf>
    <xf numFmtId="0" fontId="3" fillId="3" borderId="1" applyBorder="0">
      <alignment vertical="top"/>
    </xf>
    <xf numFmtId="49" fontId="5" fillId="0" borderId="0"/>
    <xf numFmtId="9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11" fillId="0" borderId="56" xfId="0" applyFont="1" applyBorder="1"/>
    <xf numFmtId="0" fontId="11" fillId="0" borderId="48" xfId="0" applyFont="1" applyBorder="1"/>
    <xf numFmtId="0" fontId="11" fillId="0" borderId="36" xfId="0" applyFont="1" applyBorder="1"/>
    <xf numFmtId="0" fontId="11" fillId="0" borderId="51" xfId="0" applyFont="1" applyBorder="1"/>
    <xf numFmtId="0" fontId="11" fillId="5" borderId="50" xfId="0" applyFont="1" applyFill="1" applyBorder="1"/>
    <xf numFmtId="0" fontId="11" fillId="6" borderId="52" xfId="0" applyFont="1" applyFill="1" applyBorder="1"/>
    <xf numFmtId="0" fontId="11" fillId="0" borderId="57" xfId="0" applyFont="1" applyBorder="1"/>
    <xf numFmtId="0" fontId="11" fillId="0" borderId="53" xfId="0" applyFont="1" applyBorder="1"/>
    <xf numFmtId="0" fontId="10" fillId="10" borderId="4" xfId="0" applyFont="1" applyFill="1" applyBorder="1" applyAlignment="1">
      <alignment vertical="top" wrapText="1"/>
    </xf>
    <xf numFmtId="0" fontId="11" fillId="10" borderId="4" xfId="0" applyFont="1" applyFill="1" applyBorder="1" applyAlignment="1">
      <alignment horizontal="center" vertical="top" wrapText="1"/>
    </xf>
    <xf numFmtId="0" fontId="16" fillId="0" borderId="0" xfId="0" applyFont="1"/>
    <xf numFmtId="0" fontId="0" fillId="0" borderId="0" xfId="0" applyFont="1"/>
    <xf numFmtId="0" fontId="12" fillId="0" borderId="0" xfId="0" applyFont="1" applyFill="1" applyBorder="1" applyAlignment="1">
      <alignment horizontal="left" vertical="top"/>
    </xf>
    <xf numFmtId="0" fontId="10" fillId="10" borderId="4" xfId="0" applyFont="1" applyFill="1" applyBorder="1" applyAlignment="1">
      <alignment horizontal="center" vertical="top" wrapText="1"/>
    </xf>
    <xf numFmtId="0" fontId="12" fillId="0" borderId="0" xfId="0" applyFont="1" applyFill="1"/>
    <xf numFmtId="49" fontId="13" fillId="0" borderId="0" xfId="6" applyFont="1"/>
    <xf numFmtId="0" fontId="9" fillId="0" borderId="0" xfId="0" applyFont="1"/>
    <xf numFmtId="0" fontId="13" fillId="0" borderId="0" xfId="0" applyFont="1" applyAlignment="1"/>
    <xf numFmtId="0" fontId="9" fillId="0" borderId="0" xfId="0" applyFont="1" applyAlignment="1"/>
    <xf numFmtId="0" fontId="9" fillId="10" borderId="30" xfId="0" applyFont="1" applyFill="1" applyBorder="1"/>
    <xf numFmtId="0" fontId="9" fillId="10" borderId="23" xfId="0" applyFont="1" applyFill="1" applyBorder="1"/>
    <xf numFmtId="0" fontId="0" fillId="10" borderId="22" xfId="0" applyFont="1" applyFill="1" applyBorder="1"/>
    <xf numFmtId="0" fontId="0" fillId="10" borderId="30" xfId="0" applyFont="1" applyFill="1" applyBorder="1"/>
    <xf numFmtId="0" fontId="0" fillId="10" borderId="23" xfId="0" applyFont="1" applyFill="1" applyBorder="1"/>
    <xf numFmtId="0" fontId="13" fillId="10" borderId="62" xfId="0" applyFont="1" applyFill="1" applyBorder="1"/>
    <xf numFmtId="0" fontId="9" fillId="10" borderId="63" xfId="0" applyFont="1" applyFill="1" applyBorder="1"/>
    <xf numFmtId="0" fontId="13" fillId="10" borderId="63" xfId="0" applyFont="1" applyFill="1" applyBorder="1"/>
    <xf numFmtId="0" fontId="14" fillId="0" borderId="0" xfId="9" applyFont="1"/>
    <xf numFmtId="0" fontId="9" fillId="10" borderId="64" xfId="0" applyFont="1" applyFill="1" applyBorder="1"/>
    <xf numFmtId="0" fontId="9" fillId="10" borderId="22" xfId="0" applyFont="1" applyFill="1" applyBorder="1"/>
    <xf numFmtId="0" fontId="9" fillId="10" borderId="4" xfId="5" applyFont="1" applyFill="1" applyBorder="1" applyAlignment="1">
      <alignment horizontal="center" vertical="top"/>
    </xf>
    <xf numFmtId="0" fontId="9" fillId="10" borderId="1" xfId="5" applyFont="1" applyFill="1" applyBorder="1" applyAlignment="1">
      <alignment horizontal="left" vertical="top"/>
    </xf>
    <xf numFmtId="0" fontId="9" fillId="10" borderId="4" xfId="5" applyFont="1" applyFill="1" applyBorder="1" applyAlignment="1">
      <alignment vertical="top"/>
    </xf>
    <xf numFmtId="0" fontId="9" fillId="10" borderId="4" xfId="5" applyFont="1" applyFill="1" applyBorder="1">
      <alignment vertical="top"/>
    </xf>
    <xf numFmtId="0" fontId="9" fillId="10" borderId="1" xfId="5" applyFont="1" applyFill="1" applyBorder="1" applyAlignment="1">
      <alignment horizontal="center" vertical="top"/>
    </xf>
    <xf numFmtId="49" fontId="17" fillId="0" borderId="0" xfId="2" applyFont="1"/>
    <xf numFmtId="49" fontId="0" fillId="0" borderId="0" xfId="3" applyFont="1" applyAlignment="1">
      <alignment vertical="top" wrapText="1"/>
    </xf>
    <xf numFmtId="0" fontId="0" fillId="0" borderId="0" xfId="0" applyFont="1" applyAlignment="1"/>
    <xf numFmtId="0" fontId="13" fillId="10" borderId="4" xfId="5" applyFont="1" applyFill="1" applyBorder="1">
      <alignment vertical="top"/>
    </xf>
    <xf numFmtId="0" fontId="0" fillId="12" borderId="4" xfId="5" applyFont="1" applyFill="1" applyBorder="1">
      <alignment vertical="top"/>
    </xf>
    <xf numFmtId="0" fontId="0" fillId="10" borderId="4" xfId="5" applyFont="1" applyFill="1" applyBorder="1">
      <alignment vertical="top"/>
    </xf>
    <xf numFmtId="0" fontId="0" fillId="12" borderId="4" xfId="0" applyFont="1" applyFill="1" applyBorder="1"/>
    <xf numFmtId="2" fontId="0" fillId="12" borderId="4" xfId="0" applyNumberFormat="1" applyFont="1" applyFill="1" applyBorder="1"/>
    <xf numFmtId="166" fontId="0" fillId="12" borderId="4" xfId="0" applyNumberFormat="1" applyFont="1" applyFill="1" applyBorder="1"/>
    <xf numFmtId="0" fontId="0" fillId="0" borderId="0" xfId="5" applyFont="1" applyFill="1" applyBorder="1">
      <alignment vertical="top"/>
    </xf>
    <xf numFmtId="0" fontId="0" fillId="10" borderId="4" xfId="5" applyFont="1" applyFill="1" applyBorder="1" applyProtection="1">
      <alignment vertical="top"/>
    </xf>
    <xf numFmtId="1" fontId="0" fillId="12" borderId="4" xfId="5" applyNumberFormat="1" applyFont="1" applyFill="1" applyBorder="1">
      <alignment vertical="top"/>
    </xf>
    <xf numFmtId="49" fontId="13" fillId="0" borderId="0" xfId="3" applyFont="1" applyBorder="1" applyAlignment="1">
      <alignment vertical="top"/>
    </xf>
    <xf numFmtId="0" fontId="0" fillId="0" borderId="0" xfId="0" applyFont="1" applyProtection="1"/>
    <xf numFmtId="49" fontId="0" fillId="0" borderId="0" xfId="3" applyFont="1" applyBorder="1" applyAlignment="1">
      <alignment vertical="top"/>
    </xf>
    <xf numFmtId="0" fontId="0" fillId="10" borderId="1" xfId="5" applyFont="1" applyFill="1" applyBorder="1" applyAlignment="1">
      <alignment vertical="top" wrapText="1"/>
    </xf>
    <xf numFmtId="0" fontId="0" fillId="0" borderId="0" xfId="0" applyFont="1" applyAlignment="1">
      <alignment wrapText="1"/>
    </xf>
    <xf numFmtId="0" fontId="0" fillId="10" borderId="4" xfId="5" applyFont="1" applyFill="1" applyBorder="1" applyAlignment="1">
      <alignment vertical="top" wrapText="1"/>
    </xf>
    <xf numFmtId="0" fontId="13" fillId="10" borderId="1" xfId="5" applyFont="1" applyFill="1" applyBorder="1" applyProtection="1">
      <alignment vertical="top"/>
    </xf>
    <xf numFmtId="0" fontId="0" fillId="10" borderId="2" xfId="5" applyFont="1" applyFill="1" applyBorder="1" applyProtection="1">
      <alignment vertical="top"/>
    </xf>
    <xf numFmtId="0" fontId="0" fillId="10" borderId="3" xfId="5" applyFont="1" applyFill="1" applyBorder="1" applyProtection="1">
      <alignment vertical="top"/>
    </xf>
    <xf numFmtId="0" fontId="0" fillId="0" borderId="0" xfId="0" applyFont="1" applyAlignment="1" applyProtection="1"/>
    <xf numFmtId="3" fontId="0" fillId="9" borderId="4" xfId="1" applyNumberFormat="1" applyFont="1" applyFill="1" applyBorder="1" applyAlignment="1">
      <alignment vertical="top"/>
    </xf>
    <xf numFmtId="0" fontId="18" fillId="0" borderId="0" xfId="0" applyFont="1"/>
    <xf numFmtId="0" fontId="13" fillId="3" borderId="4" xfId="5" applyFont="1" applyBorder="1">
      <alignment vertical="top"/>
    </xf>
    <xf numFmtId="0" fontId="0" fillId="0" borderId="0" xfId="0" applyFont="1" applyAlignment="1">
      <alignment horizontal="right" vertical="top"/>
    </xf>
    <xf numFmtId="49" fontId="0" fillId="0" borderId="0" xfId="3" applyFont="1" applyBorder="1" applyAlignment="1">
      <alignment vertical="top" wrapText="1"/>
    </xf>
    <xf numFmtId="0" fontId="0" fillId="0" borderId="0" xfId="0" applyFont="1" applyAlignment="1">
      <alignment vertical="top"/>
    </xf>
    <xf numFmtId="0" fontId="0" fillId="10" borderId="4" xfId="5" applyFont="1" applyFill="1" applyBorder="1" applyAlignment="1">
      <alignment horizontal="right" vertical="top"/>
    </xf>
    <xf numFmtId="0" fontId="0" fillId="10" borderId="4" xfId="0" applyFont="1" applyFill="1" applyBorder="1" applyAlignment="1">
      <alignment vertical="top" wrapText="1"/>
    </xf>
    <xf numFmtId="0" fontId="0" fillId="10" borderId="4" xfId="0" applyFont="1" applyFill="1" applyBorder="1" applyAlignment="1">
      <alignment vertical="top"/>
    </xf>
    <xf numFmtId="0" fontId="13" fillId="0" borderId="0" xfId="0" applyFont="1"/>
    <xf numFmtId="0" fontId="0" fillId="10" borderId="28" xfId="5" applyFont="1" applyFill="1" applyBorder="1" applyAlignment="1">
      <alignment vertical="top" wrapText="1"/>
    </xf>
    <xf numFmtId="0" fontId="0" fillId="10" borderId="29" xfId="5" applyFont="1" applyFill="1" applyBorder="1" applyAlignment="1">
      <alignment vertical="top" wrapText="1"/>
    </xf>
    <xf numFmtId="0" fontId="0" fillId="10" borderId="28" xfId="5" applyFont="1" applyFill="1" applyBorder="1" applyAlignment="1">
      <alignment horizontal="left" vertical="top"/>
    </xf>
    <xf numFmtId="0" fontId="0" fillId="10" borderId="17" xfId="5" applyFont="1" applyFill="1" applyBorder="1" applyAlignment="1">
      <alignment horizontal="left" vertical="top"/>
    </xf>
    <xf numFmtId="0" fontId="0" fillId="10" borderId="18" xfId="5" applyFont="1" applyFill="1" applyBorder="1" applyAlignment="1">
      <alignment horizontal="left" vertical="top"/>
    </xf>
    <xf numFmtId="0" fontId="0" fillId="10" borderId="12" xfId="5" applyFont="1" applyFill="1" applyBorder="1" applyAlignment="1">
      <alignment vertical="top"/>
    </xf>
    <xf numFmtId="0" fontId="0" fillId="10" borderId="34" xfId="5" applyFont="1" applyFill="1" applyBorder="1" applyAlignment="1">
      <alignment vertical="top"/>
    </xf>
    <xf numFmtId="0" fontId="0" fillId="10" borderId="13" xfId="5" applyFont="1" applyFill="1" applyBorder="1" applyAlignment="1">
      <alignment vertical="top"/>
    </xf>
    <xf numFmtId="0" fontId="0" fillId="10" borderId="30" xfId="5" applyFont="1" applyFill="1" applyBorder="1" applyAlignment="1">
      <alignment horizontal="left" vertical="top"/>
    </xf>
    <xf numFmtId="0" fontId="0" fillId="10" borderId="13" xfId="5" applyFont="1" applyFill="1" applyBorder="1" applyAlignment="1">
      <alignment horizontal="right" vertical="top"/>
    </xf>
    <xf numFmtId="0" fontId="0" fillId="10" borderId="23" xfId="5" applyFont="1" applyFill="1" applyBorder="1" applyAlignment="1">
      <alignment horizontal="left" vertical="top"/>
    </xf>
    <xf numFmtId="0" fontId="0" fillId="10" borderId="15" xfId="5" applyFont="1" applyFill="1" applyBorder="1" applyAlignment="1">
      <alignment horizontal="right" vertical="top"/>
    </xf>
    <xf numFmtId="0" fontId="0" fillId="10" borderId="22" xfId="5" applyFont="1" applyFill="1" applyBorder="1">
      <alignment vertical="top"/>
    </xf>
    <xf numFmtId="0" fontId="0" fillId="10" borderId="12" xfId="5" applyFont="1" applyFill="1" applyBorder="1" applyAlignment="1">
      <alignment horizontal="right" vertical="top"/>
    </xf>
    <xf numFmtId="0" fontId="0" fillId="10" borderId="64" xfId="5" applyFont="1" applyFill="1" applyBorder="1">
      <alignment vertical="top"/>
    </xf>
    <xf numFmtId="0" fontId="0" fillId="10" borderId="30" xfId="5" applyFont="1" applyFill="1" applyBorder="1">
      <alignment vertical="top"/>
    </xf>
    <xf numFmtId="0" fontId="0" fillId="0" borderId="0" xfId="0" quotePrefix="1" applyFont="1"/>
    <xf numFmtId="0" fontId="0" fillId="10" borderId="23" xfId="5" applyFont="1" applyFill="1" applyBorder="1">
      <alignment vertical="top"/>
    </xf>
    <xf numFmtId="0" fontId="0" fillId="10" borderId="62" xfId="5" applyFont="1" applyFill="1" applyBorder="1" applyAlignment="1">
      <alignment horizontal="left" vertical="top"/>
    </xf>
    <xf numFmtId="0" fontId="0" fillId="10" borderId="63" xfId="5" applyFont="1" applyFill="1" applyBorder="1" applyAlignment="1">
      <alignment horizontal="left" vertical="top"/>
    </xf>
    <xf numFmtId="0" fontId="0" fillId="10" borderId="33" xfId="5" applyFont="1" applyFill="1" applyBorder="1" applyAlignment="1">
      <alignment horizontal="right" vertical="top"/>
    </xf>
    <xf numFmtId="0" fontId="0" fillId="10" borderId="1" xfId="5" applyFont="1" applyFill="1" applyBorder="1" applyAlignment="1">
      <alignment horizontal="right" vertical="top"/>
    </xf>
    <xf numFmtId="0" fontId="0" fillId="10" borderId="4" xfId="5" applyFont="1" applyFill="1" applyBorder="1" applyAlignment="1">
      <alignment horizontal="left" vertical="top"/>
    </xf>
    <xf numFmtId="0" fontId="0" fillId="10" borderId="1" xfId="5" applyFont="1" applyFill="1" applyBorder="1" applyAlignment="1">
      <alignment horizontal="center" vertical="top"/>
    </xf>
    <xf numFmtId="0" fontId="0" fillId="10" borderId="20" xfId="0" applyFont="1" applyFill="1" applyBorder="1"/>
    <xf numFmtId="0" fontId="0" fillId="10" borderId="31" xfId="0" applyFont="1" applyFill="1" applyBorder="1" applyAlignment="1">
      <alignment horizontal="right"/>
    </xf>
    <xf numFmtId="9" fontId="0" fillId="0" borderId="0" xfId="7" applyFont="1"/>
    <xf numFmtId="0" fontId="0" fillId="0" borderId="36" xfId="0" applyFont="1" applyBorder="1"/>
    <xf numFmtId="0" fontId="11" fillId="0" borderId="59" xfId="0" applyFont="1" applyFill="1" applyBorder="1"/>
    <xf numFmtId="0" fontId="11" fillId="0" borderId="38" xfId="0" applyFont="1" applyBorder="1"/>
    <xf numFmtId="0" fontId="0" fillId="0" borderId="0" xfId="0" applyFont="1" applyAlignment="1">
      <alignment vertical="center"/>
    </xf>
    <xf numFmtId="0" fontId="0" fillId="0" borderId="36" xfId="0" applyFont="1" applyBorder="1" applyAlignment="1">
      <alignment vertical="center"/>
    </xf>
    <xf numFmtId="0" fontId="11" fillId="0" borderId="49" xfId="0" applyFont="1" applyFill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10" fillId="10" borderId="1" xfId="0" applyFont="1" applyFill="1" applyBorder="1" applyAlignment="1">
      <alignment vertical="center"/>
    </xf>
    <xf numFmtId="0" fontId="10" fillId="10" borderId="2" xfId="0" applyFont="1" applyFill="1" applyBorder="1" applyAlignment="1">
      <alignment vertical="center"/>
    </xf>
    <xf numFmtId="0" fontId="10" fillId="10" borderId="3" xfId="0" applyFont="1" applyFill="1" applyBorder="1" applyAlignment="1">
      <alignment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7" xfId="0" applyFont="1" applyFill="1" applyBorder="1" applyAlignment="1">
      <alignment horizontal="center" vertical="center"/>
    </xf>
    <xf numFmtId="0" fontId="11" fillId="10" borderId="56" xfId="0" applyFont="1" applyFill="1" applyBorder="1" applyAlignment="1">
      <alignment horizontal="left" vertical="center"/>
    </xf>
    <xf numFmtId="0" fontId="11" fillId="10" borderId="48" xfId="0" applyFont="1" applyFill="1" applyBorder="1" applyAlignment="1">
      <alignment horizontal="left" vertical="center"/>
    </xf>
    <xf numFmtId="0" fontId="10" fillId="10" borderId="8" xfId="0" applyFont="1" applyFill="1" applyBorder="1" applyAlignment="1">
      <alignment horizontal="left" vertical="center"/>
    </xf>
    <xf numFmtId="0" fontId="10" fillId="10" borderId="10" xfId="0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vertical="center"/>
    </xf>
    <xf numFmtId="0" fontId="11" fillId="10" borderId="36" xfId="0" applyFont="1" applyFill="1" applyBorder="1" applyAlignment="1">
      <alignment horizontal="left" vertical="center"/>
    </xf>
    <xf numFmtId="0" fontId="11" fillId="10" borderId="51" xfId="0" applyFont="1" applyFill="1" applyBorder="1" applyAlignment="1">
      <alignment horizontal="left" vertical="center"/>
    </xf>
    <xf numFmtId="0" fontId="11" fillId="10" borderId="54" xfId="0" applyFont="1" applyFill="1" applyBorder="1" applyAlignment="1">
      <alignment horizontal="left" vertical="center"/>
    </xf>
    <xf numFmtId="0" fontId="11" fillId="10" borderId="55" xfId="0" applyFont="1" applyFill="1" applyBorder="1" applyAlignment="1">
      <alignment horizontal="right" vertical="center"/>
    </xf>
    <xf numFmtId="0" fontId="11" fillId="0" borderId="40" xfId="0" applyFont="1" applyFill="1" applyBorder="1" applyAlignment="1">
      <alignment vertical="center"/>
    </xf>
    <xf numFmtId="0" fontId="11" fillId="10" borderId="50" xfId="0" applyFont="1" applyFill="1" applyBorder="1" applyAlignment="1">
      <alignment horizontal="left" vertical="center"/>
    </xf>
    <xf numFmtId="0" fontId="11" fillId="10" borderId="51" xfId="0" applyFont="1" applyFill="1" applyBorder="1" applyAlignment="1">
      <alignment horizontal="right" vertical="center"/>
    </xf>
    <xf numFmtId="0" fontId="11" fillId="10" borderId="57" xfId="0" applyFont="1" applyFill="1" applyBorder="1" applyAlignment="1">
      <alignment horizontal="left" vertical="center"/>
    </xf>
    <xf numFmtId="0" fontId="11" fillId="10" borderId="53" xfId="0" applyFont="1" applyFill="1" applyBorder="1" applyAlignment="1">
      <alignment horizontal="left" vertical="center"/>
    </xf>
    <xf numFmtId="0" fontId="11" fillId="10" borderId="52" xfId="0" applyFont="1" applyFill="1" applyBorder="1" applyAlignment="1">
      <alignment horizontal="left" vertical="center"/>
    </xf>
    <xf numFmtId="0" fontId="10" fillId="10" borderId="5" xfId="0" applyFont="1" applyFill="1" applyBorder="1" applyAlignment="1">
      <alignment horizontal="left" vertical="center"/>
    </xf>
    <xf numFmtId="0" fontId="10" fillId="10" borderId="7" xfId="0" applyFont="1" applyFill="1" applyBorder="1" applyAlignment="1">
      <alignment horizontal="left" vertical="center"/>
    </xf>
    <xf numFmtId="0" fontId="11" fillId="10" borderId="47" xfId="0" applyFont="1" applyFill="1" applyBorder="1" applyAlignment="1">
      <alignment horizontal="left" vertical="center"/>
    </xf>
    <xf numFmtId="0" fontId="14" fillId="4" borderId="0" xfId="9" applyFont="1" applyFill="1" applyAlignment="1">
      <alignment horizontal="left" vertical="center"/>
    </xf>
    <xf numFmtId="0" fontId="14" fillId="0" borderId="0" xfId="9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0" fillId="10" borderId="60" xfId="0" applyFont="1" applyFill="1" applyBorder="1" applyAlignment="1">
      <alignment horizontal="right" vertical="center"/>
    </xf>
    <xf numFmtId="0" fontId="11" fillId="10" borderId="45" xfId="0" applyFont="1" applyFill="1" applyBorder="1" applyAlignment="1">
      <alignment horizontal="right" vertical="center"/>
    </xf>
    <xf numFmtId="0" fontId="11" fillId="10" borderId="61" xfId="0" applyFont="1" applyFill="1" applyBorder="1" applyAlignment="1">
      <alignment horizontal="right" vertical="center"/>
    </xf>
    <xf numFmtId="0" fontId="11" fillId="10" borderId="60" xfId="0" applyFont="1" applyFill="1" applyBorder="1" applyAlignment="1">
      <alignment horizontal="right" vertical="center"/>
    </xf>
    <xf numFmtId="0" fontId="11" fillId="10" borderId="58" xfId="0" applyFont="1" applyFill="1" applyBorder="1" applyAlignment="1">
      <alignment horizontal="right" vertical="center"/>
    </xf>
    <xf numFmtId="0" fontId="0" fillId="0" borderId="39" xfId="0" applyFont="1" applyBorder="1"/>
    <xf numFmtId="0" fontId="0" fillId="0" borderId="38" xfId="0" applyFont="1" applyBorder="1"/>
    <xf numFmtId="3" fontId="0" fillId="9" borderId="4" xfId="1" applyNumberFormat="1" applyFont="1" applyFill="1" applyBorder="1" applyAlignment="1">
      <alignment horizontal="right" vertical="top"/>
    </xf>
    <xf numFmtId="3" fontId="0" fillId="8" borderId="4" xfId="1" applyNumberFormat="1" applyFont="1" applyFill="1" applyBorder="1" applyAlignment="1">
      <alignment horizontal="right" vertical="top"/>
    </xf>
    <xf numFmtId="3" fontId="0" fillId="14" borderId="4" xfId="1" applyNumberFormat="1" applyFont="1" applyFill="1" applyBorder="1" applyAlignment="1">
      <alignment horizontal="right" vertical="top"/>
    </xf>
    <xf numFmtId="0" fontId="0" fillId="10" borderId="4" xfId="0" applyFont="1" applyFill="1" applyBorder="1"/>
    <xf numFmtId="3" fontId="0" fillId="8" borderId="4" xfId="1" applyNumberFormat="1" applyFont="1" applyFill="1" applyBorder="1" applyAlignment="1">
      <alignment vertical="top"/>
    </xf>
    <xf numFmtId="0" fontId="1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0" fillId="10" borderId="20" xfId="0" applyFont="1" applyFill="1" applyBorder="1" applyAlignment="1">
      <alignment horizontal="center" vertical="top"/>
    </xf>
    <xf numFmtId="3" fontId="10" fillId="10" borderId="68" xfId="0" applyNumberFormat="1" applyFont="1" applyFill="1" applyBorder="1" applyAlignment="1">
      <alignment horizontal="center" vertical="top" wrapText="1"/>
    </xf>
    <xf numFmtId="3" fontId="10" fillId="10" borderId="67" xfId="0" applyNumberFormat="1" applyFont="1" applyFill="1" applyBorder="1" applyAlignment="1">
      <alignment horizontal="center" vertical="top" wrapText="1"/>
    </xf>
    <xf numFmtId="165" fontId="10" fillId="10" borderId="67" xfId="0" applyNumberFormat="1" applyFont="1" applyFill="1" applyBorder="1" applyAlignment="1">
      <alignment horizontal="center" vertical="top"/>
    </xf>
    <xf numFmtId="165" fontId="10" fillId="10" borderId="68" xfId="0" applyNumberFormat="1" applyFont="1" applyFill="1" applyBorder="1" applyAlignment="1">
      <alignment horizontal="center" vertical="top"/>
    </xf>
    <xf numFmtId="0" fontId="10" fillId="10" borderId="74" xfId="0" applyFont="1" applyFill="1" applyBorder="1" applyAlignment="1">
      <alignment horizontal="center"/>
    </xf>
    <xf numFmtId="3" fontId="10" fillId="10" borderId="21" xfId="0" applyNumberFormat="1" applyFont="1" applyFill="1" applyBorder="1" applyAlignment="1"/>
    <xf numFmtId="3" fontId="11" fillId="10" borderId="75" xfId="0" applyNumberFormat="1" applyFont="1" applyFill="1" applyBorder="1" applyAlignment="1">
      <alignment horizontal="center"/>
    </xf>
    <xf numFmtId="165" fontId="11" fillId="10" borderId="72" xfId="0" applyNumberFormat="1" applyFont="1" applyFill="1" applyBorder="1" applyAlignment="1">
      <alignment horizontal="center"/>
    </xf>
    <xf numFmtId="165" fontId="11" fillId="10" borderId="21" xfId="0" applyNumberFormat="1" applyFont="1" applyFill="1" applyBorder="1" applyAlignment="1">
      <alignment horizontal="center"/>
    </xf>
    <xf numFmtId="165" fontId="11" fillId="10" borderId="26" xfId="0" applyNumberFormat="1" applyFont="1" applyFill="1" applyBorder="1" applyAlignment="1">
      <alignment horizontal="center"/>
    </xf>
    <xf numFmtId="0" fontId="0" fillId="12" borderId="68" xfId="0" applyFont="1" applyFill="1" applyBorder="1" applyAlignment="1">
      <alignment vertical="center"/>
    </xf>
    <xf numFmtId="0" fontId="0" fillId="12" borderId="70" xfId="0" applyFont="1" applyFill="1" applyBorder="1"/>
    <xf numFmtId="0" fontId="0" fillId="13" borderId="4" xfId="0" applyFont="1" applyFill="1" applyBorder="1"/>
    <xf numFmtId="0" fontId="0" fillId="12" borderId="0" xfId="0" applyFont="1" applyFill="1" applyBorder="1"/>
    <xf numFmtId="169" fontId="0" fillId="12" borderId="2" xfId="1" applyNumberFormat="1" applyFont="1" applyFill="1" applyBorder="1"/>
    <xf numFmtId="0" fontId="0" fillId="10" borderId="4" xfId="0" applyFont="1" applyFill="1" applyBorder="1" applyAlignment="1">
      <alignment horizontal="left"/>
    </xf>
    <xf numFmtId="0" fontId="0" fillId="12" borderId="24" xfId="0" applyFont="1" applyFill="1" applyBorder="1"/>
    <xf numFmtId="0" fontId="0" fillId="12" borderId="25" xfId="0" applyFont="1" applyFill="1" applyBorder="1"/>
    <xf numFmtId="0" fontId="0" fillId="12" borderId="32" xfId="0" applyFont="1" applyFill="1" applyBorder="1"/>
    <xf numFmtId="0" fontId="0" fillId="12" borderId="35" xfId="0" applyFont="1" applyFill="1" applyBorder="1"/>
    <xf numFmtId="0" fontId="0" fillId="12" borderId="71" xfId="0" applyFont="1" applyFill="1" applyBorder="1"/>
    <xf numFmtId="0" fontId="0" fillId="12" borderId="21" xfId="0" applyFont="1" applyFill="1" applyBorder="1"/>
    <xf numFmtId="0" fontId="0" fillId="12" borderId="72" xfId="0" applyFont="1" applyFill="1" applyBorder="1"/>
    <xf numFmtId="169" fontId="0" fillId="12" borderId="73" xfId="1" applyNumberFormat="1" applyFont="1" applyFill="1" applyBorder="1"/>
    <xf numFmtId="0" fontId="0" fillId="10" borderId="21" xfId="0" applyFont="1" applyFill="1" applyBorder="1"/>
    <xf numFmtId="0" fontId="0" fillId="12" borderId="26" xfId="0" applyFont="1" applyFill="1" applyBorder="1"/>
    <xf numFmtId="0" fontId="0" fillId="0" borderId="4" xfId="0" applyFont="1" applyBorder="1"/>
    <xf numFmtId="0" fontId="0" fillId="0" borderId="4" xfId="5" applyFont="1" applyFill="1" applyBorder="1">
      <alignment vertical="top"/>
    </xf>
    <xf numFmtId="0" fontId="0" fillId="0" borderId="4" xfId="0" applyFont="1" applyFill="1" applyBorder="1"/>
    <xf numFmtId="0" fontId="0" fillId="0" borderId="4" xfId="0" applyFont="1" applyBorder="1" applyAlignment="1">
      <alignment horizontal="left"/>
    </xf>
    <xf numFmtId="0" fontId="0" fillId="12" borderId="76" xfId="0" applyFont="1" applyFill="1" applyBorder="1"/>
    <xf numFmtId="0" fontId="0" fillId="12" borderId="77" xfId="0" applyFont="1" applyFill="1" applyBorder="1"/>
    <xf numFmtId="0" fontId="0" fillId="12" borderId="78" xfId="0" applyFont="1" applyFill="1" applyBorder="1"/>
    <xf numFmtId="165" fontId="10" fillId="10" borderId="31" xfId="0" applyNumberFormat="1" applyFont="1" applyFill="1" applyBorder="1" applyAlignment="1">
      <alignment horizontal="center" vertical="top" wrapText="1"/>
    </xf>
    <xf numFmtId="0" fontId="11" fillId="0" borderId="0" xfId="0" applyFont="1" applyBorder="1"/>
    <xf numFmtId="0" fontId="11" fillId="5" borderId="0" xfId="0" applyFont="1" applyFill="1" applyBorder="1"/>
    <xf numFmtId="0" fontId="11" fillId="6" borderId="0" xfId="0" applyFont="1" applyFill="1" applyBorder="1"/>
    <xf numFmtId="0" fontId="11" fillId="0" borderId="0" xfId="0" applyFont="1" applyFill="1" applyBorder="1"/>
    <xf numFmtId="0" fontId="11" fillId="11" borderId="0" xfId="0" applyFont="1" applyFill="1" applyBorder="1"/>
    <xf numFmtId="49" fontId="13" fillId="0" borderId="0" xfId="2" applyFont="1"/>
    <xf numFmtId="0" fontId="13" fillId="12" borderId="19" xfId="5" applyFont="1" applyFill="1" applyBorder="1">
      <alignment vertical="top"/>
    </xf>
    <xf numFmtId="49" fontId="0" fillId="2" borderId="19" xfId="5" applyNumberFormat="1" applyFont="1" applyFill="1" applyBorder="1">
      <alignment vertical="top"/>
    </xf>
    <xf numFmtId="0" fontId="0" fillId="2" borderId="4" xfId="5" applyFont="1" applyFill="1" applyBorder="1">
      <alignment vertical="top"/>
    </xf>
    <xf numFmtId="0" fontId="0" fillId="2" borderId="4" xfId="0" applyFont="1" applyFill="1" applyBorder="1"/>
    <xf numFmtId="0" fontId="13" fillId="2" borderId="5" xfId="0" applyFont="1" applyFill="1" applyBorder="1" applyAlignment="1"/>
    <xf numFmtId="0" fontId="13" fillId="2" borderId="9" xfId="5" applyFont="1" applyFill="1" applyBorder="1">
      <alignment vertical="top"/>
    </xf>
    <xf numFmtId="0" fontId="13" fillId="2" borderId="10" xfId="5" applyFont="1" applyFill="1" applyBorder="1">
      <alignment vertical="top"/>
    </xf>
    <xf numFmtId="0" fontId="13" fillId="2" borderId="24" xfId="0" applyFont="1" applyFill="1" applyBorder="1" applyAlignment="1"/>
    <xf numFmtId="0" fontId="13" fillId="2" borderId="19" xfId="5" applyFont="1" applyFill="1" applyBorder="1">
      <alignment vertical="top"/>
    </xf>
    <xf numFmtId="0" fontId="0" fillId="10" borderId="8" xfId="5" applyFont="1" applyFill="1" applyBorder="1" applyAlignment="1">
      <alignment horizontal="right" vertical="top"/>
    </xf>
    <xf numFmtId="0" fontId="0" fillId="10" borderId="24" xfId="5" applyFont="1" applyFill="1" applyBorder="1" applyAlignment="1">
      <alignment horizontal="left" vertical="top"/>
    </xf>
    <xf numFmtId="0" fontId="22" fillId="0" borderId="0" xfId="0" applyFont="1"/>
    <xf numFmtId="3" fontId="0" fillId="13" borderId="4" xfId="1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>
      <alignment horizontal="left" wrapText="1"/>
    </xf>
    <xf numFmtId="0" fontId="10" fillId="10" borderId="24" xfId="0" applyFont="1" applyFill="1" applyBorder="1" applyAlignment="1">
      <alignment vertical="top" wrapText="1"/>
    </xf>
    <xf numFmtId="0" fontId="10" fillId="10" borderId="19" xfId="0" applyFont="1" applyFill="1" applyBorder="1" applyAlignment="1">
      <alignment horizontal="center" vertical="top" wrapText="1"/>
    </xf>
    <xf numFmtId="0" fontId="10" fillId="10" borderId="19" xfId="0" applyFont="1" applyFill="1" applyBorder="1" applyAlignment="1">
      <alignment vertical="top" wrapText="1"/>
    </xf>
    <xf numFmtId="3" fontId="0" fillId="15" borderId="30" xfId="4" applyNumberFormat="1" applyFont="1" applyFill="1" applyBorder="1">
      <alignment vertical="top"/>
    </xf>
    <xf numFmtId="3" fontId="0" fillId="15" borderId="4" xfId="4" applyNumberFormat="1" applyFont="1" applyFill="1" applyBorder="1">
      <alignment vertical="top"/>
    </xf>
    <xf numFmtId="9" fontId="0" fillId="15" borderId="4" xfId="7" applyFont="1" applyFill="1" applyBorder="1" applyAlignment="1">
      <alignment vertical="top"/>
    </xf>
    <xf numFmtId="49" fontId="0" fillId="0" borderId="0" xfId="0" applyNumberFormat="1" applyFont="1"/>
    <xf numFmtId="0" fontId="0" fillId="2" borderId="2" xfId="0" applyFont="1" applyFill="1" applyBorder="1"/>
    <xf numFmtId="0" fontId="0" fillId="2" borderId="3" xfId="0" applyFont="1" applyFill="1" applyBorder="1"/>
    <xf numFmtId="0" fontId="0" fillId="10" borderId="19" xfId="5" applyFont="1" applyFill="1" applyBorder="1" applyProtection="1">
      <alignment vertical="top"/>
    </xf>
    <xf numFmtId="0" fontId="13" fillId="2" borderId="1" xfId="0" applyFont="1" applyFill="1" applyBorder="1"/>
    <xf numFmtId="1" fontId="0" fillId="6" borderId="11" xfId="1" applyNumberFormat="1" applyFont="1" applyFill="1" applyBorder="1" applyAlignment="1">
      <alignment horizontal="right" vertical="top"/>
    </xf>
    <xf numFmtId="1" fontId="0" fillId="6" borderId="4" xfId="1" applyNumberFormat="1" applyFont="1" applyFill="1" applyBorder="1" applyAlignment="1">
      <alignment horizontal="right" vertical="top"/>
    </xf>
    <xf numFmtId="3" fontId="0" fillId="6" borderId="4" xfId="5" applyNumberFormat="1" applyFont="1" applyFill="1" applyBorder="1">
      <alignment vertical="top"/>
    </xf>
    <xf numFmtId="0" fontId="25" fillId="0" borderId="0" xfId="0" applyFont="1"/>
    <xf numFmtId="3" fontId="0" fillId="15" borderId="3" xfId="4" applyNumberFormat="1" applyFont="1" applyFill="1" applyBorder="1">
      <alignment vertical="top"/>
    </xf>
    <xf numFmtId="165" fontId="0" fillId="6" borderId="14" xfId="1" applyNumberFormat="1" applyFont="1" applyFill="1" applyBorder="1" applyAlignment="1">
      <alignment horizontal="right" vertical="top"/>
    </xf>
    <xf numFmtId="0" fontId="10" fillId="10" borderId="4" xfId="0" applyFont="1" applyFill="1" applyBorder="1" applyAlignment="1">
      <alignment horizontal="center" vertical="top" wrapText="1"/>
    </xf>
    <xf numFmtId="165" fontId="10" fillId="3" borderId="4" xfId="0" applyNumberFormat="1" applyFont="1" applyFill="1" applyBorder="1" applyAlignment="1">
      <alignment horizontal="center" vertical="top" wrapText="1"/>
    </xf>
    <xf numFmtId="2" fontId="10" fillId="3" borderId="4" xfId="0" applyNumberFormat="1" applyFont="1" applyFill="1" applyBorder="1" applyAlignment="1">
      <alignment horizontal="center" vertical="top" wrapText="1"/>
    </xf>
    <xf numFmtId="9" fontId="10" fillId="3" borderId="4" xfId="7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left" vertical="top" wrapText="1"/>
    </xf>
    <xf numFmtId="169" fontId="10" fillId="3" borderId="4" xfId="1" applyNumberFormat="1" applyFont="1" applyFill="1" applyBorder="1" applyAlignment="1">
      <alignment horizontal="center" vertical="top" wrapText="1"/>
    </xf>
    <xf numFmtId="0" fontId="13" fillId="10" borderId="4" xfId="5" applyFont="1" applyFill="1" applyBorder="1" applyProtection="1">
      <alignment vertical="top"/>
    </xf>
    <xf numFmtId="0" fontId="13" fillId="0" borderId="0" xfId="0" applyFont="1" applyProtection="1"/>
    <xf numFmtId="0" fontId="11" fillId="16" borderId="12" xfId="0" applyFont="1" applyFill="1" applyBorder="1"/>
    <xf numFmtId="0" fontId="11" fillId="16" borderId="13" xfId="0" applyFont="1" applyFill="1" applyBorder="1"/>
    <xf numFmtId="3" fontId="0" fillId="15" borderId="22" xfId="4" applyNumberFormat="1" applyFont="1" applyFill="1" applyBorder="1">
      <alignment vertical="top"/>
    </xf>
    <xf numFmtId="3" fontId="0" fillId="15" borderId="27" xfId="4" applyNumberFormat="1" applyFont="1" applyFill="1" applyBorder="1">
      <alignment vertical="top"/>
    </xf>
    <xf numFmtId="3" fontId="0" fillId="15" borderId="11" xfId="4" applyNumberFormat="1" applyFont="1" applyFill="1" applyBorder="1">
      <alignment vertical="top"/>
    </xf>
    <xf numFmtId="0" fontId="0" fillId="10" borderId="79" xfId="5" applyFont="1" applyFill="1" applyBorder="1" applyAlignment="1">
      <alignment horizontal="right" vertical="top"/>
    </xf>
    <xf numFmtId="9" fontId="0" fillId="15" borderId="14" xfId="7" applyFont="1" applyFill="1" applyBorder="1" applyAlignment="1">
      <alignment vertical="top"/>
    </xf>
    <xf numFmtId="0" fontId="0" fillId="3" borderId="4" xfId="0" applyFont="1" applyFill="1" applyBorder="1"/>
    <xf numFmtId="0" fontId="13" fillId="10" borderId="20" xfId="5" applyFont="1" applyFill="1" applyBorder="1" applyAlignment="1">
      <alignment vertical="top"/>
    </xf>
    <xf numFmtId="0" fontId="0" fillId="10" borderId="31" xfId="5" applyFont="1" applyFill="1" applyBorder="1" applyAlignment="1">
      <alignment horizontal="right" vertical="top"/>
    </xf>
    <xf numFmtId="0" fontId="0" fillId="10" borderId="22" xfId="5" applyFont="1" applyFill="1" applyBorder="1" applyAlignment="1">
      <alignment vertical="top"/>
    </xf>
    <xf numFmtId="0" fontId="0" fillId="10" borderId="30" xfId="5" applyFont="1" applyFill="1" applyBorder="1" applyAlignment="1">
      <alignment vertical="top"/>
    </xf>
    <xf numFmtId="0" fontId="11" fillId="3" borderId="4" xfId="0" applyFont="1" applyFill="1" applyBorder="1" applyAlignment="1">
      <alignment horizontal="center" vertical="top" wrapText="1"/>
    </xf>
    <xf numFmtId="1" fontId="0" fillId="14" borderId="4" xfId="0" applyNumberFormat="1" applyFont="1" applyFill="1" applyBorder="1"/>
    <xf numFmtId="0" fontId="0" fillId="2" borderId="1" xfId="5" applyFont="1" applyFill="1" applyBorder="1">
      <alignment vertical="top"/>
    </xf>
    <xf numFmtId="0" fontId="0" fillId="2" borderId="2" xfId="5" applyFont="1" applyFill="1" applyBorder="1">
      <alignment vertical="top"/>
    </xf>
    <xf numFmtId="9" fontId="11" fillId="7" borderId="1" xfId="7" applyFont="1" applyFill="1" applyBorder="1"/>
    <xf numFmtId="0" fontId="0" fillId="2" borderId="8" xfId="5" applyFont="1" applyFill="1" applyBorder="1">
      <alignment vertical="top"/>
    </xf>
    <xf numFmtId="0" fontId="0" fillId="2" borderId="9" xfId="5" applyFont="1" applyFill="1" applyBorder="1">
      <alignment vertical="top"/>
    </xf>
    <xf numFmtId="0" fontId="22" fillId="2" borderId="3" xfId="0" applyFont="1" applyFill="1" applyBorder="1"/>
    <xf numFmtId="0" fontId="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quotePrefix="1" applyFont="1" applyAlignment="1">
      <alignment horizontal="left" vertical="top"/>
    </xf>
    <xf numFmtId="0" fontId="0" fillId="2" borderId="0" xfId="0" applyFont="1" applyFill="1"/>
    <xf numFmtId="0" fontId="0" fillId="2" borderId="1" xfId="0" applyFont="1" applyFill="1" applyBorder="1"/>
    <xf numFmtId="0" fontId="0" fillId="10" borderId="2" xfId="0" applyFont="1" applyFill="1" applyBorder="1"/>
    <xf numFmtId="0" fontId="0" fillId="10" borderId="3" xfId="0" applyFont="1" applyFill="1" applyBorder="1"/>
    <xf numFmtId="3" fontId="0" fillId="8" borderId="1" xfId="1" applyNumberFormat="1" applyFont="1" applyFill="1" applyBorder="1" applyAlignment="1">
      <alignment vertical="top"/>
    </xf>
    <xf numFmtId="0" fontId="0" fillId="2" borderId="6" xfId="0" applyFont="1" applyFill="1" applyBorder="1"/>
    <xf numFmtId="0" fontId="0" fillId="10" borderId="5" xfId="0" applyFont="1" applyFill="1" applyBorder="1"/>
    <xf numFmtId="0" fontId="0" fillId="10" borderId="7" xfId="0" applyFont="1" applyFill="1" applyBorder="1"/>
    <xf numFmtId="0" fontId="22" fillId="2" borderId="10" xfId="0" applyFont="1" applyFill="1" applyBorder="1"/>
    <xf numFmtId="0" fontId="0" fillId="10" borderId="1" xfId="0" applyFont="1" applyFill="1" applyBorder="1"/>
    <xf numFmtId="0" fontId="0" fillId="0" borderId="0" xfId="0" applyFont="1" applyAlignment="1">
      <alignment horizontal="right"/>
    </xf>
    <xf numFmtId="0" fontId="0" fillId="2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2" borderId="2" xfId="0" applyFont="1" applyFill="1" applyBorder="1"/>
    <xf numFmtId="0" fontId="13" fillId="2" borderId="3" xfId="0" applyFont="1" applyFill="1" applyBorder="1"/>
    <xf numFmtId="0" fontId="0" fillId="0" borderId="0" xfId="0" applyFont="1" applyBorder="1"/>
    <xf numFmtId="0" fontId="10" fillId="10" borderId="4" xfId="0" applyFont="1" applyFill="1" applyBorder="1" applyAlignment="1">
      <alignment horizontal="center" vertical="top" wrapText="1"/>
    </xf>
    <xf numFmtId="0" fontId="0" fillId="10" borderId="4" xfId="5" quotePrefix="1" applyFont="1" applyFill="1" applyBorder="1">
      <alignment vertical="top"/>
    </xf>
    <xf numFmtId="3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3" fontId="0" fillId="17" borderId="4" xfId="0" applyNumberFormat="1" applyFont="1" applyFill="1" applyBorder="1" applyAlignment="1">
      <alignment horizontal="center"/>
    </xf>
    <xf numFmtId="3" fontId="0" fillId="18" borderId="24" xfId="0" applyNumberFormat="1" applyFont="1" applyFill="1" applyBorder="1" applyAlignment="1">
      <alignment horizontal="center" vertical="center"/>
    </xf>
    <xf numFmtId="3" fontId="0" fillId="18" borderId="32" xfId="0" applyNumberFormat="1" applyFont="1" applyFill="1" applyBorder="1" applyAlignment="1">
      <alignment horizontal="center" vertical="center"/>
    </xf>
    <xf numFmtId="3" fontId="0" fillId="18" borderId="19" xfId="0" applyNumberFormat="1" applyFont="1" applyFill="1" applyBorder="1" applyAlignment="1">
      <alignment horizontal="center" vertical="center"/>
    </xf>
    <xf numFmtId="3" fontId="0" fillId="17" borderId="3" xfId="0" applyNumberFormat="1" applyFont="1" applyFill="1" applyBorder="1" applyAlignment="1">
      <alignment horizontal="center"/>
    </xf>
    <xf numFmtId="3" fontId="0" fillId="0" borderId="3" xfId="0" applyNumberFormat="1" applyFont="1" applyBorder="1" applyAlignment="1">
      <alignment horizontal="center"/>
    </xf>
    <xf numFmtId="3" fontId="0" fillId="18" borderId="24" xfId="0" applyNumberFormat="1" applyFont="1" applyFill="1" applyBorder="1" applyAlignment="1">
      <alignment horizontal="center"/>
    </xf>
    <xf numFmtId="0" fontId="0" fillId="18" borderId="19" xfId="0" applyFont="1" applyFill="1" applyBorder="1" applyAlignment="1">
      <alignment horizontal="center"/>
    </xf>
    <xf numFmtId="3" fontId="0" fillId="18" borderId="19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2" fontId="0" fillId="0" borderId="0" xfId="0" applyNumberFormat="1" applyFont="1"/>
    <xf numFmtId="2" fontId="13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horizontal="center" vertical="top"/>
    </xf>
    <xf numFmtId="3" fontId="26" fillId="19" borderId="4" xfId="0" applyNumberFormat="1" applyFont="1" applyFill="1" applyBorder="1" applyAlignment="1">
      <alignment horizontal="center"/>
    </xf>
    <xf numFmtId="3" fontId="0" fillId="20" borderId="4" xfId="0" applyNumberFormat="1" applyFont="1" applyFill="1" applyBorder="1" applyAlignment="1">
      <alignment horizontal="center"/>
    </xf>
    <xf numFmtId="0" fontId="0" fillId="10" borderId="81" xfId="5" applyFont="1" applyFill="1" applyBorder="1" applyAlignment="1">
      <alignment horizontal="center" vertical="top"/>
    </xf>
    <xf numFmtId="0" fontId="0" fillId="10" borderId="68" xfId="5" applyFont="1" applyFill="1" applyBorder="1" applyAlignment="1">
      <alignment horizontal="center" vertical="top"/>
    </xf>
    <xf numFmtId="0" fontId="0" fillId="10" borderId="31" xfId="5" applyFont="1" applyFill="1" applyBorder="1" applyAlignment="1">
      <alignment horizontal="center" vertical="top"/>
    </xf>
    <xf numFmtId="0" fontId="0" fillId="10" borderId="4" xfId="5" quotePrefix="1" applyFont="1" applyFill="1" applyBorder="1" applyAlignment="1">
      <alignment horizontal="right" vertical="top"/>
    </xf>
    <xf numFmtId="0" fontId="0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49" fontId="13" fillId="0" borderId="0" xfId="6" applyFont="1" applyAlignment="1"/>
    <xf numFmtId="0" fontId="11" fillId="12" borderId="13" xfId="0" applyFont="1" applyFill="1" applyBorder="1"/>
    <xf numFmtId="49" fontId="13" fillId="2" borderId="4" xfId="3" applyFont="1" applyFill="1" applyBorder="1" applyAlignment="1">
      <alignment horizontal="right" vertical="top"/>
    </xf>
    <xf numFmtId="2" fontId="0" fillId="2" borderId="4" xfId="0" applyNumberFormat="1" applyFont="1" applyFill="1" applyBorder="1"/>
    <xf numFmtId="0" fontId="0" fillId="0" borderId="0" xfId="0" applyFont="1" applyFill="1" applyBorder="1"/>
    <xf numFmtId="49" fontId="0" fillId="15" borderId="27" xfId="4" applyFont="1" applyFill="1" applyBorder="1" applyAlignment="1">
      <alignment horizontal="right" vertical="top"/>
    </xf>
    <xf numFmtId="49" fontId="0" fillId="15" borderId="16" xfId="4" applyFont="1" applyFill="1" applyBorder="1" applyAlignment="1">
      <alignment horizontal="right" vertical="top"/>
    </xf>
    <xf numFmtId="0" fontId="0" fillId="10" borderId="82" xfId="5" applyFont="1" applyFill="1" applyBorder="1">
      <alignment vertical="top"/>
    </xf>
    <xf numFmtId="0" fontId="0" fillId="10" borderId="83" xfId="0" applyFont="1" applyFill="1" applyBorder="1"/>
    <xf numFmtId="0" fontId="0" fillId="10" borderId="84" xfId="0" applyFont="1" applyFill="1" applyBorder="1"/>
    <xf numFmtId="0" fontId="0" fillId="10" borderId="85" xfId="0" applyFont="1" applyFill="1" applyBorder="1"/>
    <xf numFmtId="0" fontId="0" fillId="10" borderId="86" xfId="0" applyFont="1" applyFill="1" applyBorder="1"/>
    <xf numFmtId="0" fontId="0" fillId="10" borderId="41" xfId="0" applyFont="1" applyFill="1" applyBorder="1" applyAlignment="1">
      <alignment horizontal="right"/>
    </xf>
    <xf numFmtId="0" fontId="0" fillId="10" borderId="43" xfId="0" applyFont="1" applyFill="1" applyBorder="1" applyAlignment="1">
      <alignment horizontal="right"/>
    </xf>
    <xf numFmtId="0" fontId="13" fillId="10" borderId="1" xfId="0" applyFont="1" applyFill="1" applyBorder="1"/>
    <xf numFmtId="0" fontId="0" fillId="2" borderId="41" xfId="0" applyFont="1" applyFill="1" applyBorder="1"/>
    <xf numFmtId="0" fontId="9" fillId="2" borderId="87" xfId="0" applyFont="1" applyFill="1" applyBorder="1"/>
    <xf numFmtId="0" fontId="9" fillId="10" borderId="19" xfId="5" applyFont="1" applyFill="1" applyBorder="1" applyAlignment="1">
      <alignment horizontal="center" vertical="top"/>
    </xf>
    <xf numFmtId="0" fontId="9" fillId="10" borderId="6" xfId="5" applyFont="1" applyFill="1" applyBorder="1" applyAlignment="1">
      <alignment horizontal="center" vertical="top"/>
    </xf>
    <xf numFmtId="0" fontId="13" fillId="2" borderId="7" xfId="0" applyFont="1" applyFill="1" applyBorder="1"/>
    <xf numFmtId="0" fontId="9" fillId="10" borderId="8" xfId="5" applyFont="1" applyFill="1" applyBorder="1" applyAlignment="1">
      <alignment horizontal="center" vertical="top"/>
    </xf>
    <xf numFmtId="3" fontId="0" fillId="2" borderId="4" xfId="1" applyNumberFormat="1" applyFont="1" applyFill="1" applyBorder="1" applyAlignment="1" applyProtection="1">
      <alignment vertical="top"/>
      <protection locked="0"/>
    </xf>
    <xf numFmtId="0" fontId="9" fillId="2" borderId="4" xfId="5" applyFont="1" applyFill="1" applyBorder="1" applyAlignment="1">
      <alignment vertical="top" wrapText="1"/>
    </xf>
    <xf numFmtId="0" fontId="10" fillId="10" borderId="4" xfId="0" applyFont="1" applyFill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3" fontId="11" fillId="16" borderId="27" xfId="0" applyNumberFormat="1" applyFont="1" applyFill="1" applyBorder="1"/>
    <xf numFmtId="0" fontId="11" fillId="16" borderId="3" xfId="0" applyFont="1" applyFill="1" applyBorder="1"/>
    <xf numFmtId="0" fontId="13" fillId="10" borderId="69" xfId="5" applyFont="1" applyFill="1" applyBorder="1">
      <alignment vertical="top"/>
    </xf>
    <xf numFmtId="0" fontId="0" fillId="10" borderId="89" xfId="5" applyFont="1" applyFill="1" applyBorder="1">
      <alignment vertical="top"/>
    </xf>
    <xf numFmtId="0" fontId="0" fillId="10" borderId="80" xfId="5" applyFont="1" applyFill="1" applyBorder="1">
      <alignment vertical="top"/>
    </xf>
    <xf numFmtId="0" fontId="13" fillId="10" borderId="84" xfId="5" applyFont="1" applyFill="1" applyBorder="1">
      <alignment vertical="top"/>
    </xf>
    <xf numFmtId="0" fontId="0" fillId="10" borderId="85" xfId="5" applyFont="1" applyFill="1" applyBorder="1">
      <alignment vertical="top"/>
    </xf>
    <xf numFmtId="0" fontId="0" fillId="10" borderId="86" xfId="5" applyFont="1" applyFill="1" applyBorder="1">
      <alignment vertical="top"/>
    </xf>
    <xf numFmtId="49" fontId="13" fillId="10" borderId="1" xfId="3" applyFont="1" applyFill="1" applyBorder="1" applyAlignment="1">
      <alignment horizontal="right" vertical="top"/>
    </xf>
    <xf numFmtId="0" fontId="0" fillId="10" borderId="1" xfId="5" applyFont="1" applyFill="1" applyBorder="1">
      <alignment vertical="top"/>
    </xf>
    <xf numFmtId="0" fontId="13" fillId="10" borderId="3" xfId="0" applyFont="1" applyFill="1" applyBorder="1" applyAlignment="1">
      <alignment horizontal="right"/>
    </xf>
    <xf numFmtId="0" fontId="13" fillId="10" borderId="6" xfId="0" applyFont="1" applyFill="1" applyBorder="1"/>
    <xf numFmtId="0" fontId="13" fillId="10" borderId="8" xfId="0" applyFont="1" applyFill="1" applyBorder="1"/>
    <xf numFmtId="0" fontId="0" fillId="10" borderId="10" xfId="0" applyFont="1" applyFill="1" applyBorder="1"/>
    <xf numFmtId="0" fontId="13" fillId="10" borderId="90" xfId="0" applyFont="1" applyFill="1" applyBorder="1"/>
    <xf numFmtId="0" fontId="0" fillId="10" borderId="91" xfId="0" applyFont="1" applyFill="1" applyBorder="1"/>
    <xf numFmtId="0" fontId="0" fillId="10" borderId="4" xfId="5" quotePrefix="1" applyFont="1" applyFill="1" applyBorder="1" applyAlignment="1">
      <alignment vertical="top" wrapText="1"/>
    </xf>
    <xf numFmtId="0" fontId="25" fillId="0" borderId="0" xfId="0" applyFont="1" applyAlignment="1">
      <alignment horizontal="right"/>
    </xf>
    <xf numFmtId="0" fontId="0" fillId="10" borderId="32" xfId="0" applyFont="1" applyFill="1" applyBorder="1"/>
    <xf numFmtId="49" fontId="0" fillId="10" borderId="4" xfId="4" applyFont="1" applyFill="1" applyBorder="1" applyAlignment="1" applyProtection="1">
      <alignment vertical="top" wrapText="1"/>
      <protection locked="0"/>
    </xf>
    <xf numFmtId="49" fontId="0" fillId="10" borderId="14" xfId="4" applyFont="1" applyFill="1" applyBorder="1" applyAlignment="1" applyProtection="1">
      <alignment vertical="top" wrapText="1"/>
      <protection locked="0"/>
    </xf>
    <xf numFmtId="0" fontId="0" fillId="10" borderId="24" xfId="5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0" xfId="0" applyFill="1" applyBorder="1" applyAlignment="1">
      <alignment horizontal="left"/>
    </xf>
    <xf numFmtId="2" fontId="0" fillId="0" borderId="32" xfId="0" applyNumberFormat="1" applyFont="1" applyBorder="1" applyAlignment="1">
      <alignment horizontal="center" vertical="center" wrapText="1"/>
    </xf>
    <xf numFmtId="0" fontId="27" fillId="0" borderId="0" xfId="0" applyFont="1"/>
    <xf numFmtId="0" fontId="13" fillId="0" borderId="9" xfId="0" applyFont="1" applyBorder="1" applyAlignment="1">
      <alignment horizontal="left"/>
    </xf>
    <xf numFmtId="0" fontId="0" fillId="0" borderId="0" xfId="0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9" applyFont="1" applyAlignment="1">
      <alignment horizontal="left" vertical="center" indent="1"/>
    </xf>
    <xf numFmtId="0" fontId="0" fillId="0" borderId="0" xfId="0" applyFill="1"/>
    <xf numFmtId="0" fontId="0" fillId="0" borderId="0" xfId="0" applyFont="1" applyFill="1"/>
    <xf numFmtId="0" fontId="13" fillId="2" borderId="8" xfId="5" applyFont="1" applyFill="1" applyBorder="1">
      <alignment vertical="top"/>
    </xf>
    <xf numFmtId="0" fontId="13" fillId="2" borderId="6" xfId="0" applyFont="1" applyFill="1" applyBorder="1" applyAlignment="1"/>
    <xf numFmtId="166" fontId="0" fillId="12" borderId="4" xfId="0" applyNumberFormat="1" applyFont="1" applyFill="1" applyBorder="1" applyAlignment="1">
      <alignment vertical="center"/>
    </xf>
    <xf numFmtId="0" fontId="0" fillId="2" borderId="4" xfId="5" applyFont="1" applyFill="1" applyBorder="1" applyAlignment="1">
      <alignment vertical="top" wrapText="1"/>
    </xf>
    <xf numFmtId="172" fontId="0" fillId="21" borderId="4" xfId="0" applyNumberFormat="1" applyFont="1" applyFill="1" applyBorder="1"/>
    <xf numFmtId="2" fontId="0" fillId="21" borderId="4" xfId="0" applyNumberFormat="1" applyFont="1" applyFill="1" applyBorder="1"/>
    <xf numFmtId="166" fontId="0" fillId="21" borderId="4" xfId="0" applyNumberFormat="1" applyFont="1" applyFill="1" applyBorder="1"/>
    <xf numFmtId="172" fontId="0" fillId="21" borderId="4" xfId="0" applyNumberFormat="1" applyFont="1" applyFill="1" applyBorder="1" applyAlignment="1">
      <alignment vertical="center"/>
    </xf>
    <xf numFmtId="2" fontId="0" fillId="21" borderId="4" xfId="0" applyNumberFormat="1" applyFont="1" applyFill="1" applyBorder="1" applyAlignment="1">
      <alignment vertical="center"/>
    </xf>
    <xf numFmtId="166" fontId="0" fillId="21" borderId="4" xfId="0" applyNumberFormat="1" applyFont="1" applyFill="1" applyBorder="1" applyAlignment="1">
      <alignment vertical="center"/>
    </xf>
    <xf numFmtId="165" fontId="10" fillId="10" borderId="68" xfId="0" applyNumberFormat="1" applyFont="1" applyFill="1" applyBorder="1" applyAlignment="1">
      <alignment horizontal="center" vertical="top" wrapText="1"/>
    </xf>
    <xf numFmtId="0" fontId="0" fillId="10" borderId="30" xfId="5" applyFont="1" applyFill="1" applyBorder="1" applyAlignment="1">
      <alignment vertical="top" wrapText="1"/>
    </xf>
    <xf numFmtId="0" fontId="14" fillId="0" borderId="0" xfId="9"/>
    <xf numFmtId="0" fontId="0" fillId="20" borderId="0" xfId="0" applyFill="1"/>
    <xf numFmtId="0" fontId="0" fillId="20" borderId="0" xfId="0" applyFont="1" applyFill="1"/>
    <xf numFmtId="0" fontId="0" fillId="20" borderId="0" xfId="0" applyFont="1" applyFill="1" applyAlignment="1">
      <alignment horizontal="center"/>
    </xf>
    <xf numFmtId="0" fontId="10" fillId="10" borderId="4" xfId="0" applyFont="1" applyFill="1" applyBorder="1" applyAlignment="1">
      <alignment horizontal="center" vertical="top" wrapText="1"/>
    </xf>
    <xf numFmtId="165" fontId="11" fillId="22" borderId="0" xfId="0" applyNumberFormat="1" applyFont="1" applyFill="1" applyBorder="1"/>
    <xf numFmtId="2" fontId="11" fillId="23" borderId="0" xfId="0" applyNumberFormat="1" applyFont="1" applyFill="1" applyBorder="1"/>
    <xf numFmtId="165" fontId="11" fillId="24" borderId="0" xfId="0" applyNumberFormat="1" applyFont="1" applyFill="1" applyBorder="1"/>
    <xf numFmtId="49" fontId="0" fillId="22" borderId="65" xfId="0" applyNumberFormat="1" applyFont="1" applyFill="1" applyBorder="1" applyAlignment="1">
      <alignment horizontal="left"/>
    </xf>
    <xf numFmtId="49" fontId="0" fillId="22" borderId="13" xfId="0" applyNumberFormat="1" applyFont="1" applyFill="1" applyBorder="1" applyAlignment="1">
      <alignment horizontal="left"/>
    </xf>
    <xf numFmtId="49" fontId="9" fillId="22" borderId="13" xfId="0" applyNumberFormat="1" applyFont="1" applyFill="1" applyBorder="1" applyAlignment="1">
      <alignment horizontal="left"/>
    </xf>
    <xf numFmtId="49" fontId="0" fillId="22" borderId="15" xfId="0" applyNumberFormat="1" applyFont="1" applyFill="1" applyBorder="1" applyAlignment="1">
      <alignment horizontal="left"/>
    </xf>
    <xf numFmtId="49" fontId="0" fillId="22" borderId="65" xfId="0" applyNumberFormat="1" applyFill="1" applyBorder="1" applyAlignment="1">
      <alignment horizontal="left"/>
    </xf>
    <xf numFmtId="49" fontId="0" fillId="22" borderId="13" xfId="0" applyNumberFormat="1" applyFill="1" applyBorder="1" applyAlignment="1">
      <alignment horizontal="left"/>
    </xf>
    <xf numFmtId="49" fontId="14" fillId="22" borderId="13" xfId="9" applyNumberFormat="1" applyFill="1" applyBorder="1" applyAlignment="1">
      <alignment horizontal="left"/>
    </xf>
    <xf numFmtId="49" fontId="9" fillId="22" borderId="65" xfId="0" applyNumberFormat="1" applyFont="1" applyFill="1" applyBorder="1" applyAlignment="1">
      <alignment horizontal="left"/>
    </xf>
    <xf numFmtId="49" fontId="9" fillId="22" borderId="15" xfId="0" applyNumberFormat="1" applyFont="1" applyFill="1" applyBorder="1" applyAlignment="1">
      <alignment horizontal="left"/>
    </xf>
    <xf numFmtId="0" fontId="14" fillId="23" borderId="88" xfId="9" applyFill="1" applyBorder="1"/>
    <xf numFmtId="0" fontId="9" fillId="23" borderId="87" xfId="0" applyFont="1" applyFill="1" applyBorder="1"/>
    <xf numFmtId="0" fontId="9" fillId="23" borderId="63" xfId="0" applyFont="1" applyFill="1" applyBorder="1"/>
    <xf numFmtId="49" fontId="9" fillId="23" borderId="12" xfId="0" applyNumberFormat="1" applyFont="1" applyFill="1" applyBorder="1" applyAlignment="1">
      <alignment horizontal="left"/>
    </xf>
    <xf numFmtId="49" fontId="9" fillId="23" borderId="15" xfId="0" applyNumberFormat="1" applyFont="1" applyFill="1" applyBorder="1" applyAlignment="1">
      <alignment horizontal="left"/>
    </xf>
    <xf numFmtId="49" fontId="9" fillId="23" borderId="4" xfId="4" applyFont="1" applyFill="1" applyBorder="1" applyAlignment="1" applyProtection="1">
      <alignment vertical="top" wrapText="1"/>
      <protection locked="0"/>
    </xf>
    <xf numFmtId="0" fontId="9" fillId="23" borderId="4" xfId="4" applyNumberFormat="1" applyFont="1" applyFill="1" applyBorder="1" applyAlignment="1" applyProtection="1">
      <alignment horizontal="right" vertical="top"/>
      <protection locked="0"/>
    </xf>
    <xf numFmtId="167" fontId="9" fillId="23" borderId="4" xfId="4" applyNumberFormat="1" applyFont="1" applyFill="1" applyBorder="1" applyProtection="1">
      <alignment vertical="top"/>
      <protection locked="0"/>
    </xf>
    <xf numFmtId="166" fontId="11" fillId="23" borderId="4" xfId="0" applyNumberFormat="1" applyFont="1" applyFill="1" applyBorder="1"/>
    <xf numFmtId="166" fontId="0" fillId="23" borderId="4" xfId="0" applyNumberFormat="1" applyFont="1" applyFill="1" applyBorder="1" applyProtection="1">
      <protection locked="0"/>
    </xf>
    <xf numFmtId="49" fontId="0" fillId="23" borderId="4" xfId="4" applyFont="1" applyFill="1" applyBorder="1" applyProtection="1">
      <alignment vertical="top"/>
      <protection locked="0"/>
    </xf>
    <xf numFmtId="171" fontId="0" fillId="23" borderId="4" xfId="0" applyNumberFormat="1" applyFont="1" applyFill="1" applyBorder="1" applyProtection="1">
      <protection locked="0"/>
    </xf>
    <xf numFmtId="2" fontId="0" fillId="23" borderId="4" xfId="0" applyNumberFormat="1" applyFont="1" applyFill="1" applyBorder="1" applyProtection="1">
      <protection locked="0"/>
    </xf>
    <xf numFmtId="2" fontId="0" fillId="23" borderId="4" xfId="0" applyNumberFormat="1" applyFont="1" applyFill="1" applyBorder="1"/>
    <xf numFmtId="2" fontId="0" fillId="24" borderId="4" xfId="0" applyNumberFormat="1" applyFont="1" applyFill="1" applyBorder="1" applyAlignment="1">
      <alignment horizontal="right"/>
    </xf>
    <xf numFmtId="0" fontId="0" fillId="22" borderId="4" xfId="0" applyFont="1" applyFill="1" applyBorder="1" applyAlignment="1">
      <alignment horizontal="right"/>
    </xf>
    <xf numFmtId="2" fontId="0" fillId="22" borderId="4" xfId="0" applyNumberFormat="1" applyFont="1" applyFill="1" applyBorder="1" applyAlignment="1">
      <alignment horizontal="right"/>
    </xf>
    <xf numFmtId="0" fontId="0" fillId="22" borderId="4" xfId="0" applyFont="1" applyFill="1" applyBorder="1"/>
    <xf numFmtId="3" fontId="0" fillId="23" borderId="4" xfId="1" applyNumberFormat="1" applyFont="1" applyFill="1" applyBorder="1" applyAlignment="1" applyProtection="1">
      <alignment vertical="top"/>
      <protection locked="0"/>
    </xf>
    <xf numFmtId="0" fontId="0" fillId="23" borderId="4" xfId="0" applyFont="1" applyFill="1" applyBorder="1"/>
    <xf numFmtId="3" fontId="0" fillId="24" borderId="4" xfId="1" applyNumberFormat="1" applyFont="1" applyFill="1" applyBorder="1" applyAlignment="1">
      <alignment vertical="top"/>
    </xf>
    <xf numFmtId="3" fontId="0" fillId="24" borderId="4" xfId="1" applyNumberFormat="1" applyFont="1" applyFill="1" applyBorder="1" applyAlignment="1" applyProtection="1">
      <alignment vertical="top"/>
    </xf>
    <xf numFmtId="3" fontId="13" fillId="24" borderId="4" xfId="1" applyNumberFormat="1" applyFont="1" applyFill="1" applyBorder="1" applyAlignment="1" applyProtection="1">
      <alignment vertical="top"/>
    </xf>
    <xf numFmtId="0" fontId="0" fillId="22" borderId="4" xfId="0" applyFont="1" applyFill="1" applyBorder="1" applyAlignment="1">
      <alignment vertical="top"/>
    </xf>
    <xf numFmtId="169" fontId="0" fillId="22" borderId="4" xfId="1" applyNumberFormat="1" applyFont="1" applyFill="1" applyBorder="1" applyAlignment="1">
      <alignment vertical="top"/>
    </xf>
    <xf numFmtId="0" fontId="0" fillId="23" borderId="4" xfId="0" applyFont="1" applyFill="1" applyBorder="1" applyAlignment="1">
      <alignment vertical="top"/>
    </xf>
    <xf numFmtId="0" fontId="0" fillId="22" borderId="22" xfId="5" applyFont="1" applyFill="1" applyBorder="1" applyAlignment="1">
      <alignment horizontal="right" vertical="top" wrapText="1"/>
    </xf>
    <xf numFmtId="0" fontId="0" fillId="22" borderId="11" xfId="5" applyFont="1" applyFill="1" applyBorder="1" applyAlignment="1">
      <alignment horizontal="right" vertical="top" wrapText="1"/>
    </xf>
    <xf numFmtId="0" fontId="0" fillId="22" borderId="12" xfId="5" applyFont="1" applyFill="1" applyBorder="1" applyAlignment="1">
      <alignment horizontal="right" vertical="top" wrapText="1"/>
    </xf>
    <xf numFmtId="0" fontId="0" fillId="22" borderId="34" xfId="5" applyFont="1" applyFill="1" applyBorder="1" applyAlignment="1">
      <alignment horizontal="right" vertical="top" wrapText="1"/>
    </xf>
    <xf numFmtId="0" fontId="0" fillId="22" borderId="24" xfId="5" applyFont="1" applyFill="1" applyBorder="1" applyAlignment="1">
      <alignment horizontal="right" vertical="top" wrapText="1"/>
    </xf>
    <xf numFmtId="0" fontId="0" fillId="22" borderId="25" xfId="5" applyFont="1" applyFill="1" applyBorder="1" applyAlignment="1">
      <alignment horizontal="right" vertical="top" wrapText="1"/>
    </xf>
    <xf numFmtId="3" fontId="0" fillId="22" borderId="22" xfId="8" applyNumberFormat="1" applyFont="1" applyFill="1" applyBorder="1" applyAlignment="1" applyProtection="1">
      <alignment vertical="top"/>
      <protection locked="0"/>
    </xf>
    <xf numFmtId="3" fontId="0" fillId="22" borderId="11" xfId="8" applyNumberFormat="1" applyFont="1" applyFill="1" applyBorder="1" applyAlignment="1" applyProtection="1">
      <alignment vertical="top"/>
      <protection locked="0"/>
    </xf>
    <xf numFmtId="3" fontId="0" fillId="22" borderId="12" xfId="8" applyNumberFormat="1" applyFont="1" applyFill="1" applyBorder="1" applyAlignment="1" applyProtection="1">
      <alignment vertical="top"/>
      <protection locked="0"/>
    </xf>
    <xf numFmtId="3" fontId="0" fillId="22" borderId="30" xfId="8" applyNumberFormat="1" applyFont="1" applyFill="1" applyBorder="1" applyAlignment="1" applyProtection="1">
      <alignment vertical="top"/>
      <protection locked="0"/>
    </xf>
    <xf numFmtId="3" fontId="0" fillId="22" borderId="4" xfId="8" applyNumberFormat="1" applyFont="1" applyFill="1" applyBorder="1" applyAlignment="1" applyProtection="1">
      <alignment vertical="top"/>
      <protection locked="0"/>
    </xf>
    <xf numFmtId="3" fontId="0" fillId="22" borderId="13" xfId="8" applyNumberFormat="1" applyFont="1" applyFill="1" applyBorder="1" applyAlignment="1" applyProtection="1">
      <alignment vertical="top"/>
      <protection locked="0"/>
    </xf>
    <xf numFmtId="3" fontId="0" fillId="22" borderId="23" xfId="8" applyNumberFormat="1" applyFont="1" applyFill="1" applyBorder="1" applyAlignment="1" applyProtection="1">
      <alignment vertical="top"/>
      <protection locked="0"/>
    </xf>
    <xf numFmtId="3" fontId="0" fillId="22" borderId="14" xfId="8" applyNumberFormat="1" applyFont="1" applyFill="1" applyBorder="1" applyAlignment="1" applyProtection="1">
      <alignment vertical="top"/>
      <protection locked="0"/>
    </xf>
    <xf numFmtId="3" fontId="0" fillId="22" borderId="15" xfId="8" applyNumberFormat="1" applyFont="1" applyFill="1" applyBorder="1" applyAlignment="1" applyProtection="1">
      <alignment vertical="top"/>
      <protection locked="0"/>
    </xf>
    <xf numFmtId="3" fontId="0" fillId="24" borderId="41" xfId="8" applyNumberFormat="1" applyFont="1" applyFill="1" applyBorder="1" applyAlignment="1">
      <alignment vertical="top"/>
    </xf>
    <xf numFmtId="3" fontId="0" fillId="24" borderId="42" xfId="8" applyNumberFormat="1" applyFont="1" applyFill="1" applyBorder="1" applyAlignment="1">
      <alignment vertical="top"/>
    </xf>
    <xf numFmtId="3" fontId="0" fillId="24" borderId="43" xfId="8" applyNumberFormat="1" applyFont="1" applyFill="1" applyBorder="1" applyAlignment="1">
      <alignment vertical="top"/>
    </xf>
    <xf numFmtId="0" fontId="0" fillId="24" borderId="22" xfId="5" applyFont="1" applyFill="1" applyBorder="1" applyAlignment="1">
      <alignment horizontal="right" vertical="top" wrapText="1"/>
    </xf>
    <xf numFmtId="0" fontId="0" fillId="24" borderId="11" xfId="5" applyFont="1" applyFill="1" applyBorder="1" applyAlignment="1">
      <alignment horizontal="right" vertical="top" wrapText="1"/>
    </xf>
    <xf numFmtId="0" fontId="0" fillId="24" borderId="12" xfId="5" applyFont="1" applyFill="1" applyBorder="1" applyAlignment="1">
      <alignment horizontal="right" vertical="top" wrapText="1"/>
    </xf>
    <xf numFmtId="0" fontId="0" fillId="24" borderId="23" xfId="5" applyFont="1" applyFill="1" applyBorder="1" applyAlignment="1">
      <alignment horizontal="right" vertical="top" wrapText="1"/>
    </xf>
    <xf numFmtId="0" fontId="0" fillId="24" borderId="14" xfId="5" applyFont="1" applyFill="1" applyBorder="1" applyAlignment="1">
      <alignment horizontal="right" vertical="top" wrapText="1"/>
    </xf>
    <xf numFmtId="0" fontId="0" fillId="24" borderId="15" xfId="5" applyFont="1" applyFill="1" applyBorder="1" applyAlignment="1">
      <alignment horizontal="right" vertical="top" wrapText="1"/>
    </xf>
    <xf numFmtId="0" fontId="11" fillId="22" borderId="22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vertical="center" wrapText="1"/>
    </xf>
    <xf numFmtId="169" fontId="11" fillId="22" borderId="11" xfId="1" applyNumberFormat="1" applyFont="1" applyFill="1" applyBorder="1" applyAlignment="1">
      <alignment vertical="center"/>
    </xf>
    <xf numFmtId="9" fontId="11" fillId="22" borderId="11" xfId="7" applyFont="1" applyFill="1" applyBorder="1" applyAlignment="1">
      <alignment vertical="center"/>
    </xf>
    <xf numFmtId="49" fontId="0" fillId="22" borderId="4" xfId="4" applyFont="1" applyFill="1" applyBorder="1" applyAlignment="1" applyProtection="1">
      <alignment vertical="top" wrapText="1"/>
      <protection locked="0"/>
    </xf>
    <xf numFmtId="169" fontId="0" fillId="22" borderId="2" xfId="1" applyNumberFormat="1" applyFont="1" applyFill="1" applyBorder="1"/>
    <xf numFmtId="170" fontId="11" fillId="22" borderId="4" xfId="1" applyNumberFormat="1" applyFont="1" applyFill="1" applyBorder="1"/>
    <xf numFmtId="169" fontId="0" fillId="22" borderId="4" xfId="1" applyNumberFormat="1" applyFont="1" applyFill="1" applyBorder="1"/>
    <xf numFmtId="49" fontId="11" fillId="22" borderId="69" xfId="0" applyNumberFormat="1" applyFont="1" applyFill="1" applyBorder="1" applyAlignment="1">
      <alignment horizontal="center" vertical="center"/>
    </xf>
    <xf numFmtId="170" fontId="0" fillId="22" borderId="4" xfId="1" applyNumberFormat="1" applyFont="1" applyFill="1" applyBorder="1"/>
    <xf numFmtId="170" fontId="11" fillId="22" borderId="14" xfId="1" applyNumberFormat="1" applyFont="1" applyFill="1" applyBorder="1"/>
    <xf numFmtId="169" fontId="0" fillId="22" borderId="14" xfId="1" applyNumberFormat="1" applyFont="1" applyFill="1" applyBorder="1"/>
    <xf numFmtId="3" fontId="11" fillId="24" borderId="75" xfId="0" applyNumberFormat="1" applyFont="1" applyFill="1" applyBorder="1" applyAlignment="1">
      <alignment horizontal="center"/>
    </xf>
    <xf numFmtId="169" fontId="11" fillId="24" borderId="67" xfId="1" applyNumberFormat="1" applyFont="1" applyFill="1" applyBorder="1" applyAlignment="1">
      <alignment vertical="center"/>
    </xf>
    <xf numFmtId="3" fontId="0" fillId="24" borderId="4" xfId="0" applyNumberFormat="1" applyFont="1" applyFill="1" applyBorder="1"/>
    <xf numFmtId="169" fontId="11" fillId="24" borderId="68" xfId="1" applyNumberFormat="1" applyFont="1" applyFill="1" applyBorder="1" applyAlignment="1">
      <alignment vertical="center"/>
    </xf>
    <xf numFmtId="9" fontId="11" fillId="24" borderId="67" xfId="7" applyFont="1" applyFill="1" applyBorder="1" applyAlignment="1">
      <alignment vertical="center"/>
    </xf>
    <xf numFmtId="165" fontId="11" fillId="24" borderId="11" xfId="0" applyNumberFormat="1" applyFont="1" applyFill="1" applyBorder="1" applyAlignment="1">
      <alignment horizontal="center" vertical="center"/>
    </xf>
    <xf numFmtId="169" fontId="0" fillId="24" borderId="4" xfId="1" applyNumberFormat="1" applyFont="1" applyFill="1" applyBorder="1"/>
    <xf numFmtId="169" fontId="11" fillId="24" borderId="11" xfId="1" applyNumberFormat="1" applyFont="1" applyFill="1" applyBorder="1" applyAlignment="1">
      <alignment vertical="center"/>
    </xf>
    <xf numFmtId="170" fontId="0" fillId="24" borderId="4" xfId="1" applyNumberFormat="1" applyFont="1" applyFill="1" applyBorder="1"/>
    <xf numFmtId="49" fontId="9" fillId="23" borderId="1" xfId="4" applyFont="1" applyFill="1" applyBorder="1" applyAlignment="1" applyProtection="1">
      <alignment horizontal="left" vertical="top"/>
      <protection locked="0"/>
    </xf>
    <xf numFmtId="0" fontId="9" fillId="23" borderId="4" xfId="4" applyNumberFormat="1" applyFont="1" applyFill="1" applyBorder="1" applyProtection="1">
      <alignment vertical="top"/>
      <protection locked="0"/>
    </xf>
    <xf numFmtId="49" fontId="9" fillId="23" borderId="1" xfId="4" applyFont="1" applyFill="1" applyBorder="1" applyAlignment="1" applyProtection="1">
      <alignment horizontal="left" vertical="top" wrapText="1"/>
      <protection locked="0"/>
    </xf>
    <xf numFmtId="49" fontId="9" fillId="23" borderId="4" xfId="4" applyFont="1" applyFill="1" applyBorder="1" applyProtection="1">
      <alignment vertical="top"/>
      <protection locked="0"/>
    </xf>
    <xf numFmtId="49" fontId="0" fillId="22" borderId="27" xfId="4" applyFont="1" applyFill="1" applyBorder="1">
      <alignment vertical="top"/>
    </xf>
    <xf numFmtId="49" fontId="0" fillId="22" borderId="11" xfId="4" applyFont="1" applyFill="1" applyBorder="1">
      <alignment vertical="top"/>
    </xf>
    <xf numFmtId="49" fontId="0" fillId="22" borderId="12" xfId="4" applyFont="1" applyFill="1" applyBorder="1">
      <alignment vertical="top"/>
    </xf>
    <xf numFmtId="49" fontId="0" fillId="22" borderId="3" xfId="4" applyFont="1" applyFill="1" applyBorder="1">
      <alignment vertical="top"/>
    </xf>
    <xf numFmtId="49" fontId="0" fillId="22" borderId="4" xfId="4" applyFont="1" applyFill="1" applyBorder="1">
      <alignment vertical="top"/>
    </xf>
    <xf numFmtId="49" fontId="0" fillId="22" borderId="13" xfId="4" applyFont="1" applyFill="1" applyBorder="1">
      <alignment vertical="top"/>
    </xf>
    <xf numFmtId="49" fontId="0" fillId="22" borderId="3" xfId="4" applyFont="1" applyFill="1" applyBorder="1" applyAlignment="1" applyProtection="1">
      <alignment vertical="top" wrapText="1"/>
      <protection locked="0"/>
    </xf>
    <xf numFmtId="49" fontId="0" fillId="22" borderId="13" xfId="4" applyFont="1" applyFill="1" applyBorder="1" applyAlignment="1" applyProtection="1">
      <alignment vertical="top" wrapText="1"/>
      <protection locked="0"/>
    </xf>
    <xf numFmtId="3" fontId="0" fillId="22" borderId="4" xfId="4" applyNumberFormat="1" applyFont="1" applyFill="1" applyBorder="1">
      <alignment vertical="top"/>
    </xf>
    <xf numFmtId="3" fontId="0" fillId="23" borderId="3" xfId="4" applyNumberFormat="1" applyFont="1" applyFill="1" applyBorder="1">
      <alignment vertical="top"/>
    </xf>
    <xf numFmtId="3" fontId="0" fillId="23" borderId="4" xfId="4" applyNumberFormat="1" applyFont="1" applyFill="1" applyBorder="1">
      <alignment vertical="top"/>
    </xf>
    <xf numFmtId="3" fontId="0" fillId="23" borderId="13" xfId="4" applyNumberFormat="1" applyFont="1" applyFill="1" applyBorder="1">
      <alignment vertical="top"/>
    </xf>
    <xf numFmtId="0" fontId="0" fillId="23" borderId="3" xfId="1" applyNumberFormat="1" applyFont="1" applyFill="1" applyBorder="1" applyAlignment="1">
      <alignment vertical="top"/>
    </xf>
    <xf numFmtId="0" fontId="0" fillId="23" borderId="4" xfId="1" applyNumberFormat="1" applyFont="1" applyFill="1" applyBorder="1" applyAlignment="1">
      <alignment vertical="top"/>
    </xf>
    <xf numFmtId="0" fontId="0" fillId="23" borderId="13" xfId="1" applyNumberFormat="1" applyFont="1" applyFill="1" applyBorder="1" applyAlignment="1">
      <alignment vertical="top"/>
    </xf>
    <xf numFmtId="14" fontId="0" fillId="23" borderId="16" xfId="1" applyNumberFormat="1" applyFont="1" applyFill="1" applyBorder="1" applyAlignment="1">
      <alignment vertical="top"/>
    </xf>
    <xf numFmtId="14" fontId="0" fillId="23" borderId="80" xfId="1" applyNumberFormat="1" applyFont="1" applyFill="1" applyBorder="1" applyAlignment="1">
      <alignment vertical="top"/>
    </xf>
    <xf numFmtId="3" fontId="0" fillId="24" borderId="12" xfId="4" applyNumberFormat="1" applyFont="1" applyFill="1" applyBorder="1">
      <alignment vertical="top"/>
    </xf>
    <xf numFmtId="3" fontId="0" fillId="24" borderId="4" xfId="4" applyNumberFormat="1" applyFont="1" applyFill="1" applyBorder="1">
      <alignment vertical="top"/>
    </xf>
    <xf numFmtId="3" fontId="0" fillId="24" borderId="13" xfId="4" applyNumberFormat="1" applyFont="1" applyFill="1" applyBorder="1">
      <alignment vertical="top"/>
    </xf>
    <xf numFmtId="9" fontId="0" fillId="24" borderId="13" xfId="7" applyFont="1" applyFill="1" applyBorder="1" applyAlignment="1">
      <alignment vertical="top"/>
    </xf>
    <xf numFmtId="0" fontId="0" fillId="24" borderId="0" xfId="0" applyFont="1" applyFill="1"/>
    <xf numFmtId="3" fontId="0" fillId="22" borderId="22" xfId="4" applyNumberFormat="1" applyFont="1" applyFill="1" applyBorder="1">
      <alignment vertical="top"/>
    </xf>
    <xf numFmtId="3" fontId="0" fillId="22" borderId="27" xfId="4" applyNumberFormat="1" applyFont="1" applyFill="1" applyBorder="1">
      <alignment vertical="top"/>
    </xf>
    <xf numFmtId="3" fontId="0" fillId="22" borderId="11" xfId="4" applyNumberFormat="1" applyFont="1" applyFill="1" applyBorder="1">
      <alignment vertical="top"/>
    </xf>
    <xf numFmtId="3" fontId="0" fillId="22" borderId="12" xfId="4" applyNumberFormat="1" applyFont="1" applyFill="1" applyBorder="1">
      <alignment vertical="top"/>
    </xf>
    <xf numFmtId="3" fontId="0" fillId="22" borderId="13" xfId="4" applyNumberFormat="1" applyFont="1" applyFill="1" applyBorder="1">
      <alignment vertical="top"/>
    </xf>
    <xf numFmtId="168" fontId="0" fillId="22" borderId="4" xfId="7" applyNumberFormat="1" applyFont="1" applyFill="1" applyBorder="1" applyAlignment="1">
      <alignment vertical="top"/>
    </xf>
    <xf numFmtId="168" fontId="0" fillId="22" borderId="13" xfId="7" applyNumberFormat="1" applyFont="1" applyFill="1" applyBorder="1" applyAlignment="1">
      <alignment vertical="top"/>
    </xf>
    <xf numFmtId="168" fontId="0" fillId="22" borderId="30" xfId="7" applyNumberFormat="1" applyFont="1" applyFill="1" applyBorder="1" applyAlignment="1">
      <alignment vertical="top"/>
    </xf>
    <xf numFmtId="168" fontId="0" fillId="22" borderId="3" xfId="7" applyNumberFormat="1" applyFont="1" applyFill="1" applyBorder="1" applyAlignment="1">
      <alignment vertical="top"/>
    </xf>
    <xf numFmtId="9" fontId="0" fillId="22" borderId="30" xfId="7" applyFont="1" applyFill="1" applyBorder="1" applyAlignment="1">
      <alignment vertical="top"/>
    </xf>
    <xf numFmtId="9" fontId="0" fillId="22" borderId="3" xfId="7" applyFont="1" applyFill="1" applyBorder="1" applyAlignment="1">
      <alignment vertical="top"/>
    </xf>
    <xf numFmtId="9" fontId="0" fillId="22" borderId="23" xfId="7" applyFont="1" applyFill="1" applyBorder="1" applyAlignment="1">
      <alignment vertical="top"/>
    </xf>
    <xf numFmtId="9" fontId="0" fillId="22" borderId="16" xfId="7" applyFont="1" applyFill="1" applyBorder="1" applyAlignment="1">
      <alignment vertical="top"/>
    </xf>
    <xf numFmtId="9" fontId="0" fillId="22" borderId="4" xfId="7" applyFont="1" applyFill="1" applyBorder="1" applyAlignment="1">
      <alignment vertical="top"/>
    </xf>
    <xf numFmtId="9" fontId="0" fillId="22" borderId="13" xfId="7" applyFont="1" applyFill="1" applyBorder="1" applyAlignment="1">
      <alignment vertical="top"/>
    </xf>
    <xf numFmtId="9" fontId="0" fillId="22" borderId="14" xfId="7" applyFont="1" applyFill="1" applyBorder="1" applyAlignment="1">
      <alignment vertical="top"/>
    </xf>
    <xf numFmtId="9" fontId="0" fillId="22" borderId="15" xfId="7" applyFont="1" applyFill="1" applyBorder="1" applyAlignment="1">
      <alignment vertical="top"/>
    </xf>
    <xf numFmtId="0" fontId="0" fillId="22" borderId="0" xfId="0" applyFont="1" applyFill="1"/>
    <xf numFmtId="9" fontId="0" fillId="22" borderId="27" xfId="7" applyFont="1" applyFill="1" applyBorder="1" applyAlignment="1">
      <alignment horizontal="right" vertical="top"/>
    </xf>
    <xf numFmtId="9" fontId="0" fillId="22" borderId="11" xfId="7" applyFont="1" applyFill="1" applyBorder="1" applyAlignment="1">
      <alignment horizontal="right" vertical="top"/>
    </xf>
    <xf numFmtId="9" fontId="0" fillId="22" borderId="12" xfId="7" applyFont="1" applyFill="1" applyBorder="1" applyAlignment="1">
      <alignment horizontal="right" vertical="top"/>
    </xf>
    <xf numFmtId="49" fontId="0" fillId="22" borderId="22" xfId="4" applyFont="1" applyFill="1" applyBorder="1" applyAlignment="1">
      <alignment horizontal="right" vertical="top"/>
    </xf>
    <xf numFmtId="49" fontId="0" fillId="22" borderId="27" xfId="4" applyFont="1" applyFill="1" applyBorder="1" applyAlignment="1">
      <alignment horizontal="right" vertical="top"/>
    </xf>
    <xf numFmtId="49" fontId="0" fillId="22" borderId="23" xfId="4" applyFont="1" applyFill="1" applyBorder="1" applyAlignment="1">
      <alignment horizontal="right" vertical="top"/>
    </xf>
    <xf numFmtId="49" fontId="0" fillId="22" borderId="16" xfId="4" applyFont="1" applyFill="1" applyBorder="1" applyAlignment="1">
      <alignment horizontal="right" vertical="top"/>
    </xf>
    <xf numFmtId="49" fontId="0" fillId="22" borderId="11" xfId="4" applyFont="1" applyFill="1" applyBorder="1" applyAlignment="1">
      <alignment horizontal="right" vertical="top"/>
    </xf>
    <xf numFmtId="49" fontId="0" fillId="22" borderId="12" xfId="4" applyFont="1" applyFill="1" applyBorder="1" applyAlignment="1">
      <alignment horizontal="right" vertical="top"/>
    </xf>
    <xf numFmtId="49" fontId="0" fillId="22" borderId="14" xfId="4" applyFont="1" applyFill="1" applyBorder="1" applyAlignment="1">
      <alignment horizontal="right" vertical="top"/>
    </xf>
    <xf numFmtId="49" fontId="0" fillId="22" borderId="15" xfId="4" applyFont="1" applyFill="1" applyBorder="1" applyAlignment="1">
      <alignment horizontal="right" vertical="top"/>
    </xf>
    <xf numFmtId="3" fontId="0" fillId="24" borderId="30" xfId="4" applyNumberFormat="1" applyFont="1" applyFill="1" applyBorder="1">
      <alignment vertical="top"/>
    </xf>
    <xf numFmtId="9" fontId="0" fillId="24" borderId="43" xfId="7" applyFont="1" applyFill="1" applyBorder="1" applyAlignment="1">
      <alignment vertical="top"/>
    </xf>
    <xf numFmtId="3" fontId="0" fillId="23" borderId="30" xfId="4" applyNumberFormat="1" applyFont="1" applyFill="1" applyBorder="1">
      <alignment vertical="top"/>
    </xf>
    <xf numFmtId="9" fontId="0" fillId="23" borderId="3" xfId="7" applyFont="1" applyFill="1" applyBorder="1" applyAlignment="1">
      <alignment horizontal="right" vertical="top"/>
    </xf>
    <xf numFmtId="9" fontId="0" fillId="23" borderId="4" xfId="7" applyFont="1" applyFill="1" applyBorder="1" applyAlignment="1">
      <alignment horizontal="right" vertical="top"/>
    </xf>
    <xf numFmtId="9" fontId="0" fillId="23" borderId="13" xfId="7" applyFont="1" applyFill="1" applyBorder="1" applyAlignment="1">
      <alignment horizontal="right" vertical="top"/>
    </xf>
    <xf numFmtId="1" fontId="0" fillId="23" borderId="22" xfId="1" applyNumberFormat="1" applyFont="1" applyFill="1" applyBorder="1" applyAlignment="1">
      <alignment horizontal="right" vertical="top"/>
    </xf>
    <xf numFmtId="1" fontId="0" fillId="23" borderId="27" xfId="1" applyNumberFormat="1" applyFont="1" applyFill="1" applyBorder="1" applyAlignment="1">
      <alignment horizontal="right" vertical="top"/>
    </xf>
    <xf numFmtId="1" fontId="0" fillId="23" borderId="30" xfId="1" applyNumberFormat="1" applyFont="1" applyFill="1" applyBorder="1" applyAlignment="1">
      <alignment horizontal="right" vertical="top"/>
    </xf>
    <xf numFmtId="1" fontId="0" fillId="23" borderId="3" xfId="1" applyNumberFormat="1" applyFont="1" applyFill="1" applyBorder="1" applyAlignment="1">
      <alignment horizontal="right" vertical="top"/>
    </xf>
    <xf numFmtId="165" fontId="0" fillId="23" borderId="23" xfId="1" applyNumberFormat="1" applyFont="1" applyFill="1" applyBorder="1" applyAlignment="1">
      <alignment horizontal="right" vertical="top"/>
    </xf>
    <xf numFmtId="165" fontId="0" fillId="23" borderId="16" xfId="1" applyNumberFormat="1" applyFont="1" applyFill="1" applyBorder="1" applyAlignment="1">
      <alignment horizontal="right" vertical="top"/>
    </xf>
    <xf numFmtId="1" fontId="0" fillId="23" borderId="11" xfId="1" applyNumberFormat="1" applyFont="1" applyFill="1" applyBorder="1" applyAlignment="1">
      <alignment horizontal="right" vertical="top"/>
    </xf>
    <xf numFmtId="1" fontId="0" fillId="23" borderId="12" xfId="1" applyNumberFormat="1" applyFont="1" applyFill="1" applyBorder="1" applyAlignment="1">
      <alignment horizontal="right" vertical="top"/>
    </xf>
    <xf numFmtId="1" fontId="0" fillId="23" borderId="4" xfId="1" applyNumberFormat="1" applyFont="1" applyFill="1" applyBorder="1" applyAlignment="1">
      <alignment horizontal="right" vertical="top"/>
    </xf>
    <xf numFmtId="1" fontId="0" fillId="23" borderId="13" xfId="1" applyNumberFormat="1" applyFont="1" applyFill="1" applyBorder="1" applyAlignment="1">
      <alignment horizontal="right" vertical="top"/>
    </xf>
    <xf numFmtId="165" fontId="0" fillId="23" borderId="14" xfId="1" applyNumberFormat="1" applyFont="1" applyFill="1" applyBorder="1" applyAlignment="1">
      <alignment horizontal="right" vertical="top"/>
    </xf>
    <xf numFmtId="165" fontId="0" fillId="23" borderId="15" xfId="1" applyNumberFormat="1" applyFont="1" applyFill="1" applyBorder="1" applyAlignment="1">
      <alignment horizontal="right" vertical="top"/>
    </xf>
    <xf numFmtId="9" fontId="0" fillId="23" borderId="41" xfId="7" applyFont="1" applyFill="1" applyBorder="1" applyAlignment="1">
      <alignment vertical="top"/>
    </xf>
    <xf numFmtId="9" fontId="0" fillId="23" borderId="44" xfId="7" applyFont="1" applyFill="1" applyBorder="1" applyAlignment="1">
      <alignment vertical="top"/>
    </xf>
    <xf numFmtId="9" fontId="0" fillId="23" borderId="42" xfId="7" applyFont="1" applyFill="1" applyBorder="1" applyAlignment="1">
      <alignment vertical="top"/>
    </xf>
    <xf numFmtId="9" fontId="0" fillId="23" borderId="43" xfId="7" applyFont="1" applyFill="1" applyBorder="1" applyAlignment="1">
      <alignment vertical="top"/>
    </xf>
    <xf numFmtId="3" fontId="0" fillId="24" borderId="4" xfId="5" applyNumberFormat="1" applyFont="1" applyFill="1" applyBorder="1">
      <alignment vertical="top"/>
    </xf>
    <xf numFmtId="3" fontId="0" fillId="24" borderId="14" xfId="5" applyNumberFormat="1" applyFont="1" applyFill="1" applyBorder="1">
      <alignment vertical="top"/>
    </xf>
    <xf numFmtId="3" fontId="0" fillId="24" borderId="30" xfId="5" applyNumberFormat="1" applyFont="1" applyFill="1" applyBorder="1">
      <alignment vertical="top"/>
    </xf>
    <xf numFmtId="3" fontId="0" fillId="24" borderId="23" xfId="5" applyNumberFormat="1" applyFont="1" applyFill="1" applyBorder="1">
      <alignment vertical="top"/>
    </xf>
    <xf numFmtId="3" fontId="0" fillId="24" borderId="13" xfId="5" applyNumberFormat="1" applyFont="1" applyFill="1" applyBorder="1">
      <alignment vertical="top"/>
    </xf>
    <xf numFmtId="3" fontId="0" fillId="24" borderId="11" xfId="5" applyNumberFormat="1" applyFont="1" applyFill="1" applyBorder="1">
      <alignment vertical="top"/>
    </xf>
    <xf numFmtId="3" fontId="0" fillId="24" borderId="12" xfId="5" applyNumberFormat="1" applyFont="1" applyFill="1" applyBorder="1">
      <alignment vertical="top"/>
    </xf>
    <xf numFmtId="3" fontId="0" fillId="24" borderId="15" xfId="5" applyNumberFormat="1" applyFont="1" applyFill="1" applyBorder="1">
      <alignment vertical="top"/>
    </xf>
    <xf numFmtId="169" fontId="0" fillId="24" borderId="16" xfId="1" applyNumberFormat="1" applyFont="1" applyFill="1" applyBorder="1" applyAlignment="1">
      <alignment vertical="top"/>
    </xf>
    <xf numFmtId="169" fontId="0" fillId="24" borderId="14" xfId="1" applyNumberFormat="1" applyFont="1" applyFill="1" applyBorder="1" applyAlignment="1">
      <alignment vertical="top"/>
    </xf>
    <xf numFmtId="169" fontId="0" fillId="24" borderId="15" xfId="1" applyNumberFormat="1" applyFont="1" applyFill="1" applyBorder="1" applyAlignment="1">
      <alignment vertical="top"/>
    </xf>
    <xf numFmtId="3" fontId="11" fillId="24" borderId="3" xfId="0" applyNumberFormat="1" applyFont="1" applyFill="1" applyBorder="1"/>
    <xf numFmtId="3" fontId="11" fillId="24" borderId="16" xfId="0" applyNumberFormat="1" applyFont="1" applyFill="1" applyBorder="1"/>
    <xf numFmtId="0" fontId="11" fillId="24" borderId="13" xfId="0" applyFont="1" applyFill="1" applyBorder="1"/>
    <xf numFmtId="0" fontId="11" fillId="24" borderId="15" xfId="0" applyFont="1" applyFill="1" applyBorder="1"/>
    <xf numFmtId="2" fontId="11" fillId="24" borderId="4" xfId="0" applyNumberFormat="1" applyFont="1" applyFill="1" applyBorder="1" applyAlignment="1">
      <alignment horizontal="center" vertical="top" wrapText="1"/>
    </xf>
    <xf numFmtId="169" fontId="11" fillId="24" borderId="4" xfId="1" applyNumberFormat="1" applyFont="1" applyFill="1" applyBorder="1" applyAlignment="1">
      <alignment horizontal="center" vertical="top" wrapText="1"/>
    </xf>
    <xf numFmtId="169" fontId="10" fillId="24" borderId="4" xfId="1" applyNumberFormat="1" applyFont="1" applyFill="1" applyBorder="1" applyAlignment="1">
      <alignment horizontal="center" vertical="top" wrapText="1"/>
    </xf>
    <xf numFmtId="169" fontId="11" fillId="22" borderId="4" xfId="1" applyNumberFormat="1" applyFont="1" applyFill="1" applyBorder="1" applyAlignment="1">
      <alignment horizontal="center" vertical="top" wrapText="1"/>
    </xf>
    <xf numFmtId="165" fontId="11" fillId="22" borderId="4" xfId="0" applyNumberFormat="1" applyFont="1" applyFill="1" applyBorder="1" applyAlignment="1">
      <alignment horizontal="center" vertical="top" wrapText="1"/>
    </xf>
    <xf numFmtId="0" fontId="11" fillId="22" borderId="4" xfId="0" applyFont="1" applyFill="1" applyBorder="1" applyAlignment="1">
      <alignment horizontal="center" vertical="top" wrapText="1"/>
    </xf>
    <xf numFmtId="9" fontId="11" fillId="23" borderId="4" xfId="7" applyFont="1" applyFill="1" applyBorder="1" applyAlignment="1">
      <alignment horizontal="center" vertical="top" wrapText="1"/>
    </xf>
    <xf numFmtId="0" fontId="11" fillId="23" borderId="4" xfId="0" applyFont="1" applyFill="1" applyBorder="1" applyAlignment="1">
      <alignment horizontal="center" vertical="top" wrapText="1"/>
    </xf>
    <xf numFmtId="0" fontId="11" fillId="23" borderId="4" xfId="0" applyNumberFormat="1" applyFont="1" applyFill="1" applyBorder="1" applyAlignment="1" applyProtection="1">
      <alignment horizontal="center" vertical="top" wrapText="1"/>
    </xf>
    <xf numFmtId="49" fontId="0" fillId="22" borderId="4" xfId="4" applyFont="1" applyFill="1" applyBorder="1" applyAlignment="1">
      <alignment vertical="top" wrapText="1"/>
    </xf>
    <xf numFmtId="0" fontId="0" fillId="23" borderId="4" xfId="4" applyNumberFormat="1" applyFont="1" applyFill="1" applyBorder="1">
      <alignment vertical="top"/>
    </xf>
    <xf numFmtId="0" fontId="0" fillId="24" borderId="4" xfId="4" applyNumberFormat="1" applyFont="1" applyFill="1" applyBorder="1">
      <alignment vertical="top"/>
    </xf>
    <xf numFmtId="3" fontId="0" fillId="24" borderId="64" xfId="4" applyNumberFormat="1" applyFont="1" applyFill="1" applyBorder="1">
      <alignment vertical="top"/>
    </xf>
    <xf numFmtId="9" fontId="0" fillId="24" borderId="65" xfId="7" applyFont="1" applyFill="1" applyBorder="1" applyAlignment="1">
      <alignment vertical="top"/>
    </xf>
    <xf numFmtId="3" fontId="0" fillId="24" borderId="34" xfId="4" applyNumberFormat="1" applyFont="1" applyFill="1" applyBorder="1">
      <alignment vertical="top"/>
    </xf>
    <xf numFmtId="9" fontId="0" fillId="24" borderId="25" xfId="7" applyFont="1" applyFill="1" applyBorder="1" applyAlignment="1">
      <alignment vertical="top"/>
    </xf>
    <xf numFmtId="3" fontId="0" fillId="24" borderId="41" xfId="4" applyNumberFormat="1" applyFont="1" applyFill="1" applyBorder="1">
      <alignment vertical="top"/>
    </xf>
    <xf numFmtId="3" fontId="0" fillId="24" borderId="15" xfId="4" applyNumberFormat="1" applyFont="1" applyFill="1" applyBorder="1">
      <alignment vertical="top"/>
    </xf>
    <xf numFmtId="9" fontId="11" fillId="22" borderId="1" xfId="7" applyFont="1" applyFill="1" applyBorder="1"/>
    <xf numFmtId="3" fontId="0" fillId="22" borderId="4" xfId="1" applyNumberFormat="1" applyFont="1" applyFill="1" applyBorder="1" applyAlignment="1">
      <alignment horizontal="right" vertical="top"/>
    </xf>
    <xf numFmtId="1" fontId="0" fillId="24" borderId="4" xfId="0" applyNumberFormat="1" applyFont="1" applyFill="1" applyBorder="1"/>
    <xf numFmtId="3" fontId="0" fillId="24" borderId="4" xfId="1" applyNumberFormat="1" applyFont="1" applyFill="1" applyBorder="1" applyAlignment="1">
      <alignment horizontal="right" vertical="top"/>
    </xf>
    <xf numFmtId="0" fontId="0" fillId="24" borderId="24" xfId="0" applyFont="1" applyFill="1" applyBorder="1"/>
    <xf numFmtId="0" fontId="0" fillId="24" borderId="93" xfId="0" applyFont="1" applyFill="1" applyBorder="1"/>
    <xf numFmtId="0" fontId="0" fillId="24" borderId="94" xfId="0" applyFont="1" applyFill="1" applyBorder="1"/>
    <xf numFmtId="0" fontId="0" fillId="24" borderId="4" xfId="0" applyFont="1" applyFill="1" applyBorder="1"/>
    <xf numFmtId="171" fontId="0" fillId="24" borderId="4" xfId="0" applyNumberFormat="1" applyFont="1" applyFill="1" applyBorder="1"/>
    <xf numFmtId="0" fontId="0" fillId="22" borderId="19" xfId="0" applyFont="1" applyFill="1" applyBorder="1"/>
    <xf numFmtId="171" fontId="0" fillId="22" borderId="4" xfId="0" applyNumberFormat="1" applyFont="1" applyFill="1" applyBorder="1"/>
    <xf numFmtId="1" fontId="11" fillId="23" borderId="4" xfId="0" applyNumberFormat="1" applyFont="1" applyFill="1" applyBorder="1" applyAlignment="1">
      <alignment horizontal="center" vertical="top" wrapText="1"/>
    </xf>
    <xf numFmtId="0" fontId="10" fillId="23" borderId="4" xfId="0" applyFont="1" applyFill="1" applyBorder="1" applyAlignment="1">
      <alignment horizontal="center" vertical="top" wrapText="1"/>
    </xf>
    <xf numFmtId="1" fontId="11" fillId="24" borderId="4" xfId="0" applyNumberFormat="1" applyFont="1" applyFill="1" applyBorder="1" applyAlignment="1">
      <alignment horizontal="center" vertical="top" wrapText="1"/>
    </xf>
    <xf numFmtId="1" fontId="10" fillId="24" borderId="4" xfId="0" applyNumberFormat="1" applyFont="1" applyFill="1" applyBorder="1" applyAlignment="1">
      <alignment horizontal="center" vertical="top" wrapText="1"/>
    </xf>
    <xf numFmtId="9" fontId="10" fillId="24" borderId="4" xfId="7" applyFont="1" applyFill="1" applyBorder="1" applyAlignment="1">
      <alignment horizontal="center" vertical="top" wrapText="1"/>
    </xf>
    <xf numFmtId="4" fontId="0" fillId="22" borderId="4" xfId="4" applyNumberFormat="1" applyFont="1" applyFill="1" applyBorder="1">
      <alignment vertical="top"/>
    </xf>
    <xf numFmtId="49" fontId="11" fillId="22" borderId="27" xfId="0" applyNumberFormat="1" applyFont="1" applyFill="1" applyBorder="1" applyAlignment="1">
      <alignment horizontal="center" vertical="center"/>
    </xf>
    <xf numFmtId="165" fontId="11" fillId="25" borderId="56" xfId="0" applyNumberFormat="1" applyFont="1" applyFill="1" applyBorder="1" applyAlignment="1">
      <alignment horizontal="right" vertical="center"/>
    </xf>
    <xf numFmtId="165" fontId="11" fillId="25" borderId="36" xfId="0" applyNumberFormat="1" applyFont="1" applyFill="1" applyBorder="1" applyAlignment="1">
      <alignment horizontal="right" vertical="center"/>
    </xf>
    <xf numFmtId="169" fontId="11" fillId="25" borderId="36" xfId="1" applyNumberFormat="1" applyFont="1" applyFill="1" applyBorder="1" applyAlignment="1">
      <alignment horizontal="right" vertical="center"/>
    </xf>
    <xf numFmtId="1" fontId="11" fillId="25" borderId="47" xfId="0" applyNumberFormat="1" applyFont="1" applyFill="1" applyBorder="1" applyAlignment="1">
      <alignment horizontal="right" vertical="center"/>
    </xf>
    <xf numFmtId="165" fontId="11" fillId="25" borderId="51" xfId="0" applyNumberFormat="1" applyFont="1" applyFill="1" applyBorder="1" applyAlignment="1">
      <alignment horizontal="right" vertical="center"/>
    </xf>
    <xf numFmtId="165" fontId="11" fillId="25" borderId="53" xfId="0" applyNumberFormat="1" applyFont="1" applyFill="1" applyBorder="1" applyAlignment="1">
      <alignment horizontal="right" vertical="center"/>
    </xf>
    <xf numFmtId="165" fontId="11" fillId="22" borderId="47" xfId="0" applyNumberFormat="1" applyFont="1" applyFill="1" applyBorder="1"/>
    <xf numFmtId="169" fontId="11" fillId="26" borderId="36" xfId="1" applyNumberFormat="1" applyFont="1" applyFill="1" applyBorder="1" applyAlignment="1">
      <alignment horizontal="right" vertical="center"/>
    </xf>
    <xf numFmtId="169" fontId="11" fillId="26" borderId="57" xfId="1" applyNumberFormat="1" applyFont="1" applyFill="1" applyBorder="1" applyAlignment="1">
      <alignment horizontal="right" vertical="center"/>
    </xf>
    <xf numFmtId="169" fontId="11" fillId="26" borderId="50" xfId="1" applyNumberFormat="1" applyFont="1" applyFill="1" applyBorder="1" applyAlignment="1">
      <alignment horizontal="right" vertical="center"/>
    </xf>
    <xf numFmtId="169" fontId="11" fillId="26" borderId="52" xfId="1" applyNumberFormat="1" applyFont="1" applyFill="1" applyBorder="1" applyAlignment="1">
      <alignment horizontal="right" vertical="center"/>
    </xf>
    <xf numFmtId="165" fontId="11" fillId="24" borderId="50" xfId="0" applyNumberFormat="1" applyFont="1" applyFill="1" applyBorder="1"/>
    <xf numFmtId="165" fontId="11" fillId="26" borderId="47" xfId="0" applyNumberFormat="1" applyFont="1" applyFill="1" applyBorder="1" applyAlignment="1">
      <alignment vertical="center"/>
    </xf>
    <xf numFmtId="165" fontId="11" fillId="26" borderId="56" xfId="0" applyNumberFormat="1" applyFont="1" applyFill="1" applyBorder="1" applyAlignment="1">
      <alignment vertical="center"/>
    </xf>
    <xf numFmtId="1" fontId="11" fillId="26" borderId="56" xfId="0" applyNumberFormat="1" applyFont="1" applyFill="1" applyBorder="1" applyAlignment="1">
      <alignment vertical="center"/>
    </xf>
    <xf numFmtId="169" fontId="11" fillId="26" borderId="48" xfId="1" applyNumberFormat="1" applyFont="1" applyFill="1" applyBorder="1" applyAlignment="1">
      <alignment vertical="center"/>
    </xf>
    <xf numFmtId="165" fontId="11" fillId="26" borderId="52" xfId="0" applyNumberFormat="1" applyFont="1" applyFill="1" applyBorder="1" applyAlignment="1">
      <alignment vertical="center"/>
    </xf>
    <xf numFmtId="165" fontId="11" fillId="26" borderId="57" xfId="0" applyNumberFormat="1" applyFont="1" applyFill="1" applyBorder="1" applyAlignment="1">
      <alignment vertical="center"/>
    </xf>
    <xf numFmtId="1" fontId="11" fillId="26" borderId="57" xfId="0" applyNumberFormat="1" applyFont="1" applyFill="1" applyBorder="1" applyAlignment="1">
      <alignment vertical="center"/>
    </xf>
    <xf numFmtId="169" fontId="11" fillId="26" borderId="53" xfId="1" applyNumberFormat="1" applyFont="1" applyFill="1" applyBorder="1" applyAlignment="1">
      <alignment vertical="center"/>
    </xf>
    <xf numFmtId="0" fontId="0" fillId="23" borderId="4" xfId="0" applyFont="1" applyFill="1" applyBorder="1" applyAlignment="1">
      <alignment wrapText="1"/>
    </xf>
    <xf numFmtId="0" fontId="0" fillId="12" borderId="32" xfId="0" applyFont="1" applyFill="1" applyBorder="1" applyAlignment="1">
      <alignment wrapText="1"/>
    </xf>
    <xf numFmtId="0" fontId="0" fillId="12" borderId="21" xfId="0" applyFont="1" applyFill="1" applyBorder="1" applyAlignment="1">
      <alignment wrapText="1"/>
    </xf>
    <xf numFmtId="0" fontId="28" fillId="0" borderId="0" xfId="0" applyFont="1"/>
    <xf numFmtId="0" fontId="3" fillId="0" borderId="0" xfId="0" applyFont="1"/>
    <xf numFmtId="49" fontId="28" fillId="0" borderId="0" xfId="6" applyFont="1"/>
    <xf numFmtId="49" fontId="29" fillId="10" borderId="4" xfId="4" applyFont="1" applyFill="1" applyBorder="1" applyAlignment="1" applyProtection="1">
      <alignment vertical="top" wrapText="1"/>
      <protection locked="0"/>
    </xf>
    <xf numFmtId="0" fontId="22" fillId="0" borderId="0" xfId="0" applyFont="1" applyFill="1"/>
    <xf numFmtId="0" fontId="0" fillId="0" borderId="0" xfId="0" applyFont="1" applyFill="1" applyAlignment="1"/>
    <xf numFmtId="0" fontId="0" fillId="27" borderId="4" xfId="0" applyFont="1" applyFill="1" applyBorder="1"/>
    <xf numFmtId="0" fontId="0" fillId="27" borderId="4" xfId="0" applyFont="1" applyFill="1" applyBorder="1" applyProtection="1"/>
    <xf numFmtId="3" fontId="13" fillId="27" borderId="4" xfId="1" applyNumberFormat="1" applyFont="1" applyFill="1" applyBorder="1" applyAlignment="1" applyProtection="1">
      <alignment vertical="top"/>
    </xf>
    <xf numFmtId="165" fontId="11" fillId="24" borderId="33" xfId="0" applyNumberFormat="1" applyFont="1" applyFill="1" applyBorder="1" applyAlignment="1">
      <alignment horizontal="center" vertical="center"/>
    </xf>
    <xf numFmtId="1" fontId="11" fillId="23" borderId="11" xfId="0" applyNumberFormat="1" applyFont="1" applyFill="1" applyBorder="1" applyAlignment="1">
      <alignment horizontal="center" vertical="center"/>
    </xf>
    <xf numFmtId="0" fontId="0" fillId="23" borderId="24" xfId="0" applyFont="1" applyFill="1" applyBorder="1" applyAlignment="1">
      <alignment horizontal="center"/>
    </xf>
    <xf numFmtId="0" fontId="0" fillId="23" borderId="4" xfId="0" applyFont="1" applyFill="1" applyBorder="1" applyAlignment="1">
      <alignment horizontal="center"/>
    </xf>
    <xf numFmtId="0" fontId="0" fillId="23" borderId="32" xfId="0" applyFont="1" applyFill="1" applyBorder="1" applyAlignment="1">
      <alignment horizontal="center"/>
    </xf>
    <xf numFmtId="0" fontId="0" fillId="23" borderId="21" xfId="0" applyFont="1" applyFill="1" applyBorder="1" applyAlignment="1">
      <alignment horizontal="center"/>
    </xf>
    <xf numFmtId="2" fontId="11" fillId="23" borderId="50" xfId="0" applyNumberFormat="1" applyFont="1" applyFill="1" applyBorder="1"/>
    <xf numFmtId="3" fontId="0" fillId="22" borderId="4" xfId="1" applyNumberFormat="1" applyFont="1" applyFill="1" applyBorder="1" applyAlignment="1" applyProtection="1">
      <alignment vertical="top"/>
      <protection locked="0"/>
    </xf>
    <xf numFmtId="0" fontId="11" fillId="0" borderId="0" xfId="0" applyFont="1"/>
    <xf numFmtId="0" fontId="10" fillId="20" borderId="0" xfId="0" applyFont="1" applyFill="1" applyAlignment="1">
      <alignment vertical="top"/>
    </xf>
    <xf numFmtId="0" fontId="10" fillId="20" borderId="0" xfId="0" applyFont="1" applyFill="1"/>
    <xf numFmtId="0" fontId="14" fillId="0" borderId="0" xfId="9" applyFont="1" applyAlignment="1">
      <alignment horizontal="left" indent="1"/>
    </xf>
    <xf numFmtId="0" fontId="14" fillId="0" borderId="0" xfId="9" applyFont="1" applyAlignment="1">
      <alignment horizontal="left" vertical="center" indent="1"/>
    </xf>
    <xf numFmtId="1" fontId="0" fillId="12" borderId="0" xfId="0" applyNumberFormat="1" applyFont="1" applyFill="1" applyBorder="1"/>
    <xf numFmtId="1" fontId="0" fillId="12" borderId="72" xfId="0" applyNumberFormat="1" applyFont="1" applyFill="1" applyBorder="1"/>
    <xf numFmtId="1" fontId="0" fillId="12" borderId="0" xfId="0" applyNumberFormat="1" applyFont="1" applyFill="1" applyBorder="1" applyAlignment="1">
      <alignment horizontal="center"/>
    </xf>
    <xf numFmtId="9" fontId="11" fillId="22" borderId="11" xfId="7" applyNumberFormat="1" applyFont="1" applyFill="1" applyBorder="1" applyAlignment="1">
      <alignment horizontal="center" vertical="center"/>
    </xf>
    <xf numFmtId="0" fontId="30" fillId="0" borderId="0" xfId="0" applyFont="1"/>
    <xf numFmtId="0" fontId="0" fillId="0" borderId="0" xfId="0" applyAlignment="1"/>
    <xf numFmtId="1" fontId="0" fillId="24" borderId="4" xfId="0" applyNumberFormat="1" applyFont="1" applyFill="1" applyBorder="1" applyAlignment="1">
      <alignment horizontal="right"/>
    </xf>
    <xf numFmtId="14" fontId="0" fillId="24" borderId="4" xfId="0" applyNumberFormat="1" applyFill="1" applyBorder="1" applyAlignment="1">
      <alignment horizontal="right"/>
    </xf>
    <xf numFmtId="1" fontId="0" fillId="28" borderId="4" xfId="0" applyNumberFormat="1" applyFont="1" applyFill="1" applyBorder="1" applyAlignment="1">
      <alignment horizontal="right"/>
    </xf>
    <xf numFmtId="0" fontId="0" fillId="10" borderId="4" xfId="5" applyFont="1" applyFill="1" applyBorder="1" applyAlignment="1">
      <alignment horizontal="center" vertical="top"/>
    </xf>
    <xf numFmtId="0" fontId="14" fillId="0" borderId="0" xfId="9" applyFont="1" applyAlignment="1">
      <alignment horizontal="left" indent="1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3" fontId="10" fillId="10" borderId="66" xfId="0" applyNumberFormat="1" applyFont="1" applyFill="1" applyBorder="1" applyAlignment="1">
      <alignment horizontal="center" vertical="top"/>
    </xf>
    <xf numFmtId="3" fontId="10" fillId="10" borderId="67" xfId="0" applyNumberFormat="1" applyFont="1" applyFill="1" applyBorder="1" applyAlignment="1">
      <alignment horizontal="center" vertical="top"/>
    </xf>
    <xf numFmtId="3" fontId="0" fillId="0" borderId="4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3" fontId="0" fillId="0" borderId="24" xfId="0" applyNumberFormat="1" applyFont="1" applyBorder="1" applyAlignment="1">
      <alignment horizontal="center" vertical="center"/>
    </xf>
    <xf numFmtId="3" fontId="0" fillId="0" borderId="32" xfId="0" applyNumberFormat="1" applyFont="1" applyBorder="1" applyAlignment="1">
      <alignment horizontal="center" vertical="center"/>
    </xf>
    <xf numFmtId="3" fontId="0" fillId="0" borderId="19" xfId="0" applyNumberFormat="1" applyFont="1" applyBorder="1" applyAlignment="1">
      <alignment horizontal="center" vertical="center"/>
    </xf>
    <xf numFmtId="0" fontId="14" fillId="0" borderId="0" xfId="9" applyFill="1" applyAlignment="1">
      <alignment horizontal="center"/>
    </xf>
    <xf numFmtId="0" fontId="10" fillId="10" borderId="6" xfId="0" applyFont="1" applyFill="1" applyBorder="1" applyAlignment="1">
      <alignment horizontal="center" vertical="top"/>
    </xf>
    <xf numFmtId="0" fontId="10" fillId="10" borderId="5" xfId="0" applyFont="1" applyFill="1" applyBorder="1" applyAlignment="1">
      <alignment horizontal="center" vertical="top"/>
    </xf>
    <xf numFmtId="0" fontId="10" fillId="10" borderId="7" xfId="0" applyFont="1" applyFill="1" applyBorder="1" applyAlignment="1">
      <alignment horizontal="center" vertical="top"/>
    </xf>
    <xf numFmtId="0" fontId="10" fillId="10" borderId="4" xfId="0" applyFont="1" applyFill="1" applyBorder="1" applyAlignment="1">
      <alignment horizontal="center" vertical="top" wrapText="1"/>
    </xf>
    <xf numFmtId="0" fontId="0" fillId="10" borderId="24" xfId="5" applyFont="1" applyFill="1" applyBorder="1" applyAlignment="1">
      <alignment horizontal="center"/>
    </xf>
    <xf numFmtId="0" fontId="0" fillId="10" borderId="19" xfId="5" applyFont="1" applyFill="1" applyBorder="1" applyAlignment="1">
      <alignment horizontal="center"/>
    </xf>
    <xf numFmtId="0" fontId="0" fillId="10" borderId="24" xfId="5" applyFont="1" applyFill="1" applyBorder="1" applyAlignment="1">
      <alignment horizontal="left" vertical="top" wrapText="1"/>
    </xf>
    <xf numFmtId="0" fontId="0" fillId="10" borderId="19" xfId="5" applyFont="1" applyFill="1" applyBorder="1" applyAlignment="1">
      <alignment horizontal="left" vertical="top"/>
    </xf>
    <xf numFmtId="0" fontId="0" fillId="10" borderId="24" xfId="5" applyFont="1" applyFill="1" applyBorder="1" applyAlignment="1">
      <alignment horizontal="left" vertical="top"/>
    </xf>
    <xf numFmtId="0" fontId="13" fillId="10" borderId="99" xfId="5" applyFont="1" applyFill="1" applyBorder="1" applyAlignment="1">
      <alignment horizontal="right" vertical="top"/>
    </xf>
    <xf numFmtId="0" fontId="13" fillId="10" borderId="100" xfId="5" applyFont="1" applyFill="1" applyBorder="1" applyAlignment="1">
      <alignment horizontal="right" vertical="top"/>
    </xf>
    <xf numFmtId="0" fontId="13" fillId="10" borderId="92" xfId="0" applyFont="1" applyFill="1" applyBorder="1" applyAlignment="1">
      <alignment horizontal="right"/>
    </xf>
    <xf numFmtId="0" fontId="13" fillId="10" borderId="91" xfId="0" applyFont="1" applyFill="1" applyBorder="1" applyAlignment="1">
      <alignment horizontal="right"/>
    </xf>
    <xf numFmtId="0" fontId="13" fillId="10" borderId="97" xfId="5" applyFont="1" applyFill="1" applyBorder="1" applyAlignment="1">
      <alignment vertical="top"/>
    </xf>
    <xf numFmtId="0" fontId="13" fillId="10" borderId="98" xfId="5" applyFont="1" applyFill="1" applyBorder="1" applyAlignment="1">
      <alignment vertical="top"/>
    </xf>
    <xf numFmtId="0" fontId="10" fillId="10" borderId="4" xfId="0" applyFont="1" applyFill="1" applyBorder="1" applyAlignment="1">
      <alignment horizontal="center" vertical="top"/>
    </xf>
    <xf numFmtId="0" fontId="10" fillId="10" borderId="24" xfId="0" applyFont="1" applyFill="1" applyBorder="1" applyAlignment="1">
      <alignment horizontal="left" vertical="top" wrapText="1"/>
    </xf>
    <xf numFmtId="0" fontId="10" fillId="10" borderId="19" xfId="0" applyFont="1" applyFill="1" applyBorder="1" applyAlignment="1">
      <alignment horizontal="left" vertical="top" wrapText="1"/>
    </xf>
    <xf numFmtId="0" fontId="0" fillId="10" borderId="24" xfId="5" applyFont="1" applyFill="1" applyBorder="1" applyAlignment="1">
      <alignment horizontal="center" vertical="top"/>
    </xf>
    <xf numFmtId="0" fontId="0" fillId="10" borderId="19" xfId="5" applyFont="1" applyFill="1" applyBorder="1" applyAlignment="1">
      <alignment horizontal="center" vertical="top"/>
    </xf>
    <xf numFmtId="0" fontId="0" fillId="10" borderId="19" xfId="5" applyFont="1" applyFill="1" applyBorder="1" applyAlignment="1">
      <alignment horizontal="left" vertical="top" wrapText="1"/>
    </xf>
    <xf numFmtId="165" fontId="10" fillId="10" borderId="66" xfId="0" applyNumberFormat="1" applyFont="1" applyFill="1" applyBorder="1" applyAlignment="1">
      <alignment horizontal="center" vertical="top"/>
    </xf>
    <xf numFmtId="0" fontId="0" fillId="0" borderId="96" xfId="0" applyBorder="1" applyAlignment="1">
      <alignment horizontal="center" vertical="top"/>
    </xf>
    <xf numFmtId="0" fontId="11" fillId="10" borderId="61" xfId="0" applyFont="1" applyFill="1" applyBorder="1" applyAlignment="1">
      <alignment horizontal="left" vertical="center"/>
    </xf>
    <xf numFmtId="0" fontId="11" fillId="10" borderId="46" xfId="0" applyFont="1" applyFill="1" applyBorder="1" applyAlignment="1">
      <alignment horizontal="left" vertical="center"/>
    </xf>
    <xf numFmtId="0" fontId="13" fillId="0" borderId="32" xfId="0" applyFont="1" applyBorder="1" applyAlignment="1">
      <alignment horizontal="left" wrapText="1"/>
    </xf>
    <xf numFmtId="0" fontId="13" fillId="0" borderId="19" xfId="0" applyFont="1" applyBorder="1" applyAlignment="1">
      <alignment horizontal="left"/>
    </xf>
    <xf numFmtId="0" fontId="13" fillId="0" borderId="95" xfId="0" applyFont="1" applyBorder="1" applyAlignment="1">
      <alignment horizontal="left" wrapText="1"/>
    </xf>
    <xf numFmtId="0" fontId="0" fillId="0" borderId="8" xfId="0" applyBorder="1" applyAlignment="1">
      <alignment horizontal="left"/>
    </xf>
  </cellXfs>
  <cellStyles count="10">
    <cellStyle name="Formularfeld BFE" xfId="4"/>
    <cellStyle name="Komma" xfId="1" builtinId="3"/>
    <cellStyle name="Komma 2" xfId="8"/>
    <cellStyle name="Link" xfId="9" builtinId="8"/>
    <cellStyle name="Prozent" xfId="7" builtinId="5"/>
    <cellStyle name="Standard" xfId="0" builtinId="0" customBuiltin="1"/>
    <cellStyle name="Tabellenüberschrift BFE" xfId="5"/>
    <cellStyle name="Text BFE" xfId="3"/>
    <cellStyle name="Überschrift 2 BFE" xfId="6"/>
    <cellStyle name="Überschrift BFE" xfId="2"/>
  </cellStyles>
  <dxfs count="0"/>
  <tableStyles count="0" defaultTableStyle="TableStyleMedium2" defaultPivotStyle="PivotStyleMedium9"/>
  <colors>
    <mruColors>
      <color rgb="FFB8FB21"/>
      <color rgb="FFB9DAFF"/>
      <color rgb="FFE6B9B8"/>
      <color rgb="FFE6DAFF"/>
      <color rgb="FFDA9694"/>
      <color rgb="FF993300"/>
      <color rgb="FFFF6600"/>
      <color rgb="FF66FFCC"/>
      <color rgb="FF00000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11086070991163"/>
          <c:y val="0.31970911945035435"/>
          <c:w val="0.88242892092176517"/>
          <c:h val="0.549702723616929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'4.1'!$W$7</c:f>
              <c:strCache>
                <c:ptCount val="1"/>
                <c:pt idx="0">
                  <c:v>Strombezug vom Netz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'4.1'!$W$8:$W$31</c:f>
              <c:numCache>
                <c:formatCode>#,##0</c:formatCode>
                <c:ptCount val="24"/>
                <c:pt idx="0">
                  <c:v>202510</c:v>
                </c:pt>
                <c:pt idx="1">
                  <c:v>166975</c:v>
                </c:pt>
                <c:pt idx="2">
                  <c:v>228790</c:v>
                </c:pt>
                <c:pt idx="3">
                  <c:v>190275</c:v>
                </c:pt>
                <c:pt idx="4">
                  <c:v>208915</c:v>
                </c:pt>
                <c:pt idx="5">
                  <c:v>269545</c:v>
                </c:pt>
                <c:pt idx="6">
                  <c:v>270750</c:v>
                </c:pt>
                <c:pt idx="7">
                  <c:v>238285</c:v>
                </c:pt>
                <c:pt idx="8">
                  <c:v>210380</c:v>
                </c:pt>
                <c:pt idx="9">
                  <c:v>211645</c:v>
                </c:pt>
                <c:pt idx="10">
                  <c:v>200150</c:v>
                </c:pt>
                <c:pt idx="11">
                  <c:v>224355</c:v>
                </c:pt>
                <c:pt idx="12">
                  <c:v>204005</c:v>
                </c:pt>
                <c:pt idx="13">
                  <c:v>193160</c:v>
                </c:pt>
                <c:pt idx="14">
                  <c:v>231245</c:v>
                </c:pt>
                <c:pt idx="15">
                  <c:v>216670</c:v>
                </c:pt>
                <c:pt idx="16">
                  <c:v>234720</c:v>
                </c:pt>
                <c:pt idx="17">
                  <c:v>260490</c:v>
                </c:pt>
                <c:pt idx="18">
                  <c:v>258015</c:v>
                </c:pt>
                <c:pt idx="19">
                  <c:v>259675</c:v>
                </c:pt>
                <c:pt idx="20">
                  <c:v>224080</c:v>
                </c:pt>
                <c:pt idx="21">
                  <c:v>260150</c:v>
                </c:pt>
                <c:pt idx="22">
                  <c:v>203865</c:v>
                </c:pt>
                <c:pt idx="23">
                  <c:v>253260</c:v>
                </c:pt>
              </c:numCache>
            </c:numRef>
          </c:val>
        </c:ser>
        <c:ser>
          <c:idx val="1"/>
          <c:order val="1"/>
          <c:tx>
            <c:strRef>
              <c:f>'4.1'!$X$7</c:f>
              <c:strCache>
                <c:ptCount val="1"/>
                <c:pt idx="0">
                  <c:v>Heizöl extra leicht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'4.1'!$X$8:$X$31</c:f>
              <c:numCache>
                <c:formatCode>#,##0</c:formatCode>
                <c:ptCount val="24"/>
                <c:pt idx="0">
                  <c:v>365518.67366666667</c:v>
                </c:pt>
                <c:pt idx="1">
                  <c:v>294503.33293333329</c:v>
                </c:pt>
                <c:pt idx="2">
                  <c:v>303324.31140000001</c:v>
                </c:pt>
                <c:pt idx="3">
                  <c:v>263923.2779333333</c:v>
                </c:pt>
                <c:pt idx="4">
                  <c:v>265713.32993333333</c:v>
                </c:pt>
                <c:pt idx="5">
                  <c:v>254485.726</c:v>
                </c:pt>
                <c:pt idx="6">
                  <c:v>275439.27913333336</c:v>
                </c:pt>
                <c:pt idx="7">
                  <c:v>273301.16146666667</c:v>
                </c:pt>
                <c:pt idx="8">
                  <c:v>258592.90086666669</c:v>
                </c:pt>
                <c:pt idx="9">
                  <c:v>319474.55833333329</c:v>
                </c:pt>
                <c:pt idx="10">
                  <c:v>308296.67806666665</c:v>
                </c:pt>
                <c:pt idx="11">
                  <c:v>373772.80233333335</c:v>
                </c:pt>
                <c:pt idx="12">
                  <c:v>387884.37893333327</c:v>
                </c:pt>
                <c:pt idx="13">
                  <c:v>319723.17666666664</c:v>
                </c:pt>
                <c:pt idx="14">
                  <c:v>323422.61746666668</c:v>
                </c:pt>
                <c:pt idx="15">
                  <c:v>244908.94780000002</c:v>
                </c:pt>
                <c:pt idx="16">
                  <c:v>284747.54953333334</c:v>
                </c:pt>
                <c:pt idx="17">
                  <c:v>243258.12206666663</c:v>
                </c:pt>
                <c:pt idx="18">
                  <c:v>230320.024</c:v>
                </c:pt>
                <c:pt idx="19">
                  <c:v>254973.01793333332</c:v>
                </c:pt>
                <c:pt idx="20">
                  <c:v>241816.13573333333</c:v>
                </c:pt>
                <c:pt idx="21">
                  <c:v>275200.60553333332</c:v>
                </c:pt>
                <c:pt idx="22">
                  <c:v>293827.0910666667</c:v>
                </c:pt>
                <c:pt idx="23">
                  <c:v>345281.14133333333</c:v>
                </c:pt>
              </c:numCache>
            </c:numRef>
          </c:val>
        </c:ser>
        <c:ser>
          <c:idx val="2"/>
          <c:order val="2"/>
          <c:tx>
            <c:strRef>
              <c:f>'4.1'!$Y$7</c:f>
              <c:strCache>
                <c:ptCount val="1"/>
                <c:pt idx="0">
                  <c:v>Heizöl mittel/schwer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'4.1'!$Y$8:$Y$31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3"/>
          <c:order val="3"/>
          <c:tx>
            <c:strRef>
              <c:f>'4.1'!$Z$7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'4.1'!$Z$8:$Z$31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4"/>
          <c:order val="4"/>
          <c:tx>
            <c:strRef>
              <c:f>'4.1'!$AA$7</c:f>
              <c:strCache>
                <c:ptCount val="1"/>
                <c:pt idx="0">
                  <c:v>Butan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'4.1'!$AA$8:$AA$31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8"/>
          <c:order val="5"/>
          <c:tx>
            <c:strRef>
              <c:f>'4.1'!$AB$7</c:f>
              <c:strCache>
                <c:ptCount val="1"/>
                <c:pt idx="0">
                  <c:v>Propan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'4.1'!$AB$8:$AB$31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5"/>
          <c:order val="6"/>
          <c:tx>
            <c:strRef>
              <c:f>'4.1'!$AC$7</c:f>
              <c:strCache>
                <c:ptCount val="1"/>
                <c:pt idx="0">
                  <c:v>Biogas (roh, Durchschnittswert)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'4.1'!$AC$8:$AC$31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6"/>
          <c:order val="7"/>
          <c:tx>
            <c:strRef>
              <c:f>'4.1'!$AD$7</c:f>
              <c:strCache>
                <c:ptCount val="1"/>
                <c:pt idx="0">
                  <c:v>Fernwärme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'4.1'!$AD$8:$AD$31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7"/>
          <c:order val="8"/>
          <c:tx>
            <c:strRef>
              <c:f>'4.1'!$AE$7</c:f>
              <c:strCache>
                <c:ptCount val="1"/>
                <c:pt idx="0">
                  <c:v>Steinkohle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'4.1'!$AE$8:$AE$31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8"/>
          <c:order val="9"/>
          <c:tx>
            <c:strRef>
              <c:f>'4.1'!$AF$7</c:f>
              <c:strCache>
                <c:ptCount val="1"/>
                <c:pt idx="0">
                  <c:v>Braunkohle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'4.1'!$AF$8:$AF$31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9"/>
          <c:order val="10"/>
          <c:tx>
            <c:strRef>
              <c:f>'4.1'!$AG$7</c:f>
              <c:strCache>
                <c:ptCount val="1"/>
                <c:pt idx="0">
                  <c:v>Naturbelassenes Holz, Restholz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'4.1'!$AG$8:$AG$31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0"/>
          <c:order val="11"/>
          <c:tx>
            <c:strRef>
              <c:f>'4.1'!$AH$7</c:f>
              <c:strCache>
                <c:ptCount val="1"/>
                <c:pt idx="0">
                  <c:v>Altholz und Holzabfälle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'4.1'!$AH$8:$AH$31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1"/>
          <c:order val="12"/>
          <c:tx>
            <c:strRef>
              <c:f>'4.1'!$AI$7</c:f>
              <c:strCache>
                <c:ptCount val="1"/>
                <c:pt idx="0">
                  <c:v>Koks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'4.1'!$AI$8:$AI$31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2"/>
          <c:order val="13"/>
          <c:tx>
            <c:strRef>
              <c:f>'4.1'!$AJ$7</c:f>
              <c:strCache>
                <c:ptCount val="1"/>
                <c:pt idx="0">
                  <c:v>Petrolkoks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'4.1'!$AJ$8:$AJ$31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3"/>
          <c:order val="14"/>
          <c:tx>
            <c:strRef>
              <c:f>'4.1'!$AK$7</c:f>
              <c:strCache>
                <c:ptCount val="1"/>
                <c:pt idx="0">
                  <c:v>Acetylen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'4.1'!$AK$8:$AK$31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4"/>
          <c:order val="15"/>
          <c:tx>
            <c:strRef>
              <c:f>'4.1'!$AL$7</c:f>
              <c:strCache>
                <c:ptCount val="1"/>
                <c:pt idx="0">
                  <c:v>Altöl (fossiler Anteil 100 %)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'4.1'!$AL$8:$AL$31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5"/>
          <c:order val="16"/>
          <c:tx>
            <c:strRef>
              <c:f>'4.1'!$AM$7</c:f>
              <c:strCache>
                <c:ptCount val="1"/>
                <c:pt idx="0">
                  <c:v>Altpneu (fossiler Anteil 73 %)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'4.1'!$AM$8:$AM$31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6"/>
          <c:order val="17"/>
          <c:tx>
            <c:strRef>
              <c:f>'4.1'!$AN$7</c:f>
              <c:strCache>
                <c:ptCount val="1"/>
                <c:pt idx="0">
                  <c:v>Kunststoffe (fossiler Anteil 72 %)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'4.1'!$AN$8:$AN$31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7"/>
          <c:order val="18"/>
          <c:tx>
            <c:strRef>
              <c:f>'4.1'!$AO$7</c:f>
              <c:strCache>
                <c:ptCount val="1"/>
                <c:pt idx="0">
                  <c:v>Lösungsmittel (fossiler Anteil 99 %)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'4.1'!$AO$8:$AO$31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9"/>
          <c:order val="19"/>
          <c:tx>
            <c:strRef>
              <c:f>'4.1'!$AP$7</c:f>
              <c:strCache>
                <c:ptCount val="1"/>
                <c:pt idx="0">
                  <c:v>Imprägniertes Sägemehl (fossiler Anteil 22 %)</c:v>
                </c:pt>
              </c:strCache>
            </c:strRef>
          </c:tx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'4.1'!$AP$8:$AP$31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0"/>
          <c:order val="20"/>
          <c:tx>
            <c:strRef>
              <c:f>'4.1'!$AQ$7</c:f>
              <c:strCache>
                <c:ptCount val="1"/>
                <c:pt idx="0">
                  <c:v>Photovoltaik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'4.1'!$AQ$8:$AQ$31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1"/>
          <c:order val="21"/>
          <c:tx>
            <c:strRef>
              <c:f>'4.1'!$AR$7</c:f>
              <c:strCache>
                <c:ptCount val="1"/>
                <c:pt idx="0">
                  <c:v>Wasserkraft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'4.1'!$AR$8:$AR$31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2"/>
          <c:order val="22"/>
          <c:tx>
            <c:strRef>
              <c:f>'4.1'!$AS$7</c:f>
              <c:strCache>
                <c:ptCount val="1"/>
                <c:pt idx="0">
                  <c:v>Windenergie</c:v>
                </c:pt>
              </c:strCache>
            </c:strRef>
          </c:tx>
          <c:spPr>
            <a:solidFill>
              <a:srgbClr val="66FFCC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'4.1'!$AS$8:$AS$31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3"/>
          <c:order val="23"/>
          <c:tx>
            <c:strRef>
              <c:f>'4.1'!$AT$7</c:f>
              <c:strCache>
                <c:ptCount val="1"/>
                <c:pt idx="0">
                  <c:v>Solarwärme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'4.1'!$V$8:$V$31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'4.1'!$AT$8:$AT$31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6449640"/>
        <c:axId val="135280112"/>
      </c:barChart>
      <c:catAx>
        <c:axId val="136449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Monat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135280112"/>
        <c:crosses val="autoZero"/>
        <c:auto val="1"/>
        <c:lblAlgn val="ctr"/>
        <c:lblOffset val="100"/>
        <c:noMultiLvlLbl val="0"/>
      </c:catAx>
      <c:valAx>
        <c:axId val="135280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>
                    <a:latin typeface="Arial" pitchFamily="34" charset="0"/>
                    <a:cs typeface="Arial" pitchFamily="34" charset="0"/>
                  </a:defRPr>
                </a:pPr>
                <a:r>
                  <a:rPr lang="en-US" b="0">
                    <a:latin typeface="Arial" pitchFamily="34" charset="0"/>
                    <a:cs typeface="Arial" pitchFamily="34" charset="0"/>
                  </a:rPr>
                  <a:t>[kWh/Monat]</a:t>
                </a:r>
              </a:p>
            </c:rich>
          </c:tx>
          <c:layout>
            <c:manualLayout>
              <c:xMode val="edge"/>
              <c:yMode val="edge"/>
              <c:x val="1.1119930910445466E-2"/>
              <c:y val="0.5126498725833104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4496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1.3032596363002761E-3"/>
          <c:y val="2.362986563606401E-2"/>
          <c:w val="0.99869674036369971"/>
          <c:h val="0.26227538649000914"/>
        </c:manualLayout>
      </c:layout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>
      <c:oddFooter>&amp;R&amp;S / &amp;A</c:oddFooter>
    </c:headerFooter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Thermischer Endenergieverbrauch (ohne Gebäudeheizung)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00722228903192"/>
          <c:y val="0.19506452616396905"/>
          <c:w val="0.83065832279541363"/>
          <c:h val="0.67025160019230701"/>
        </c:manualLayout>
      </c:layout>
      <c:lineChart>
        <c:grouping val="standard"/>
        <c:varyColors val="0"/>
        <c:ser>
          <c:idx val="1"/>
          <c:order val="0"/>
          <c:tx>
            <c:v>Berechnet/gemessen</c:v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'5.3.1_EL'!$B$5:$B$28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'5.3.1_EL'!$E$5:$E$28</c:f>
              <c:numCache>
                <c:formatCode>#,##0</c:formatCode>
                <c:ptCount val="24"/>
                <c:pt idx="0">
                  <c:v>206541.40955654232</c:v>
                </c:pt>
                <c:pt idx="1">
                  <c:v>165635.39914709615</c:v>
                </c:pt>
                <c:pt idx="2">
                  <c:v>198784.71651546372</c:v>
                </c:pt>
                <c:pt idx="3">
                  <c:v>221529.34083730014</c:v>
                </c:pt>
                <c:pt idx="4">
                  <c:v>263786.33279260457</c:v>
                </c:pt>
                <c:pt idx="5">
                  <c:v>254485.726</c:v>
                </c:pt>
                <c:pt idx="6">
                  <c:v>275439.27913333336</c:v>
                </c:pt>
                <c:pt idx="7">
                  <c:v>273301.16146666667</c:v>
                </c:pt>
                <c:pt idx="8">
                  <c:v>258592.90086666669</c:v>
                </c:pt>
                <c:pt idx="9">
                  <c:v>312970.94298337365</c:v>
                </c:pt>
                <c:pt idx="10">
                  <c:v>224713.17708755581</c:v>
                </c:pt>
                <c:pt idx="11">
                  <c:v>249963.23604150926</c:v>
                </c:pt>
                <c:pt idx="12">
                  <c:v>271547.69669951196</c:v>
                </c:pt>
                <c:pt idx="13">
                  <c:v>218147.49282380333</c:v>
                </c:pt>
                <c:pt idx="14">
                  <c:v>235356.999947731</c:v>
                </c:pt>
                <c:pt idx="15">
                  <c:v>230648.3222358542</c:v>
                </c:pt>
                <c:pt idx="16">
                  <c:v>284747.54953333334</c:v>
                </c:pt>
                <c:pt idx="17">
                  <c:v>243258.12206666663</c:v>
                </c:pt>
                <c:pt idx="18">
                  <c:v>230320.024</c:v>
                </c:pt>
                <c:pt idx="19">
                  <c:v>254973.01793333332</c:v>
                </c:pt>
                <c:pt idx="20">
                  <c:v>234560.72974455738</c:v>
                </c:pt>
                <c:pt idx="21">
                  <c:v>236671.89786879896</c:v>
                </c:pt>
                <c:pt idx="22">
                  <c:v>189499.35667633667</c:v>
                </c:pt>
                <c:pt idx="23">
                  <c:v>201173.76721143859</c:v>
                </c:pt>
              </c:numCache>
            </c:numRef>
          </c:val>
          <c:smooth val="0"/>
        </c:ser>
        <c:ser>
          <c:idx val="0"/>
          <c:order val="1"/>
          <c:tx>
            <c:v>Berechnet aus Indikatoren</c:v>
          </c:tx>
          <c:marker>
            <c:symbol val="none"/>
          </c:marker>
          <c:val>
            <c:numRef>
              <c:f>'5.3.1_EL'!$Q$35:$Q$58</c:f>
              <c:numCache>
                <c:formatCode>0</c:formatCode>
                <c:ptCount val="24"/>
                <c:pt idx="0">
                  <c:v>172550.90359999999</c:v>
                </c:pt>
                <c:pt idx="1">
                  <c:v>180497.3812</c:v>
                </c:pt>
                <c:pt idx="2">
                  <c:v>249345.2139</c:v>
                </c:pt>
                <c:pt idx="3">
                  <c:v>216624.9589</c:v>
                </c:pt>
                <c:pt idx="4">
                  <c:v>266661.84960000002</c:v>
                </c:pt>
                <c:pt idx="5">
                  <c:v>333267.02369999996</c:v>
                </c:pt>
                <c:pt idx="6">
                  <c:v>263006.42689999996</c:v>
                </c:pt>
                <c:pt idx="7">
                  <c:v>323686.4768</c:v>
                </c:pt>
                <c:pt idx="8">
                  <c:v>242644.94259999998</c:v>
                </c:pt>
                <c:pt idx="9">
                  <c:v>214275.36919999999</c:v>
                </c:pt>
                <c:pt idx="10">
                  <c:v>219989.02949999998</c:v>
                </c:pt>
                <c:pt idx="11">
                  <c:v>194412.73130000001</c:v>
                </c:pt>
                <c:pt idx="12">
                  <c:v>164700.19259999998</c:v>
                </c:pt>
                <c:pt idx="13">
                  <c:v>184225.99339999998</c:v>
                </c:pt>
                <c:pt idx="14">
                  <c:v>264556.1422</c:v>
                </c:pt>
                <c:pt idx="15">
                  <c:v>236057.226</c:v>
                </c:pt>
                <c:pt idx="16">
                  <c:v>237489.83809999999</c:v>
                </c:pt>
                <c:pt idx="17">
                  <c:v>323091.69839999999</c:v>
                </c:pt>
                <c:pt idx="18">
                  <c:v>250481.34649999999</c:v>
                </c:pt>
                <c:pt idx="19">
                  <c:v>294599.3982</c:v>
                </c:pt>
                <c:pt idx="20">
                  <c:v>240279.88800000001</c:v>
                </c:pt>
                <c:pt idx="21">
                  <c:v>228323.5355</c:v>
                </c:pt>
                <c:pt idx="22">
                  <c:v>220152.61009999999</c:v>
                </c:pt>
                <c:pt idx="23">
                  <c:v>214499.56889999998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07272"/>
        <c:axId val="135006880"/>
      </c:lineChart>
      <c:catAx>
        <c:axId val="135007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135006880"/>
        <c:crosses val="autoZero"/>
        <c:auto val="1"/>
        <c:lblAlgn val="ctr"/>
        <c:lblOffset val="100"/>
        <c:noMultiLvlLbl val="0"/>
      </c:catAx>
      <c:valAx>
        <c:axId val="13500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layout>
            <c:manualLayout>
              <c:xMode val="edge"/>
              <c:yMode val="edge"/>
              <c:x val="1.7548624040518244E-2"/>
              <c:y val="0.30536853913519124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5007272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6075992185766234"/>
          <c:y val="0.6113543424364406"/>
          <c:w val="0.31971311193755153"/>
          <c:h val="0.19313995908786691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de-CH" sz="1100"/>
              <a:t>Druckluftkompressoren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497462817147871"/>
          <c:y val="0.14862277631962667"/>
          <c:w val="0.81745633195750056"/>
          <c:h val="0.68874808681701671"/>
        </c:manualLayout>
      </c:layout>
      <c:barChart>
        <c:barDir val="col"/>
        <c:grouping val="clustered"/>
        <c:varyColors val="0"/>
        <c:ser>
          <c:idx val="0"/>
          <c:order val="0"/>
          <c:tx>
            <c:v>Stromverbrauch</c:v>
          </c:tx>
          <c:spPr>
            <a:solidFill>
              <a:schemeClr val="tx2"/>
            </a:solidFill>
            <a:ln>
              <a:solidFill>
                <a:schemeClr val="tx2"/>
              </a:solidFill>
            </a:ln>
          </c:spPr>
          <c:invertIfNegative val="0"/>
          <c:val>
            <c:numRef>
              <c:f>'5.3.2'!$F$7:$F$10</c:f>
              <c:numCache>
                <c:formatCode>0</c:formatCode>
                <c:ptCount val="4"/>
                <c:pt idx="0">
                  <c:v>180</c:v>
                </c:pt>
                <c:pt idx="1">
                  <c:v>135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v>Abwärme</c:v>
          </c:tx>
          <c:spPr>
            <a:solidFill>
              <a:srgbClr val="FF6600"/>
            </a:solidFill>
          </c:spPr>
          <c:invertIfNegative val="0"/>
          <c:val>
            <c:numRef>
              <c:f>'5.3.2'!$H$7:$H$10</c:f>
              <c:numCache>
                <c:formatCode>0</c:formatCode>
                <c:ptCount val="4"/>
                <c:pt idx="0">
                  <c:v>125.99999999999999</c:v>
                </c:pt>
                <c:pt idx="1">
                  <c:v>81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'5.3.2'!$K$5</c:f>
              <c:strCache>
                <c:ptCount val="1"/>
                <c:pt idx="0">
                  <c:v>Ab-
wärme genutzt</c:v>
                </c:pt>
              </c:strCache>
            </c:strRef>
          </c:tx>
          <c:invertIfNegative val="0"/>
          <c:val>
            <c:numRef>
              <c:f>'5.3.2'!$K$7:$K$10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4278936"/>
        <c:axId val="135006488"/>
      </c:barChart>
      <c:catAx>
        <c:axId val="13427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Anlagen Nr.</a:t>
                </a:r>
              </a:p>
            </c:rich>
          </c:tx>
          <c:overlay val="0"/>
        </c:title>
        <c:majorTickMark val="out"/>
        <c:minorTickMark val="none"/>
        <c:tickLblPos val="nextTo"/>
        <c:crossAx val="135006488"/>
        <c:crosses val="autoZero"/>
        <c:auto val="1"/>
        <c:lblAlgn val="ctr"/>
        <c:lblOffset val="100"/>
        <c:noMultiLvlLbl val="0"/>
      </c:catAx>
      <c:valAx>
        <c:axId val="135006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[MWh/a]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34278936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4075251420535786"/>
          <c:y val="0.19407699037620296"/>
          <c:w val="0.28644744225447388"/>
          <c:h val="0.25115157480314959"/>
        </c:manualLayout>
      </c:layout>
      <c:overlay val="0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Linearer Temperaturverlauf im Wärmetauscher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'5.3.1_WT'!$P$46</c:f>
              <c:strCache>
                <c:ptCount val="1"/>
                <c:pt idx="0">
                  <c:v>Wärmeverbraucher</c:v>
                </c:pt>
              </c:strCache>
            </c:strRef>
          </c:tx>
          <c:spPr>
            <a:ln w="41275">
              <a:headEnd type="none" w="lg" len="lg"/>
              <a:tailEnd type="triangle" w="lg" len="lg"/>
            </a:ln>
          </c:spPr>
          <c:marker>
            <c:symbol val="none"/>
          </c:marker>
          <c:xVal>
            <c:numRef>
              <c:f>'5.3.1_WT'!$S$46:$T$46</c:f>
              <c:numCache>
                <c:formatCode>_ * #,##0_ ;_ * \-#,##0_ ;_ * "-"??_ ;_ @_ </c:formatCode>
                <c:ptCount val="2"/>
                <c:pt idx="0" formatCode="0">
                  <c:v>0</c:v>
                </c:pt>
                <c:pt idx="1">
                  <c:v>83.6</c:v>
                </c:pt>
              </c:numCache>
            </c:numRef>
          </c:xVal>
          <c:yVal>
            <c:numRef>
              <c:f>'5.3.1_WT'!$Q$46:$R$46</c:f>
              <c:numCache>
                <c:formatCode>0.0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'5.3.1_WT'!$P$47</c:f>
              <c:strCache>
                <c:ptCount val="1"/>
                <c:pt idx="0">
                  <c:v>Wärmequelle</c:v>
                </c:pt>
              </c:strCache>
            </c:strRef>
          </c:tx>
          <c:spPr>
            <a:ln w="41275">
              <a:headEnd type="triangle" w="lg" len="lg"/>
              <a:tailEnd type="none" w="lg" len="lg"/>
            </a:ln>
          </c:spPr>
          <c:marker>
            <c:symbol val="none"/>
          </c:marker>
          <c:xVal>
            <c:numRef>
              <c:f>'5.3.1_WT'!$S$47:$T$47</c:f>
              <c:numCache>
                <c:formatCode>_ * #,##0_ ;_ * \-#,##0_ ;_ * "-"??_ ;_ @_ </c:formatCode>
                <c:ptCount val="2"/>
                <c:pt idx="0" formatCode="0">
                  <c:v>0</c:v>
                </c:pt>
                <c:pt idx="1">
                  <c:v>83.6</c:v>
                </c:pt>
              </c:numCache>
            </c:numRef>
          </c:xVal>
          <c:yVal>
            <c:numRef>
              <c:f>'5.3.1_WT'!$Q$47:$R$47</c:f>
              <c:numCache>
                <c:formatCode>0.0</c:formatCode>
                <c:ptCount val="2"/>
                <c:pt idx="0">
                  <c:v>70</c:v>
                </c:pt>
                <c:pt idx="1">
                  <c:v>120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17664"/>
        <c:axId val="187318056"/>
      </c:scatterChart>
      <c:valAx>
        <c:axId val="187317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[MWh/a]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7318056"/>
        <c:crosses val="autoZero"/>
        <c:crossBetween val="midCat"/>
      </c:valAx>
      <c:valAx>
        <c:axId val="187318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[°C]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87317664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52574329464518"/>
          <c:y val="0.11479112741423811"/>
          <c:w val="0.81165448038745769"/>
          <c:h val="0.696150620402190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'5.2.2'!$H$5</c:f>
              <c:strCache>
                <c:ptCount val="1"/>
                <c:pt idx="0">
                  <c:v>Elektr. Verbr.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'5.2.2'!$B$7:$B$26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'5.2.2'!$H$7:$H$26</c:f>
              <c:numCache>
                <c:formatCode>_ * #,##0_ ;_ * \-#,##0_ ;_ * "-"??_ ;_ @_ </c:formatCode>
                <c:ptCount val="20"/>
                <c:pt idx="0">
                  <c:v>459.2</c:v>
                </c:pt>
                <c:pt idx="1">
                  <c:v>699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"/>
          <c:order val="1"/>
          <c:tx>
            <c:strRef>
              <c:f>'5.2.2'!$I$5</c:f>
              <c:strCache>
                <c:ptCount val="1"/>
                <c:pt idx="0">
                  <c:v>Abwärme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'5.2.2'!$B$7:$B$26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'5.2.2'!$I$7:$I$26</c:f>
              <c:numCache>
                <c:formatCode>_ * #,##0_ ;_ * \-#,##0_ ;_ * "-"??_ ;_ @_ </c:formatCode>
                <c:ptCount val="20"/>
                <c:pt idx="0">
                  <c:v>1470</c:v>
                </c:pt>
                <c:pt idx="1">
                  <c:v>2658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'5.2.2'!$L$5</c:f>
              <c:strCache>
                <c:ptCount val="1"/>
                <c:pt idx="0">
                  <c:v>Abwärme genutzt</c:v>
                </c:pt>
              </c:strCache>
            </c:strRef>
          </c:tx>
          <c:invertIfNegative val="0"/>
          <c:cat>
            <c:numRef>
              <c:f>'5.2.2'!$B$7:$B$26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'5.2.2'!$L$7:$L$26</c:f>
              <c:numCache>
                <c:formatCode>_ * #,##0_ ;_ * \-#,##0_ ;_ * "-"??_ ;_ @_ 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927616"/>
        <c:axId val="136445056"/>
      </c:barChart>
      <c:catAx>
        <c:axId val="13492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CH"/>
                  <a:t>Kältemaschine Nr. 1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136445056"/>
        <c:crosses val="autoZero"/>
        <c:auto val="1"/>
        <c:lblAlgn val="ctr"/>
        <c:lblOffset val="100"/>
        <c:noMultiLvlLbl val="0"/>
      </c:catAx>
      <c:valAx>
        <c:axId val="136445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1"/>
                </a:pPr>
                <a:r>
                  <a:rPr lang="de-CH" b="1"/>
                  <a:t>[MWh/a]</a:t>
                </a:r>
              </a:p>
            </c:rich>
          </c:tx>
          <c:layout>
            <c:manualLayout>
              <c:xMode val="edge"/>
              <c:yMode val="edge"/>
              <c:x val="1.732896958573309E-2"/>
              <c:y val="0.3299390057294741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134927616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770406810970663"/>
          <c:y val="0.14782277635956917"/>
          <c:w val="0.27188592954649982"/>
          <c:h val="0.3216550903544516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 pitchFamily="34" charset="0"/>
          <a:ea typeface="Calibri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6876739277647"/>
          <c:y val="5.1400554097404488E-2"/>
          <c:w val="0.8217342606185567"/>
          <c:h val="0.786537570109734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'5.3.1_Heizung'!$D$105</c:f>
              <c:strCache>
                <c:ptCount val="1"/>
                <c:pt idx="0">
                  <c:v>Produktion geschätzt (Endenergie)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'5.3.1_Heizung'!$B$106:$B$129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'5.3.1_Heizung'!$D$106:$D$129</c:f>
              <c:numCache>
                <c:formatCode>#,##0</c:formatCode>
                <c:ptCount val="24"/>
                <c:pt idx="0">
                  <c:v>230000</c:v>
                </c:pt>
                <c:pt idx="1">
                  <c:v>230000</c:v>
                </c:pt>
                <c:pt idx="2">
                  <c:v>230000</c:v>
                </c:pt>
                <c:pt idx="3">
                  <c:v>230000</c:v>
                </c:pt>
                <c:pt idx="4">
                  <c:v>230000</c:v>
                </c:pt>
                <c:pt idx="5">
                  <c:v>230000</c:v>
                </c:pt>
                <c:pt idx="6">
                  <c:v>230000</c:v>
                </c:pt>
                <c:pt idx="7">
                  <c:v>230000</c:v>
                </c:pt>
                <c:pt idx="8">
                  <c:v>230000</c:v>
                </c:pt>
                <c:pt idx="9">
                  <c:v>230000</c:v>
                </c:pt>
                <c:pt idx="10">
                  <c:v>230000</c:v>
                </c:pt>
                <c:pt idx="11">
                  <c:v>230000</c:v>
                </c:pt>
                <c:pt idx="12">
                  <c:v>230000</c:v>
                </c:pt>
                <c:pt idx="13">
                  <c:v>230000</c:v>
                </c:pt>
                <c:pt idx="14">
                  <c:v>230000</c:v>
                </c:pt>
                <c:pt idx="15">
                  <c:v>230000</c:v>
                </c:pt>
                <c:pt idx="16">
                  <c:v>230000</c:v>
                </c:pt>
                <c:pt idx="17">
                  <c:v>230000</c:v>
                </c:pt>
                <c:pt idx="18">
                  <c:v>230000</c:v>
                </c:pt>
                <c:pt idx="19">
                  <c:v>230000</c:v>
                </c:pt>
                <c:pt idx="20">
                  <c:v>230000</c:v>
                </c:pt>
                <c:pt idx="21">
                  <c:v>230000</c:v>
                </c:pt>
                <c:pt idx="22">
                  <c:v>230000</c:v>
                </c:pt>
                <c:pt idx="23">
                  <c:v>230000</c:v>
                </c:pt>
              </c:numCache>
            </c:numRef>
          </c:val>
        </c:ser>
        <c:ser>
          <c:idx val="2"/>
          <c:order val="1"/>
          <c:tx>
            <c:strRef>
              <c:f>'5.3.1_Heizung'!$E$105</c:f>
              <c:strCache>
                <c:ptCount val="1"/>
                <c:pt idx="0">
                  <c:v>Heizung geschätzt (Endenergie)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'5.3.1_Heizung'!$B$106:$B$129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'5.3.1_Heizung'!$E$106:$E$129</c:f>
              <c:numCache>
                <c:formatCode>#,##0</c:formatCode>
                <c:ptCount val="24"/>
                <c:pt idx="0">
                  <c:v>135518.67366666667</c:v>
                </c:pt>
                <c:pt idx="1">
                  <c:v>64503.332933333295</c:v>
                </c:pt>
                <c:pt idx="2">
                  <c:v>73324.311400000006</c:v>
                </c:pt>
                <c:pt idx="3">
                  <c:v>33923.277933333302</c:v>
                </c:pt>
                <c:pt idx="4">
                  <c:v>35713.329933333327</c:v>
                </c:pt>
                <c:pt idx="5">
                  <c:v>24485.725999999995</c:v>
                </c:pt>
                <c:pt idx="6">
                  <c:v>45439.279133333359</c:v>
                </c:pt>
                <c:pt idx="7">
                  <c:v>43301.161466666672</c:v>
                </c:pt>
                <c:pt idx="8">
                  <c:v>28592.900866666692</c:v>
                </c:pt>
                <c:pt idx="9">
                  <c:v>89474.558333333291</c:v>
                </c:pt>
                <c:pt idx="10">
                  <c:v>78296.678066666645</c:v>
                </c:pt>
                <c:pt idx="11">
                  <c:v>143772.80233333335</c:v>
                </c:pt>
                <c:pt idx="12">
                  <c:v>157884.37893333327</c:v>
                </c:pt>
                <c:pt idx="13">
                  <c:v>89723.176666666637</c:v>
                </c:pt>
                <c:pt idx="14">
                  <c:v>93422.617466666678</c:v>
                </c:pt>
                <c:pt idx="15">
                  <c:v>14908.947800000024</c:v>
                </c:pt>
                <c:pt idx="16">
                  <c:v>54747.549533333338</c:v>
                </c:pt>
                <c:pt idx="17">
                  <c:v>13258.122066666634</c:v>
                </c:pt>
                <c:pt idx="18">
                  <c:v>320.02400000000489</c:v>
                </c:pt>
                <c:pt idx="19">
                  <c:v>24973.017933333322</c:v>
                </c:pt>
                <c:pt idx="20">
                  <c:v>11816.135733333329</c:v>
                </c:pt>
                <c:pt idx="21">
                  <c:v>45200.605533333321</c:v>
                </c:pt>
                <c:pt idx="22">
                  <c:v>63827.091066666704</c:v>
                </c:pt>
                <c:pt idx="23">
                  <c:v>115281.14133333333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575672"/>
        <c:axId val="136752568"/>
      </c:barChart>
      <c:catAx>
        <c:axId val="135575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36752568"/>
        <c:crosses val="autoZero"/>
        <c:auto val="1"/>
        <c:lblAlgn val="ctr"/>
        <c:lblOffset val="100"/>
        <c:noMultiLvlLbl val="0"/>
      </c:catAx>
      <c:valAx>
        <c:axId val="136752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5575672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3117184941004917"/>
          <c:y val="0.60601947681627932"/>
          <c:w val="0.60105676478809211"/>
          <c:h val="0.1859529017206182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79651838197409"/>
          <c:y val="5.1400554097404488E-2"/>
          <c:w val="0.7978689725714978"/>
          <c:h val="0.808715749393545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'5.3.1_Heizung'!$G$29</c:f>
              <c:strCache>
                <c:ptCount val="1"/>
                <c:pt idx="0">
                  <c:v>Produktion berechnet (Endenergie)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'5.3.1_Heizung'!$B$31:$B$54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'5.3.1_Heizung'!$G$31:$G$54</c:f>
              <c:numCache>
                <c:formatCode>#,##0</c:formatCode>
                <c:ptCount val="24"/>
                <c:pt idx="0">
                  <c:v>169708.97671887549</c:v>
                </c:pt>
                <c:pt idx="1">
                  <c:v>172536.27638714857</c:v>
                </c:pt>
                <c:pt idx="2">
                  <c:v>186042.06296626505</c:v>
                </c:pt>
                <c:pt idx="3">
                  <c:v>230787.85142730916</c:v>
                </c:pt>
                <c:pt idx="4">
                  <c:v>194296.67089718877</c:v>
                </c:pt>
                <c:pt idx="5">
                  <c:v>235356.79740562249</c:v>
                </c:pt>
                <c:pt idx="6">
                  <c:v>267141.72274779121</c:v>
                </c:pt>
                <c:pt idx="7">
                  <c:v>241280.02435823294</c:v>
                </c:pt>
                <c:pt idx="8">
                  <c:v>241980.10962168677</c:v>
                </c:pt>
                <c:pt idx="9">
                  <c:v>265131.68845381524</c:v>
                </c:pt>
                <c:pt idx="10">
                  <c:v>222933.42915100406</c:v>
                </c:pt>
                <c:pt idx="11">
                  <c:v>235079.42321686746</c:v>
                </c:pt>
                <c:pt idx="12">
                  <c:v>252259.66608192766</c:v>
                </c:pt>
                <c:pt idx="13">
                  <c:v>253280.25931726902</c:v>
                </c:pt>
                <c:pt idx="14">
                  <c:v>259340.07658313256</c:v>
                </c:pt>
                <c:pt idx="15">
                  <c:v>228069.88105301207</c:v>
                </c:pt>
                <c:pt idx="16">
                  <c:v>262972.06093895581</c:v>
                </c:pt>
                <c:pt idx="17">
                  <c:v>232949.03082168673</c:v>
                </c:pt>
                <c:pt idx="18">
                  <c:v>206723.33122891566</c:v>
                </c:pt>
                <c:pt idx="19">
                  <c:v>224522.84628674696</c:v>
                </c:pt>
                <c:pt idx="20">
                  <c:v>223695.03709879518</c:v>
                </c:pt>
                <c:pt idx="21">
                  <c:v>196248.89107550198</c:v>
                </c:pt>
                <c:pt idx="22">
                  <c:v>219116.86528353419</c:v>
                </c:pt>
                <c:pt idx="23">
                  <c:v>194859.14454618475</c:v>
                </c:pt>
              </c:numCache>
            </c:numRef>
          </c:val>
        </c:ser>
        <c:ser>
          <c:idx val="2"/>
          <c:order val="1"/>
          <c:tx>
            <c:strRef>
              <c:f>'5.3.1_Heizung'!$F$29</c:f>
              <c:strCache>
                <c:ptCount val="1"/>
                <c:pt idx="0">
                  <c:v>Heizung gemessen (Endenergie)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'5.3.1_Heizung'!$B$31:$B$54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'5.3.1_Heizung'!$F$31:$F$54</c:f>
              <c:numCache>
                <c:formatCode>0</c:formatCode>
                <c:ptCount val="24"/>
                <c:pt idx="0">
                  <c:v>195809.69694779118</c:v>
                </c:pt>
                <c:pt idx="1">
                  <c:v>121967.05654618473</c:v>
                </c:pt>
                <c:pt idx="2">
                  <c:v>117282.24843373496</c:v>
                </c:pt>
                <c:pt idx="3">
                  <c:v>33135.426506024145</c:v>
                </c:pt>
                <c:pt idx="4">
                  <c:v>71416.659036144571</c:v>
                </c:pt>
                <c:pt idx="5">
                  <c:v>19128.928594377507</c:v>
                </c:pt>
                <c:pt idx="6">
                  <c:v>8297.5563855421678</c:v>
                </c:pt>
                <c:pt idx="7">
                  <c:v>32021.137108433719</c:v>
                </c:pt>
                <c:pt idx="8">
                  <c:v>16612.791244979915</c:v>
                </c:pt>
                <c:pt idx="9">
                  <c:v>54342.869879518068</c:v>
                </c:pt>
                <c:pt idx="10">
                  <c:v>85363.248915662596</c:v>
                </c:pt>
                <c:pt idx="11">
                  <c:v>138693.37911646589</c:v>
                </c:pt>
                <c:pt idx="12">
                  <c:v>135624.71285140561</c:v>
                </c:pt>
                <c:pt idx="13">
                  <c:v>66442.917349397598</c:v>
                </c:pt>
                <c:pt idx="14">
                  <c:v>64082.540883534137</c:v>
                </c:pt>
                <c:pt idx="15">
                  <c:v>16839.066746987963</c:v>
                </c:pt>
                <c:pt idx="16">
                  <c:v>21775.488594377515</c:v>
                </c:pt>
                <c:pt idx="17">
                  <c:v>10309.09124497992</c:v>
                </c:pt>
                <c:pt idx="18">
                  <c:v>23596.692771084345</c:v>
                </c:pt>
                <c:pt idx="19">
                  <c:v>30450.171646586354</c:v>
                </c:pt>
                <c:pt idx="20">
                  <c:v>18121.098634538153</c:v>
                </c:pt>
                <c:pt idx="21">
                  <c:v>78951.714457831345</c:v>
                </c:pt>
                <c:pt idx="22">
                  <c:v>74710.225783132511</c:v>
                </c:pt>
                <c:pt idx="23">
                  <c:v>150421.99678714859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61696"/>
        <c:axId val="186850840"/>
      </c:barChart>
      <c:catAx>
        <c:axId val="136761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86850840"/>
        <c:crosses val="autoZero"/>
        <c:auto val="1"/>
        <c:lblAlgn val="ctr"/>
        <c:lblOffset val="100"/>
        <c:noMultiLvlLbl val="0"/>
      </c:catAx>
      <c:valAx>
        <c:axId val="186850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layout>
            <c:manualLayout>
              <c:xMode val="edge"/>
              <c:yMode val="edge"/>
              <c:x val="1.2290824177038247E-2"/>
              <c:y val="0.2922429093440084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761696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7578103101966545"/>
          <c:y val="0.6140668293200382"/>
          <c:w val="0.59293740119053251"/>
          <c:h val="0.1845923411477689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6582591509112"/>
          <c:y val="5.1400554097404488E-2"/>
          <c:w val="0.7970073166439946"/>
          <c:h val="0.785624480405321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'5.3.1_Heizung'!$F$29</c:f>
              <c:strCache>
                <c:ptCount val="1"/>
                <c:pt idx="0">
                  <c:v>Heizung gemessen (Endenergie)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'5.3.1_Heizung'!$B$31:$B$54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'5.3.1_Heizung'!$F$31:$F$54</c:f>
              <c:numCache>
                <c:formatCode>0</c:formatCode>
                <c:ptCount val="24"/>
                <c:pt idx="0">
                  <c:v>195809.69694779118</c:v>
                </c:pt>
                <c:pt idx="1">
                  <c:v>121967.05654618473</c:v>
                </c:pt>
                <c:pt idx="2">
                  <c:v>117282.24843373496</c:v>
                </c:pt>
                <c:pt idx="3">
                  <c:v>33135.426506024145</c:v>
                </c:pt>
                <c:pt idx="4">
                  <c:v>71416.659036144571</c:v>
                </c:pt>
                <c:pt idx="5">
                  <c:v>19128.928594377507</c:v>
                </c:pt>
                <c:pt idx="6">
                  <c:v>8297.5563855421678</c:v>
                </c:pt>
                <c:pt idx="7">
                  <c:v>32021.137108433719</c:v>
                </c:pt>
                <c:pt idx="8">
                  <c:v>16612.791244979915</c:v>
                </c:pt>
                <c:pt idx="9">
                  <c:v>54342.869879518068</c:v>
                </c:pt>
                <c:pt idx="10">
                  <c:v>85363.248915662596</c:v>
                </c:pt>
                <c:pt idx="11">
                  <c:v>138693.37911646589</c:v>
                </c:pt>
                <c:pt idx="12">
                  <c:v>135624.71285140561</c:v>
                </c:pt>
                <c:pt idx="13">
                  <c:v>66442.917349397598</c:v>
                </c:pt>
                <c:pt idx="14">
                  <c:v>64082.540883534137</c:v>
                </c:pt>
                <c:pt idx="15">
                  <c:v>16839.066746987963</c:v>
                </c:pt>
                <c:pt idx="16">
                  <c:v>21775.488594377515</c:v>
                </c:pt>
                <c:pt idx="17">
                  <c:v>10309.09124497992</c:v>
                </c:pt>
                <c:pt idx="18">
                  <c:v>23596.692771084345</c:v>
                </c:pt>
                <c:pt idx="19">
                  <c:v>30450.171646586354</c:v>
                </c:pt>
                <c:pt idx="20">
                  <c:v>18121.098634538153</c:v>
                </c:pt>
                <c:pt idx="21">
                  <c:v>78951.714457831345</c:v>
                </c:pt>
                <c:pt idx="22">
                  <c:v>74710.225783132511</c:v>
                </c:pt>
                <c:pt idx="23">
                  <c:v>150421.99678714859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277368"/>
        <c:axId val="134276976"/>
      </c:barChart>
      <c:catAx>
        <c:axId val="134277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34276976"/>
        <c:crosses val="autoZero"/>
        <c:auto val="1"/>
        <c:lblAlgn val="ctr"/>
        <c:lblOffset val="100"/>
        <c:noMultiLvlLbl val="0"/>
      </c:catAx>
      <c:valAx>
        <c:axId val="134276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layout>
            <c:manualLayout>
              <c:xMode val="edge"/>
              <c:yMode val="edge"/>
              <c:x val="1.3010531128337511E-2"/>
              <c:y val="0.2634479790495877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34277368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304090235705075"/>
          <c:y val="0.16807885650960155"/>
          <c:w val="0.66186971054296362"/>
          <c:h val="0.111919617547288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22462817147856"/>
          <c:y val="5.1400554097404488E-2"/>
          <c:w val="0.80163451443569889"/>
          <c:h val="0.793892029056533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'5.3.1_Heizung'!$G$67</c:f>
              <c:strCache>
                <c:ptCount val="1"/>
                <c:pt idx="0">
                  <c:v>Produktion berechnet (Endenergie)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'5.3.1_Heizung'!$B$69:$B$92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'5.3.1_Heizung'!$G$69:$G$92</c:f>
              <c:numCache>
                <c:formatCode>#,##0</c:formatCode>
                <c:ptCount val="24"/>
                <c:pt idx="0">
                  <c:v>206541.40955654232</c:v>
                </c:pt>
                <c:pt idx="1">
                  <c:v>165635.39914709615</c:v>
                </c:pt>
                <c:pt idx="2">
                  <c:v>198784.71651546372</c:v>
                </c:pt>
                <c:pt idx="3">
                  <c:v>221529.34083730014</c:v>
                </c:pt>
                <c:pt idx="4">
                  <c:v>263786.33279260457</c:v>
                </c:pt>
                <c:pt idx="5">
                  <c:v>254485.726</c:v>
                </c:pt>
                <c:pt idx="6">
                  <c:v>275439.27913333336</c:v>
                </c:pt>
                <c:pt idx="7">
                  <c:v>273301.16146666667</c:v>
                </c:pt>
                <c:pt idx="8">
                  <c:v>258592.90086666669</c:v>
                </c:pt>
                <c:pt idx="9">
                  <c:v>312970.94298337365</c:v>
                </c:pt>
                <c:pt idx="10">
                  <c:v>224713.17708755581</c:v>
                </c:pt>
                <c:pt idx="11">
                  <c:v>249963.23604150926</c:v>
                </c:pt>
                <c:pt idx="12">
                  <c:v>271547.69669951196</c:v>
                </c:pt>
                <c:pt idx="13">
                  <c:v>218147.49282380333</c:v>
                </c:pt>
                <c:pt idx="14">
                  <c:v>235356.999947731</c:v>
                </c:pt>
                <c:pt idx="15">
                  <c:v>230648.3222358542</c:v>
                </c:pt>
                <c:pt idx="16">
                  <c:v>284747.54953333334</c:v>
                </c:pt>
                <c:pt idx="17">
                  <c:v>243258.12206666663</c:v>
                </c:pt>
                <c:pt idx="18">
                  <c:v>230320.024</c:v>
                </c:pt>
                <c:pt idx="19">
                  <c:v>254973.01793333332</c:v>
                </c:pt>
                <c:pt idx="20">
                  <c:v>234560.72974455738</c:v>
                </c:pt>
                <c:pt idx="21">
                  <c:v>236671.89786879896</c:v>
                </c:pt>
                <c:pt idx="22">
                  <c:v>189499.35667633667</c:v>
                </c:pt>
                <c:pt idx="23">
                  <c:v>201173.76721143859</c:v>
                </c:pt>
              </c:numCache>
            </c:numRef>
          </c:val>
        </c:ser>
        <c:ser>
          <c:idx val="2"/>
          <c:order val="1"/>
          <c:tx>
            <c:strRef>
              <c:f>'5.3.1_Heizung'!$F$67</c:f>
              <c:strCache>
                <c:ptCount val="1"/>
                <c:pt idx="0">
                  <c:v>Heizung gerechnet (Endenergie)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'5.3.1_Heizung'!$B$69:$B$92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'5.3.1_Heizung'!$F$69:$F$92</c:f>
              <c:numCache>
                <c:formatCode>0</c:formatCode>
                <c:ptCount val="24"/>
                <c:pt idx="0">
                  <c:v>158977.26411012435</c:v>
                </c:pt>
                <c:pt idx="1">
                  <c:v>128867.93378623713</c:v>
                </c:pt>
                <c:pt idx="2">
                  <c:v>104539.5948845363</c:v>
                </c:pt>
                <c:pt idx="3">
                  <c:v>42393.937096033151</c:v>
                </c:pt>
                <c:pt idx="4">
                  <c:v>1926.9971407287796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6503.6153499596312</c:v>
                </c:pt>
                <c:pt idx="10">
                  <c:v>83583.500979110817</c:v>
                </c:pt>
                <c:pt idx="11">
                  <c:v>123809.5662918241</c:v>
                </c:pt>
                <c:pt idx="12">
                  <c:v>116336.68223382128</c:v>
                </c:pt>
                <c:pt idx="13">
                  <c:v>101575.68384286331</c:v>
                </c:pt>
                <c:pt idx="14">
                  <c:v>88065.617518935673</c:v>
                </c:pt>
                <c:pt idx="15">
                  <c:v>14260.625564145834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7255.4059887759513</c:v>
                </c:pt>
                <c:pt idx="21">
                  <c:v>38528.707664534355</c:v>
                </c:pt>
                <c:pt idx="22">
                  <c:v>104327.73439033005</c:v>
                </c:pt>
                <c:pt idx="23">
                  <c:v>144107.37412189474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275016"/>
        <c:axId val="136322400"/>
      </c:barChart>
      <c:catAx>
        <c:axId val="134275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36322400"/>
        <c:crosses val="autoZero"/>
        <c:auto val="1"/>
        <c:lblAlgn val="ctr"/>
        <c:lblOffset val="100"/>
        <c:noMultiLvlLbl val="0"/>
      </c:catAx>
      <c:valAx>
        <c:axId val="136322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layout>
            <c:manualLayout>
              <c:xMode val="edge"/>
              <c:yMode val="edge"/>
              <c:x val="1.5248547020191534E-2"/>
              <c:y val="0.29899652584920955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275016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5523629019482202"/>
          <c:y val="0.61608479709267105"/>
          <c:w val="0.57531933508311461"/>
          <c:h val="0.20600685331000293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22462817147856"/>
          <c:y val="5.1400554097404488E-2"/>
          <c:w val="0.80163451443569889"/>
          <c:h val="0.7813374610224995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'5.3.1_Heizung'!$F$67</c:f>
              <c:strCache>
                <c:ptCount val="1"/>
                <c:pt idx="0">
                  <c:v>Heizung gerechnet (Endenergie)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'5.3.1_Heizung'!$B$69:$B$92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'5.3.1_Heizung'!$F$69:$F$92</c:f>
              <c:numCache>
                <c:formatCode>0</c:formatCode>
                <c:ptCount val="24"/>
                <c:pt idx="0">
                  <c:v>158977.26411012435</c:v>
                </c:pt>
                <c:pt idx="1">
                  <c:v>128867.93378623713</c:v>
                </c:pt>
                <c:pt idx="2">
                  <c:v>104539.5948845363</c:v>
                </c:pt>
                <c:pt idx="3">
                  <c:v>42393.937096033151</c:v>
                </c:pt>
                <c:pt idx="4">
                  <c:v>1926.9971407287796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6503.6153499596312</c:v>
                </c:pt>
                <c:pt idx="10">
                  <c:v>83583.500979110817</c:v>
                </c:pt>
                <c:pt idx="11">
                  <c:v>123809.5662918241</c:v>
                </c:pt>
                <c:pt idx="12">
                  <c:v>116336.68223382128</c:v>
                </c:pt>
                <c:pt idx="13">
                  <c:v>101575.68384286331</c:v>
                </c:pt>
                <c:pt idx="14">
                  <c:v>88065.617518935673</c:v>
                </c:pt>
                <c:pt idx="15">
                  <c:v>14260.625564145834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7255.4059887759513</c:v>
                </c:pt>
                <c:pt idx="21">
                  <c:v>38528.707664534355</c:v>
                </c:pt>
                <c:pt idx="22">
                  <c:v>104327.73439033005</c:v>
                </c:pt>
                <c:pt idx="23">
                  <c:v>144107.37412189474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323184"/>
        <c:axId val="136323576"/>
      </c:barChart>
      <c:catAx>
        <c:axId val="136323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36323576"/>
        <c:crosses val="autoZero"/>
        <c:auto val="1"/>
        <c:lblAlgn val="ctr"/>
        <c:lblOffset val="100"/>
        <c:noMultiLvlLbl val="0"/>
      </c:catAx>
      <c:valAx>
        <c:axId val="136323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layout>
            <c:manualLayout>
              <c:xMode val="edge"/>
              <c:yMode val="edge"/>
              <c:x val="1.3132657310825083E-2"/>
              <c:y val="0.2600318549924849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36323184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32397187436441777"/>
          <c:y val="6.2238643246517324E-2"/>
          <c:w val="0.48691383134303962"/>
          <c:h val="0.1188273773470623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6876739277647"/>
          <c:y val="5.1400554097404488E-2"/>
          <c:w val="0.8217342606185567"/>
          <c:h val="0.772386775881735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'5.3.1_Heizung'!$E$105</c:f>
              <c:strCache>
                <c:ptCount val="1"/>
                <c:pt idx="0">
                  <c:v>Heizung geschätzt (Endenergie)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'5.3.1_Heizung'!$B$106:$B$129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'5.3.1_Heizung'!$E$106:$E$129</c:f>
              <c:numCache>
                <c:formatCode>#,##0</c:formatCode>
                <c:ptCount val="24"/>
                <c:pt idx="0">
                  <c:v>135518.67366666667</c:v>
                </c:pt>
                <c:pt idx="1">
                  <c:v>64503.332933333295</c:v>
                </c:pt>
                <c:pt idx="2">
                  <c:v>73324.311400000006</c:v>
                </c:pt>
                <c:pt idx="3">
                  <c:v>33923.277933333302</c:v>
                </c:pt>
                <c:pt idx="4">
                  <c:v>35713.329933333327</c:v>
                </c:pt>
                <c:pt idx="5">
                  <c:v>24485.725999999995</c:v>
                </c:pt>
                <c:pt idx="6">
                  <c:v>45439.279133333359</c:v>
                </c:pt>
                <c:pt idx="7">
                  <c:v>43301.161466666672</c:v>
                </c:pt>
                <c:pt idx="8">
                  <c:v>28592.900866666692</c:v>
                </c:pt>
                <c:pt idx="9">
                  <c:v>89474.558333333291</c:v>
                </c:pt>
                <c:pt idx="10">
                  <c:v>78296.678066666645</c:v>
                </c:pt>
                <c:pt idx="11">
                  <c:v>143772.80233333335</c:v>
                </c:pt>
                <c:pt idx="12">
                  <c:v>157884.37893333327</c:v>
                </c:pt>
                <c:pt idx="13">
                  <c:v>89723.176666666637</c:v>
                </c:pt>
                <c:pt idx="14">
                  <c:v>93422.617466666678</c:v>
                </c:pt>
                <c:pt idx="15">
                  <c:v>14908.947800000024</c:v>
                </c:pt>
                <c:pt idx="16">
                  <c:v>54747.549533333338</c:v>
                </c:pt>
                <c:pt idx="17">
                  <c:v>13258.122066666634</c:v>
                </c:pt>
                <c:pt idx="18">
                  <c:v>320.02400000000489</c:v>
                </c:pt>
                <c:pt idx="19">
                  <c:v>24973.017933333322</c:v>
                </c:pt>
                <c:pt idx="20">
                  <c:v>11816.135733333329</c:v>
                </c:pt>
                <c:pt idx="21">
                  <c:v>45200.605533333321</c:v>
                </c:pt>
                <c:pt idx="22">
                  <c:v>63827.091066666704</c:v>
                </c:pt>
                <c:pt idx="23">
                  <c:v>115281.14133333333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324752"/>
        <c:axId val="136325144"/>
      </c:barChart>
      <c:catAx>
        <c:axId val="13632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36325144"/>
        <c:crosses val="autoZero"/>
        <c:auto val="1"/>
        <c:lblAlgn val="ctr"/>
        <c:lblOffset val="100"/>
        <c:noMultiLvlLbl val="0"/>
      </c:catAx>
      <c:valAx>
        <c:axId val="136325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6324752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9432123470754001"/>
          <c:y val="0.26163845028193228"/>
          <c:w val="0.4494493989356303"/>
          <c:h val="9.7219668543069265E-2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39124889491218"/>
          <c:y val="6.5021648640271726E-2"/>
          <c:w val="0.83003915135608064"/>
          <c:h val="0.79342359703859033"/>
        </c:manualLayout>
      </c:layout>
      <c:lineChart>
        <c:grouping val="standard"/>
        <c:varyColors val="0"/>
        <c:ser>
          <c:idx val="0"/>
          <c:order val="0"/>
          <c:tx>
            <c:strRef>
              <c:f>'5.3.1_Heizung'!$C$136</c:f>
              <c:strCache>
                <c:ptCount val="1"/>
                <c:pt idx="0">
                  <c:v>V1 Heizenergieverbrauch gemessen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strRef>
              <c:f>'5.3.1_Heizung'!$B$137:$B$160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'5.3.1_Heizung'!$C$137:$C$160</c:f>
              <c:numCache>
                <c:formatCode>#,##0</c:formatCode>
                <c:ptCount val="24"/>
                <c:pt idx="0">
                  <c:v>195809.69694779118</c:v>
                </c:pt>
                <c:pt idx="1">
                  <c:v>121967.05654618473</c:v>
                </c:pt>
                <c:pt idx="2">
                  <c:v>117282.24843373496</c:v>
                </c:pt>
                <c:pt idx="3">
                  <c:v>33135.426506024145</c:v>
                </c:pt>
                <c:pt idx="4">
                  <c:v>71416.659036144571</c:v>
                </c:pt>
                <c:pt idx="5">
                  <c:v>19128.928594377507</c:v>
                </c:pt>
                <c:pt idx="6">
                  <c:v>8297.5563855421678</c:v>
                </c:pt>
                <c:pt idx="7">
                  <c:v>32021.137108433719</c:v>
                </c:pt>
                <c:pt idx="8">
                  <c:v>16612.791244979915</c:v>
                </c:pt>
                <c:pt idx="9">
                  <c:v>54342.869879518068</c:v>
                </c:pt>
                <c:pt idx="10">
                  <c:v>85363.248915662596</c:v>
                </c:pt>
                <c:pt idx="11">
                  <c:v>138693.37911646589</c:v>
                </c:pt>
                <c:pt idx="12">
                  <c:v>135624.71285140561</c:v>
                </c:pt>
                <c:pt idx="13">
                  <c:v>66442.917349397598</c:v>
                </c:pt>
                <c:pt idx="14">
                  <c:v>64082.540883534137</c:v>
                </c:pt>
                <c:pt idx="15">
                  <c:v>16839.066746987963</c:v>
                </c:pt>
                <c:pt idx="16">
                  <c:v>21775.488594377515</c:v>
                </c:pt>
                <c:pt idx="17">
                  <c:v>10309.09124497992</c:v>
                </c:pt>
                <c:pt idx="18">
                  <c:v>23596.692771084345</c:v>
                </c:pt>
                <c:pt idx="19">
                  <c:v>30450.171646586354</c:v>
                </c:pt>
                <c:pt idx="20">
                  <c:v>18121.098634538153</c:v>
                </c:pt>
                <c:pt idx="21">
                  <c:v>78951.714457831345</c:v>
                </c:pt>
                <c:pt idx="22">
                  <c:v>74710.225783132511</c:v>
                </c:pt>
                <c:pt idx="23">
                  <c:v>150421.99678714859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'5.3.1_Heizung'!$D$136</c:f>
              <c:strCache>
                <c:ptCount val="1"/>
                <c:pt idx="0">
                  <c:v>V2 Berechnung Heizgradtage</c:v>
                </c:pt>
              </c:strCache>
            </c:strRef>
          </c:tx>
          <c:marker>
            <c:symbol val="none"/>
          </c:marker>
          <c:cat>
            <c:strRef>
              <c:f>'5.3.1_Heizung'!$B$137:$B$160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'5.3.1_Heizung'!$D$137:$D$160</c:f>
              <c:numCache>
                <c:formatCode>#,##0</c:formatCode>
                <c:ptCount val="24"/>
                <c:pt idx="0">
                  <c:v>158977.26411012435</c:v>
                </c:pt>
                <c:pt idx="1">
                  <c:v>128867.93378623713</c:v>
                </c:pt>
                <c:pt idx="2">
                  <c:v>104539.5948845363</c:v>
                </c:pt>
                <c:pt idx="3">
                  <c:v>42393.937096033151</c:v>
                </c:pt>
                <c:pt idx="4">
                  <c:v>1926.9971407287796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6503.6153499596312</c:v>
                </c:pt>
                <c:pt idx="10">
                  <c:v>83583.500979110817</c:v>
                </c:pt>
                <c:pt idx="11">
                  <c:v>123809.5662918241</c:v>
                </c:pt>
                <c:pt idx="12">
                  <c:v>116336.68223382128</c:v>
                </c:pt>
                <c:pt idx="13">
                  <c:v>101575.68384286331</c:v>
                </c:pt>
                <c:pt idx="14">
                  <c:v>88065.617518935673</c:v>
                </c:pt>
                <c:pt idx="15">
                  <c:v>14260.625564145834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7255.4059887759513</c:v>
                </c:pt>
                <c:pt idx="21">
                  <c:v>38528.707664534355</c:v>
                </c:pt>
                <c:pt idx="22">
                  <c:v>104327.73439033005</c:v>
                </c:pt>
                <c:pt idx="23">
                  <c:v>144107.37412189474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'5.3.1_Heizung'!$E$136</c:f>
              <c:strCache>
                <c:ptCount val="1"/>
                <c:pt idx="0">
                  <c:v>V3 Berechnung Produktion konstant</c:v>
                </c:pt>
              </c:strCache>
            </c:strRef>
          </c:tx>
          <c:marker>
            <c:symbol val="none"/>
          </c:marker>
          <c:cat>
            <c:strRef>
              <c:f>'5.3.1_Heizung'!$B$137:$B$160</c:f>
              <c:strCache>
                <c:ptCount val="24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  <c:pt idx="12">
                  <c:v>Jan</c:v>
                </c:pt>
                <c:pt idx="13">
                  <c:v>Feb</c:v>
                </c:pt>
                <c:pt idx="14">
                  <c:v>Mrz</c:v>
                </c:pt>
                <c:pt idx="15">
                  <c:v>Apr</c:v>
                </c:pt>
                <c:pt idx="16">
                  <c:v>Mai</c:v>
                </c:pt>
                <c:pt idx="17">
                  <c:v>Jun</c:v>
                </c:pt>
                <c:pt idx="18">
                  <c:v>Jul</c:v>
                </c:pt>
                <c:pt idx="19">
                  <c:v>Aug</c:v>
                </c:pt>
                <c:pt idx="20">
                  <c:v>Sep</c:v>
                </c:pt>
                <c:pt idx="21">
                  <c:v>Okt</c:v>
                </c:pt>
                <c:pt idx="22">
                  <c:v>Nov</c:v>
                </c:pt>
                <c:pt idx="23">
                  <c:v>Dez</c:v>
                </c:pt>
              </c:strCache>
            </c:strRef>
          </c:cat>
          <c:val>
            <c:numRef>
              <c:f>'5.3.1_Heizung'!$E$137:$E$160</c:f>
              <c:numCache>
                <c:formatCode>#,##0</c:formatCode>
                <c:ptCount val="24"/>
                <c:pt idx="0">
                  <c:v>135518.67366666667</c:v>
                </c:pt>
                <c:pt idx="1">
                  <c:v>64503.332933333295</c:v>
                </c:pt>
                <c:pt idx="2">
                  <c:v>73324.311400000006</c:v>
                </c:pt>
                <c:pt idx="3">
                  <c:v>33923.277933333302</c:v>
                </c:pt>
                <c:pt idx="4">
                  <c:v>35713.329933333327</c:v>
                </c:pt>
                <c:pt idx="5">
                  <c:v>24485.725999999995</c:v>
                </c:pt>
                <c:pt idx="6">
                  <c:v>45439.279133333359</c:v>
                </c:pt>
                <c:pt idx="7">
                  <c:v>43301.161466666672</c:v>
                </c:pt>
                <c:pt idx="8">
                  <c:v>28592.900866666692</c:v>
                </c:pt>
                <c:pt idx="9">
                  <c:v>89474.558333333291</c:v>
                </c:pt>
                <c:pt idx="10">
                  <c:v>78296.678066666645</c:v>
                </c:pt>
                <c:pt idx="11">
                  <c:v>143772.80233333335</c:v>
                </c:pt>
                <c:pt idx="12">
                  <c:v>157884.37893333327</c:v>
                </c:pt>
                <c:pt idx="13">
                  <c:v>89723.176666666637</c:v>
                </c:pt>
                <c:pt idx="14">
                  <c:v>93422.617466666678</c:v>
                </c:pt>
                <c:pt idx="15">
                  <c:v>14908.947800000024</c:v>
                </c:pt>
                <c:pt idx="16">
                  <c:v>54747.549533333338</c:v>
                </c:pt>
                <c:pt idx="17">
                  <c:v>13258.122066666634</c:v>
                </c:pt>
                <c:pt idx="18">
                  <c:v>320.02400000000489</c:v>
                </c:pt>
                <c:pt idx="19">
                  <c:v>24973.017933333322</c:v>
                </c:pt>
                <c:pt idx="20">
                  <c:v>11816.135733333329</c:v>
                </c:pt>
                <c:pt idx="21">
                  <c:v>45200.605533333321</c:v>
                </c:pt>
                <c:pt idx="22">
                  <c:v>63827.091066666704</c:v>
                </c:pt>
                <c:pt idx="23">
                  <c:v>115281.14133333333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08448"/>
        <c:axId val="135008056"/>
      </c:lineChart>
      <c:catAx>
        <c:axId val="135008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35008056"/>
        <c:crosses val="autoZero"/>
        <c:auto val="1"/>
        <c:lblAlgn val="ctr"/>
        <c:lblOffset val="100"/>
        <c:noMultiLvlLbl val="0"/>
      </c:catAx>
      <c:valAx>
        <c:axId val="135008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[kWh/Monat]</a:t>
                </a:r>
              </a:p>
            </c:rich>
          </c:tx>
          <c:layout>
            <c:manualLayout>
              <c:xMode val="edge"/>
              <c:yMode val="edge"/>
              <c:x val="1.4386483847046806E-2"/>
              <c:y val="0.31986316023387429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5008448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369721926011639"/>
          <c:y val="0.10436452974882779"/>
          <c:w val="0.48629728851335269"/>
          <c:h val="0.17866354543519899"/>
        </c:manualLayout>
      </c:layout>
      <c:overlay val="0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chart" Target="../charts/chart1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41</xdr:row>
          <xdr:rowOff>106680</xdr:rowOff>
        </xdr:from>
        <xdr:to>
          <xdr:col>8</xdr:col>
          <xdr:colOff>518160</xdr:colOff>
          <xdr:row>69</xdr:row>
          <xdr:rowOff>99060</xdr:rowOff>
        </xdr:to>
        <xdr:sp macro="" textlink="">
          <xdr:nvSpPr>
            <xdr:cNvPr id="159745" name="Object 1" hidden="1">
              <a:extLst>
                <a:ext uri="{63B3BB69-23CF-44E3-9099-C40C66FF867C}">
                  <a14:compatExt spid="_x0000_s159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533922</xdr:colOff>
      <xdr:row>49</xdr:row>
      <xdr:rowOff>148010</xdr:rowOff>
    </xdr:from>
    <xdr:to>
      <xdr:col>18</xdr:col>
      <xdr:colOff>708840</xdr:colOff>
      <xdr:row>73</xdr:row>
      <xdr:rowOff>125558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50</xdr:row>
      <xdr:rowOff>19050</xdr:rowOff>
    </xdr:from>
    <xdr:to>
      <xdr:col>6</xdr:col>
      <xdr:colOff>438150</xdr:colOff>
      <xdr:row>70</xdr:row>
      <xdr:rowOff>104775</xdr:rowOff>
    </xdr:to>
    <xdr:pic>
      <xdr:nvPicPr>
        <xdr:cNvPr id="151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934450"/>
          <a:ext cx="4476750" cy="3324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2697</xdr:colOff>
      <xdr:row>4</xdr:row>
      <xdr:rowOff>112059</xdr:rowOff>
    </xdr:from>
    <xdr:to>
      <xdr:col>16</xdr:col>
      <xdr:colOff>952500</xdr:colOff>
      <xdr:row>28</xdr:row>
      <xdr:rowOff>100853</xdr:rowOff>
    </xdr:to>
    <xdr:grpSp>
      <xdr:nvGrpSpPr>
        <xdr:cNvPr id="2" name="Gruppieren 1"/>
        <xdr:cNvGrpSpPr/>
      </xdr:nvGrpSpPr>
      <xdr:grpSpPr>
        <a:xfrm>
          <a:off x="12956697" y="891988"/>
          <a:ext cx="4455003" cy="4300818"/>
          <a:chOff x="10429874" y="809625"/>
          <a:chExt cx="4171950" cy="4794271"/>
        </a:xfrm>
      </xdr:grpSpPr>
      <xdr:sp macro="" textlink="">
        <xdr:nvSpPr>
          <xdr:cNvPr id="3" name="Textfeld 2"/>
          <xdr:cNvSpPr txBox="1">
            <a:spLocks noChangeAspect="1"/>
          </xdr:cNvSpPr>
        </xdr:nvSpPr>
        <xdr:spPr>
          <a:xfrm>
            <a:off x="10429874" y="809625"/>
            <a:ext cx="4171950" cy="4794271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200" b="1">
                <a:latin typeface="Arial" pitchFamily="34" charset="0"/>
                <a:cs typeface="Arial" pitchFamily="34" charset="0"/>
              </a:rPr>
              <a:t>Beispiel Messprotokoll</a:t>
            </a:r>
          </a:p>
        </xdr:txBody>
      </xdr:sp>
      <xdr:pic>
        <xdr:nvPicPr>
          <xdr:cNvPr id="4" name="Grafik 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242"/>
          <a:stretch/>
        </xdr:blipFill>
        <xdr:spPr>
          <a:xfrm>
            <a:off x="10544174" y="1174094"/>
            <a:ext cx="1543051" cy="4307481"/>
          </a:xfrm>
          <a:prstGeom prst="rect">
            <a:avLst/>
          </a:prstGeom>
        </xdr:spPr>
      </xdr:pic>
      <xdr:sp macro="" textlink="">
        <xdr:nvSpPr>
          <xdr:cNvPr id="5" name="Textfeld 4"/>
          <xdr:cNvSpPr txBox="1"/>
        </xdr:nvSpPr>
        <xdr:spPr>
          <a:xfrm>
            <a:off x="12982575" y="2790259"/>
            <a:ext cx="1561037" cy="294814"/>
          </a:xfrm>
          <a:prstGeom prst="rect">
            <a:avLst/>
          </a:prstGeom>
          <a:solidFill>
            <a:schemeClr val="bg1"/>
          </a:solidFill>
          <a:ln w="15875">
            <a:solidFill>
              <a:srgbClr val="FF0000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wrap="square" rtlCol="0" anchor="t"/>
          <a:lstStyle/>
          <a:p>
            <a:r>
              <a:rPr lang="de-CH" sz="1100" b="1">
                <a:latin typeface="Arial" pitchFamily="34" charset="0"/>
                <a:cs typeface="Arial" pitchFamily="34" charset="0"/>
              </a:rPr>
              <a:t>Rauchgastemperatur</a:t>
            </a:r>
          </a:p>
        </xdr:txBody>
      </xdr:sp>
      <xdr:cxnSp macro="">
        <xdr:nvCxnSpPr>
          <xdr:cNvPr id="6" name="Gerade Verbindung mit Pfeil 5"/>
          <xdr:cNvCxnSpPr>
            <a:stCxn id="5" idx="1"/>
            <a:endCxn id="7" idx="3"/>
          </xdr:cNvCxnSpPr>
        </xdr:nvCxnSpPr>
        <xdr:spPr>
          <a:xfrm flipH="1">
            <a:off x="12353925" y="2937667"/>
            <a:ext cx="628651" cy="281217"/>
          </a:xfrm>
          <a:prstGeom prst="straightConnector1">
            <a:avLst/>
          </a:prstGeom>
          <a:ln w="15875">
            <a:solidFill>
              <a:srgbClr val="FF0000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feld 6"/>
          <xdr:cNvSpPr txBox="1"/>
        </xdr:nvSpPr>
        <xdr:spPr>
          <a:xfrm>
            <a:off x="10610850" y="3133159"/>
            <a:ext cx="1743075" cy="171449"/>
          </a:xfrm>
          <a:prstGeom prst="rect">
            <a:avLst/>
          </a:prstGeom>
          <a:ln w="15875">
            <a:solidFill>
              <a:srgbClr val="FF0000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wrap="square" rtlCol="0" anchor="t"/>
          <a:lstStyle/>
          <a:p>
            <a:endParaRPr lang="de-CH" sz="11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8" name="Textfeld 7"/>
          <xdr:cNvSpPr txBox="1"/>
        </xdr:nvSpPr>
        <xdr:spPr>
          <a:xfrm>
            <a:off x="10620375" y="4295208"/>
            <a:ext cx="1743075" cy="171449"/>
          </a:xfrm>
          <a:prstGeom prst="rect">
            <a:avLst/>
          </a:prstGeom>
          <a:ln w="15875">
            <a:solidFill>
              <a:srgbClr val="FF0000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wrap="square" rtlCol="0" anchor="t"/>
          <a:lstStyle/>
          <a:p>
            <a:endParaRPr lang="de-CH" sz="11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9" name="Textfeld 8"/>
          <xdr:cNvSpPr txBox="1"/>
        </xdr:nvSpPr>
        <xdr:spPr>
          <a:xfrm>
            <a:off x="13077825" y="3999932"/>
            <a:ext cx="1343025" cy="257175"/>
          </a:xfrm>
          <a:prstGeom prst="rect">
            <a:avLst/>
          </a:prstGeom>
          <a:solidFill>
            <a:schemeClr val="bg1"/>
          </a:solidFill>
          <a:ln w="15875">
            <a:solidFill>
              <a:srgbClr val="FF0000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wrap="square" rtlCol="0" anchor="t"/>
          <a:lstStyle/>
          <a:p>
            <a:r>
              <a:rPr lang="de-CH" sz="1100" b="1">
                <a:latin typeface="Arial" pitchFamily="34" charset="0"/>
                <a:cs typeface="Arial" pitchFamily="34" charset="0"/>
              </a:rPr>
              <a:t>Rauchgasverluste</a:t>
            </a:r>
          </a:p>
        </xdr:txBody>
      </xdr:sp>
      <xdr:cxnSp macro="">
        <xdr:nvCxnSpPr>
          <xdr:cNvPr id="10" name="Gerade Verbindung mit Pfeil 9"/>
          <xdr:cNvCxnSpPr>
            <a:stCxn id="9" idx="1"/>
            <a:endCxn id="8" idx="3"/>
          </xdr:cNvCxnSpPr>
        </xdr:nvCxnSpPr>
        <xdr:spPr>
          <a:xfrm flipH="1">
            <a:off x="12363450" y="4128520"/>
            <a:ext cx="714375" cy="252413"/>
          </a:xfrm>
          <a:prstGeom prst="straightConnector1">
            <a:avLst/>
          </a:prstGeom>
          <a:ln w="15875">
            <a:solidFill>
              <a:srgbClr val="FF0000"/>
            </a:solidFill>
            <a:tail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27</xdr:col>
      <xdr:colOff>377290</xdr:colOff>
      <xdr:row>6</xdr:row>
      <xdr:rowOff>129887</xdr:rowOff>
    </xdr:from>
    <xdr:to>
      <xdr:col>48</xdr:col>
      <xdr:colOff>596432</xdr:colOff>
      <xdr:row>46</xdr:row>
      <xdr:rowOff>109541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4972" y="1255569"/>
          <a:ext cx="10042319" cy="6773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69272</xdr:colOff>
      <xdr:row>47</xdr:row>
      <xdr:rowOff>34637</xdr:rowOff>
    </xdr:from>
    <xdr:to>
      <xdr:col>10</xdr:col>
      <xdr:colOff>349995</xdr:colOff>
      <xdr:row>60</xdr:row>
      <xdr:rowOff>73521</xdr:rowOff>
    </xdr:to>
    <xdr:graphicFrame macro="">
      <xdr:nvGraphicFramePr>
        <xdr:cNvPr id="12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825499</xdr:colOff>
      <xdr:row>32</xdr:row>
      <xdr:rowOff>47623</xdr:rowOff>
    </xdr:from>
    <xdr:to>
      <xdr:col>5</xdr:col>
      <xdr:colOff>381000</xdr:colOff>
      <xdr:row>42</xdr:row>
      <xdr:rowOff>111124</xdr:rowOff>
    </xdr:to>
    <xdr:sp macro="" textlink="">
      <xdr:nvSpPr>
        <xdr:cNvPr id="2" name="Bogen 1"/>
        <xdr:cNvSpPr/>
      </xdr:nvSpPr>
      <xdr:spPr>
        <a:xfrm rot="1120049" flipV="1">
          <a:off x="2873374" y="5333998"/>
          <a:ext cx="1873251" cy="1714501"/>
        </a:xfrm>
        <a:prstGeom prst="arc">
          <a:avLst>
            <a:gd name="adj1" fmla="val 16200000"/>
            <a:gd name="adj2" fmla="val 3376126"/>
          </a:avLst>
        </a:prstGeom>
        <a:ln>
          <a:solidFill>
            <a:srgbClr val="C00000"/>
          </a:solidFill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180976</xdr:colOff>
      <xdr:row>103</xdr:row>
      <xdr:rowOff>95250</xdr:rowOff>
    </xdr:from>
    <xdr:to>
      <xdr:col>11</xdr:col>
      <xdr:colOff>638175</xdr:colOff>
      <xdr:row>116</xdr:row>
      <xdr:rowOff>61633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115166</xdr:colOff>
      <xdr:row>28</xdr:row>
      <xdr:rowOff>8251</xdr:rowOff>
    </xdr:from>
    <xdr:to>
      <xdr:col>14</xdr:col>
      <xdr:colOff>0</xdr:colOff>
      <xdr:row>39</xdr:row>
      <xdr:rowOff>145676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127748</xdr:colOff>
      <xdr:row>40</xdr:row>
      <xdr:rowOff>52669</xdr:rowOff>
    </xdr:from>
    <xdr:to>
      <xdr:col>13</xdr:col>
      <xdr:colOff>704850</xdr:colOff>
      <xdr:row>54</xdr:row>
      <xdr:rowOff>30257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128588</xdr:colOff>
      <xdr:row>66</xdr:row>
      <xdr:rowOff>19051</xdr:rowOff>
    </xdr:from>
    <xdr:to>
      <xdr:col>14</xdr:col>
      <xdr:colOff>66675</xdr:colOff>
      <xdr:row>77</xdr:row>
      <xdr:rowOff>47626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142875</xdr:colOff>
      <xdr:row>77</xdr:row>
      <xdr:rowOff>142875</xdr:rowOff>
    </xdr:from>
    <xdr:to>
      <xdr:col>14</xdr:col>
      <xdr:colOff>76200</xdr:colOff>
      <xdr:row>91</xdr:row>
      <xdr:rowOff>104775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180975</xdr:colOff>
      <xdr:row>116</xdr:row>
      <xdr:rowOff>105896</xdr:rowOff>
    </xdr:from>
    <xdr:to>
      <xdr:col>11</xdr:col>
      <xdr:colOff>647700</xdr:colOff>
      <xdr:row>130</xdr:row>
      <xdr:rowOff>158284</xdr:rowOff>
    </xdr:to>
    <xdr:graphicFrame macro="">
      <xdr:nvGraphicFramePr>
        <xdr:cNvPr id="9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214312</xdr:colOff>
      <xdr:row>136</xdr:row>
      <xdr:rowOff>47625</xdr:rowOff>
    </xdr:from>
    <xdr:to>
      <xdr:col>11</xdr:col>
      <xdr:colOff>588869</xdr:colOff>
      <xdr:row>151</xdr:row>
      <xdr:rowOff>35299</xdr:rowOff>
    </xdr:to>
    <xdr:graphicFrame macro="">
      <xdr:nvGraphicFramePr>
        <xdr:cNvPr id="10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16</xdr:col>
      <xdr:colOff>35503</xdr:colOff>
      <xdr:row>28</xdr:row>
      <xdr:rowOff>78798</xdr:rowOff>
    </xdr:from>
    <xdr:to>
      <xdr:col>30</xdr:col>
      <xdr:colOff>223936</xdr:colOff>
      <xdr:row>41</xdr:row>
      <xdr:rowOff>126423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564"/>
        <a:stretch/>
      </xdr:blipFill>
      <xdr:spPr>
        <a:xfrm>
          <a:off x="11361594" y="4512253"/>
          <a:ext cx="8293342" cy="2610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</xdr:colOff>
      <xdr:row>91</xdr:row>
      <xdr:rowOff>32063</xdr:rowOff>
    </xdr:from>
    <xdr:to>
      <xdr:col>14</xdr:col>
      <xdr:colOff>246529</xdr:colOff>
      <xdr:row>107</xdr:row>
      <xdr:rowOff>93288</xdr:rowOff>
    </xdr:to>
    <xdr:graphicFrame macro="">
      <xdr:nvGraphicFramePr>
        <xdr:cNvPr id="14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21167</xdr:colOff>
      <xdr:row>43</xdr:row>
      <xdr:rowOff>51858</xdr:rowOff>
    </xdr:from>
    <xdr:to>
      <xdr:col>8</xdr:col>
      <xdr:colOff>1119</xdr:colOff>
      <xdr:row>60</xdr:row>
      <xdr:rowOff>96308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901994</xdr:colOff>
      <xdr:row>22</xdr:row>
      <xdr:rowOff>177217</xdr:rowOff>
    </xdr:from>
    <xdr:to>
      <xdr:col>9</xdr:col>
      <xdr:colOff>2019300</xdr:colOff>
      <xdr:row>23</xdr:row>
      <xdr:rowOff>228599</xdr:rowOff>
    </xdr:to>
    <xdr:sp macro="" textlink="">
      <xdr:nvSpPr>
        <xdr:cNvPr id="19" name="Textfeld 18"/>
        <xdr:cNvSpPr txBox="1"/>
      </xdr:nvSpPr>
      <xdr:spPr>
        <a:xfrm>
          <a:off x="6836069" y="5415967"/>
          <a:ext cx="1117306" cy="289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itchFamily="34" charset="0"/>
              <a:cs typeface="Arial" pitchFamily="34" charset="0"/>
            </a:rPr>
            <a:t>T</a:t>
          </a:r>
          <a:r>
            <a:rPr lang="de-CH" sz="1100" baseline="-25000">
              <a:latin typeface="Arial" pitchFamily="34" charset="0"/>
              <a:cs typeface="Arial" pitchFamily="34" charset="0"/>
            </a:rPr>
            <a:t>ein, Verteilmedium</a:t>
          </a:r>
        </a:p>
      </xdr:txBody>
    </xdr:sp>
    <xdr:clientData/>
  </xdr:twoCellAnchor>
  <xdr:twoCellAnchor>
    <xdr:from>
      <xdr:col>7</xdr:col>
      <xdr:colOff>413086</xdr:colOff>
      <xdr:row>22</xdr:row>
      <xdr:rowOff>159425</xdr:rowOff>
    </xdr:from>
    <xdr:to>
      <xdr:col>9</xdr:col>
      <xdr:colOff>542925</xdr:colOff>
      <xdr:row>23</xdr:row>
      <xdr:rowOff>161925</xdr:rowOff>
    </xdr:to>
    <xdr:sp macro="" textlink="">
      <xdr:nvSpPr>
        <xdr:cNvPr id="29" name="Textfeld 28"/>
        <xdr:cNvSpPr txBox="1"/>
      </xdr:nvSpPr>
      <xdr:spPr>
        <a:xfrm>
          <a:off x="5318461" y="5398175"/>
          <a:ext cx="1158539" cy="240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itchFamily="34" charset="0"/>
              <a:cs typeface="Arial" pitchFamily="34" charset="0"/>
            </a:rPr>
            <a:t>T</a:t>
          </a:r>
          <a:r>
            <a:rPr lang="de-CH" sz="1100" baseline="-25000">
              <a:latin typeface="Arial" pitchFamily="34" charset="0"/>
              <a:cs typeface="Arial" pitchFamily="34" charset="0"/>
            </a:rPr>
            <a:t>aus, Verteilmedium</a:t>
          </a:r>
        </a:p>
      </xdr:txBody>
    </xdr:sp>
    <xdr:clientData/>
  </xdr:twoCellAnchor>
  <xdr:twoCellAnchor>
    <xdr:from>
      <xdr:col>6</xdr:col>
      <xdr:colOff>95250</xdr:colOff>
      <xdr:row>31</xdr:row>
      <xdr:rowOff>201215</xdr:rowOff>
    </xdr:from>
    <xdr:to>
      <xdr:col>11</xdr:col>
      <xdr:colOff>238125</xdr:colOff>
      <xdr:row>45</xdr:row>
      <xdr:rowOff>59531</xdr:rowOff>
    </xdr:to>
    <xdr:graphicFrame macro="">
      <xdr:nvGraphicFramePr>
        <xdr:cNvPr id="20" name="Diagramm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114300</xdr:colOff>
      <xdr:row>10</xdr:row>
      <xdr:rowOff>19050</xdr:rowOff>
    </xdr:from>
    <xdr:to>
      <xdr:col>10</xdr:col>
      <xdr:colOff>455498</xdr:colOff>
      <xdr:row>22</xdr:row>
      <xdr:rowOff>222941</xdr:rowOff>
    </xdr:to>
    <xdr:pic>
      <xdr:nvPicPr>
        <xdr:cNvPr id="31" name="Grafik 3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38675" y="2400300"/>
          <a:ext cx="4210049" cy="3061391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75198</xdr:colOff>
      <xdr:row>13</xdr:row>
      <xdr:rowOff>225817</xdr:rowOff>
    </xdr:from>
    <xdr:to>
      <xdr:col>8</xdr:col>
      <xdr:colOff>157916</xdr:colOff>
      <xdr:row>14</xdr:row>
      <xdr:rowOff>206265</xdr:rowOff>
    </xdr:to>
    <xdr:sp macro="" textlink="">
      <xdr:nvSpPr>
        <xdr:cNvPr id="27" name="Textfeld 26"/>
        <xdr:cNvSpPr txBox="1"/>
      </xdr:nvSpPr>
      <xdr:spPr>
        <a:xfrm>
          <a:off x="10021658" y="3390983"/>
          <a:ext cx="1119510" cy="220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itchFamily="34" charset="0"/>
              <a:cs typeface="Arial" pitchFamily="34" charset="0"/>
            </a:rPr>
            <a:t>T</a:t>
          </a:r>
          <a:r>
            <a:rPr lang="de-CH" sz="1100" baseline="-25000">
              <a:latin typeface="Arial" pitchFamily="34" charset="0"/>
              <a:cs typeface="Arial" pitchFamily="34" charset="0"/>
            </a:rPr>
            <a:t>ein, Wärmebzüger</a:t>
          </a:r>
        </a:p>
      </xdr:txBody>
    </xdr:sp>
    <xdr:clientData/>
  </xdr:twoCellAnchor>
  <xdr:twoCellAnchor>
    <xdr:from>
      <xdr:col>9</xdr:col>
      <xdr:colOff>1351144</xdr:colOff>
      <xdr:row>13</xdr:row>
      <xdr:rowOff>196143</xdr:rowOff>
    </xdr:from>
    <xdr:to>
      <xdr:col>10</xdr:col>
      <xdr:colOff>385608</xdr:colOff>
      <xdr:row>14</xdr:row>
      <xdr:rowOff>209550</xdr:rowOff>
    </xdr:to>
    <xdr:sp macro="" textlink="">
      <xdr:nvSpPr>
        <xdr:cNvPr id="28" name="Textfeld 27"/>
        <xdr:cNvSpPr txBox="1"/>
      </xdr:nvSpPr>
      <xdr:spPr>
        <a:xfrm>
          <a:off x="9297715" y="3393822"/>
          <a:ext cx="1198000" cy="258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itchFamily="34" charset="0"/>
              <a:cs typeface="Arial" pitchFamily="34" charset="0"/>
            </a:rPr>
            <a:t>T</a:t>
          </a:r>
          <a:r>
            <a:rPr lang="de-CH" sz="1100" baseline="-25000">
              <a:latin typeface="Arial" pitchFamily="34" charset="0"/>
              <a:cs typeface="Arial" pitchFamily="34" charset="0"/>
            </a:rPr>
            <a:t>aus, Wärmebezüger</a:t>
          </a:r>
        </a:p>
      </xdr:txBody>
    </xdr:sp>
    <xdr:clientData/>
  </xdr:twoCellAnchor>
  <xdr:twoCellAnchor>
    <xdr:from>
      <xdr:col>0</xdr:col>
      <xdr:colOff>0</xdr:colOff>
      <xdr:row>11</xdr:row>
      <xdr:rowOff>4643</xdr:rowOff>
    </xdr:from>
    <xdr:to>
      <xdr:col>1</xdr:col>
      <xdr:colOff>2178843</xdr:colOff>
      <xdr:row>16</xdr:row>
      <xdr:rowOff>41918</xdr:rowOff>
    </xdr:to>
    <xdr:sp macro="" textlink="">
      <xdr:nvSpPr>
        <xdr:cNvPr id="32" name="Textfeld 31"/>
        <xdr:cNvSpPr txBox="1"/>
      </xdr:nvSpPr>
      <xdr:spPr>
        <a:xfrm>
          <a:off x="0" y="2659737"/>
          <a:ext cx="2440781" cy="1227900"/>
        </a:xfrm>
        <a:prstGeom prst="rect">
          <a:avLst/>
        </a:prstGeom>
        <a:solidFill>
          <a:schemeClr val="accent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indent="0"/>
          <a:r>
            <a:rPr lang="de-CH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Die Berechnung des thermischen Verbrauchs über den Wärmebezüger ist möglich, wenn vom Verbraucher die nebenstehenden Parameter und die jährlichen Betriebsstunden bekannt sind. </a:t>
          </a:r>
        </a:p>
      </xdr:txBody>
    </xdr:sp>
    <xdr:clientData/>
  </xdr:twoCellAnchor>
  <xdr:twoCellAnchor>
    <xdr:from>
      <xdr:col>3</xdr:col>
      <xdr:colOff>500062</xdr:colOff>
      <xdr:row>23</xdr:row>
      <xdr:rowOff>216573</xdr:rowOff>
    </xdr:from>
    <xdr:to>
      <xdr:col>5</xdr:col>
      <xdr:colOff>2021680</xdr:colOff>
      <xdr:row>30</xdr:row>
      <xdr:rowOff>102046</xdr:rowOff>
    </xdr:to>
    <xdr:sp macro="" textlink="">
      <xdr:nvSpPr>
        <xdr:cNvPr id="33" name="Textfeld 32"/>
        <xdr:cNvSpPr txBox="1"/>
      </xdr:nvSpPr>
      <xdr:spPr>
        <a:xfrm>
          <a:off x="3393281" y="5729167"/>
          <a:ext cx="2712243" cy="1552348"/>
        </a:xfrm>
        <a:prstGeom prst="rect">
          <a:avLst/>
        </a:prstGeom>
        <a:solidFill>
          <a:schemeClr val="accent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indent="0"/>
          <a:r>
            <a:rPr lang="de-CH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Die Berechnung des thermischen Verbrauchs aufgrund des Heizeinsatzes ist möglich, wenn vom Verteilmedium die nebenstehenden Parameter und die jährlichen Betriebsstunden bekannt sind. </a:t>
          </a:r>
        </a:p>
        <a:p>
          <a:pPr marL="0" indent="0"/>
          <a:r>
            <a:rPr lang="de-CH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Bei Phasenänderung (z.B. kondensierendem Dampf ) muss die abgegebe Wärme mit Hilfe eines Enthalpiediagramms berechnet werden.</a:t>
          </a:r>
        </a:p>
      </xdr:txBody>
    </xdr:sp>
    <xdr:clientData/>
  </xdr:twoCellAnchor>
  <xdr:oneCellAnchor>
    <xdr:from>
      <xdr:col>11</xdr:col>
      <xdr:colOff>388142</xdr:colOff>
      <xdr:row>31</xdr:row>
      <xdr:rowOff>202406</xdr:rowOff>
    </xdr:from>
    <xdr:ext cx="2933702" cy="2039020"/>
    <xdr:sp macro="" textlink="">
      <xdr:nvSpPr>
        <xdr:cNvPr id="34" name="Textfeld 33"/>
        <xdr:cNvSpPr txBox="1"/>
      </xdr:nvSpPr>
      <xdr:spPr>
        <a:xfrm>
          <a:off x="11079955" y="7620000"/>
          <a:ext cx="2933702" cy="2039020"/>
        </a:xfrm>
        <a:prstGeom prst="rect">
          <a:avLst/>
        </a:prstGeom>
        <a:solidFill>
          <a:schemeClr val="accent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indent="0"/>
          <a:r>
            <a:rPr lang="de-CH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Der linearisierte Temperaturverlauf im Wärmetauscher basiert auf den Ein- und Austrittspemperaturen der beiden Medien.</a:t>
          </a:r>
        </a:p>
        <a:p>
          <a:pPr marL="0" indent="0"/>
          <a:r>
            <a:rPr lang="de-CH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Das Verteilmedium kühlt sich ab und der Wärmebezüger wärmt sich auf. Wird die Wärmebilanz geschlossen (d.h. gleiche Leistung für Wärmequelle und  -Bezüger), dann stellt die Grafik den Temperaturverlauf im Wärmetauscher dar. Die beiden Linien dürfen sich nicht überschneiden (Wärme kann nur von einem warmen auf ein kälteres Medium übertragen werden).</a:t>
          </a:r>
        </a:p>
      </xdr:txBody>
    </xdr:sp>
    <xdr:clientData/>
  </xdr:oneCellAnchor>
  <xdr:twoCellAnchor>
    <xdr:from>
      <xdr:col>17</xdr:col>
      <xdr:colOff>176213</xdr:colOff>
      <xdr:row>2</xdr:row>
      <xdr:rowOff>168948</xdr:rowOff>
    </xdr:from>
    <xdr:to>
      <xdr:col>21</xdr:col>
      <xdr:colOff>390526</xdr:colOff>
      <xdr:row>6</xdr:row>
      <xdr:rowOff>183400</xdr:rowOff>
    </xdr:to>
    <xdr:sp macro="" textlink="">
      <xdr:nvSpPr>
        <xdr:cNvPr id="35" name="Textfeld 34"/>
        <xdr:cNvSpPr txBox="1"/>
      </xdr:nvSpPr>
      <xdr:spPr>
        <a:xfrm>
          <a:off x="15273338" y="740448"/>
          <a:ext cx="2547938" cy="903452"/>
        </a:xfrm>
        <a:prstGeom prst="rect">
          <a:avLst/>
        </a:prstGeom>
        <a:solidFill>
          <a:schemeClr val="accent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indent="0"/>
          <a:r>
            <a:rPr lang="de-CH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Die spezifische Wärmekapazität gibt an, wie viel Wärme von einem  Kilogramm  eines Stoffes abgegeben bzw. aufgenommen wird, wenn es sich um 1 °C abkkühlt, bzw erwärmt.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Farbgebung Formulare">
      <a:dk1>
        <a:sysClr val="windowText" lastClr="000000"/>
      </a:dk1>
      <a:lt1>
        <a:sysClr val="window" lastClr="FFFFFF"/>
      </a:lt1>
      <a:dk2>
        <a:srgbClr val="1F497D"/>
      </a:dk2>
      <a:lt2>
        <a:srgbClr val="C0C0C0"/>
      </a:lt2>
      <a:accent1>
        <a:srgbClr val="99C9FF"/>
      </a:accent1>
      <a:accent2>
        <a:srgbClr val="DA9694"/>
      </a:accent2>
      <a:accent3>
        <a:srgbClr val="99CC00"/>
      </a:accent3>
      <a:accent4>
        <a:srgbClr val="FFC000"/>
      </a:accent4>
      <a:accent5>
        <a:srgbClr val="D9D9D9"/>
      </a:accent5>
      <a:accent6>
        <a:srgbClr val="D6E3BC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fs.admin.ch/bfs/portal/de/index/themen/00/05/blank/03.html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bfs.admin.ch/bfs/portal/de/index/news/publikationen.html?publicationID=3222" TargetMode="External"/><Relationship Id="rId1" Type="http://schemas.openxmlformats.org/officeDocument/2006/relationships/hyperlink" Target="http://www.bfs.admin.ch/bfs/portal/de/index/infothek/nomenklaturen/blank/blank/noga0/questions_frequentes.0003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musterag.ch/unternehmensstruktur" TargetMode="External"/><Relationship Id="rId4" Type="http://schemas.openxmlformats.org/officeDocument/2006/relationships/hyperlink" Target="mailto:th.mustermann@enaw.ch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omments" Target="../comments3.xml"/><Relationship Id="rId3" Type="http://schemas.openxmlformats.org/officeDocument/2006/relationships/hyperlink" Target="http://www.energieschweiz.ch/pub/p6500/de-ch" TargetMode="External"/><Relationship Id="rId7" Type="http://schemas.openxmlformats.org/officeDocument/2006/relationships/vmlDrawing" Target="../drawings/vmlDrawing14.vml"/><Relationship Id="rId2" Type="http://schemas.openxmlformats.org/officeDocument/2006/relationships/hyperlink" Target="http://www.energieschweiz.ch/pub/p6673/de-ch" TargetMode="External"/><Relationship Id="rId1" Type="http://schemas.openxmlformats.org/officeDocument/2006/relationships/hyperlink" Target="http://www.effizientekaelte.ch/" TargetMode="External"/><Relationship Id="rId6" Type="http://schemas.openxmlformats.org/officeDocument/2006/relationships/vmlDrawing" Target="../drawings/vmlDrawing13.v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16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19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2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://de.wikipedia.org/wiki/Nitrobenzol" TargetMode="External"/><Relationship Id="rId13" Type="http://schemas.openxmlformats.org/officeDocument/2006/relationships/hyperlink" Target="http://de.wikipedia.org/wiki/Trichlormethan" TargetMode="External"/><Relationship Id="rId18" Type="http://schemas.openxmlformats.org/officeDocument/2006/relationships/vmlDrawing" Target="../drawings/vmlDrawing26.vml"/><Relationship Id="rId3" Type="http://schemas.openxmlformats.org/officeDocument/2006/relationships/hyperlink" Target="http://de.wikipedia.org/wiki/Brom" TargetMode="External"/><Relationship Id="rId7" Type="http://schemas.openxmlformats.org/officeDocument/2006/relationships/hyperlink" Target="http://de.wikipedia.org/wiki/Methanol" TargetMode="External"/><Relationship Id="rId12" Type="http://schemas.openxmlformats.org/officeDocument/2006/relationships/hyperlink" Target="http://de.wikipedia.org/wiki/Terpentin%C3%B6l" TargetMode="External"/><Relationship Id="rId17" Type="http://schemas.openxmlformats.org/officeDocument/2006/relationships/drawing" Target="../drawings/drawing9.xml"/><Relationship Id="rId2" Type="http://schemas.openxmlformats.org/officeDocument/2006/relationships/hyperlink" Target="http://de.wikipedia.org/wiki/Benzol" TargetMode="External"/><Relationship Id="rId16" Type="http://schemas.openxmlformats.org/officeDocument/2006/relationships/printerSettings" Target="../printerSettings/printerSettings19.bin"/><Relationship Id="rId1" Type="http://schemas.openxmlformats.org/officeDocument/2006/relationships/hyperlink" Target="http://de.wikipedia.org/wiki/Aceton" TargetMode="External"/><Relationship Id="rId6" Type="http://schemas.openxmlformats.org/officeDocument/2006/relationships/hyperlink" Target="http://de.wikipedia.org/wiki/Glyzerin" TargetMode="External"/><Relationship Id="rId11" Type="http://schemas.openxmlformats.org/officeDocument/2006/relationships/hyperlink" Target="http://de.wikipedia.org/wiki/Schwefels%C3%A4ure" TargetMode="External"/><Relationship Id="rId5" Type="http://schemas.openxmlformats.org/officeDocument/2006/relationships/hyperlink" Target="http://de.wikipedia.org/wiki/Ethanol" TargetMode="External"/><Relationship Id="rId15" Type="http://schemas.openxmlformats.org/officeDocument/2006/relationships/hyperlink" Target="http://www.wts-online.de/wts-online/index.php?option=com_content&amp;view=article&amp;id=56:waermeleitfaehigkeitaufmineraloelbasisgruppe1&amp;catid=20:waermetraegermedienaufmineraloelbasisgruppe1&amp;Itemid=93" TargetMode="External"/><Relationship Id="rId10" Type="http://schemas.openxmlformats.org/officeDocument/2006/relationships/hyperlink" Target="http://de.wikipedia.org/wiki/Salpeters%C3%A4ure" TargetMode="External"/><Relationship Id="rId4" Type="http://schemas.openxmlformats.org/officeDocument/2006/relationships/hyperlink" Target="http://de.wikipedia.org/wiki/Essigs%C3%A4ure" TargetMode="External"/><Relationship Id="rId9" Type="http://schemas.openxmlformats.org/officeDocument/2006/relationships/hyperlink" Target="http://de.wikipedia.org/wiki/Quecksilber" TargetMode="External"/><Relationship Id="rId14" Type="http://schemas.openxmlformats.org/officeDocument/2006/relationships/hyperlink" Target="http://de.wikibooks.org/wiki/Tabellensammlung_Chemie/_spezifische_W%C3%A4rmekapazit%C3%A4t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printerSettings" Target="../printerSettings/printerSettings3.bin"/><Relationship Id="rId7" Type="http://schemas.openxmlformats.org/officeDocument/2006/relationships/oleObject" Target="../embeddings/oleObject1.bin"/><Relationship Id="rId2" Type="http://schemas.openxmlformats.org/officeDocument/2006/relationships/hyperlink" Target="http://www.ezv.admin.ch/zollinfo_firmen/steuern_abgaben/00379/02315/index.html?lang=de" TargetMode="External"/><Relationship Id="rId1" Type="http://schemas.openxmlformats.org/officeDocument/2006/relationships/hyperlink" Target="http://www.bfs.admin.ch/bfs/portal/de/index/themen/05/02.html" TargetMode="External"/><Relationship Id="rId6" Type="http://schemas.openxmlformats.org/officeDocument/2006/relationships/vmlDrawing" Target="../drawings/vmlDrawing4.v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1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showGridLines="0" tabSelected="1" view="pageLayout" zoomScale="70" zoomScaleNormal="100" zoomScaleSheetLayoutView="85" zoomScalePageLayoutView="70" workbookViewId="0">
      <selection activeCell="V4" sqref="V4"/>
    </sheetView>
  </sheetViews>
  <sheetFormatPr baseColWidth="10" defaultColWidth="9.109375" defaultRowHeight="13.2" x14ac:dyDescent="0.25"/>
  <cols>
    <col min="1" max="1" width="3.44140625" style="19" customWidth="1"/>
    <col min="2" max="2" width="15.6640625" style="19" customWidth="1"/>
    <col min="3" max="3" width="24.6640625" style="19" customWidth="1"/>
    <col min="4" max="4" width="2.88671875" style="19" customWidth="1"/>
    <col min="5" max="5" width="15.6640625" style="19" customWidth="1"/>
    <col min="6" max="6" width="25" style="19" customWidth="1"/>
    <col min="7" max="7" width="2.44140625" style="19" customWidth="1"/>
    <col min="8" max="8" width="14.88671875" style="19" customWidth="1"/>
    <col min="9" max="9" width="23.44140625" style="19" customWidth="1"/>
    <col min="10" max="16384" width="9.109375" style="19"/>
  </cols>
  <sheetData>
    <row r="1" spans="1:9" ht="24.75" customHeight="1" x14ac:dyDescent="0.25">
      <c r="A1" s="18" t="s">
        <v>493</v>
      </c>
    </row>
    <row r="2" spans="1:9" ht="8.25" customHeight="1" thickBot="1" x14ac:dyDescent="0.3"/>
    <row r="3" spans="1:9" ht="13.8" thickBot="1" x14ac:dyDescent="0.3">
      <c r="B3" s="27" t="s">
        <v>668</v>
      </c>
      <c r="C3" s="28"/>
      <c r="E3" s="27" t="s">
        <v>494</v>
      </c>
      <c r="F3" s="28"/>
      <c r="H3" s="27" t="s">
        <v>495</v>
      </c>
      <c r="I3" s="28"/>
    </row>
    <row r="4" spans="1:9" x14ac:dyDescent="0.25">
      <c r="B4" s="31" t="s">
        <v>263</v>
      </c>
      <c r="C4" s="370" t="s">
        <v>400</v>
      </c>
      <c r="E4" s="31" t="s">
        <v>263</v>
      </c>
      <c r="F4" s="374" t="s">
        <v>400</v>
      </c>
      <c r="H4" s="31" t="s">
        <v>263</v>
      </c>
      <c r="I4" s="370" t="s">
        <v>400</v>
      </c>
    </row>
    <row r="5" spans="1:9" x14ac:dyDescent="0.25">
      <c r="B5" s="22" t="s">
        <v>264</v>
      </c>
      <c r="C5" s="371" t="s">
        <v>403</v>
      </c>
      <c r="E5" s="22" t="s">
        <v>264</v>
      </c>
      <c r="F5" s="375" t="s">
        <v>634</v>
      </c>
      <c r="H5" s="22" t="s">
        <v>264</v>
      </c>
      <c r="I5" s="372" t="s">
        <v>268</v>
      </c>
    </row>
    <row r="6" spans="1:9" x14ac:dyDescent="0.25">
      <c r="B6" s="22" t="s">
        <v>265</v>
      </c>
      <c r="C6" s="372"/>
      <c r="E6" s="22" t="s">
        <v>265</v>
      </c>
      <c r="F6" s="372"/>
      <c r="H6" s="22" t="s">
        <v>265</v>
      </c>
      <c r="I6" s="372"/>
    </row>
    <row r="7" spans="1:9" x14ac:dyDescent="0.25">
      <c r="B7" s="22" t="s">
        <v>266</v>
      </c>
      <c r="C7" s="372"/>
      <c r="E7" s="22" t="s">
        <v>266</v>
      </c>
      <c r="F7" s="372"/>
      <c r="H7" s="22" t="s">
        <v>266</v>
      </c>
      <c r="I7" s="375" t="s">
        <v>635</v>
      </c>
    </row>
    <row r="8" spans="1:9" x14ac:dyDescent="0.25">
      <c r="B8" s="22" t="s">
        <v>267</v>
      </c>
      <c r="C8" s="371" t="s">
        <v>404</v>
      </c>
      <c r="E8" s="22" t="s">
        <v>267</v>
      </c>
      <c r="F8" s="372" t="s">
        <v>258</v>
      </c>
      <c r="H8" s="22" t="s">
        <v>267</v>
      </c>
      <c r="I8" s="372"/>
    </row>
    <row r="9" spans="1:9" x14ac:dyDescent="0.25">
      <c r="B9" s="22" t="s">
        <v>251</v>
      </c>
      <c r="C9" s="371" t="s">
        <v>405</v>
      </c>
      <c r="E9" s="22" t="s">
        <v>251</v>
      </c>
      <c r="F9" s="372">
        <v>3500</v>
      </c>
      <c r="H9" s="22" t="s">
        <v>251</v>
      </c>
      <c r="I9" s="372">
        <v>3500</v>
      </c>
    </row>
    <row r="10" spans="1:9" ht="13.8" thickBot="1" x14ac:dyDescent="0.3">
      <c r="B10" s="23" t="s">
        <v>252</v>
      </c>
      <c r="C10" s="373" t="s">
        <v>401</v>
      </c>
      <c r="E10" s="23" t="s">
        <v>252</v>
      </c>
      <c r="F10" s="373" t="s">
        <v>402</v>
      </c>
      <c r="H10" s="23" t="s">
        <v>252</v>
      </c>
      <c r="I10" s="373" t="s">
        <v>402</v>
      </c>
    </row>
    <row r="11" spans="1:9" ht="13.8" thickBot="1" x14ac:dyDescent="0.3"/>
    <row r="12" spans="1:9" x14ac:dyDescent="0.25">
      <c r="B12" s="32" t="s">
        <v>270</v>
      </c>
      <c r="C12" s="382" t="s">
        <v>271</v>
      </c>
    </row>
    <row r="13" spans="1:9" ht="13.8" thickBot="1" x14ac:dyDescent="0.3">
      <c r="B13" s="23" t="s">
        <v>279</v>
      </c>
      <c r="C13" s="383" t="s">
        <v>269</v>
      </c>
    </row>
    <row r="14" spans="1:9" ht="13.8" thickBot="1" x14ac:dyDescent="0.3"/>
    <row r="15" spans="1:9" ht="13.8" thickBot="1" x14ac:dyDescent="0.3">
      <c r="B15" s="308" t="s">
        <v>506</v>
      </c>
      <c r="C15" s="309"/>
      <c r="D15" s="309"/>
      <c r="E15" s="309"/>
      <c r="F15" s="379" t="s">
        <v>507</v>
      </c>
      <c r="G15" s="380"/>
      <c r="H15" s="380"/>
      <c r="I15" s="381"/>
    </row>
    <row r="16" spans="1:9" ht="13.8" thickBot="1" x14ac:dyDescent="0.3"/>
    <row r="17" spans="2:9" ht="13.8" thickBot="1" x14ac:dyDescent="0.3">
      <c r="B17" s="27" t="s">
        <v>496</v>
      </c>
      <c r="C17" s="28"/>
      <c r="E17" s="27" t="s">
        <v>253</v>
      </c>
      <c r="F17" s="29"/>
      <c r="H17" s="27" t="s">
        <v>505</v>
      </c>
      <c r="I17" s="29"/>
    </row>
    <row r="18" spans="2:9" x14ac:dyDescent="0.25">
      <c r="B18" s="31" t="s">
        <v>254</v>
      </c>
      <c r="C18" s="377" t="s">
        <v>259</v>
      </c>
      <c r="E18" s="31" t="s">
        <v>254</v>
      </c>
      <c r="F18" s="377" t="s">
        <v>259</v>
      </c>
      <c r="H18" s="31" t="s">
        <v>254</v>
      </c>
      <c r="I18" s="370" t="s">
        <v>498</v>
      </c>
    </row>
    <row r="19" spans="2:9" x14ac:dyDescent="0.25">
      <c r="B19" s="22" t="s">
        <v>255</v>
      </c>
      <c r="C19" s="372" t="s">
        <v>260</v>
      </c>
      <c r="E19" s="22" t="s">
        <v>255</v>
      </c>
      <c r="F19" s="372" t="s">
        <v>260</v>
      </c>
      <c r="H19" s="22" t="s">
        <v>255</v>
      </c>
      <c r="I19" s="371" t="s">
        <v>499</v>
      </c>
    </row>
    <row r="20" spans="2:9" x14ac:dyDescent="0.25">
      <c r="B20" s="25" t="s">
        <v>492</v>
      </c>
      <c r="C20" s="371" t="s">
        <v>502</v>
      </c>
      <c r="E20" s="25" t="s">
        <v>492</v>
      </c>
      <c r="F20" s="371" t="s">
        <v>502</v>
      </c>
      <c r="H20" s="25" t="s">
        <v>504</v>
      </c>
      <c r="I20" s="371" t="s">
        <v>500</v>
      </c>
    </row>
    <row r="21" spans="2:9" x14ac:dyDescent="0.25">
      <c r="B21" s="22" t="s">
        <v>256</v>
      </c>
      <c r="C21" s="372" t="s">
        <v>261</v>
      </c>
      <c r="E21" s="22" t="s">
        <v>256</v>
      </c>
      <c r="F21" s="372" t="s">
        <v>261</v>
      </c>
      <c r="H21" s="22" t="s">
        <v>256</v>
      </c>
      <c r="I21" s="376" t="s">
        <v>501</v>
      </c>
    </row>
    <row r="22" spans="2:9" ht="13.8" thickBot="1" x14ac:dyDescent="0.3">
      <c r="B22" s="23" t="s">
        <v>257</v>
      </c>
      <c r="C22" s="378" t="s">
        <v>262</v>
      </c>
      <c r="E22" s="23" t="s">
        <v>257</v>
      </c>
      <c r="F22" s="378" t="s">
        <v>262</v>
      </c>
      <c r="H22" s="23" t="s">
        <v>257</v>
      </c>
      <c r="I22" s="373" t="s">
        <v>503</v>
      </c>
    </row>
    <row r="23" spans="2:9" ht="13.8" thickBot="1" x14ac:dyDescent="0.3"/>
    <row r="24" spans="2:9" ht="13.8" thickBot="1" x14ac:dyDescent="0.3">
      <c r="B24" s="27" t="s">
        <v>497</v>
      </c>
      <c r="C24" s="28"/>
    </row>
    <row r="25" spans="2:9" x14ac:dyDescent="0.25">
      <c r="B25" s="31" t="s">
        <v>254</v>
      </c>
      <c r="C25" s="377"/>
    </row>
    <row r="26" spans="2:9" x14ac:dyDescent="0.25">
      <c r="B26" s="22" t="s">
        <v>255</v>
      </c>
      <c r="C26" s="372"/>
    </row>
    <row r="27" spans="2:9" x14ac:dyDescent="0.25">
      <c r="B27" s="25" t="s">
        <v>492</v>
      </c>
      <c r="C27" s="372"/>
    </row>
    <row r="28" spans="2:9" x14ac:dyDescent="0.25">
      <c r="B28" s="22" t="s">
        <v>256</v>
      </c>
      <c r="C28" s="372"/>
    </row>
    <row r="29" spans="2:9" ht="13.8" thickBot="1" x14ac:dyDescent="0.3">
      <c r="B29" s="23" t="s">
        <v>257</v>
      </c>
      <c r="C29" s="378"/>
    </row>
    <row r="31" spans="2:9" x14ac:dyDescent="0.25">
      <c r="B31" s="19" t="s">
        <v>273</v>
      </c>
    </row>
    <row r="32" spans="2:9" x14ac:dyDescent="0.25">
      <c r="B32" s="633" t="s">
        <v>274</v>
      </c>
      <c r="C32" s="633"/>
      <c r="D32" s="633"/>
      <c r="E32" s="633"/>
      <c r="F32" s="633"/>
      <c r="G32" s="633"/>
      <c r="H32" s="633"/>
    </row>
    <row r="33" spans="2:8" x14ac:dyDescent="0.25">
      <c r="B33" s="19" t="s">
        <v>275</v>
      </c>
    </row>
    <row r="34" spans="2:8" x14ac:dyDescent="0.25">
      <c r="B34" s="633" t="s">
        <v>276</v>
      </c>
      <c r="C34" s="633"/>
      <c r="D34" s="633"/>
      <c r="E34" s="633"/>
      <c r="F34" s="633"/>
      <c r="G34" s="633"/>
      <c r="H34" s="633"/>
    </row>
    <row r="35" spans="2:8" x14ac:dyDescent="0.25">
      <c r="B35" s="19" t="s">
        <v>277</v>
      </c>
    </row>
    <row r="36" spans="2:8" x14ac:dyDescent="0.25">
      <c r="B36" s="633" t="s">
        <v>278</v>
      </c>
      <c r="C36" s="633"/>
      <c r="D36" s="633"/>
      <c r="E36" s="633"/>
      <c r="F36" s="633"/>
      <c r="G36" s="633"/>
      <c r="H36" s="633"/>
    </row>
    <row r="38" spans="2:8" x14ac:dyDescent="0.25">
      <c r="B38" s="30"/>
    </row>
    <row r="62" spans="4:4" x14ac:dyDescent="0.25">
      <c r="D62" s="19" t="str">
        <f>"Heizwärmebedarf " &amp;BefrJahr1</f>
        <v>Heizwärmebedarf 2012</v>
      </c>
    </row>
    <row r="63" spans="4:4" x14ac:dyDescent="0.25">
      <c r="D63" s="19" t="str">
        <f>"Heizwärmebedarf " &amp;BefrJahr2</f>
        <v>Heizwärmebedarf 2013</v>
      </c>
    </row>
    <row r="93" spans="2:2" x14ac:dyDescent="0.25">
      <c r="B93" s="19">
        <f>BefrJahr1</f>
        <v>2012</v>
      </c>
    </row>
    <row r="94" spans="2:2" x14ac:dyDescent="0.25">
      <c r="B94" s="19">
        <f>BefrJahr2</f>
        <v>2013</v>
      </c>
    </row>
  </sheetData>
  <sheetProtection selectLockedCells="1"/>
  <mergeCells count="3">
    <mergeCell ref="B32:H32"/>
    <mergeCell ref="B34:H34"/>
    <mergeCell ref="B36:H36"/>
  </mergeCells>
  <hyperlinks>
    <hyperlink ref="B32" r:id="rId1"/>
    <hyperlink ref="B34" r:id="rId2" display="http://www.bfs.admin.ch/bfs/portal/de/index/news/publikationen.html?publicationID=3222"/>
    <hyperlink ref="B36" r:id="rId3"/>
    <hyperlink ref="I21" r:id="rId4"/>
    <hyperlink ref="F15" r:id="rId5"/>
  </hyperlinks>
  <pageMargins left="0.70866141732283472" right="0.70866141732283472" top="0.74803149606299213" bottom="0.74803149606299213" header="0.31496062992125984" footer="0.31496062992125984"/>
  <pageSetup paperSize="9" scale="62" orientation="portrait" r:id="rId6"/>
  <headerFooter>
    <oddHeader>&amp;L&amp;G&amp;R2.1 Unternehmen, Produktionsstandort, Sachbearbeiter</oddHeader>
    <oddFooter>&amp;R&amp;P / &amp;N</oddFooter>
  </headerFooter>
  <legacyDrawingHF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94"/>
  <sheetViews>
    <sheetView showGridLines="0" view="pageLayout" zoomScale="70" zoomScaleNormal="40" zoomScaleSheetLayoutView="85" zoomScalePageLayoutView="70" workbookViewId="0">
      <selection activeCell="V4" sqref="V4"/>
    </sheetView>
  </sheetViews>
  <sheetFormatPr baseColWidth="10" defaultColWidth="9.109375" defaultRowHeight="13.2" outlineLevelCol="1" x14ac:dyDescent="0.25"/>
  <cols>
    <col min="1" max="1" width="2.88671875" style="14" customWidth="1"/>
    <col min="2" max="2" width="5.44140625" style="14" customWidth="1"/>
    <col min="3" max="3" width="6.6640625" style="14" customWidth="1"/>
    <col min="4" max="4" width="6.109375" style="14" customWidth="1"/>
    <col min="5" max="5" width="6" style="14" customWidth="1"/>
    <col min="6" max="6" width="7.88671875" style="14" customWidth="1"/>
    <col min="7" max="7" width="9.6640625" style="14" customWidth="1"/>
    <col min="8" max="8" width="8.33203125" style="14" customWidth="1"/>
    <col min="9" max="9" width="8" style="14" customWidth="1"/>
    <col min="10" max="10" width="6.5546875" style="14" customWidth="1"/>
    <col min="11" max="11" width="8.33203125" style="14" customWidth="1"/>
    <col min="12" max="12" width="9.88671875" style="14" customWidth="1"/>
    <col min="13" max="13" width="9.44140625" style="14" customWidth="1" outlineLevel="1"/>
    <col min="14" max="14" width="9.6640625" style="14" customWidth="1" outlineLevel="1"/>
    <col min="15" max="15" width="9.33203125" style="14" customWidth="1"/>
    <col min="16" max="16" width="8.5546875" style="14" customWidth="1" outlineLevel="1"/>
    <col min="17" max="17" width="8.88671875" style="14" customWidth="1" outlineLevel="1"/>
    <col min="18" max="18" width="9.6640625" style="14" customWidth="1" outlineLevel="1"/>
    <col min="19" max="19" width="9.5546875" style="14" customWidth="1" outlineLevel="1"/>
    <col min="20" max="20" width="16" style="14" customWidth="1"/>
    <col min="21" max="21" width="6.6640625" style="14" customWidth="1"/>
    <col min="22" max="22" width="7.5546875" style="14" customWidth="1"/>
    <col min="23" max="23" width="8" style="14" customWidth="1"/>
    <col min="24" max="24" width="9.6640625" style="14" customWidth="1"/>
    <col min="25" max="26" width="7" style="14" customWidth="1"/>
    <col min="27" max="27" width="32.5546875" style="14" customWidth="1"/>
    <col min="28" max="16384" width="9.109375" style="14"/>
  </cols>
  <sheetData>
    <row r="1" spans="1:27" x14ac:dyDescent="0.25">
      <c r="A1" s="18" t="s">
        <v>321</v>
      </c>
      <c r="C1" s="142"/>
      <c r="D1" s="143"/>
      <c r="E1" s="143"/>
      <c r="F1" s="143"/>
      <c r="R1" s="143"/>
      <c r="S1" s="143"/>
      <c r="T1" s="143"/>
      <c r="U1" s="143"/>
      <c r="V1" s="143"/>
      <c r="W1" s="143"/>
      <c r="X1" s="143"/>
      <c r="Y1" s="143"/>
      <c r="Z1" s="143"/>
      <c r="AA1" s="199"/>
    </row>
    <row r="2" spans="1:27" x14ac:dyDescent="0.25">
      <c r="A2" s="18" t="s">
        <v>386</v>
      </c>
      <c r="D2" s="143"/>
      <c r="E2" s="143"/>
      <c r="F2" s="143"/>
      <c r="I2" s="214"/>
      <c r="R2" s="143"/>
      <c r="S2" s="143"/>
      <c r="T2" s="143"/>
      <c r="U2" s="143"/>
      <c r="V2" s="143"/>
      <c r="W2" s="143"/>
      <c r="X2" s="143"/>
      <c r="Y2" s="143"/>
      <c r="Z2" s="143"/>
      <c r="AA2" s="199"/>
    </row>
    <row r="3" spans="1:27" x14ac:dyDescent="0.25">
      <c r="B3"/>
      <c r="D3" s="143"/>
      <c r="E3" s="143"/>
      <c r="F3" s="143"/>
      <c r="I3" s="214"/>
      <c r="R3" s="143"/>
      <c r="S3" s="143"/>
      <c r="T3" s="143"/>
      <c r="U3" s="143"/>
      <c r="V3" s="143"/>
      <c r="W3" s="143"/>
      <c r="X3" s="143"/>
      <c r="Y3" s="143"/>
      <c r="Z3" s="143"/>
      <c r="AA3" s="199"/>
    </row>
    <row r="4" spans="1:27" x14ac:dyDescent="0.25">
      <c r="B4" s="65" t="s">
        <v>329</v>
      </c>
      <c r="D4" s="143"/>
      <c r="E4" s="143"/>
      <c r="F4" s="143"/>
      <c r="I4"/>
      <c r="R4" s="143"/>
      <c r="S4" s="143"/>
      <c r="T4" s="143"/>
      <c r="U4" s="143"/>
      <c r="V4" s="143"/>
      <c r="W4" s="143"/>
      <c r="X4" s="143"/>
      <c r="Y4" s="143"/>
      <c r="Z4" s="143"/>
      <c r="AA4" s="199"/>
    </row>
    <row r="5" spans="1:27" ht="52.8" x14ac:dyDescent="0.25">
      <c r="B5" s="649" t="s">
        <v>40</v>
      </c>
      <c r="C5" s="11" t="s">
        <v>642</v>
      </c>
      <c r="D5" s="649" t="s">
        <v>50</v>
      </c>
      <c r="E5" s="649"/>
      <c r="F5" s="649"/>
      <c r="G5" s="11" t="s">
        <v>616</v>
      </c>
      <c r="H5" s="11" t="s">
        <v>662</v>
      </c>
      <c r="I5" s="11" t="s">
        <v>42</v>
      </c>
      <c r="J5" s="11" t="s">
        <v>330</v>
      </c>
      <c r="K5" s="11" t="s">
        <v>331</v>
      </c>
      <c r="L5" s="11" t="s">
        <v>331</v>
      </c>
      <c r="M5" s="11" t="s">
        <v>332</v>
      </c>
      <c r="N5" s="11" t="s">
        <v>333</v>
      </c>
      <c r="O5" s="11" t="s">
        <v>531</v>
      </c>
      <c r="P5" s="11" t="s">
        <v>43</v>
      </c>
      <c r="Q5" s="11" t="s">
        <v>532</v>
      </c>
      <c r="R5" s="649" t="s">
        <v>45</v>
      </c>
      <c r="S5" s="649" t="s">
        <v>46</v>
      </c>
      <c r="T5" s="649" t="s">
        <v>645</v>
      </c>
      <c r="U5" s="649" t="s">
        <v>625</v>
      </c>
      <c r="V5" s="649" t="s">
        <v>48</v>
      </c>
      <c r="W5" s="649" t="s">
        <v>49</v>
      </c>
      <c r="X5" s="646" t="s">
        <v>335</v>
      </c>
      <c r="Y5" s="647"/>
      <c r="Z5" s="648"/>
      <c r="AA5" s="200" t="s">
        <v>41</v>
      </c>
    </row>
    <row r="6" spans="1:27" ht="39" customHeight="1" x14ac:dyDescent="0.25">
      <c r="B6" s="649"/>
      <c r="C6" s="316" t="s">
        <v>51</v>
      </c>
      <c r="D6" s="316" t="s">
        <v>392</v>
      </c>
      <c r="E6" s="316" t="s">
        <v>393</v>
      </c>
      <c r="F6" s="316" t="s">
        <v>394</v>
      </c>
      <c r="G6" s="316" t="s">
        <v>11</v>
      </c>
      <c r="H6" s="316" t="s">
        <v>11</v>
      </c>
      <c r="I6" s="316" t="s">
        <v>11</v>
      </c>
      <c r="J6" s="316"/>
      <c r="K6" s="316" t="s">
        <v>52</v>
      </c>
      <c r="L6" s="316" t="s">
        <v>11</v>
      </c>
      <c r="M6" s="316" t="s">
        <v>53</v>
      </c>
      <c r="N6" s="316" t="s">
        <v>53</v>
      </c>
      <c r="O6" s="316"/>
      <c r="P6" s="316" t="s">
        <v>53</v>
      </c>
      <c r="Q6" s="316" t="s">
        <v>53</v>
      </c>
      <c r="R6" s="649"/>
      <c r="S6" s="649"/>
      <c r="T6" s="649"/>
      <c r="U6" s="649"/>
      <c r="V6" s="649"/>
      <c r="W6" s="649"/>
      <c r="X6" s="316" t="s">
        <v>336</v>
      </c>
      <c r="Y6" s="366" t="s">
        <v>420</v>
      </c>
      <c r="Z6" s="316" t="s">
        <v>338</v>
      </c>
      <c r="AA6" s="202"/>
    </row>
    <row r="7" spans="1:27" ht="65.25" customHeight="1" x14ac:dyDescent="0.25">
      <c r="B7" s="12">
        <v>1</v>
      </c>
      <c r="C7" s="545">
        <v>2800</v>
      </c>
      <c r="D7" s="546">
        <v>361</v>
      </c>
      <c r="E7" s="546">
        <v>164</v>
      </c>
      <c r="F7" s="542">
        <f>D7/E7</f>
        <v>2.2012195121951219</v>
      </c>
      <c r="G7" s="543">
        <f t="shared" ref="G7:G26" si="0">C7*D7/1000</f>
        <v>1010.8</v>
      </c>
      <c r="H7" s="543">
        <f t="shared" ref="H7:H26" si="1">C7*E7/1000</f>
        <v>459.2</v>
      </c>
      <c r="I7" s="543">
        <f>H7+G7</f>
        <v>1470</v>
      </c>
      <c r="J7" s="546" t="s">
        <v>16</v>
      </c>
      <c r="K7" s="548"/>
      <c r="L7" s="543">
        <f>I7*K7</f>
        <v>0</v>
      </c>
      <c r="M7" s="549">
        <v>45</v>
      </c>
      <c r="N7" s="549">
        <v>-12</v>
      </c>
      <c r="O7" s="547" t="s">
        <v>339</v>
      </c>
      <c r="P7" s="550"/>
      <c r="Q7" s="550"/>
      <c r="R7" s="550" t="s">
        <v>340</v>
      </c>
      <c r="S7" s="550" t="s">
        <v>341</v>
      </c>
      <c r="T7" s="547" t="s">
        <v>613</v>
      </c>
      <c r="U7" s="547">
        <v>1999</v>
      </c>
      <c r="V7" s="550" t="s">
        <v>342</v>
      </c>
      <c r="W7" s="550" t="s">
        <v>383</v>
      </c>
      <c r="X7" s="550" t="s">
        <v>398</v>
      </c>
      <c r="Y7" s="550">
        <v>80</v>
      </c>
      <c r="Z7" s="550"/>
      <c r="AA7" s="550"/>
    </row>
    <row r="8" spans="1:27" ht="39.6" x14ac:dyDescent="0.25">
      <c r="B8" s="12">
        <v>2</v>
      </c>
      <c r="C8" s="545">
        <v>3000</v>
      </c>
      <c r="D8" s="546">
        <v>653</v>
      </c>
      <c r="E8" s="546">
        <v>233</v>
      </c>
      <c r="F8" s="542">
        <f>D8/E8</f>
        <v>2.8025751072961373</v>
      </c>
      <c r="G8" s="543">
        <f t="shared" si="0"/>
        <v>1959</v>
      </c>
      <c r="H8" s="543">
        <f t="shared" si="1"/>
        <v>699</v>
      </c>
      <c r="I8" s="543">
        <f>H8+G8</f>
        <v>2658</v>
      </c>
      <c r="J8" s="546" t="s">
        <v>16</v>
      </c>
      <c r="K8" s="548"/>
      <c r="L8" s="543">
        <f t="shared" ref="L8:L26" si="2">I8*K8</f>
        <v>0</v>
      </c>
      <c r="M8" s="549">
        <v>35</v>
      </c>
      <c r="N8" s="549">
        <v>-8</v>
      </c>
      <c r="O8" s="547" t="s">
        <v>339</v>
      </c>
      <c r="P8" s="550"/>
      <c r="Q8" s="550"/>
      <c r="R8" s="550" t="s">
        <v>340</v>
      </c>
      <c r="S8" s="550" t="s">
        <v>341</v>
      </c>
      <c r="T8" s="547" t="s">
        <v>408</v>
      </c>
      <c r="U8" s="547">
        <v>1999</v>
      </c>
      <c r="V8" s="550" t="s">
        <v>342</v>
      </c>
      <c r="W8" s="550" t="s">
        <v>409</v>
      </c>
      <c r="X8" s="550" t="s">
        <v>398</v>
      </c>
      <c r="Y8" s="550">
        <v>75</v>
      </c>
      <c r="Z8" s="550"/>
      <c r="AA8" s="550"/>
    </row>
    <row r="9" spans="1:27" x14ac:dyDescent="0.25">
      <c r="B9" s="12">
        <v>3</v>
      </c>
      <c r="C9" s="545"/>
      <c r="D9" s="546"/>
      <c r="E9" s="546"/>
      <c r="F9" s="542" t="e">
        <f t="shared" ref="F9:F26" si="3">D9/E9</f>
        <v>#DIV/0!</v>
      </c>
      <c r="G9" s="543">
        <f t="shared" si="0"/>
        <v>0</v>
      </c>
      <c r="H9" s="543">
        <f t="shared" si="1"/>
        <v>0</v>
      </c>
      <c r="I9" s="543">
        <f t="shared" ref="I9:I26" si="4">H9+G9</f>
        <v>0</v>
      </c>
      <c r="J9" s="546"/>
      <c r="K9" s="548"/>
      <c r="L9" s="543">
        <f t="shared" si="2"/>
        <v>0</v>
      </c>
      <c r="M9" s="549"/>
      <c r="N9" s="549"/>
      <c r="O9" s="547"/>
      <c r="P9" s="550"/>
      <c r="Q9" s="550"/>
      <c r="R9" s="550"/>
      <c r="S9" s="550"/>
      <c r="T9" s="547"/>
      <c r="U9" s="547"/>
      <c r="V9" s="550"/>
      <c r="W9" s="550"/>
      <c r="X9" s="550"/>
      <c r="Y9" s="550"/>
      <c r="Z9" s="550"/>
      <c r="AA9" s="550"/>
    </row>
    <row r="10" spans="1:27" x14ac:dyDescent="0.25">
      <c r="B10" s="12">
        <v>4</v>
      </c>
      <c r="C10" s="545"/>
      <c r="D10" s="546"/>
      <c r="E10" s="546"/>
      <c r="F10" s="542" t="e">
        <f t="shared" si="3"/>
        <v>#DIV/0!</v>
      </c>
      <c r="G10" s="543">
        <f t="shared" si="0"/>
        <v>0</v>
      </c>
      <c r="H10" s="543">
        <f t="shared" si="1"/>
        <v>0</v>
      </c>
      <c r="I10" s="543">
        <f t="shared" si="4"/>
        <v>0</v>
      </c>
      <c r="J10" s="546"/>
      <c r="K10" s="548"/>
      <c r="L10" s="543">
        <f t="shared" si="2"/>
        <v>0</v>
      </c>
      <c r="M10" s="549"/>
      <c r="N10" s="549"/>
      <c r="O10" s="547"/>
      <c r="P10" s="550"/>
      <c r="Q10" s="550"/>
      <c r="R10" s="550"/>
      <c r="S10" s="550"/>
      <c r="T10" s="547"/>
      <c r="U10" s="547"/>
      <c r="V10" s="550"/>
      <c r="W10" s="550"/>
      <c r="X10" s="550"/>
      <c r="Y10" s="550"/>
      <c r="Z10" s="550"/>
      <c r="AA10" s="550"/>
    </row>
    <row r="11" spans="1:27" x14ac:dyDescent="0.25">
      <c r="B11" s="12">
        <v>5</v>
      </c>
      <c r="C11" s="545"/>
      <c r="D11" s="546"/>
      <c r="E11" s="546"/>
      <c r="F11" s="542" t="e">
        <f t="shared" si="3"/>
        <v>#DIV/0!</v>
      </c>
      <c r="G11" s="543">
        <f t="shared" si="0"/>
        <v>0</v>
      </c>
      <c r="H11" s="543">
        <f t="shared" si="1"/>
        <v>0</v>
      </c>
      <c r="I11" s="543">
        <f t="shared" si="4"/>
        <v>0</v>
      </c>
      <c r="J11" s="546"/>
      <c r="K11" s="548"/>
      <c r="L11" s="543">
        <f t="shared" si="2"/>
        <v>0</v>
      </c>
      <c r="M11" s="549"/>
      <c r="N11" s="549"/>
      <c r="O11" s="547"/>
      <c r="P11" s="550"/>
      <c r="Q11" s="550"/>
      <c r="R11" s="550"/>
      <c r="S11" s="550"/>
      <c r="T11" s="547"/>
      <c r="U11" s="547"/>
      <c r="V11" s="550"/>
      <c r="W11" s="550"/>
      <c r="X11" s="550"/>
      <c r="Y11" s="550"/>
      <c r="Z11" s="550"/>
      <c r="AA11" s="550"/>
    </row>
    <row r="12" spans="1:27" x14ac:dyDescent="0.25">
      <c r="B12" s="12">
        <v>6</v>
      </c>
      <c r="C12" s="545"/>
      <c r="D12" s="546"/>
      <c r="E12" s="546"/>
      <c r="F12" s="542" t="e">
        <f t="shared" si="3"/>
        <v>#DIV/0!</v>
      </c>
      <c r="G12" s="543">
        <f t="shared" si="0"/>
        <v>0</v>
      </c>
      <c r="H12" s="543">
        <f t="shared" si="1"/>
        <v>0</v>
      </c>
      <c r="I12" s="543">
        <f t="shared" si="4"/>
        <v>0</v>
      </c>
      <c r="J12" s="546"/>
      <c r="K12" s="548"/>
      <c r="L12" s="543">
        <f t="shared" si="2"/>
        <v>0</v>
      </c>
      <c r="M12" s="549"/>
      <c r="N12" s="549"/>
      <c r="O12" s="547"/>
      <c r="P12" s="550"/>
      <c r="Q12" s="550"/>
      <c r="R12" s="550"/>
      <c r="S12" s="550"/>
      <c r="T12" s="547"/>
      <c r="U12" s="547"/>
      <c r="V12" s="550"/>
      <c r="W12" s="550"/>
      <c r="X12" s="550"/>
      <c r="Y12" s="550"/>
      <c r="Z12" s="550"/>
      <c r="AA12" s="550"/>
    </row>
    <row r="13" spans="1:27" x14ac:dyDescent="0.25">
      <c r="B13" s="12">
        <v>7</v>
      </c>
      <c r="C13" s="545"/>
      <c r="D13" s="546"/>
      <c r="E13" s="546"/>
      <c r="F13" s="542" t="e">
        <f t="shared" si="3"/>
        <v>#DIV/0!</v>
      </c>
      <c r="G13" s="543">
        <f t="shared" si="0"/>
        <v>0</v>
      </c>
      <c r="H13" s="543">
        <f t="shared" si="1"/>
        <v>0</v>
      </c>
      <c r="I13" s="543">
        <f t="shared" si="4"/>
        <v>0</v>
      </c>
      <c r="J13" s="546"/>
      <c r="K13" s="548"/>
      <c r="L13" s="543">
        <f t="shared" si="2"/>
        <v>0</v>
      </c>
      <c r="M13" s="549"/>
      <c r="N13" s="549"/>
      <c r="O13" s="547"/>
      <c r="P13" s="550"/>
      <c r="Q13" s="550"/>
      <c r="R13" s="550"/>
      <c r="S13" s="550"/>
      <c r="T13" s="547"/>
      <c r="U13" s="547"/>
      <c r="V13" s="550"/>
      <c r="W13" s="550"/>
      <c r="X13" s="550"/>
      <c r="Y13" s="550"/>
      <c r="Z13" s="550"/>
      <c r="AA13" s="550"/>
    </row>
    <row r="14" spans="1:27" x14ac:dyDescent="0.25">
      <c r="B14" s="12">
        <v>8</v>
      </c>
      <c r="C14" s="545"/>
      <c r="D14" s="546"/>
      <c r="E14" s="546"/>
      <c r="F14" s="542" t="e">
        <f t="shared" si="3"/>
        <v>#DIV/0!</v>
      </c>
      <c r="G14" s="543">
        <f t="shared" si="0"/>
        <v>0</v>
      </c>
      <c r="H14" s="543">
        <f t="shared" si="1"/>
        <v>0</v>
      </c>
      <c r="I14" s="543">
        <f t="shared" si="4"/>
        <v>0</v>
      </c>
      <c r="J14" s="546"/>
      <c r="K14" s="548"/>
      <c r="L14" s="543">
        <f t="shared" si="2"/>
        <v>0</v>
      </c>
      <c r="M14" s="549"/>
      <c r="N14" s="549"/>
      <c r="O14" s="547"/>
      <c r="P14" s="550"/>
      <c r="Q14" s="550"/>
      <c r="R14" s="550"/>
      <c r="S14" s="550"/>
      <c r="T14" s="547"/>
      <c r="U14" s="547"/>
      <c r="V14" s="550"/>
      <c r="W14" s="550"/>
      <c r="X14" s="550"/>
      <c r="Y14" s="550"/>
      <c r="Z14" s="550"/>
      <c r="AA14" s="550"/>
    </row>
    <row r="15" spans="1:27" x14ac:dyDescent="0.25">
      <c r="B15" s="12">
        <v>9</v>
      </c>
      <c r="C15" s="545"/>
      <c r="D15" s="546"/>
      <c r="E15" s="546"/>
      <c r="F15" s="542" t="e">
        <f t="shared" si="3"/>
        <v>#DIV/0!</v>
      </c>
      <c r="G15" s="543">
        <f t="shared" si="0"/>
        <v>0</v>
      </c>
      <c r="H15" s="543">
        <f t="shared" si="1"/>
        <v>0</v>
      </c>
      <c r="I15" s="543">
        <f t="shared" si="4"/>
        <v>0</v>
      </c>
      <c r="J15" s="546"/>
      <c r="K15" s="548"/>
      <c r="L15" s="543">
        <f t="shared" si="2"/>
        <v>0</v>
      </c>
      <c r="M15" s="549"/>
      <c r="N15" s="549"/>
      <c r="O15" s="547"/>
      <c r="P15" s="550"/>
      <c r="Q15" s="550"/>
      <c r="R15" s="550"/>
      <c r="S15" s="550"/>
      <c r="T15" s="547"/>
      <c r="U15" s="547"/>
      <c r="V15" s="550"/>
      <c r="W15" s="550"/>
      <c r="X15" s="550"/>
      <c r="Y15" s="550"/>
      <c r="Z15" s="550"/>
      <c r="AA15" s="550"/>
    </row>
    <row r="16" spans="1:27" x14ac:dyDescent="0.25">
      <c r="B16" s="12">
        <v>10</v>
      </c>
      <c r="C16" s="545"/>
      <c r="D16" s="546"/>
      <c r="E16" s="546"/>
      <c r="F16" s="542" t="e">
        <f t="shared" si="3"/>
        <v>#DIV/0!</v>
      </c>
      <c r="G16" s="543">
        <f t="shared" si="0"/>
        <v>0</v>
      </c>
      <c r="H16" s="543">
        <f t="shared" si="1"/>
        <v>0</v>
      </c>
      <c r="I16" s="543">
        <f t="shared" si="4"/>
        <v>0</v>
      </c>
      <c r="J16" s="546"/>
      <c r="K16" s="548"/>
      <c r="L16" s="543">
        <f t="shared" si="2"/>
        <v>0</v>
      </c>
      <c r="M16" s="549"/>
      <c r="N16" s="549"/>
      <c r="O16" s="547"/>
      <c r="P16" s="550"/>
      <c r="Q16" s="550"/>
      <c r="R16" s="550"/>
      <c r="S16" s="550"/>
      <c r="T16" s="547"/>
      <c r="U16" s="547"/>
      <c r="V16" s="550"/>
      <c r="W16" s="550"/>
      <c r="X16" s="550"/>
      <c r="Y16" s="550"/>
      <c r="Z16" s="550"/>
      <c r="AA16" s="550"/>
    </row>
    <row r="17" spans="2:27" x14ac:dyDescent="0.25">
      <c r="B17" s="12">
        <v>11</v>
      </c>
      <c r="C17" s="545"/>
      <c r="D17" s="546"/>
      <c r="E17" s="546"/>
      <c r="F17" s="542" t="e">
        <f t="shared" si="3"/>
        <v>#DIV/0!</v>
      </c>
      <c r="G17" s="543">
        <f t="shared" si="0"/>
        <v>0</v>
      </c>
      <c r="H17" s="543">
        <f t="shared" si="1"/>
        <v>0</v>
      </c>
      <c r="I17" s="543">
        <f t="shared" si="4"/>
        <v>0</v>
      </c>
      <c r="J17" s="546"/>
      <c r="K17" s="548"/>
      <c r="L17" s="543">
        <f t="shared" si="2"/>
        <v>0</v>
      </c>
      <c r="M17" s="549"/>
      <c r="N17" s="549"/>
      <c r="O17" s="547"/>
      <c r="P17" s="550"/>
      <c r="Q17" s="550"/>
      <c r="R17" s="550"/>
      <c r="S17" s="550"/>
      <c r="T17" s="547"/>
      <c r="U17" s="547"/>
      <c r="V17" s="550"/>
      <c r="W17" s="550"/>
      <c r="X17" s="550"/>
      <c r="Y17" s="550"/>
      <c r="Z17" s="550"/>
      <c r="AA17" s="550"/>
    </row>
    <row r="18" spans="2:27" x14ac:dyDescent="0.25">
      <c r="B18" s="12">
        <v>12</v>
      </c>
      <c r="C18" s="545"/>
      <c r="D18" s="546"/>
      <c r="E18" s="546"/>
      <c r="F18" s="542" t="e">
        <f t="shared" si="3"/>
        <v>#DIV/0!</v>
      </c>
      <c r="G18" s="543">
        <f t="shared" si="0"/>
        <v>0</v>
      </c>
      <c r="H18" s="543">
        <f t="shared" si="1"/>
        <v>0</v>
      </c>
      <c r="I18" s="543">
        <f t="shared" si="4"/>
        <v>0</v>
      </c>
      <c r="J18" s="546"/>
      <c r="K18" s="548"/>
      <c r="L18" s="543">
        <f t="shared" si="2"/>
        <v>0</v>
      </c>
      <c r="M18" s="549"/>
      <c r="N18" s="549"/>
      <c r="O18" s="547"/>
      <c r="P18" s="550"/>
      <c r="Q18" s="550"/>
      <c r="R18" s="550"/>
      <c r="S18" s="550"/>
      <c r="T18" s="547"/>
      <c r="U18" s="547"/>
      <c r="V18" s="550"/>
      <c r="W18" s="550"/>
      <c r="X18" s="550"/>
      <c r="Y18" s="550"/>
      <c r="Z18" s="550"/>
      <c r="AA18" s="550"/>
    </row>
    <row r="19" spans="2:27" x14ac:dyDescent="0.25">
      <c r="B19" s="12">
        <v>13</v>
      </c>
      <c r="C19" s="545"/>
      <c r="D19" s="546"/>
      <c r="E19" s="546"/>
      <c r="F19" s="542" t="e">
        <f t="shared" si="3"/>
        <v>#DIV/0!</v>
      </c>
      <c r="G19" s="543">
        <f t="shared" si="0"/>
        <v>0</v>
      </c>
      <c r="H19" s="543">
        <f t="shared" si="1"/>
        <v>0</v>
      </c>
      <c r="I19" s="543">
        <f t="shared" si="4"/>
        <v>0</v>
      </c>
      <c r="J19" s="546"/>
      <c r="K19" s="548"/>
      <c r="L19" s="543">
        <f t="shared" si="2"/>
        <v>0</v>
      </c>
      <c r="M19" s="549"/>
      <c r="N19" s="549"/>
      <c r="O19" s="547"/>
      <c r="P19" s="550"/>
      <c r="Q19" s="550"/>
      <c r="R19" s="550"/>
      <c r="S19" s="550"/>
      <c r="T19" s="547"/>
      <c r="U19" s="547"/>
      <c r="V19" s="550"/>
      <c r="W19" s="550"/>
      <c r="X19" s="550"/>
      <c r="Y19" s="550"/>
      <c r="Z19" s="550"/>
      <c r="AA19" s="550"/>
    </row>
    <row r="20" spans="2:27" x14ac:dyDescent="0.25">
      <c r="B20" s="12">
        <v>14</v>
      </c>
      <c r="C20" s="545"/>
      <c r="D20" s="546"/>
      <c r="E20" s="546"/>
      <c r="F20" s="542" t="e">
        <f t="shared" si="3"/>
        <v>#DIV/0!</v>
      </c>
      <c r="G20" s="543">
        <f t="shared" si="0"/>
        <v>0</v>
      </c>
      <c r="H20" s="543">
        <f t="shared" si="1"/>
        <v>0</v>
      </c>
      <c r="I20" s="543">
        <f t="shared" si="4"/>
        <v>0</v>
      </c>
      <c r="J20" s="546"/>
      <c r="K20" s="548"/>
      <c r="L20" s="543">
        <f t="shared" si="2"/>
        <v>0</v>
      </c>
      <c r="M20" s="549"/>
      <c r="N20" s="549"/>
      <c r="O20" s="547"/>
      <c r="P20" s="550"/>
      <c r="Q20" s="550"/>
      <c r="R20" s="550"/>
      <c r="S20" s="550"/>
      <c r="T20" s="547"/>
      <c r="U20" s="547"/>
      <c r="V20" s="550"/>
      <c r="W20" s="550"/>
      <c r="X20" s="550"/>
      <c r="Y20" s="550"/>
      <c r="Z20" s="550"/>
      <c r="AA20" s="550"/>
    </row>
    <row r="21" spans="2:27" x14ac:dyDescent="0.25">
      <c r="B21" s="12">
        <v>15</v>
      </c>
      <c r="C21" s="545"/>
      <c r="D21" s="546"/>
      <c r="E21" s="546"/>
      <c r="F21" s="542" t="e">
        <f t="shared" si="3"/>
        <v>#DIV/0!</v>
      </c>
      <c r="G21" s="543">
        <f t="shared" si="0"/>
        <v>0</v>
      </c>
      <c r="H21" s="543">
        <f t="shared" si="1"/>
        <v>0</v>
      </c>
      <c r="I21" s="543">
        <f t="shared" si="4"/>
        <v>0</v>
      </c>
      <c r="J21" s="546"/>
      <c r="K21" s="548"/>
      <c r="L21" s="543">
        <f t="shared" si="2"/>
        <v>0</v>
      </c>
      <c r="M21" s="549"/>
      <c r="N21" s="549"/>
      <c r="O21" s="547"/>
      <c r="P21" s="550"/>
      <c r="Q21" s="550"/>
      <c r="R21" s="550"/>
      <c r="S21" s="550"/>
      <c r="T21" s="547"/>
      <c r="U21" s="547"/>
      <c r="V21" s="550"/>
      <c r="W21" s="550"/>
      <c r="X21" s="550"/>
      <c r="Y21" s="550"/>
      <c r="Z21" s="550"/>
      <c r="AA21" s="550"/>
    </row>
    <row r="22" spans="2:27" x14ac:dyDescent="0.25">
      <c r="B22" s="12">
        <v>16</v>
      </c>
      <c r="C22" s="545"/>
      <c r="D22" s="546"/>
      <c r="E22" s="546"/>
      <c r="F22" s="542" t="e">
        <f t="shared" si="3"/>
        <v>#DIV/0!</v>
      </c>
      <c r="G22" s="543">
        <f t="shared" si="0"/>
        <v>0</v>
      </c>
      <c r="H22" s="543">
        <f t="shared" si="1"/>
        <v>0</v>
      </c>
      <c r="I22" s="543">
        <f t="shared" si="4"/>
        <v>0</v>
      </c>
      <c r="J22" s="546"/>
      <c r="K22" s="548"/>
      <c r="L22" s="543">
        <f t="shared" si="2"/>
        <v>0</v>
      </c>
      <c r="M22" s="549"/>
      <c r="N22" s="549"/>
      <c r="O22" s="547"/>
      <c r="P22" s="550"/>
      <c r="Q22" s="550"/>
      <c r="R22" s="550"/>
      <c r="S22" s="550"/>
      <c r="T22" s="547"/>
      <c r="U22" s="547"/>
      <c r="V22" s="550"/>
      <c r="W22" s="550"/>
      <c r="X22" s="550"/>
      <c r="Y22" s="550"/>
      <c r="Z22" s="550"/>
      <c r="AA22" s="550"/>
    </row>
    <row r="23" spans="2:27" x14ac:dyDescent="0.25">
      <c r="B23" s="12">
        <v>17</v>
      </c>
      <c r="C23" s="545"/>
      <c r="D23" s="546"/>
      <c r="E23" s="546"/>
      <c r="F23" s="542" t="e">
        <f t="shared" si="3"/>
        <v>#DIV/0!</v>
      </c>
      <c r="G23" s="543">
        <f t="shared" si="0"/>
        <v>0</v>
      </c>
      <c r="H23" s="543">
        <f t="shared" si="1"/>
        <v>0</v>
      </c>
      <c r="I23" s="543">
        <f t="shared" si="4"/>
        <v>0</v>
      </c>
      <c r="J23" s="546"/>
      <c r="K23" s="548"/>
      <c r="L23" s="543">
        <f t="shared" si="2"/>
        <v>0</v>
      </c>
      <c r="M23" s="549"/>
      <c r="N23" s="549"/>
      <c r="O23" s="547"/>
      <c r="P23" s="550"/>
      <c r="Q23" s="550"/>
      <c r="R23" s="550"/>
      <c r="S23" s="550"/>
      <c r="T23" s="547"/>
      <c r="U23" s="547"/>
      <c r="V23" s="550"/>
      <c r="W23" s="550"/>
      <c r="X23" s="550"/>
      <c r="Y23" s="550"/>
      <c r="Z23" s="550"/>
      <c r="AA23" s="550"/>
    </row>
    <row r="24" spans="2:27" x14ac:dyDescent="0.25">
      <c r="B24" s="12">
        <v>18</v>
      </c>
      <c r="C24" s="545"/>
      <c r="D24" s="546"/>
      <c r="E24" s="546"/>
      <c r="F24" s="542" t="e">
        <f t="shared" si="3"/>
        <v>#DIV/0!</v>
      </c>
      <c r="G24" s="543">
        <f t="shared" si="0"/>
        <v>0</v>
      </c>
      <c r="H24" s="543">
        <f t="shared" si="1"/>
        <v>0</v>
      </c>
      <c r="I24" s="543">
        <f t="shared" si="4"/>
        <v>0</v>
      </c>
      <c r="J24" s="546"/>
      <c r="K24" s="548"/>
      <c r="L24" s="543">
        <f t="shared" si="2"/>
        <v>0</v>
      </c>
      <c r="M24" s="549"/>
      <c r="N24" s="549"/>
      <c r="O24" s="547"/>
      <c r="P24" s="550"/>
      <c r="Q24" s="550"/>
      <c r="R24" s="550"/>
      <c r="S24" s="550"/>
      <c r="T24" s="547"/>
      <c r="U24" s="547"/>
      <c r="V24" s="550"/>
      <c r="W24" s="550"/>
      <c r="X24" s="550"/>
      <c r="Y24" s="550"/>
      <c r="Z24" s="550"/>
      <c r="AA24" s="550"/>
    </row>
    <row r="25" spans="2:27" x14ac:dyDescent="0.25">
      <c r="B25" s="12">
        <v>19</v>
      </c>
      <c r="C25" s="545"/>
      <c r="D25" s="546"/>
      <c r="E25" s="546"/>
      <c r="F25" s="542" t="e">
        <f t="shared" si="3"/>
        <v>#DIV/0!</v>
      </c>
      <c r="G25" s="543">
        <f t="shared" si="0"/>
        <v>0</v>
      </c>
      <c r="H25" s="543">
        <f t="shared" si="1"/>
        <v>0</v>
      </c>
      <c r="I25" s="543">
        <f t="shared" si="4"/>
        <v>0</v>
      </c>
      <c r="J25" s="546"/>
      <c r="K25" s="548"/>
      <c r="L25" s="543">
        <f t="shared" si="2"/>
        <v>0</v>
      </c>
      <c r="M25" s="549"/>
      <c r="N25" s="549"/>
      <c r="O25" s="547"/>
      <c r="P25" s="550"/>
      <c r="Q25" s="550"/>
      <c r="R25" s="550"/>
      <c r="S25" s="550"/>
      <c r="T25" s="547"/>
      <c r="U25" s="547"/>
      <c r="V25" s="550"/>
      <c r="W25" s="550"/>
      <c r="X25" s="550"/>
      <c r="Y25" s="550"/>
      <c r="Z25" s="550"/>
      <c r="AA25" s="550"/>
    </row>
    <row r="26" spans="2:27" x14ac:dyDescent="0.25">
      <c r="B26" s="12">
        <v>20</v>
      </c>
      <c r="C26" s="545"/>
      <c r="D26" s="546"/>
      <c r="E26" s="546"/>
      <c r="F26" s="542" t="e">
        <f t="shared" si="3"/>
        <v>#DIV/0!</v>
      </c>
      <c r="G26" s="543">
        <f t="shared" si="0"/>
        <v>0</v>
      </c>
      <c r="H26" s="543">
        <f t="shared" si="1"/>
        <v>0</v>
      </c>
      <c r="I26" s="543">
        <f t="shared" si="4"/>
        <v>0</v>
      </c>
      <c r="J26" s="546"/>
      <c r="K26" s="548"/>
      <c r="L26" s="543">
        <f t="shared" si="2"/>
        <v>0</v>
      </c>
      <c r="M26" s="549"/>
      <c r="N26" s="549"/>
      <c r="O26" s="547"/>
      <c r="P26" s="550"/>
      <c r="Q26" s="550"/>
      <c r="R26" s="550"/>
      <c r="S26" s="550"/>
      <c r="T26" s="547"/>
      <c r="U26" s="547"/>
      <c r="V26" s="550"/>
      <c r="W26" s="550"/>
      <c r="X26" s="550"/>
      <c r="Y26" s="550"/>
      <c r="Z26" s="550"/>
      <c r="AA26" s="550"/>
    </row>
    <row r="27" spans="2:27" x14ac:dyDescent="0.25">
      <c r="B27" s="12" t="s">
        <v>377</v>
      </c>
      <c r="C27" s="223"/>
      <c r="D27" s="218"/>
      <c r="E27" s="218"/>
      <c r="F27" s="219"/>
      <c r="G27" s="544">
        <f>SUM(G7:G26)</f>
        <v>2969.8</v>
      </c>
      <c r="H27" s="544">
        <f t="shared" ref="H27:I27" si="5">SUM(H7:H26)</f>
        <v>1158.2</v>
      </c>
      <c r="I27" s="544">
        <f t="shared" si="5"/>
        <v>4128</v>
      </c>
      <c r="J27" s="218"/>
      <c r="K27" s="220"/>
      <c r="L27" s="544">
        <f t="shared" ref="L27" si="6">SUM(L7:L26)</f>
        <v>0</v>
      </c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2"/>
    </row>
    <row r="28" spans="2:27" x14ac:dyDescent="0.25">
      <c r="AA28" s="199"/>
    </row>
    <row r="29" spans="2:27" x14ac:dyDescent="0.25">
      <c r="B29" t="s">
        <v>484</v>
      </c>
      <c r="C29"/>
      <c r="D29"/>
      <c r="E29"/>
      <c r="F29"/>
      <c r="G29"/>
      <c r="H29"/>
      <c r="I29"/>
      <c r="AA29" s="199"/>
    </row>
    <row r="30" spans="2:27" ht="52.8" x14ac:dyDescent="0.25">
      <c r="B30" s="649" t="s">
        <v>40</v>
      </c>
      <c r="C30" s="11" t="s">
        <v>642</v>
      </c>
      <c r="D30" s="649" t="s">
        <v>50</v>
      </c>
      <c r="E30" s="649"/>
      <c r="F30" s="649"/>
      <c r="G30" s="11" t="s">
        <v>397</v>
      </c>
      <c r="H30" s="11" t="s">
        <v>643</v>
      </c>
      <c r="I30" s="11" t="s">
        <v>396</v>
      </c>
      <c r="J30" s="11"/>
      <c r="K30" s="11"/>
      <c r="L30" s="11"/>
      <c r="M30" s="11"/>
      <c r="N30" s="11"/>
      <c r="O30" s="11"/>
      <c r="P30" s="11"/>
      <c r="Q30" s="11"/>
      <c r="R30" s="649" t="s">
        <v>45</v>
      </c>
      <c r="S30" s="649" t="s">
        <v>46</v>
      </c>
      <c r="T30" s="649" t="s">
        <v>477</v>
      </c>
      <c r="U30" s="649" t="s">
        <v>625</v>
      </c>
      <c r="V30" s="649" t="s">
        <v>48</v>
      </c>
      <c r="W30" s="649" t="s">
        <v>49</v>
      </c>
      <c r="X30" s="646" t="s">
        <v>335</v>
      </c>
      <c r="Y30" s="647"/>
      <c r="Z30" s="648"/>
      <c r="AA30" s="200" t="s">
        <v>41</v>
      </c>
    </row>
    <row r="31" spans="2:27" ht="42.75" customHeight="1" x14ac:dyDescent="0.25">
      <c r="B31" s="649"/>
      <c r="C31" s="316" t="s">
        <v>51</v>
      </c>
      <c r="D31" s="316" t="s">
        <v>392</v>
      </c>
      <c r="E31" s="316" t="s">
        <v>393</v>
      </c>
      <c r="F31" s="316" t="s">
        <v>395</v>
      </c>
      <c r="G31" s="316" t="s">
        <v>11</v>
      </c>
      <c r="H31" s="316" t="s">
        <v>11</v>
      </c>
      <c r="I31" s="316" t="s">
        <v>11</v>
      </c>
      <c r="J31" s="316"/>
      <c r="K31" s="316"/>
      <c r="L31" s="316"/>
      <c r="M31" s="316"/>
      <c r="N31" s="316"/>
      <c r="O31" s="316"/>
      <c r="P31" s="316"/>
      <c r="Q31" s="316"/>
      <c r="R31" s="649"/>
      <c r="S31" s="649"/>
      <c r="T31" s="649"/>
      <c r="U31" s="649"/>
      <c r="V31" s="649"/>
      <c r="W31" s="649"/>
      <c r="X31" s="316" t="s">
        <v>336</v>
      </c>
      <c r="Y31" s="316" t="s">
        <v>337</v>
      </c>
      <c r="Z31" s="316" t="s">
        <v>338</v>
      </c>
      <c r="AA31" s="202"/>
    </row>
    <row r="32" spans="2:27" x14ac:dyDescent="0.25">
      <c r="B32" s="12">
        <v>1</v>
      </c>
      <c r="C32" s="545"/>
      <c r="D32" s="546"/>
      <c r="E32" s="546"/>
      <c r="F32" s="542" t="e">
        <f>D32/E32</f>
        <v>#DIV/0!</v>
      </c>
      <c r="G32" s="543">
        <f t="shared" ref="G32:G41" si="7">C32*D32/1000</f>
        <v>0</v>
      </c>
      <c r="H32" s="543">
        <f t="shared" ref="H32:H41" si="8">C32*E32/1000</f>
        <v>0</v>
      </c>
      <c r="I32" s="543">
        <f>H32+G32</f>
        <v>0</v>
      </c>
      <c r="J32" s="220"/>
      <c r="K32" s="220"/>
      <c r="L32" s="221"/>
      <c r="M32" s="221"/>
      <c r="N32" s="221"/>
      <c r="O32" s="221"/>
      <c r="P32" s="221"/>
      <c r="Q32" s="221"/>
      <c r="R32" s="550"/>
      <c r="S32" s="550"/>
      <c r="T32" s="547"/>
      <c r="U32" s="547"/>
      <c r="V32" s="550"/>
      <c r="W32" s="550"/>
      <c r="X32" s="550"/>
      <c r="Y32" s="550"/>
      <c r="Z32" s="550"/>
      <c r="AA32" s="550"/>
    </row>
    <row r="33" spans="1:27" x14ac:dyDescent="0.25">
      <c r="B33" s="12">
        <v>2</v>
      </c>
      <c r="C33" s="545"/>
      <c r="D33" s="546"/>
      <c r="E33" s="546"/>
      <c r="F33" s="542" t="e">
        <f t="shared" ref="F33:F41" si="9">D33/E33</f>
        <v>#DIV/0!</v>
      </c>
      <c r="G33" s="543">
        <f t="shared" si="7"/>
        <v>0</v>
      </c>
      <c r="H33" s="543">
        <f t="shared" si="8"/>
        <v>0</v>
      </c>
      <c r="I33" s="543">
        <f t="shared" ref="I33:I41" si="10">H33+G33</f>
        <v>0</v>
      </c>
      <c r="J33" s="220"/>
      <c r="K33" s="220"/>
      <c r="L33" s="221"/>
      <c r="M33" s="221"/>
      <c r="N33" s="221"/>
      <c r="O33" s="221"/>
      <c r="P33" s="221"/>
      <c r="Q33" s="221"/>
      <c r="R33" s="550"/>
      <c r="S33" s="550"/>
      <c r="T33" s="547"/>
      <c r="U33" s="547"/>
      <c r="V33" s="550"/>
      <c r="W33" s="550"/>
      <c r="X33" s="550"/>
      <c r="Y33" s="550"/>
      <c r="Z33" s="550"/>
      <c r="AA33" s="550"/>
    </row>
    <row r="34" spans="1:27" x14ac:dyDescent="0.25">
      <c r="B34" s="12">
        <v>3</v>
      </c>
      <c r="C34" s="545"/>
      <c r="D34" s="546"/>
      <c r="E34" s="546"/>
      <c r="F34" s="542" t="e">
        <f t="shared" si="9"/>
        <v>#DIV/0!</v>
      </c>
      <c r="G34" s="543">
        <f t="shared" si="7"/>
        <v>0</v>
      </c>
      <c r="H34" s="543">
        <f t="shared" si="8"/>
        <v>0</v>
      </c>
      <c r="I34" s="543">
        <f t="shared" si="10"/>
        <v>0</v>
      </c>
      <c r="J34" s="220"/>
      <c r="K34" s="220"/>
      <c r="L34" s="221"/>
      <c r="M34" s="221"/>
      <c r="N34" s="221"/>
      <c r="O34" s="221"/>
      <c r="P34" s="221"/>
      <c r="Q34" s="221"/>
      <c r="R34" s="550"/>
      <c r="S34" s="550"/>
      <c r="T34" s="547"/>
      <c r="U34" s="547"/>
      <c r="V34" s="550"/>
      <c r="W34" s="550"/>
      <c r="X34" s="550"/>
      <c r="Y34" s="550"/>
      <c r="Z34" s="550"/>
      <c r="AA34" s="550"/>
    </row>
    <row r="35" spans="1:27" x14ac:dyDescent="0.25">
      <c r="B35" s="12">
        <v>4</v>
      </c>
      <c r="C35" s="545"/>
      <c r="D35" s="546"/>
      <c r="E35" s="546"/>
      <c r="F35" s="542" t="e">
        <f t="shared" si="9"/>
        <v>#DIV/0!</v>
      </c>
      <c r="G35" s="543">
        <f t="shared" si="7"/>
        <v>0</v>
      </c>
      <c r="H35" s="543">
        <f t="shared" si="8"/>
        <v>0</v>
      </c>
      <c r="I35" s="543">
        <f t="shared" si="10"/>
        <v>0</v>
      </c>
      <c r="J35" s="220"/>
      <c r="K35" s="220"/>
      <c r="L35" s="221"/>
      <c r="M35" s="221"/>
      <c r="N35" s="221"/>
      <c r="O35" s="221"/>
      <c r="P35" s="221"/>
      <c r="Q35" s="221"/>
      <c r="R35" s="550"/>
      <c r="S35" s="550"/>
      <c r="T35" s="547"/>
      <c r="U35" s="547"/>
      <c r="V35" s="550"/>
      <c r="W35" s="550"/>
      <c r="X35" s="550"/>
      <c r="Y35" s="550"/>
      <c r="Z35" s="550"/>
      <c r="AA35" s="550"/>
    </row>
    <row r="36" spans="1:27" x14ac:dyDescent="0.25">
      <c r="B36" s="12">
        <v>5</v>
      </c>
      <c r="C36" s="545"/>
      <c r="D36" s="546"/>
      <c r="E36" s="546"/>
      <c r="F36" s="542" t="e">
        <f t="shared" si="9"/>
        <v>#DIV/0!</v>
      </c>
      <c r="G36" s="543">
        <f t="shared" si="7"/>
        <v>0</v>
      </c>
      <c r="H36" s="543">
        <f t="shared" si="8"/>
        <v>0</v>
      </c>
      <c r="I36" s="543">
        <f t="shared" si="10"/>
        <v>0</v>
      </c>
      <c r="J36" s="220"/>
      <c r="K36" s="220"/>
      <c r="L36" s="221"/>
      <c r="M36" s="221"/>
      <c r="N36" s="221"/>
      <c r="O36" s="221"/>
      <c r="P36" s="221"/>
      <c r="Q36" s="221"/>
      <c r="R36" s="550"/>
      <c r="S36" s="550"/>
      <c r="T36" s="547"/>
      <c r="U36" s="547"/>
      <c r="V36" s="550"/>
      <c r="W36" s="550"/>
      <c r="X36" s="550"/>
      <c r="Y36" s="550"/>
      <c r="Z36" s="550"/>
      <c r="AA36" s="550"/>
    </row>
    <row r="37" spans="1:27" x14ac:dyDescent="0.25">
      <c r="B37" s="12">
        <v>6</v>
      </c>
      <c r="C37" s="545"/>
      <c r="D37" s="546"/>
      <c r="E37" s="546"/>
      <c r="F37" s="542" t="e">
        <f t="shared" si="9"/>
        <v>#DIV/0!</v>
      </c>
      <c r="G37" s="543">
        <f t="shared" si="7"/>
        <v>0</v>
      </c>
      <c r="H37" s="543">
        <f t="shared" si="8"/>
        <v>0</v>
      </c>
      <c r="I37" s="543">
        <f t="shared" si="10"/>
        <v>0</v>
      </c>
      <c r="J37" s="220"/>
      <c r="K37" s="220"/>
      <c r="L37" s="221"/>
      <c r="M37" s="221"/>
      <c r="N37" s="221"/>
      <c r="O37" s="221"/>
      <c r="P37" s="221"/>
      <c r="Q37" s="221"/>
      <c r="R37" s="550"/>
      <c r="S37" s="550"/>
      <c r="T37" s="547"/>
      <c r="U37" s="547"/>
      <c r="V37" s="550"/>
      <c r="W37" s="550"/>
      <c r="X37" s="550"/>
      <c r="Y37" s="550"/>
      <c r="Z37" s="550"/>
      <c r="AA37" s="550"/>
    </row>
    <row r="38" spans="1:27" x14ac:dyDescent="0.25">
      <c r="B38" s="12">
        <v>7</v>
      </c>
      <c r="C38" s="545"/>
      <c r="D38" s="546"/>
      <c r="E38" s="546"/>
      <c r="F38" s="542" t="e">
        <f t="shared" si="9"/>
        <v>#DIV/0!</v>
      </c>
      <c r="G38" s="543">
        <f t="shared" si="7"/>
        <v>0</v>
      </c>
      <c r="H38" s="543">
        <f t="shared" si="8"/>
        <v>0</v>
      </c>
      <c r="I38" s="543">
        <f t="shared" si="10"/>
        <v>0</v>
      </c>
      <c r="J38" s="220"/>
      <c r="K38" s="220"/>
      <c r="L38" s="221"/>
      <c r="M38" s="221"/>
      <c r="N38" s="221"/>
      <c r="O38" s="221"/>
      <c r="P38" s="221"/>
      <c r="Q38" s="221"/>
      <c r="R38" s="550"/>
      <c r="S38" s="550"/>
      <c r="T38" s="547"/>
      <c r="U38" s="547"/>
      <c r="V38" s="550"/>
      <c r="W38" s="550"/>
      <c r="X38" s="550"/>
      <c r="Y38" s="550"/>
      <c r="Z38" s="550"/>
      <c r="AA38" s="550"/>
    </row>
    <row r="39" spans="1:27" x14ac:dyDescent="0.25">
      <c r="B39" s="12">
        <v>8</v>
      </c>
      <c r="C39" s="545"/>
      <c r="D39" s="546"/>
      <c r="E39" s="546"/>
      <c r="F39" s="542" t="e">
        <f t="shared" si="9"/>
        <v>#DIV/0!</v>
      </c>
      <c r="G39" s="543">
        <f t="shared" si="7"/>
        <v>0</v>
      </c>
      <c r="H39" s="543">
        <f t="shared" si="8"/>
        <v>0</v>
      </c>
      <c r="I39" s="543">
        <f t="shared" si="10"/>
        <v>0</v>
      </c>
      <c r="J39" s="220"/>
      <c r="K39" s="220"/>
      <c r="L39" s="221"/>
      <c r="M39" s="221"/>
      <c r="N39" s="221"/>
      <c r="O39" s="221"/>
      <c r="P39" s="221"/>
      <c r="Q39" s="221"/>
      <c r="R39" s="550"/>
      <c r="S39" s="550"/>
      <c r="T39" s="547"/>
      <c r="U39" s="547"/>
      <c r="V39" s="550"/>
      <c r="W39" s="550"/>
      <c r="X39" s="550"/>
      <c r="Y39" s="550"/>
      <c r="Z39" s="550"/>
      <c r="AA39" s="550"/>
    </row>
    <row r="40" spans="1:27" x14ac:dyDescent="0.25">
      <c r="B40" s="12">
        <v>9</v>
      </c>
      <c r="C40" s="545"/>
      <c r="D40" s="546"/>
      <c r="E40" s="546"/>
      <c r="F40" s="542" t="e">
        <f t="shared" si="9"/>
        <v>#DIV/0!</v>
      </c>
      <c r="G40" s="543">
        <f t="shared" si="7"/>
        <v>0</v>
      </c>
      <c r="H40" s="543">
        <f t="shared" si="8"/>
        <v>0</v>
      </c>
      <c r="I40" s="543">
        <f t="shared" si="10"/>
        <v>0</v>
      </c>
      <c r="J40" s="220"/>
      <c r="K40" s="220"/>
      <c r="L40" s="221"/>
      <c r="M40" s="221"/>
      <c r="N40" s="221"/>
      <c r="O40" s="221"/>
      <c r="P40" s="221"/>
      <c r="Q40" s="221"/>
      <c r="R40" s="550"/>
      <c r="S40" s="550"/>
      <c r="T40" s="547"/>
      <c r="U40" s="547"/>
      <c r="V40" s="550"/>
      <c r="W40" s="550"/>
      <c r="X40" s="550"/>
      <c r="Y40" s="550"/>
      <c r="Z40" s="550"/>
      <c r="AA40" s="550"/>
    </row>
    <row r="41" spans="1:27" x14ac:dyDescent="0.25">
      <c r="B41" s="12">
        <v>10</v>
      </c>
      <c r="C41" s="545"/>
      <c r="D41" s="546"/>
      <c r="E41" s="546"/>
      <c r="F41" s="542" t="e">
        <f t="shared" si="9"/>
        <v>#DIV/0!</v>
      </c>
      <c r="G41" s="543">
        <f t="shared" si="7"/>
        <v>0</v>
      </c>
      <c r="H41" s="543">
        <f t="shared" si="8"/>
        <v>0</v>
      </c>
      <c r="I41" s="543">
        <f t="shared" si="10"/>
        <v>0</v>
      </c>
      <c r="J41" s="220"/>
      <c r="K41" s="220"/>
      <c r="L41" s="221"/>
      <c r="M41" s="221"/>
      <c r="N41" s="221"/>
      <c r="O41" s="221"/>
      <c r="P41" s="221"/>
      <c r="Q41" s="221"/>
      <c r="R41" s="550"/>
      <c r="S41" s="550"/>
      <c r="T41" s="547"/>
      <c r="U41" s="547"/>
      <c r="V41" s="550"/>
      <c r="W41" s="550"/>
      <c r="X41" s="550"/>
      <c r="Y41" s="550"/>
      <c r="Z41" s="550"/>
      <c r="AA41" s="550"/>
    </row>
    <row r="42" spans="1:27" x14ac:dyDescent="0.25">
      <c r="B42" s="12" t="s">
        <v>377</v>
      </c>
      <c r="C42" s="218"/>
      <c r="D42" s="218"/>
      <c r="E42" s="219"/>
      <c r="F42" s="219"/>
      <c r="G42" s="544">
        <f>SUM(G32:G41)</f>
        <v>0</v>
      </c>
      <c r="H42" s="544">
        <f t="shared" ref="H42:I42" si="11">SUM(H32:H41)</f>
        <v>0</v>
      </c>
      <c r="I42" s="544">
        <f t="shared" si="11"/>
        <v>0</v>
      </c>
      <c r="J42" s="220"/>
      <c r="K42" s="220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2"/>
      <c r="AA42" s="222"/>
    </row>
    <row r="43" spans="1:27" x14ac:dyDescent="0.25">
      <c r="D43" s="143"/>
      <c r="E43" s="143"/>
      <c r="F43" s="143"/>
      <c r="G43" s="475"/>
      <c r="H43" s="475"/>
      <c r="I43" s="475"/>
      <c r="R43" s="143"/>
      <c r="S43" s="143"/>
      <c r="T43" s="143"/>
      <c r="U43" s="143"/>
      <c r="V43" s="143"/>
      <c r="W43" s="143"/>
      <c r="X43" s="143"/>
      <c r="Y43" s="143"/>
      <c r="Z43" s="143"/>
      <c r="AA43" s="199"/>
    </row>
    <row r="44" spans="1:27" x14ac:dyDescent="0.25">
      <c r="A44"/>
      <c r="B44" s="14" t="s">
        <v>343</v>
      </c>
      <c r="C44"/>
      <c r="D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/>
      <c r="B45" s="362" t="s">
        <v>628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/>
      <c r="B46" s="348" t="s">
        <v>631</v>
      </c>
      <c r="C46" s="348"/>
      <c r="D46" s="348"/>
      <c r="E46" s="349"/>
      <c r="F46" s="349"/>
      <c r="G46" s="348"/>
      <c r="H46" s="645" t="s">
        <v>629</v>
      </c>
      <c r="I46" s="645"/>
      <c r="J46" s="645"/>
      <c r="K46" s="645"/>
      <c r="L46" s="645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/>
      <c r="B47" s="348" t="s">
        <v>632</v>
      </c>
      <c r="C47" s="349"/>
      <c r="D47" s="349"/>
      <c r="E47" s="349"/>
      <c r="F47" s="349"/>
      <c r="G47" s="349"/>
      <c r="H47" s="645" t="s">
        <v>630</v>
      </c>
      <c r="I47" s="645"/>
      <c r="J47" s="645"/>
      <c r="K47" s="645"/>
      <c r="L47" s="645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363"/>
      <c r="B48" s="349"/>
      <c r="C48" s="364"/>
      <c r="D48" s="365"/>
      <c r="E48" s="365"/>
      <c r="F48" s="365"/>
      <c r="G48" s="364"/>
      <c r="H48" s="364"/>
      <c r="I48" s="364"/>
      <c r="J48" s="363"/>
      <c r="K48" s="363"/>
      <c r="L48" s="363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363"/>
      <c r="B49" s="363"/>
      <c r="C49" s="364"/>
      <c r="D49" s="365"/>
      <c r="E49" s="365"/>
      <c r="F49" s="365"/>
      <c r="G49" s="364"/>
      <c r="H49" s="364"/>
      <c r="I49" s="364"/>
      <c r="J49" s="363"/>
      <c r="K49" s="363"/>
      <c r="L49" s="363"/>
      <c r="M49"/>
      <c r="N49"/>
      <c r="O49" s="214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363"/>
      <c r="B50" s="363"/>
      <c r="C50" s="364"/>
      <c r="D50" s="365"/>
      <c r="E50" s="365"/>
      <c r="F50" s="365"/>
      <c r="G50" s="364"/>
      <c r="H50" s="364"/>
      <c r="I50" s="364"/>
      <c r="J50" s="363"/>
      <c r="K50" s="363"/>
      <c r="L50" s="363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/>
      <c r="D51" s="143"/>
      <c r="E51" s="143"/>
      <c r="F51" s="143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D62" s="14" t="str">
        <f>"Heizwärmebedarf " &amp;BefrJahr1</f>
        <v>Heizwärmebedarf 2012</v>
      </c>
    </row>
    <row r="63" spans="1:27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mergeCells count="20">
    <mergeCell ref="B5:B6"/>
    <mergeCell ref="D5:F5"/>
    <mergeCell ref="R5:R6"/>
    <mergeCell ref="S5:S6"/>
    <mergeCell ref="B30:B31"/>
    <mergeCell ref="D30:F30"/>
    <mergeCell ref="R30:R31"/>
    <mergeCell ref="S30:S31"/>
    <mergeCell ref="H46:L46"/>
    <mergeCell ref="H47:L47"/>
    <mergeCell ref="X5:Z5"/>
    <mergeCell ref="U30:U31"/>
    <mergeCell ref="V30:V31"/>
    <mergeCell ref="W30:W31"/>
    <mergeCell ref="X30:Z30"/>
    <mergeCell ref="T30:T31"/>
    <mergeCell ref="T5:T6"/>
    <mergeCell ref="U5:U6"/>
    <mergeCell ref="W5:W6"/>
    <mergeCell ref="V5:V6"/>
  </mergeCells>
  <dataValidations count="1">
    <dataValidation type="list" allowBlank="1" showInputMessage="1" showErrorMessage="1" sqref="J7:J26">
      <formula1>janein</formula1>
    </dataValidation>
  </dataValidations>
  <hyperlinks>
    <hyperlink ref="B45" r:id="rId1"/>
    <hyperlink ref="H46" r:id="rId2"/>
    <hyperlink ref="H47" r:id="rId3"/>
  </hyperlinks>
  <pageMargins left="0.70866141732283472" right="0.70866141732283472" top="0.74803149606299213" bottom="0.74803149606299213" header="0.31496062992125984" footer="0.31496062992125984"/>
  <pageSetup paperSize="8" scale="53" fitToWidth="0" orientation="landscape" r:id="rId4"/>
  <headerFooter>
    <oddHeader>&amp;L&amp;G&amp;R5.2.2 Elektrizität (Kältemaschinen, Wärmepumpen)</oddHeader>
    <oddFooter>&amp;R&amp;P / &amp;N</oddFooter>
  </headerFooter>
  <colBreaks count="1" manualBreakCount="1">
    <brk id="27" max="60" man="1"/>
  </colBreaks>
  <drawing r:id="rId5"/>
  <legacyDrawing r:id="rId6"/>
  <legacyDrawingHF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2">
    <pageSetUpPr fitToPage="1"/>
  </sheetPr>
  <dimension ref="A1:U94"/>
  <sheetViews>
    <sheetView showGridLines="0" view="pageLayout" zoomScale="70" zoomScaleNormal="85" zoomScalePageLayoutView="70" workbookViewId="0">
      <selection activeCell="V4" sqref="V4"/>
    </sheetView>
  </sheetViews>
  <sheetFormatPr baseColWidth="10" defaultColWidth="9.109375" defaultRowHeight="13.2" x14ac:dyDescent="0.25"/>
  <cols>
    <col min="1" max="1" width="3.5546875" style="14" customWidth="1"/>
    <col min="2" max="2" width="4" style="14" customWidth="1"/>
    <col min="3" max="3" width="18.44140625" style="14" customWidth="1"/>
    <col min="4" max="5" width="12.88671875" style="14" customWidth="1"/>
    <col min="6" max="6" width="11.6640625" style="14" customWidth="1"/>
    <col min="7" max="9" width="9.5546875" style="14" customWidth="1"/>
    <col min="10" max="10" width="11.6640625" style="14" customWidth="1"/>
    <col min="11" max="11" width="6.33203125" style="14" customWidth="1"/>
    <col min="12" max="12" width="19.88671875" style="14" customWidth="1"/>
    <col min="13" max="13" width="11" style="14" customWidth="1"/>
    <col min="14" max="14" width="6.88671875" style="14" customWidth="1"/>
    <col min="15" max="15" width="5" style="14" customWidth="1"/>
    <col min="16" max="16" width="13.88671875" style="14" customWidth="1"/>
    <col min="17" max="17" width="15.88671875" style="14" customWidth="1"/>
    <col min="18" max="18" width="11.109375" style="14" customWidth="1"/>
    <col min="19" max="19" width="10.44140625" style="14" customWidth="1"/>
    <col min="20" max="20" width="6.88671875" style="14" customWidth="1"/>
    <col min="21" max="24" width="6.109375" style="14" customWidth="1"/>
    <col min="25" max="16384" width="9.109375" style="14"/>
  </cols>
  <sheetData>
    <row r="1" spans="1:21" ht="17.25" customHeight="1" x14ac:dyDescent="0.25">
      <c r="A1" s="18" t="s">
        <v>384</v>
      </c>
    </row>
    <row r="2" spans="1:21" x14ac:dyDescent="0.25">
      <c r="A2" s="18" t="s">
        <v>387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 ht="18" customHeight="1" x14ac:dyDescent="0.25">
      <c r="B3" s="69" t="s">
        <v>88</v>
      </c>
      <c r="H3" s="65"/>
      <c r="L3" s="197"/>
      <c r="M3" s="197"/>
      <c r="N3" s="197"/>
      <c r="O3" s="197"/>
      <c r="P3" s="197"/>
      <c r="Q3" s="197"/>
      <c r="R3" s="197"/>
      <c r="S3" s="197"/>
      <c r="T3" s="197"/>
    </row>
    <row r="4" spans="1:21" ht="27.75" customHeight="1" x14ac:dyDescent="0.25">
      <c r="B4" s="650" t="s">
        <v>3</v>
      </c>
      <c r="C4" s="652" t="s">
        <v>92</v>
      </c>
      <c r="D4" s="654" t="s">
        <v>39</v>
      </c>
      <c r="E4" s="654" t="s">
        <v>66</v>
      </c>
      <c r="F4" s="43" t="s">
        <v>58</v>
      </c>
      <c r="G4" s="92" t="s">
        <v>65</v>
      </c>
      <c r="H4" s="43" t="s">
        <v>322</v>
      </c>
      <c r="I4" s="55" t="s">
        <v>646</v>
      </c>
      <c r="J4" s="43" t="s">
        <v>471</v>
      </c>
      <c r="M4" s="197"/>
      <c r="N4" s="197"/>
      <c r="O4" s="197"/>
      <c r="P4" s="197"/>
      <c r="Q4" s="197"/>
      <c r="R4" s="197"/>
      <c r="S4" s="197"/>
      <c r="T4" s="197"/>
    </row>
    <row r="5" spans="1:21" x14ac:dyDescent="0.25">
      <c r="B5" s="651"/>
      <c r="C5" s="653"/>
      <c r="D5" s="653"/>
      <c r="E5" s="653"/>
      <c r="F5" s="66" t="s">
        <v>57</v>
      </c>
      <c r="G5" s="66" t="s">
        <v>51</v>
      </c>
      <c r="H5" s="66" t="s">
        <v>64</v>
      </c>
      <c r="I5" s="66" t="s">
        <v>64</v>
      </c>
      <c r="J5" s="290" t="s">
        <v>63</v>
      </c>
      <c r="L5" s="197"/>
      <c r="M5" s="197"/>
      <c r="N5" s="197"/>
      <c r="O5" s="197"/>
      <c r="P5" s="197"/>
      <c r="Q5" s="197"/>
      <c r="R5" s="197"/>
      <c r="S5" s="197"/>
      <c r="T5" s="197"/>
    </row>
    <row r="6" spans="1:21" x14ac:dyDescent="0.25">
      <c r="B6" s="93">
        <v>1</v>
      </c>
      <c r="C6" s="551" t="s">
        <v>67</v>
      </c>
      <c r="D6" s="433" t="s">
        <v>61</v>
      </c>
      <c r="E6" s="433" t="s">
        <v>35</v>
      </c>
      <c r="F6" s="462">
        <v>290000</v>
      </c>
      <c r="G6" s="464">
        <v>1000</v>
      </c>
      <c r="H6" s="553">
        <f t="shared" ref="H6:H11" si="0">IF(G6=0,"",F6/G6)</f>
        <v>290</v>
      </c>
      <c r="I6" s="552">
        <v>750</v>
      </c>
      <c r="J6" s="398" t="s">
        <v>473</v>
      </c>
      <c r="L6" s="214"/>
      <c r="M6" s="197"/>
      <c r="N6" s="197"/>
      <c r="O6" s="197"/>
      <c r="P6" s="197"/>
      <c r="Q6" s="197"/>
      <c r="R6" s="197"/>
      <c r="S6" s="197"/>
      <c r="T6" s="197"/>
    </row>
    <row r="7" spans="1:21" x14ac:dyDescent="0.25">
      <c r="B7" s="93">
        <v>2</v>
      </c>
      <c r="C7" s="551" t="s">
        <v>68</v>
      </c>
      <c r="D7" s="433" t="s">
        <v>61</v>
      </c>
      <c r="E7" s="433" t="s">
        <v>35</v>
      </c>
      <c r="F7" s="462">
        <v>260000</v>
      </c>
      <c r="G7" s="464">
        <v>1000</v>
      </c>
      <c r="H7" s="553">
        <f t="shared" si="0"/>
        <v>260</v>
      </c>
      <c r="I7" s="552">
        <v>500</v>
      </c>
      <c r="J7" s="398" t="s">
        <v>473</v>
      </c>
      <c r="L7" s="197"/>
      <c r="M7" s="197"/>
      <c r="N7" s="197"/>
      <c r="O7" s="197"/>
      <c r="P7" s="197"/>
      <c r="R7" s="197"/>
      <c r="S7" s="197"/>
      <c r="T7" s="197"/>
    </row>
    <row r="8" spans="1:21" x14ac:dyDescent="0.25">
      <c r="B8" s="93">
        <v>3</v>
      </c>
      <c r="C8" s="551" t="s">
        <v>69</v>
      </c>
      <c r="D8" s="433" t="s">
        <v>61</v>
      </c>
      <c r="E8" s="433" t="s">
        <v>35</v>
      </c>
      <c r="F8" s="462">
        <v>210000</v>
      </c>
      <c r="G8" s="464">
        <v>1000</v>
      </c>
      <c r="H8" s="553">
        <f t="shared" si="0"/>
        <v>210</v>
      </c>
      <c r="I8" s="552">
        <v>210</v>
      </c>
      <c r="J8" s="398" t="s">
        <v>473</v>
      </c>
      <c r="R8" s="197"/>
      <c r="S8" s="197"/>
      <c r="T8" s="197"/>
    </row>
    <row r="9" spans="1:21" x14ac:dyDescent="0.25">
      <c r="B9" s="93">
        <v>4</v>
      </c>
      <c r="C9" s="551" t="s">
        <v>70</v>
      </c>
      <c r="D9" s="433" t="s">
        <v>61</v>
      </c>
      <c r="E9" s="433" t="s">
        <v>35</v>
      </c>
      <c r="F9" s="462">
        <v>100000</v>
      </c>
      <c r="G9" s="464">
        <v>1000</v>
      </c>
      <c r="H9" s="553">
        <f t="shared" si="0"/>
        <v>100</v>
      </c>
      <c r="I9" s="552">
        <v>100</v>
      </c>
      <c r="J9" s="398" t="s">
        <v>473</v>
      </c>
    </row>
    <row r="10" spans="1:21" x14ac:dyDescent="0.25">
      <c r="B10" s="93">
        <v>5</v>
      </c>
      <c r="C10" s="551" t="s">
        <v>71</v>
      </c>
      <c r="D10" s="433" t="s">
        <v>61</v>
      </c>
      <c r="E10" s="433" t="s">
        <v>35</v>
      </c>
      <c r="F10" s="462">
        <v>190000</v>
      </c>
      <c r="G10" s="464">
        <v>1000</v>
      </c>
      <c r="H10" s="553">
        <f t="shared" si="0"/>
        <v>190</v>
      </c>
      <c r="I10" s="552">
        <v>200</v>
      </c>
      <c r="J10" s="398" t="s">
        <v>473</v>
      </c>
      <c r="N10" s="197"/>
      <c r="O10" s="197"/>
      <c r="P10" s="197"/>
      <c r="Q10" s="197"/>
      <c r="T10" s="96"/>
    </row>
    <row r="11" spans="1:21" x14ac:dyDescent="0.25">
      <c r="B11" s="93">
        <v>6</v>
      </c>
      <c r="C11" s="551" t="s">
        <v>614</v>
      </c>
      <c r="D11" s="433" t="s">
        <v>61</v>
      </c>
      <c r="E11" s="433" t="s">
        <v>35</v>
      </c>
      <c r="F11" s="462">
        <v>20000</v>
      </c>
      <c r="G11" s="464">
        <v>1000</v>
      </c>
      <c r="H11" s="553">
        <f t="shared" si="0"/>
        <v>20</v>
      </c>
      <c r="I11" s="552">
        <v>30</v>
      </c>
      <c r="J11" s="398" t="s">
        <v>473</v>
      </c>
    </row>
    <row r="12" spans="1:21" x14ac:dyDescent="0.25">
      <c r="B12" s="93">
        <v>7</v>
      </c>
      <c r="C12" s="551" t="s">
        <v>73</v>
      </c>
      <c r="D12" s="433" t="s">
        <v>61</v>
      </c>
      <c r="E12" s="433" t="s">
        <v>73</v>
      </c>
      <c r="F12" s="462">
        <v>170000</v>
      </c>
      <c r="G12" s="464">
        <v>1000</v>
      </c>
      <c r="H12" s="553">
        <f t="shared" ref="H12:H17" si="1">IF(G12=0,"",F12/G12)</f>
        <v>170</v>
      </c>
      <c r="I12" s="552">
        <v>400</v>
      </c>
      <c r="J12" s="398" t="s">
        <v>473</v>
      </c>
    </row>
    <row r="13" spans="1:21" x14ac:dyDescent="0.25">
      <c r="B13" s="93">
        <v>8</v>
      </c>
      <c r="C13" s="551" t="s">
        <v>74</v>
      </c>
      <c r="D13" s="433" t="s">
        <v>61</v>
      </c>
      <c r="E13" s="433" t="s">
        <v>84</v>
      </c>
      <c r="F13" s="462">
        <v>510000</v>
      </c>
      <c r="G13" s="464">
        <v>1000</v>
      </c>
      <c r="H13" s="553">
        <f t="shared" si="1"/>
        <v>510</v>
      </c>
      <c r="I13" s="552">
        <v>1100</v>
      </c>
      <c r="J13" s="398" t="s">
        <v>473</v>
      </c>
    </row>
    <row r="14" spans="1:21" x14ac:dyDescent="0.25">
      <c r="B14" s="93">
        <v>9</v>
      </c>
      <c r="C14" s="551" t="s">
        <v>614</v>
      </c>
      <c r="D14" s="433" t="s">
        <v>60</v>
      </c>
      <c r="E14" s="433" t="s">
        <v>35</v>
      </c>
      <c r="F14" s="462">
        <v>40000</v>
      </c>
      <c r="G14" s="464">
        <v>1000</v>
      </c>
      <c r="H14" s="553">
        <f t="shared" si="1"/>
        <v>40</v>
      </c>
      <c r="I14" s="552">
        <v>500</v>
      </c>
      <c r="J14" s="398" t="s">
        <v>473</v>
      </c>
    </row>
    <row r="15" spans="1:21" x14ac:dyDescent="0.25">
      <c r="B15" s="93">
        <v>10</v>
      </c>
      <c r="C15" s="551" t="s">
        <v>72</v>
      </c>
      <c r="D15" s="433" t="s">
        <v>60</v>
      </c>
      <c r="E15" s="433" t="s">
        <v>35</v>
      </c>
      <c r="F15" s="462">
        <v>260000</v>
      </c>
      <c r="G15" s="464">
        <v>1000</v>
      </c>
      <c r="H15" s="553">
        <f t="shared" si="1"/>
        <v>260</v>
      </c>
      <c r="I15" s="552">
        <v>50</v>
      </c>
      <c r="J15" s="398" t="s">
        <v>473</v>
      </c>
    </row>
    <row r="16" spans="1:21" x14ac:dyDescent="0.25">
      <c r="B16" s="93">
        <v>11</v>
      </c>
      <c r="C16" s="551" t="s">
        <v>410</v>
      </c>
      <c r="D16" s="433" t="s">
        <v>61</v>
      </c>
      <c r="E16" s="433" t="s">
        <v>35</v>
      </c>
      <c r="F16" s="462">
        <v>80000</v>
      </c>
      <c r="G16" s="464">
        <v>1000</v>
      </c>
      <c r="H16" s="553">
        <f t="shared" si="1"/>
        <v>80</v>
      </c>
      <c r="I16" s="552">
        <v>300</v>
      </c>
      <c r="J16" s="398" t="s">
        <v>473</v>
      </c>
    </row>
    <row r="17" spans="2:10" x14ac:dyDescent="0.25">
      <c r="B17" s="93">
        <v>12</v>
      </c>
      <c r="C17" s="551" t="s">
        <v>411</v>
      </c>
      <c r="D17" s="433" t="s">
        <v>61</v>
      </c>
      <c r="E17" s="433" t="s">
        <v>35</v>
      </c>
      <c r="F17" s="462">
        <v>10000</v>
      </c>
      <c r="G17" s="464">
        <v>1000</v>
      </c>
      <c r="H17" s="553">
        <f t="shared" si="1"/>
        <v>10</v>
      </c>
      <c r="I17" s="552">
        <v>30</v>
      </c>
      <c r="J17" s="398" t="s">
        <v>473</v>
      </c>
    </row>
    <row r="18" spans="2:10" x14ac:dyDescent="0.25">
      <c r="B18" s="93">
        <v>13</v>
      </c>
      <c r="C18" s="551" t="s">
        <v>412</v>
      </c>
      <c r="D18" s="433" t="s">
        <v>61</v>
      </c>
      <c r="E18" s="433" t="s">
        <v>35</v>
      </c>
      <c r="F18" s="462">
        <v>40000</v>
      </c>
      <c r="G18" s="464">
        <v>1000</v>
      </c>
      <c r="H18" s="553">
        <f t="shared" ref="H18:H23" si="2">IF(G18=0,"",F18/G18)</f>
        <v>40</v>
      </c>
      <c r="I18" s="552">
        <v>70</v>
      </c>
      <c r="J18" s="398" t="s">
        <v>473</v>
      </c>
    </row>
    <row r="19" spans="2:10" x14ac:dyDescent="0.25">
      <c r="B19" s="93">
        <v>14</v>
      </c>
      <c r="C19" s="551" t="s">
        <v>413</v>
      </c>
      <c r="D19" s="433" t="s">
        <v>61</v>
      </c>
      <c r="E19" s="433" t="s">
        <v>35</v>
      </c>
      <c r="F19" s="462">
        <v>120000</v>
      </c>
      <c r="G19" s="464">
        <v>1000</v>
      </c>
      <c r="H19" s="553">
        <f t="shared" si="2"/>
        <v>120</v>
      </c>
      <c r="I19" s="552">
        <v>150</v>
      </c>
      <c r="J19" s="398" t="s">
        <v>473</v>
      </c>
    </row>
    <row r="20" spans="2:10" x14ac:dyDescent="0.25">
      <c r="B20" s="93">
        <v>15</v>
      </c>
      <c r="C20" s="551" t="s">
        <v>75</v>
      </c>
      <c r="D20" s="433" t="s">
        <v>60</v>
      </c>
      <c r="E20" s="433" t="s">
        <v>35</v>
      </c>
      <c r="F20" s="462">
        <v>150000</v>
      </c>
      <c r="G20" s="464">
        <v>1000</v>
      </c>
      <c r="H20" s="553">
        <f t="shared" si="2"/>
        <v>150</v>
      </c>
      <c r="I20" s="552">
        <v>170</v>
      </c>
      <c r="J20" s="398" t="s">
        <v>473</v>
      </c>
    </row>
    <row r="21" spans="2:10" x14ac:dyDescent="0.25">
      <c r="B21" s="93">
        <v>16</v>
      </c>
      <c r="C21" s="551"/>
      <c r="D21" s="433" t="s">
        <v>63</v>
      </c>
      <c r="E21" s="433" t="s">
        <v>63</v>
      </c>
      <c r="F21" s="462"/>
      <c r="G21" s="464"/>
      <c r="H21" s="553" t="str">
        <f t="shared" si="2"/>
        <v/>
      </c>
      <c r="I21" s="552"/>
      <c r="J21" s="398"/>
    </row>
    <row r="22" spans="2:10" x14ac:dyDescent="0.25">
      <c r="B22" s="93">
        <v>17</v>
      </c>
      <c r="C22" s="551"/>
      <c r="D22" s="433" t="s">
        <v>63</v>
      </c>
      <c r="E22" s="433" t="s">
        <v>63</v>
      </c>
      <c r="F22" s="462"/>
      <c r="G22" s="464"/>
      <c r="H22" s="553" t="str">
        <f t="shared" si="2"/>
        <v/>
      </c>
      <c r="I22" s="552"/>
      <c r="J22" s="398"/>
    </row>
    <row r="23" spans="2:10" x14ac:dyDescent="0.25">
      <c r="B23" s="93">
        <v>18</v>
      </c>
      <c r="C23" s="551"/>
      <c r="D23" s="433" t="s">
        <v>63</v>
      </c>
      <c r="E23" s="433" t="s">
        <v>63</v>
      </c>
      <c r="F23" s="462"/>
      <c r="G23" s="464"/>
      <c r="H23" s="553" t="str">
        <f t="shared" si="2"/>
        <v/>
      </c>
      <c r="I23" s="552"/>
      <c r="J23" s="398"/>
    </row>
    <row r="24" spans="2:10" x14ac:dyDescent="0.25">
      <c r="B24" s="93">
        <v>19</v>
      </c>
      <c r="C24" s="551"/>
      <c r="D24" s="433" t="s">
        <v>63</v>
      </c>
      <c r="E24" s="433" t="s">
        <v>63</v>
      </c>
      <c r="F24" s="462"/>
      <c r="G24" s="464"/>
      <c r="H24" s="553" t="str">
        <f t="shared" ref="H24:H25" si="3">IF(G24=0,"",F24/G24)</f>
        <v/>
      </c>
      <c r="I24" s="552"/>
      <c r="J24" s="398"/>
    </row>
    <row r="25" spans="2:10" x14ac:dyDescent="0.25">
      <c r="B25" s="93">
        <v>20</v>
      </c>
      <c r="C25" s="551"/>
      <c r="D25" s="433" t="s">
        <v>63</v>
      </c>
      <c r="E25" s="433" t="s">
        <v>63</v>
      </c>
      <c r="F25" s="462"/>
      <c r="G25" s="464"/>
      <c r="H25" s="553" t="str">
        <f t="shared" si="3"/>
        <v/>
      </c>
      <c r="I25" s="552"/>
      <c r="J25" s="398"/>
    </row>
    <row r="29" spans="2:10" ht="15" customHeight="1" thickBot="1" x14ac:dyDescent="0.3">
      <c r="C29" s="214" t="s">
        <v>87</v>
      </c>
    </row>
    <row r="30" spans="2:10" ht="13.8" thickBot="1" x14ac:dyDescent="0.3">
      <c r="C30" s="301" t="s">
        <v>86</v>
      </c>
      <c r="D30" s="305" t="s">
        <v>57</v>
      </c>
      <c r="E30" s="306" t="s">
        <v>52</v>
      </c>
      <c r="I30" t="s">
        <v>160</v>
      </c>
    </row>
    <row r="31" spans="2:10" x14ac:dyDescent="0.25">
      <c r="C31" s="302" t="s">
        <v>60</v>
      </c>
      <c r="D31" s="554">
        <f>SUMIF($D$6:$D$25,C31,$F$6:$F$25)</f>
        <v>450000</v>
      </c>
      <c r="E31" s="555">
        <f t="shared" ref="E31:E36" si="4">IF(D41=0,0,D31/D41)</f>
        <v>0.96852300242130751</v>
      </c>
    </row>
    <row r="32" spans="2:10" x14ac:dyDescent="0.25">
      <c r="C32" s="303" t="s">
        <v>73</v>
      </c>
      <c r="D32" s="505">
        <f>SUMIF($D$6:$D$25,C32,$F$6:$F$25)</f>
        <v>0</v>
      </c>
      <c r="E32" s="474">
        <f t="shared" si="4"/>
        <v>0</v>
      </c>
    </row>
    <row r="33" spans="3:5" x14ac:dyDescent="0.25">
      <c r="C33" s="303" t="s">
        <v>61</v>
      </c>
      <c r="D33" s="505">
        <f>SUMIF($D$6:$D$25,C33,$F$6:$F$25)</f>
        <v>2000000</v>
      </c>
      <c r="E33" s="474">
        <f t="shared" si="4"/>
        <v>0.98577040421515427</v>
      </c>
    </row>
    <row r="34" spans="3:5" x14ac:dyDescent="0.25">
      <c r="C34" s="303" t="s">
        <v>62</v>
      </c>
      <c r="D34" s="505">
        <f>SUMIF($D$6:$D$25,C34,$F$6:$F$25)</f>
        <v>0</v>
      </c>
      <c r="E34" s="474">
        <f t="shared" si="4"/>
        <v>0</v>
      </c>
    </row>
    <row r="35" spans="3:5" ht="13.8" thickBot="1" x14ac:dyDescent="0.3">
      <c r="C35" s="304" t="s">
        <v>37</v>
      </c>
      <c r="D35" s="556">
        <f>SUMIF($D$6:$D$25,C35,$F$6:$F$25)</f>
        <v>0</v>
      </c>
      <c r="E35" s="557">
        <f t="shared" si="4"/>
        <v>0</v>
      </c>
    </row>
    <row r="36" spans="3:5" ht="13.8" thickBot="1" x14ac:dyDescent="0.3">
      <c r="C36" s="304" t="s">
        <v>36</v>
      </c>
      <c r="D36" s="558">
        <f>SUM(D31:D35)</f>
        <v>2450000</v>
      </c>
      <c r="E36" s="506">
        <f t="shared" si="4"/>
        <v>0.98255661230521818</v>
      </c>
    </row>
    <row r="38" spans="3:5" x14ac:dyDescent="0.25">
      <c r="C38" s="214" t="s">
        <v>533</v>
      </c>
    </row>
    <row r="39" spans="3:5" ht="13.8" thickBot="1" x14ac:dyDescent="0.3">
      <c r="C39" s="214" t="s">
        <v>534</v>
      </c>
    </row>
    <row r="40" spans="3:5" ht="13.8" thickBot="1" x14ac:dyDescent="0.3">
      <c r="C40" s="94" t="s">
        <v>86</v>
      </c>
      <c r="D40" s="95" t="s">
        <v>57</v>
      </c>
    </row>
    <row r="41" spans="3:5" x14ac:dyDescent="0.25">
      <c r="C41" s="24" t="s">
        <v>60</v>
      </c>
      <c r="D41" s="471">
        <f>SUMIF('5.2.1'!$D$10:$L$10,'5.3.1'!C41,'5.2.1'!$D$28:$L$28)</f>
        <v>464625</v>
      </c>
    </row>
    <row r="42" spans="3:5" x14ac:dyDescent="0.25">
      <c r="C42" s="25" t="s">
        <v>73</v>
      </c>
      <c r="D42" s="473">
        <f>SUMIF('5.2.1'!$D$10:$L$10,'5.3.1'!C42,'5.2.1'!$D$28:$L$28)</f>
        <v>0</v>
      </c>
    </row>
    <row r="43" spans="3:5" x14ac:dyDescent="0.25">
      <c r="C43" s="25" t="s">
        <v>61</v>
      </c>
      <c r="D43" s="473">
        <f>SUMIF('5.2.1'!$D$10:$L$10,'5.3.1'!C43,'5.2.1'!$D$28:$L$28)</f>
        <v>2028870</v>
      </c>
    </row>
    <row r="44" spans="3:5" x14ac:dyDescent="0.25">
      <c r="C44" s="25" t="s">
        <v>62</v>
      </c>
      <c r="D44" s="473">
        <f>SUMIF('5.2.1'!$D$10:$L$10,'5.3.1'!C44,'5.2.1'!$D$28:$L$28)</f>
        <v>0</v>
      </c>
    </row>
    <row r="45" spans="3:5" ht="13.8" thickBot="1" x14ac:dyDescent="0.3">
      <c r="C45" s="26" t="s">
        <v>37</v>
      </c>
      <c r="D45" s="559">
        <f>SUMIF('5.2.1'!$D$10:$L$10,'5.3.1'!C45,'5.2.1'!$D$28:$L$28)</f>
        <v>0</v>
      </c>
    </row>
    <row r="46" spans="3:5" ht="13.8" thickBot="1" x14ac:dyDescent="0.3">
      <c r="C46" s="26" t="s">
        <v>36</v>
      </c>
      <c r="D46" s="559">
        <f>SUM(D41:D45)</f>
        <v>2493495</v>
      </c>
    </row>
    <row r="48" spans="3:5" ht="13.8" thickBot="1" x14ac:dyDescent="0.3">
      <c r="C48" s="214" t="s">
        <v>85</v>
      </c>
      <c r="D48" s="197"/>
    </row>
    <row r="49" spans="3:4" ht="13.8" thickBot="1" x14ac:dyDescent="0.3">
      <c r="C49" s="94" t="s">
        <v>66</v>
      </c>
      <c r="D49" s="95" t="s">
        <v>57</v>
      </c>
    </row>
    <row r="50" spans="3:4" x14ac:dyDescent="0.25">
      <c r="C50" s="24" t="s">
        <v>35</v>
      </c>
      <c r="D50" s="471">
        <f>SUMIF($E$6:$E$25,C50,$F$6:$F$25)</f>
        <v>1770000</v>
      </c>
    </row>
    <row r="51" spans="3:4" x14ac:dyDescent="0.25">
      <c r="C51" s="25" t="s">
        <v>84</v>
      </c>
      <c r="D51" s="473">
        <f>SUMIF($E$6:$E$25,C51,$F$6:$F$25)</f>
        <v>510000</v>
      </c>
    </row>
    <row r="52" spans="3:4" x14ac:dyDescent="0.25">
      <c r="C52" s="25" t="s">
        <v>73</v>
      </c>
      <c r="D52" s="473">
        <f>SUMIF($E$6:$E$25,C52,$F$6:$F$25)</f>
        <v>170000</v>
      </c>
    </row>
    <row r="53" spans="3:4" ht="13.8" thickBot="1" x14ac:dyDescent="0.3">
      <c r="C53" s="26" t="s">
        <v>37</v>
      </c>
      <c r="D53" s="559">
        <f>SUMIF($E$6:$E$25,C53,$F$6:$F$25)</f>
        <v>0</v>
      </c>
    </row>
    <row r="54" spans="3:4" ht="13.8" thickBot="1" x14ac:dyDescent="0.3">
      <c r="C54" s="26" t="s">
        <v>36</v>
      </c>
      <c r="D54" s="559">
        <f>SUM(D50:D53)</f>
        <v>2450000</v>
      </c>
    </row>
    <row r="62" spans="3:4" x14ac:dyDescent="0.25">
      <c r="D62" s="14" t="str">
        <f>"Heizwärmebedarf " &amp;BefrJahr1</f>
        <v>Heizwärmebedarf 2012</v>
      </c>
    </row>
    <row r="63" spans="3:4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mergeCells count="4">
    <mergeCell ref="B4:B5"/>
    <mergeCell ref="C4:C5"/>
    <mergeCell ref="D4:D5"/>
    <mergeCell ref="E4:E5"/>
  </mergeCells>
  <dataValidations count="3">
    <dataValidation type="list" allowBlank="1" showInputMessage="1" showErrorMessage="1" sqref="D6:D25">
      <formula1>Verteilmedium</formula1>
    </dataValidation>
    <dataValidation type="list" allowBlank="1" showInputMessage="1" showErrorMessage="1" sqref="E6:E25">
      <formula1>Verwendungszweck</formula1>
    </dataValidation>
    <dataValidation type="list" allowBlank="1" showInputMessage="1" showErrorMessage="1" sqref="J6:J25">
      <formula1>Erhebungsart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&amp;L&amp;G&amp;R5.3.1 Wärme (thermische Nutzenergie)</oddHeader>
    <oddFooter>&amp;R&amp;P / &amp;N</oddFooter>
  </headerFooter>
  <drawing r:id="rId2"/>
  <legacyDrawing r:id="rId3"/>
  <legacyDrawingHF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162"/>
  <sheetViews>
    <sheetView showGridLines="0" view="pageLayout" topLeftCell="P58" zoomScale="85" zoomScaleNormal="40" zoomScaleSheetLayoutView="85" zoomScalePageLayoutView="85" workbookViewId="0">
      <selection activeCell="V4" sqref="V4"/>
    </sheetView>
  </sheetViews>
  <sheetFormatPr baseColWidth="10" defaultColWidth="9.109375" defaultRowHeight="13.2" x14ac:dyDescent="0.25"/>
  <cols>
    <col min="1" max="1" width="4.5546875" style="14" customWidth="1"/>
    <col min="2" max="2" width="10.33203125" style="14" customWidth="1"/>
    <col min="3" max="7" width="12.5546875" style="14" customWidth="1"/>
    <col min="8" max="8" width="13.33203125" style="14" customWidth="1"/>
    <col min="9" max="10" width="12.5546875" style="14" customWidth="1"/>
    <col min="11" max="11" width="5.33203125" style="14" customWidth="1"/>
    <col min="12" max="12" width="11.5546875" style="14" customWidth="1"/>
    <col min="13" max="14" width="10.6640625" style="14" customWidth="1"/>
    <col min="15" max="15" width="8.109375" style="14" customWidth="1"/>
    <col min="16" max="16" width="2.44140625" style="14" customWidth="1"/>
    <col min="17" max="17" width="9.5546875" style="14" customWidth="1"/>
    <col min="18" max="20" width="10.6640625" style="14" customWidth="1"/>
    <col min="21" max="21" width="3.33203125" style="14" customWidth="1"/>
    <col min="22" max="25" width="9.109375" style="14"/>
    <col min="26" max="40" width="8.109375" style="14" customWidth="1"/>
    <col min="41" max="16384" width="9.109375" style="14"/>
  </cols>
  <sheetData>
    <row r="1" spans="1:25" ht="24.75" customHeight="1" x14ac:dyDescent="0.25">
      <c r="A1" s="18" t="s">
        <v>470</v>
      </c>
      <c r="R1" s="51"/>
      <c r="S1" s="51"/>
      <c r="T1" s="51"/>
      <c r="U1" s="51"/>
      <c r="V1" s="51"/>
      <c r="W1" s="51"/>
      <c r="X1" s="51"/>
      <c r="Y1" s="51"/>
    </row>
    <row r="3" spans="1:25" x14ac:dyDescent="0.25">
      <c r="B3" s="258" t="s">
        <v>671</v>
      </c>
      <c r="C3" s="252"/>
      <c r="D3" s="396">
        <v>10500</v>
      </c>
      <c r="E3" s="189" t="s">
        <v>474</v>
      </c>
      <c r="H3" s="214"/>
    </row>
    <row r="4" spans="1:25" x14ac:dyDescent="0.25">
      <c r="B4" s="258" t="s">
        <v>482</v>
      </c>
      <c r="C4" s="252"/>
      <c r="D4" s="398" t="s">
        <v>483</v>
      </c>
      <c r="E4" s="398"/>
      <c r="G4" s="214"/>
      <c r="H4" s="214"/>
    </row>
    <row r="5" spans="1:25" x14ac:dyDescent="0.25">
      <c r="H5" s="214"/>
    </row>
    <row r="6" spans="1:25" x14ac:dyDescent="0.25">
      <c r="B6" s="69" t="s">
        <v>522</v>
      </c>
      <c r="H6" s="214"/>
    </row>
    <row r="7" spans="1:25" ht="5.25" customHeight="1" x14ac:dyDescent="0.25"/>
    <row r="8" spans="1:25" x14ac:dyDescent="0.25">
      <c r="C8" s="296" t="s">
        <v>136</v>
      </c>
      <c r="D8" s="296" t="s">
        <v>137</v>
      </c>
      <c r="E8" s="296" t="s">
        <v>138</v>
      </c>
      <c r="F8" s="282" t="s">
        <v>485</v>
      </c>
      <c r="H8" s="214" t="s">
        <v>538</v>
      </c>
    </row>
    <row r="9" spans="1:25" x14ac:dyDescent="0.25">
      <c r="C9" s="189" t="s">
        <v>475</v>
      </c>
      <c r="D9" s="189" t="s">
        <v>475</v>
      </c>
      <c r="E9" s="189" t="s">
        <v>475</v>
      </c>
      <c r="F9" s="297" t="s">
        <v>486</v>
      </c>
      <c r="H9" s="214" t="s">
        <v>539</v>
      </c>
    </row>
    <row r="10" spans="1:25" x14ac:dyDescent="0.25">
      <c r="B10" s="36">
        <f xml:space="preserve"> BefrJahr1</f>
        <v>2012</v>
      </c>
      <c r="C10" s="562">
        <f t="shared" ref="C10:E11" si="0">C161/$D$3</f>
        <v>85.149618925224715</v>
      </c>
      <c r="D10" s="562">
        <f t="shared" si="0"/>
        <v>61.962134251290877</v>
      </c>
      <c r="E10" s="562">
        <f t="shared" si="0"/>
        <v>75.842479244444434</v>
      </c>
      <c r="H10" s="214" t="s">
        <v>573</v>
      </c>
    </row>
    <row r="11" spans="1:25" x14ac:dyDescent="0.25">
      <c r="B11" s="36">
        <f xml:space="preserve"> BefrJahr2</f>
        <v>2013</v>
      </c>
      <c r="C11" s="562">
        <f t="shared" si="0"/>
        <v>65.840544547714671</v>
      </c>
      <c r="D11" s="562">
        <f t="shared" si="0"/>
        <v>58.519793459552496</v>
      </c>
      <c r="E11" s="562">
        <f t="shared" si="0"/>
        <v>65.272648387301572</v>
      </c>
      <c r="H11" s="214" t="s">
        <v>540</v>
      </c>
    </row>
    <row r="13" spans="1:25" x14ac:dyDescent="0.25">
      <c r="B13" s="69" t="s">
        <v>159</v>
      </c>
    </row>
    <row r="14" spans="1:25" x14ac:dyDescent="0.25">
      <c r="B14" s="14" t="s">
        <v>424</v>
      </c>
      <c r="Q14" s="247" t="s">
        <v>592</v>
      </c>
    </row>
    <row r="15" spans="1:25" x14ac:dyDescent="0.25">
      <c r="B15" s="14" t="s">
        <v>435</v>
      </c>
      <c r="Q15" s="340" t="s">
        <v>591</v>
      </c>
    </row>
    <row r="16" spans="1:25" x14ac:dyDescent="0.25">
      <c r="B16" s="14" t="s">
        <v>523</v>
      </c>
      <c r="Q16" s="246" t="s">
        <v>427</v>
      </c>
    </row>
    <row r="17" spans="1:23" x14ac:dyDescent="0.25">
      <c r="B17" s="14" t="s">
        <v>524</v>
      </c>
    </row>
    <row r="18" spans="1:23" x14ac:dyDescent="0.25">
      <c r="Q18" s="69" t="s">
        <v>535</v>
      </c>
    </row>
    <row r="19" spans="1:23" x14ac:dyDescent="0.25">
      <c r="B19" s="69" t="s">
        <v>136</v>
      </c>
      <c r="Q19" s="246" t="s">
        <v>436</v>
      </c>
    </row>
    <row r="20" spans="1:23" x14ac:dyDescent="0.25">
      <c r="A20" s="38"/>
      <c r="B20" s="14" t="s">
        <v>542</v>
      </c>
      <c r="H20" s="63"/>
      <c r="I20" s="63"/>
      <c r="J20" s="63"/>
      <c r="Q20" s="246" t="s">
        <v>437</v>
      </c>
    </row>
    <row r="21" spans="1:23" x14ac:dyDescent="0.25">
      <c r="A21" s="38"/>
      <c r="B21" s="14" t="s">
        <v>430</v>
      </c>
      <c r="H21" s="63"/>
      <c r="I21" s="63"/>
    </row>
    <row r="22" spans="1:23" x14ac:dyDescent="0.25">
      <c r="A22" s="38"/>
      <c r="B22" s="560">
        <v>0</v>
      </c>
      <c r="C22" s="240" t="s">
        <v>425</v>
      </c>
      <c r="D22" s="241"/>
      <c r="E22" s="241"/>
      <c r="F22" s="207"/>
      <c r="G22" s="245"/>
      <c r="H22" s="247" t="s">
        <v>541</v>
      </c>
    </row>
    <row r="23" spans="1:23" x14ac:dyDescent="0.25">
      <c r="A23" s="38"/>
      <c r="B23" s="38"/>
      <c r="C23" s="38"/>
      <c r="D23" s="38"/>
      <c r="E23" s="38"/>
      <c r="F23" s="38"/>
      <c r="G23" s="38"/>
      <c r="H23" s="247"/>
      <c r="Q23" s="246" t="s">
        <v>543</v>
      </c>
    </row>
    <row r="24" spans="1:23" x14ac:dyDescent="0.25">
      <c r="A24" s="38"/>
      <c r="B24" s="560">
        <v>0.83</v>
      </c>
      <c r="C24" s="240" t="s">
        <v>428</v>
      </c>
      <c r="D24" s="241"/>
      <c r="E24" s="241"/>
      <c r="F24" s="241"/>
      <c r="G24" s="245"/>
      <c r="H24" s="247" t="s">
        <v>541</v>
      </c>
      <c r="Q24" s="14" t="s">
        <v>544</v>
      </c>
      <c r="R24" s="69"/>
      <c r="S24" s="69"/>
      <c r="T24" s="69"/>
      <c r="U24" s="69"/>
      <c r="V24" s="69"/>
      <c r="W24" s="69"/>
    </row>
    <row r="25" spans="1:23" x14ac:dyDescent="0.25">
      <c r="A25" s="38"/>
      <c r="B25" s="38"/>
      <c r="C25" s="38"/>
      <c r="D25" s="38"/>
      <c r="E25" s="38"/>
      <c r="F25" s="38"/>
      <c r="G25" s="38"/>
      <c r="H25" s="247"/>
      <c r="Q25" s="248" t="s">
        <v>429</v>
      </c>
    </row>
    <row r="26" spans="1:23" x14ac:dyDescent="0.25">
      <c r="A26" s="38"/>
      <c r="B26" s="38"/>
      <c r="C26" s="38"/>
      <c r="D26" s="38"/>
      <c r="E26" s="38"/>
      <c r="F26" s="38"/>
      <c r="G26" s="38"/>
      <c r="H26" s="247"/>
    </row>
    <row r="27" spans="1:23" x14ac:dyDescent="0.25">
      <c r="A27" s="38"/>
      <c r="B27" s="38"/>
      <c r="C27" s="38"/>
      <c r="D27" s="38"/>
      <c r="E27" s="38"/>
      <c r="F27" s="38"/>
      <c r="G27" s="38"/>
      <c r="H27" s="63"/>
    </row>
    <row r="29" spans="1:23" ht="54" customHeight="1" x14ac:dyDescent="0.25">
      <c r="C29" s="55" t="s">
        <v>421</v>
      </c>
      <c r="D29" s="55" t="s">
        <v>468</v>
      </c>
      <c r="E29" s="55" t="s">
        <v>426</v>
      </c>
      <c r="F29" s="55" t="s">
        <v>422</v>
      </c>
      <c r="G29" s="55" t="s">
        <v>423</v>
      </c>
    </row>
    <row r="30" spans="1:23" x14ac:dyDescent="0.25">
      <c r="C30" s="43" t="s">
        <v>134</v>
      </c>
      <c r="D30" s="43" t="s">
        <v>134</v>
      </c>
      <c r="E30" s="43" t="s">
        <v>134</v>
      </c>
      <c r="F30" s="43" t="s">
        <v>134</v>
      </c>
      <c r="G30" s="43" t="s">
        <v>134</v>
      </c>
    </row>
    <row r="31" spans="1:23" x14ac:dyDescent="0.25">
      <c r="B31" s="43" t="s">
        <v>22</v>
      </c>
      <c r="C31" s="563">
        <f>'4.1'!AY8</f>
        <v>365518.67366666667</v>
      </c>
      <c r="D31" s="561">
        <v>162522.04846666666</v>
      </c>
      <c r="E31" s="562">
        <f t="shared" ref="E31:E54" si="1">D31*(1-$B$22)</f>
        <v>162522.04846666666</v>
      </c>
      <c r="F31" s="562">
        <f t="shared" ref="F31:F54" si="2">E31/$B$24</f>
        <v>195809.69694779118</v>
      </c>
      <c r="G31" s="563">
        <f t="shared" ref="G31:G54" si="3">C31-F31</f>
        <v>169708.97671887549</v>
      </c>
    </row>
    <row r="32" spans="1:23" x14ac:dyDescent="0.25">
      <c r="B32" s="43" t="s">
        <v>23</v>
      </c>
      <c r="C32" s="563">
        <f>'4.1'!AY9</f>
        <v>294503.33293333329</v>
      </c>
      <c r="D32" s="561">
        <v>101232.65693333332</v>
      </c>
      <c r="E32" s="562">
        <f t="shared" si="1"/>
        <v>101232.65693333332</v>
      </c>
      <c r="F32" s="562">
        <f t="shared" si="2"/>
        <v>121967.05654618473</v>
      </c>
      <c r="G32" s="563">
        <f t="shared" si="3"/>
        <v>172536.27638714857</v>
      </c>
    </row>
    <row r="33" spans="2:7" x14ac:dyDescent="0.25">
      <c r="B33" s="43" t="s">
        <v>24</v>
      </c>
      <c r="C33" s="563">
        <f>'4.1'!AY10</f>
        <v>303324.31140000001</v>
      </c>
      <c r="D33" s="561">
        <v>97344.266200000013</v>
      </c>
      <c r="E33" s="562">
        <f t="shared" si="1"/>
        <v>97344.266200000013</v>
      </c>
      <c r="F33" s="562">
        <f t="shared" si="2"/>
        <v>117282.24843373496</v>
      </c>
      <c r="G33" s="563">
        <f t="shared" si="3"/>
        <v>186042.06296626505</v>
      </c>
    </row>
    <row r="34" spans="2:7" x14ac:dyDescent="0.25">
      <c r="B34" s="43" t="s">
        <v>25</v>
      </c>
      <c r="C34" s="563">
        <f>'4.1'!AY11</f>
        <v>263923.2779333333</v>
      </c>
      <c r="D34" s="561">
        <v>27502.404000000039</v>
      </c>
      <c r="E34" s="562">
        <f t="shared" si="1"/>
        <v>27502.404000000039</v>
      </c>
      <c r="F34" s="562">
        <f t="shared" si="2"/>
        <v>33135.426506024145</v>
      </c>
      <c r="G34" s="563">
        <f t="shared" si="3"/>
        <v>230787.85142730916</v>
      </c>
    </row>
    <row r="35" spans="2:7" x14ac:dyDescent="0.25">
      <c r="B35" s="43" t="s">
        <v>26</v>
      </c>
      <c r="C35" s="563">
        <f>'4.1'!AY12</f>
        <v>265713.32993333333</v>
      </c>
      <c r="D35" s="561">
        <v>59275.82699999999</v>
      </c>
      <c r="E35" s="562">
        <f t="shared" si="1"/>
        <v>59275.82699999999</v>
      </c>
      <c r="F35" s="562">
        <f t="shared" si="2"/>
        <v>71416.659036144571</v>
      </c>
      <c r="G35" s="563">
        <f t="shared" si="3"/>
        <v>194296.67089718877</v>
      </c>
    </row>
    <row r="36" spans="2:7" x14ac:dyDescent="0.25">
      <c r="B36" s="43" t="s">
        <v>27</v>
      </c>
      <c r="C36" s="563">
        <f>'4.1'!AY13</f>
        <v>254485.726</v>
      </c>
      <c r="D36" s="561">
        <v>15877.010733333329</v>
      </c>
      <c r="E36" s="562">
        <f t="shared" si="1"/>
        <v>15877.010733333329</v>
      </c>
      <c r="F36" s="562">
        <f t="shared" si="2"/>
        <v>19128.928594377507</v>
      </c>
      <c r="G36" s="563">
        <f t="shared" si="3"/>
        <v>235356.79740562249</v>
      </c>
    </row>
    <row r="37" spans="2:7" x14ac:dyDescent="0.25">
      <c r="B37" s="43" t="s">
        <v>28</v>
      </c>
      <c r="C37" s="563">
        <f>'4.1'!AY14</f>
        <v>275439.27913333336</v>
      </c>
      <c r="D37" s="561">
        <v>6886.9717999999993</v>
      </c>
      <c r="E37" s="562">
        <f t="shared" si="1"/>
        <v>6886.9717999999993</v>
      </c>
      <c r="F37" s="562">
        <f t="shared" si="2"/>
        <v>8297.5563855421678</v>
      </c>
      <c r="G37" s="563">
        <f t="shared" si="3"/>
        <v>267141.72274779121</v>
      </c>
    </row>
    <row r="38" spans="2:7" x14ac:dyDescent="0.25">
      <c r="B38" s="43" t="s">
        <v>29</v>
      </c>
      <c r="C38" s="563">
        <f>'4.1'!AY15</f>
        <v>273301.16146666667</v>
      </c>
      <c r="D38" s="561">
        <v>26577.543799999985</v>
      </c>
      <c r="E38" s="562">
        <f t="shared" si="1"/>
        <v>26577.543799999985</v>
      </c>
      <c r="F38" s="562">
        <f t="shared" si="2"/>
        <v>32021.137108433719</v>
      </c>
      <c r="G38" s="563">
        <f t="shared" si="3"/>
        <v>241280.02435823294</v>
      </c>
    </row>
    <row r="39" spans="2:7" x14ac:dyDescent="0.25">
      <c r="B39" s="43" t="s">
        <v>30</v>
      </c>
      <c r="C39" s="563">
        <f>'4.1'!AY16</f>
        <v>258592.90086666669</v>
      </c>
      <c r="D39" s="561">
        <v>13788.616733333329</v>
      </c>
      <c r="E39" s="562">
        <f t="shared" si="1"/>
        <v>13788.616733333329</v>
      </c>
      <c r="F39" s="562">
        <f t="shared" si="2"/>
        <v>16612.791244979915</v>
      </c>
      <c r="G39" s="563">
        <f t="shared" si="3"/>
        <v>241980.10962168677</v>
      </c>
    </row>
    <row r="40" spans="2:7" x14ac:dyDescent="0.25">
      <c r="B40" s="43" t="s">
        <v>31</v>
      </c>
      <c r="C40" s="563">
        <f>'4.1'!AY17</f>
        <v>319474.55833333329</v>
      </c>
      <c r="D40" s="561">
        <v>45104.581999999995</v>
      </c>
      <c r="E40" s="562">
        <f t="shared" si="1"/>
        <v>45104.581999999995</v>
      </c>
      <c r="F40" s="562">
        <f t="shared" si="2"/>
        <v>54342.869879518068</v>
      </c>
      <c r="G40" s="563">
        <f t="shared" si="3"/>
        <v>265131.68845381524</v>
      </c>
    </row>
    <row r="41" spans="2:7" x14ac:dyDescent="0.25">
      <c r="B41" s="43" t="s">
        <v>32</v>
      </c>
      <c r="C41" s="563">
        <f>'4.1'!AY18</f>
        <v>308296.67806666665</v>
      </c>
      <c r="D41" s="561">
        <v>70851.496599999955</v>
      </c>
      <c r="E41" s="562">
        <f t="shared" si="1"/>
        <v>70851.496599999955</v>
      </c>
      <c r="F41" s="562">
        <f t="shared" si="2"/>
        <v>85363.248915662596</v>
      </c>
      <c r="G41" s="563">
        <f t="shared" si="3"/>
        <v>222933.42915100406</v>
      </c>
    </row>
    <row r="42" spans="2:7" x14ac:dyDescent="0.25">
      <c r="B42" s="43" t="s">
        <v>33</v>
      </c>
      <c r="C42" s="563">
        <f>'4.1'!AY19</f>
        <v>373772.80233333335</v>
      </c>
      <c r="D42" s="561">
        <v>115115.50466666667</v>
      </c>
      <c r="E42" s="562">
        <f t="shared" si="1"/>
        <v>115115.50466666667</v>
      </c>
      <c r="F42" s="562">
        <f t="shared" si="2"/>
        <v>138693.37911646589</v>
      </c>
      <c r="G42" s="563">
        <f t="shared" si="3"/>
        <v>235079.42321686746</v>
      </c>
    </row>
    <row r="43" spans="2:7" x14ac:dyDescent="0.25">
      <c r="B43" s="43" t="s">
        <v>22</v>
      </c>
      <c r="C43" s="563">
        <f>'4.1'!AY20</f>
        <v>387884.37893333327</v>
      </c>
      <c r="D43" s="561">
        <v>112568.51166666666</v>
      </c>
      <c r="E43" s="562">
        <f t="shared" si="1"/>
        <v>112568.51166666666</v>
      </c>
      <c r="F43" s="562">
        <f t="shared" si="2"/>
        <v>135624.71285140561</v>
      </c>
      <c r="G43" s="563">
        <f t="shared" si="3"/>
        <v>252259.66608192766</v>
      </c>
    </row>
    <row r="44" spans="2:7" x14ac:dyDescent="0.25">
      <c r="B44" s="43" t="s">
        <v>23</v>
      </c>
      <c r="C44" s="563">
        <f>'4.1'!AY21</f>
        <v>319723.17666666664</v>
      </c>
      <c r="D44" s="561">
        <v>55147.621400000004</v>
      </c>
      <c r="E44" s="562">
        <f t="shared" si="1"/>
        <v>55147.621400000004</v>
      </c>
      <c r="F44" s="562">
        <f t="shared" si="2"/>
        <v>66442.917349397598</v>
      </c>
      <c r="G44" s="563">
        <f t="shared" si="3"/>
        <v>253280.25931726902</v>
      </c>
    </row>
    <row r="45" spans="2:7" x14ac:dyDescent="0.25">
      <c r="B45" s="43" t="s">
        <v>24</v>
      </c>
      <c r="C45" s="563">
        <f>'4.1'!AY22</f>
        <v>323422.61746666668</v>
      </c>
      <c r="D45" s="561">
        <v>53188.508933333331</v>
      </c>
      <c r="E45" s="562">
        <f t="shared" si="1"/>
        <v>53188.508933333331</v>
      </c>
      <c r="F45" s="562">
        <f t="shared" si="2"/>
        <v>64082.540883534137</v>
      </c>
      <c r="G45" s="563">
        <f t="shared" si="3"/>
        <v>259340.07658313256</v>
      </c>
    </row>
    <row r="46" spans="2:7" x14ac:dyDescent="0.25">
      <c r="B46" s="43" t="s">
        <v>25</v>
      </c>
      <c r="C46" s="563">
        <f>'4.1'!AY23</f>
        <v>244908.94780000002</v>
      </c>
      <c r="D46" s="561">
        <v>13976.425400000007</v>
      </c>
      <c r="E46" s="562">
        <f t="shared" si="1"/>
        <v>13976.425400000007</v>
      </c>
      <c r="F46" s="562">
        <f t="shared" si="2"/>
        <v>16839.066746987963</v>
      </c>
      <c r="G46" s="563">
        <f t="shared" si="3"/>
        <v>228069.88105301207</v>
      </c>
    </row>
    <row r="47" spans="2:7" x14ac:dyDescent="0.25">
      <c r="B47" s="43" t="s">
        <v>26</v>
      </c>
      <c r="C47" s="563">
        <f>'4.1'!AY24</f>
        <v>284747.54953333334</v>
      </c>
      <c r="D47" s="561">
        <v>18073.655533333338</v>
      </c>
      <c r="E47" s="562">
        <f t="shared" si="1"/>
        <v>18073.655533333338</v>
      </c>
      <c r="F47" s="562">
        <f t="shared" si="2"/>
        <v>21775.488594377515</v>
      </c>
      <c r="G47" s="563">
        <f t="shared" si="3"/>
        <v>262972.06093895581</v>
      </c>
    </row>
    <row r="48" spans="2:7" x14ac:dyDescent="0.25">
      <c r="B48" s="43" t="s">
        <v>27</v>
      </c>
      <c r="C48" s="563">
        <f>'4.1'!AY25</f>
        <v>243258.12206666663</v>
      </c>
      <c r="D48" s="561">
        <v>8556.5457333333325</v>
      </c>
      <c r="E48" s="562">
        <f t="shared" si="1"/>
        <v>8556.5457333333325</v>
      </c>
      <c r="F48" s="562">
        <f t="shared" si="2"/>
        <v>10309.09124497992</v>
      </c>
      <c r="G48" s="563">
        <f t="shared" si="3"/>
        <v>232949.03082168673</v>
      </c>
    </row>
    <row r="49" spans="2:9" x14ac:dyDescent="0.25">
      <c r="B49" s="43" t="s">
        <v>28</v>
      </c>
      <c r="C49" s="563">
        <f>'4.1'!AY26</f>
        <v>230320.024</v>
      </c>
      <c r="D49" s="561">
        <v>19585.255000000005</v>
      </c>
      <c r="E49" s="562">
        <f t="shared" si="1"/>
        <v>19585.255000000005</v>
      </c>
      <c r="F49" s="562">
        <f t="shared" si="2"/>
        <v>23596.692771084345</v>
      </c>
      <c r="G49" s="563">
        <f t="shared" si="3"/>
        <v>206723.33122891566</v>
      </c>
    </row>
    <row r="50" spans="2:9" x14ac:dyDescent="0.25">
      <c r="B50" s="43" t="s">
        <v>29</v>
      </c>
      <c r="C50" s="563">
        <f>'4.1'!AY27</f>
        <v>254973.01793333332</v>
      </c>
      <c r="D50" s="561">
        <v>25273.642466666672</v>
      </c>
      <c r="E50" s="562">
        <f t="shared" si="1"/>
        <v>25273.642466666672</v>
      </c>
      <c r="F50" s="562">
        <f t="shared" si="2"/>
        <v>30450.171646586354</v>
      </c>
      <c r="G50" s="563">
        <f t="shared" si="3"/>
        <v>224522.84628674696</v>
      </c>
    </row>
    <row r="51" spans="2:9" x14ac:dyDescent="0.25">
      <c r="B51" s="43" t="s">
        <v>30</v>
      </c>
      <c r="C51" s="563">
        <f>'4.1'!AY28</f>
        <v>241816.13573333333</v>
      </c>
      <c r="D51" s="561">
        <v>15040.511866666668</v>
      </c>
      <c r="E51" s="562">
        <f t="shared" si="1"/>
        <v>15040.511866666668</v>
      </c>
      <c r="F51" s="562">
        <f t="shared" si="2"/>
        <v>18121.098634538153</v>
      </c>
      <c r="G51" s="563">
        <f t="shared" si="3"/>
        <v>223695.03709879518</v>
      </c>
    </row>
    <row r="52" spans="2:9" x14ac:dyDescent="0.25">
      <c r="B52" s="43" t="s">
        <v>31</v>
      </c>
      <c r="C52" s="563">
        <f>'4.1'!AY29</f>
        <v>275200.60553333332</v>
      </c>
      <c r="D52" s="561">
        <v>65529.92300000001</v>
      </c>
      <c r="E52" s="562">
        <f t="shared" si="1"/>
        <v>65529.92300000001</v>
      </c>
      <c r="F52" s="562">
        <f t="shared" si="2"/>
        <v>78951.714457831345</v>
      </c>
      <c r="G52" s="563">
        <f t="shared" si="3"/>
        <v>196248.89107550198</v>
      </c>
    </row>
    <row r="53" spans="2:9" x14ac:dyDescent="0.25">
      <c r="B53" s="43" t="s">
        <v>32</v>
      </c>
      <c r="C53" s="563">
        <f>'4.1'!AY30</f>
        <v>293827.0910666667</v>
      </c>
      <c r="D53" s="561">
        <v>62009.487399999984</v>
      </c>
      <c r="E53" s="562">
        <f t="shared" si="1"/>
        <v>62009.487399999984</v>
      </c>
      <c r="F53" s="562">
        <f t="shared" si="2"/>
        <v>74710.225783132511</v>
      </c>
      <c r="G53" s="563">
        <f t="shared" si="3"/>
        <v>219116.86528353419</v>
      </c>
    </row>
    <row r="54" spans="2:9" x14ac:dyDescent="0.25">
      <c r="B54" s="43" t="s">
        <v>33</v>
      </c>
      <c r="C54" s="563">
        <f>'4.1'!AY31</f>
        <v>345281.14133333333</v>
      </c>
      <c r="D54" s="561">
        <v>124850.25733333331</v>
      </c>
      <c r="E54" s="562">
        <f t="shared" si="1"/>
        <v>124850.25733333331</v>
      </c>
      <c r="F54" s="562">
        <f t="shared" si="2"/>
        <v>150421.99678714859</v>
      </c>
      <c r="G54" s="563">
        <f t="shared" si="3"/>
        <v>194859.14454618475</v>
      </c>
    </row>
    <row r="55" spans="2:9" x14ac:dyDescent="0.25">
      <c r="B55" s="41">
        <f xml:space="preserve"> BefrJahr1</f>
        <v>2012</v>
      </c>
      <c r="C55" s="563">
        <f>SUM(C31:C42)</f>
        <v>3556346.032066667</v>
      </c>
      <c r="D55" s="563">
        <f t="shared" ref="D55" si="4">SUM(D31:D42)</f>
        <v>742078.92893333337</v>
      </c>
      <c r="E55" s="563">
        <f t="shared" ref="E55" si="5">SUM(E31:E42)</f>
        <v>742078.92893333337</v>
      </c>
      <c r="F55" s="563">
        <f>SUM(F31:F42)</f>
        <v>894070.99871485948</v>
      </c>
      <c r="G55" s="563">
        <f>SUM(G31:G42)</f>
        <v>2662275.0333518074</v>
      </c>
    </row>
    <row r="56" spans="2:9" x14ac:dyDescent="0.25">
      <c r="B56" s="41">
        <f xml:space="preserve"> BefrJahr2</f>
        <v>2013</v>
      </c>
      <c r="C56" s="563">
        <f>SUM(C43:C54)</f>
        <v>3445362.8080666671</v>
      </c>
      <c r="D56" s="563">
        <f t="shared" ref="D56" si="6">SUM(D43:D54)</f>
        <v>573800.34573333338</v>
      </c>
      <c r="E56" s="563">
        <f t="shared" ref="E56" si="7">SUM(E43:E54)</f>
        <v>573800.34573333338</v>
      </c>
      <c r="F56" s="563">
        <f>SUM(F43:F54)</f>
        <v>691325.71775100403</v>
      </c>
      <c r="G56" s="563">
        <f>SUM(G43:G54)</f>
        <v>2754037.0903156628</v>
      </c>
    </row>
    <row r="58" spans="2:9" x14ac:dyDescent="0.25">
      <c r="B58" s="69" t="s">
        <v>137</v>
      </c>
    </row>
    <row r="59" spans="2:9" x14ac:dyDescent="0.25">
      <c r="B59" s="14" t="s">
        <v>139</v>
      </c>
    </row>
    <row r="60" spans="2:9" x14ac:dyDescent="0.25">
      <c r="B60" s="14" t="s">
        <v>140</v>
      </c>
      <c r="I60" s="214" t="s">
        <v>536</v>
      </c>
    </row>
    <row r="61" spans="2:9" x14ac:dyDescent="0.25">
      <c r="I61" s="14" t="s">
        <v>537</v>
      </c>
    </row>
    <row r="62" spans="2:9" x14ac:dyDescent="0.25">
      <c r="B62" s="253">
        <v>540000</v>
      </c>
      <c r="C62" s="254" t="s">
        <v>11</v>
      </c>
      <c r="D62" s="255" t="str">
        <f>"Heizwärmebedarf " &amp;BefrJahr1</f>
        <v>Heizwärmebedarf 2012</v>
      </c>
      <c r="E62" s="255"/>
      <c r="F62" s="255"/>
      <c r="G62" s="256"/>
    </row>
    <row r="63" spans="2:9" x14ac:dyDescent="0.25">
      <c r="B63" s="253">
        <v>510000</v>
      </c>
      <c r="C63" s="250" t="s">
        <v>11</v>
      </c>
      <c r="D63" s="251" t="str">
        <f>"Heizwärmebedarf " &amp;BefrJahr2</f>
        <v>Heizwärmebedarf 2013</v>
      </c>
      <c r="E63" s="251"/>
      <c r="F63" s="251"/>
      <c r="G63" s="252"/>
    </row>
    <row r="64" spans="2:9" x14ac:dyDescent="0.25">
      <c r="B64" s="242">
        <v>0.83</v>
      </c>
      <c r="C64" s="243" t="s">
        <v>428</v>
      </c>
      <c r="D64" s="244"/>
      <c r="E64" s="244"/>
      <c r="F64" s="244"/>
      <c r="G64" s="257"/>
      <c r="H64" s="14" t="s">
        <v>525</v>
      </c>
    </row>
    <row r="67" spans="2:7" ht="66" x14ac:dyDescent="0.25">
      <c r="C67" s="55" t="s">
        <v>421</v>
      </c>
      <c r="D67" s="55" t="s">
        <v>438</v>
      </c>
      <c r="E67" s="55" t="s">
        <v>469</v>
      </c>
      <c r="F67" s="55" t="s">
        <v>431</v>
      </c>
      <c r="G67" s="55" t="s">
        <v>423</v>
      </c>
    </row>
    <row r="68" spans="2:7" x14ac:dyDescent="0.25">
      <c r="B68" s="43" t="s">
        <v>56</v>
      </c>
      <c r="C68" s="43" t="s">
        <v>134</v>
      </c>
      <c r="D68" s="43" t="s">
        <v>133</v>
      </c>
      <c r="E68" s="43" t="s">
        <v>134</v>
      </c>
      <c r="F68" s="43" t="s">
        <v>134</v>
      </c>
      <c r="G68" s="43" t="s">
        <v>134</v>
      </c>
    </row>
    <row r="69" spans="2:7" x14ac:dyDescent="0.25">
      <c r="B69" s="43" t="s">
        <v>22</v>
      </c>
      <c r="C69" s="60">
        <f t="shared" ref="C69:C92" si="8">C31</f>
        <v>365518.67366666667</v>
      </c>
      <c r="D69" s="141">
        <v>660</v>
      </c>
      <c r="E69" s="60">
        <f>$B$62/$D$93*D69</f>
        <v>131951.1292114032</v>
      </c>
      <c r="F69" s="239">
        <f>E69/$B$64</f>
        <v>158977.26411012435</v>
      </c>
      <c r="G69" s="60">
        <f>C69-F69</f>
        <v>206541.40955654232</v>
      </c>
    </row>
    <row r="70" spans="2:7" x14ac:dyDescent="0.25">
      <c r="B70" s="43" t="s">
        <v>23</v>
      </c>
      <c r="C70" s="60">
        <f t="shared" si="8"/>
        <v>294503.33293333329</v>
      </c>
      <c r="D70" s="141">
        <v>535</v>
      </c>
      <c r="E70" s="60">
        <f t="shared" ref="E70:E80" si="9">$B$62/$D$93*D70</f>
        <v>106960.38504257682</v>
      </c>
      <c r="F70" s="239">
        <f t="shared" ref="F70:F92" si="10">E70/$B$64</f>
        <v>128867.93378623713</v>
      </c>
      <c r="G70" s="60">
        <f t="shared" ref="G70:G92" si="11">C70-F70</f>
        <v>165635.39914709615</v>
      </c>
    </row>
    <row r="71" spans="2:7" x14ac:dyDescent="0.25">
      <c r="B71" s="43" t="s">
        <v>24</v>
      </c>
      <c r="C71" s="60">
        <f t="shared" si="8"/>
        <v>303324.31140000001</v>
      </c>
      <c r="D71" s="141">
        <v>434</v>
      </c>
      <c r="E71" s="60">
        <f t="shared" si="9"/>
        <v>86767.863754165126</v>
      </c>
      <c r="F71" s="239">
        <f t="shared" si="10"/>
        <v>104539.5948845363</v>
      </c>
      <c r="G71" s="60">
        <f t="shared" si="11"/>
        <v>198784.71651546372</v>
      </c>
    </row>
    <row r="72" spans="2:7" x14ac:dyDescent="0.25">
      <c r="B72" s="43" t="s">
        <v>25</v>
      </c>
      <c r="C72" s="60">
        <f t="shared" si="8"/>
        <v>263923.2779333333</v>
      </c>
      <c r="D72" s="141">
        <v>176</v>
      </c>
      <c r="E72" s="60">
        <f t="shared" si="9"/>
        <v>35186.967789707516</v>
      </c>
      <c r="F72" s="239">
        <f t="shared" si="10"/>
        <v>42393.937096033151</v>
      </c>
      <c r="G72" s="60">
        <f t="shared" si="11"/>
        <v>221529.34083730014</v>
      </c>
    </row>
    <row r="73" spans="2:7" x14ac:dyDescent="0.25">
      <c r="B73" s="43" t="s">
        <v>26</v>
      </c>
      <c r="C73" s="60">
        <f t="shared" si="8"/>
        <v>265713.32993333333</v>
      </c>
      <c r="D73" s="141">
        <v>8</v>
      </c>
      <c r="E73" s="60">
        <f t="shared" si="9"/>
        <v>1599.4076268048871</v>
      </c>
      <c r="F73" s="239">
        <f t="shared" si="10"/>
        <v>1926.9971407287796</v>
      </c>
      <c r="G73" s="60">
        <f t="shared" si="11"/>
        <v>263786.33279260457</v>
      </c>
    </row>
    <row r="74" spans="2:7" x14ac:dyDescent="0.25">
      <c r="B74" s="43" t="s">
        <v>27</v>
      </c>
      <c r="C74" s="60">
        <f t="shared" si="8"/>
        <v>254485.726</v>
      </c>
      <c r="D74" s="141">
        <v>0</v>
      </c>
      <c r="E74" s="60">
        <f t="shared" si="9"/>
        <v>0</v>
      </c>
      <c r="F74" s="239">
        <f t="shared" si="10"/>
        <v>0</v>
      </c>
      <c r="G74" s="60">
        <f t="shared" si="11"/>
        <v>254485.726</v>
      </c>
    </row>
    <row r="75" spans="2:7" x14ac:dyDescent="0.25">
      <c r="B75" s="43" t="s">
        <v>28</v>
      </c>
      <c r="C75" s="60">
        <f t="shared" si="8"/>
        <v>275439.27913333336</v>
      </c>
      <c r="D75" s="141">
        <v>0</v>
      </c>
      <c r="E75" s="60">
        <f t="shared" si="9"/>
        <v>0</v>
      </c>
      <c r="F75" s="239">
        <f t="shared" si="10"/>
        <v>0</v>
      </c>
      <c r="G75" s="60">
        <f t="shared" si="11"/>
        <v>275439.27913333336</v>
      </c>
    </row>
    <row r="76" spans="2:7" x14ac:dyDescent="0.25">
      <c r="B76" s="43" t="s">
        <v>29</v>
      </c>
      <c r="C76" s="60">
        <f t="shared" si="8"/>
        <v>273301.16146666667</v>
      </c>
      <c r="D76" s="141">
        <v>0</v>
      </c>
      <c r="E76" s="60">
        <f t="shared" si="9"/>
        <v>0</v>
      </c>
      <c r="F76" s="239">
        <f t="shared" si="10"/>
        <v>0</v>
      </c>
      <c r="G76" s="60">
        <f t="shared" si="11"/>
        <v>273301.16146666667</v>
      </c>
    </row>
    <row r="77" spans="2:7" x14ac:dyDescent="0.25">
      <c r="B77" s="43" t="s">
        <v>30</v>
      </c>
      <c r="C77" s="60">
        <f t="shared" si="8"/>
        <v>258592.90086666669</v>
      </c>
      <c r="D77" s="141">
        <v>0</v>
      </c>
      <c r="E77" s="60">
        <f t="shared" si="9"/>
        <v>0</v>
      </c>
      <c r="F77" s="239">
        <f t="shared" si="10"/>
        <v>0</v>
      </c>
      <c r="G77" s="60">
        <f t="shared" si="11"/>
        <v>258592.90086666669</v>
      </c>
    </row>
    <row r="78" spans="2:7" x14ac:dyDescent="0.25">
      <c r="B78" s="43" t="s">
        <v>31</v>
      </c>
      <c r="C78" s="60">
        <f t="shared" si="8"/>
        <v>319474.55833333329</v>
      </c>
      <c r="D78" s="141">
        <v>27</v>
      </c>
      <c r="E78" s="60">
        <f t="shared" si="9"/>
        <v>5398.0007404664939</v>
      </c>
      <c r="F78" s="239">
        <f t="shared" si="10"/>
        <v>6503.6153499596312</v>
      </c>
      <c r="G78" s="60">
        <f t="shared" si="11"/>
        <v>312970.94298337365</v>
      </c>
    </row>
    <row r="79" spans="2:7" x14ac:dyDescent="0.25">
      <c r="B79" s="43" t="s">
        <v>32</v>
      </c>
      <c r="C79" s="60">
        <f t="shared" si="8"/>
        <v>308296.67806666665</v>
      </c>
      <c r="D79" s="141">
        <v>347</v>
      </c>
      <c r="E79" s="60">
        <f t="shared" si="9"/>
        <v>69374.305812661973</v>
      </c>
      <c r="F79" s="239">
        <f t="shared" si="10"/>
        <v>83583.500979110817</v>
      </c>
      <c r="G79" s="60">
        <f t="shared" si="11"/>
        <v>224713.17708755581</v>
      </c>
    </row>
    <row r="80" spans="2:7" x14ac:dyDescent="0.25">
      <c r="B80" s="43" t="s">
        <v>33</v>
      </c>
      <c r="C80" s="60">
        <f t="shared" si="8"/>
        <v>373772.80233333335</v>
      </c>
      <c r="D80" s="141">
        <v>514</v>
      </c>
      <c r="E80" s="60">
        <f t="shared" si="9"/>
        <v>102761.940022214</v>
      </c>
      <c r="F80" s="239">
        <f t="shared" si="10"/>
        <v>123809.5662918241</v>
      </c>
      <c r="G80" s="60">
        <f t="shared" si="11"/>
        <v>249963.23604150926</v>
      </c>
    </row>
    <row r="81" spans="1:7" x14ac:dyDescent="0.25">
      <c r="A81" s="64"/>
      <c r="B81" s="43" t="s">
        <v>22</v>
      </c>
      <c r="C81" s="60">
        <f t="shared" si="8"/>
        <v>387884.37893333327</v>
      </c>
      <c r="D81" s="141">
        <v>465</v>
      </c>
      <c r="E81" s="60">
        <f t="shared" ref="E81:E92" si="12">$B$63/$D$94*D81</f>
        <v>96559.446254071663</v>
      </c>
      <c r="F81" s="239">
        <f t="shared" si="10"/>
        <v>116336.68223382128</v>
      </c>
      <c r="G81" s="60">
        <f t="shared" si="11"/>
        <v>271547.69669951196</v>
      </c>
    </row>
    <row r="82" spans="1:7" x14ac:dyDescent="0.25">
      <c r="B82" s="43" t="s">
        <v>23</v>
      </c>
      <c r="C82" s="60">
        <f t="shared" si="8"/>
        <v>319723.17666666664</v>
      </c>
      <c r="D82" s="141">
        <v>406</v>
      </c>
      <c r="E82" s="60">
        <f t="shared" si="12"/>
        <v>84307.817589576545</v>
      </c>
      <c r="F82" s="239">
        <f t="shared" si="10"/>
        <v>101575.68384286331</v>
      </c>
      <c r="G82" s="60">
        <f t="shared" si="11"/>
        <v>218147.49282380333</v>
      </c>
    </row>
    <row r="83" spans="1:7" x14ac:dyDescent="0.25">
      <c r="B83" s="43" t="s">
        <v>24</v>
      </c>
      <c r="C83" s="60">
        <f t="shared" si="8"/>
        <v>323422.61746666668</v>
      </c>
      <c r="D83" s="141">
        <v>352</v>
      </c>
      <c r="E83" s="60">
        <f t="shared" si="12"/>
        <v>73094.462540716602</v>
      </c>
      <c r="F83" s="239">
        <f t="shared" si="10"/>
        <v>88065.617518935673</v>
      </c>
      <c r="G83" s="60">
        <f t="shared" si="11"/>
        <v>235356.999947731</v>
      </c>
    </row>
    <row r="84" spans="1:7" x14ac:dyDescent="0.25">
      <c r="B84" s="43" t="s">
        <v>25</v>
      </c>
      <c r="C84" s="60">
        <f t="shared" si="8"/>
        <v>244908.94780000002</v>
      </c>
      <c r="D84" s="141">
        <v>57</v>
      </c>
      <c r="E84" s="60">
        <f t="shared" si="12"/>
        <v>11836.319218241042</v>
      </c>
      <c r="F84" s="239">
        <f t="shared" si="10"/>
        <v>14260.625564145834</v>
      </c>
      <c r="G84" s="60">
        <f t="shared" si="11"/>
        <v>230648.3222358542</v>
      </c>
    </row>
    <row r="85" spans="1:7" x14ac:dyDescent="0.25">
      <c r="B85" s="43" t="s">
        <v>26</v>
      </c>
      <c r="C85" s="60">
        <f t="shared" si="8"/>
        <v>284747.54953333334</v>
      </c>
      <c r="D85" s="141">
        <v>0</v>
      </c>
      <c r="E85" s="60">
        <f t="shared" si="12"/>
        <v>0</v>
      </c>
      <c r="F85" s="239">
        <f t="shared" si="10"/>
        <v>0</v>
      </c>
      <c r="G85" s="60">
        <f t="shared" si="11"/>
        <v>284747.54953333334</v>
      </c>
    </row>
    <row r="86" spans="1:7" x14ac:dyDescent="0.25">
      <c r="B86" s="43" t="s">
        <v>27</v>
      </c>
      <c r="C86" s="60">
        <f t="shared" si="8"/>
        <v>243258.12206666663</v>
      </c>
      <c r="D86" s="141">
        <v>0</v>
      </c>
      <c r="E86" s="60">
        <f t="shared" si="12"/>
        <v>0</v>
      </c>
      <c r="F86" s="239">
        <f t="shared" si="10"/>
        <v>0</v>
      </c>
      <c r="G86" s="60">
        <f t="shared" si="11"/>
        <v>243258.12206666663</v>
      </c>
    </row>
    <row r="87" spans="1:7" x14ac:dyDescent="0.25">
      <c r="B87" s="43" t="s">
        <v>28</v>
      </c>
      <c r="C87" s="60">
        <f t="shared" si="8"/>
        <v>230320.024</v>
      </c>
      <c r="D87" s="141">
        <v>0</v>
      </c>
      <c r="E87" s="60">
        <f t="shared" si="12"/>
        <v>0</v>
      </c>
      <c r="F87" s="239">
        <f t="shared" si="10"/>
        <v>0</v>
      </c>
      <c r="G87" s="60">
        <f t="shared" si="11"/>
        <v>230320.024</v>
      </c>
    </row>
    <row r="88" spans="1:7" x14ac:dyDescent="0.25">
      <c r="B88" s="43" t="s">
        <v>29</v>
      </c>
      <c r="C88" s="60">
        <f t="shared" si="8"/>
        <v>254973.01793333332</v>
      </c>
      <c r="D88" s="141">
        <v>0</v>
      </c>
      <c r="E88" s="60">
        <f t="shared" si="12"/>
        <v>0</v>
      </c>
      <c r="F88" s="239">
        <f t="shared" si="10"/>
        <v>0</v>
      </c>
      <c r="G88" s="60">
        <f t="shared" si="11"/>
        <v>254973.01793333332</v>
      </c>
    </row>
    <row r="89" spans="1:7" x14ac:dyDescent="0.25">
      <c r="B89" s="43" t="s">
        <v>30</v>
      </c>
      <c r="C89" s="60">
        <f t="shared" si="8"/>
        <v>241816.13573333333</v>
      </c>
      <c r="D89" s="141">
        <v>29</v>
      </c>
      <c r="E89" s="60">
        <f t="shared" si="12"/>
        <v>6021.9869706840391</v>
      </c>
      <c r="F89" s="239">
        <f t="shared" si="10"/>
        <v>7255.4059887759513</v>
      </c>
      <c r="G89" s="60">
        <f t="shared" si="11"/>
        <v>234560.72974455738</v>
      </c>
    </row>
    <row r="90" spans="1:7" x14ac:dyDescent="0.25">
      <c r="B90" s="43" t="s">
        <v>31</v>
      </c>
      <c r="C90" s="60">
        <f t="shared" si="8"/>
        <v>275200.60553333332</v>
      </c>
      <c r="D90" s="141">
        <v>154</v>
      </c>
      <c r="E90" s="60">
        <f t="shared" si="12"/>
        <v>31978.827361563515</v>
      </c>
      <c r="F90" s="239">
        <f t="shared" si="10"/>
        <v>38528.707664534355</v>
      </c>
      <c r="G90" s="60">
        <f t="shared" si="11"/>
        <v>236671.89786879896</v>
      </c>
    </row>
    <row r="91" spans="1:7" x14ac:dyDescent="0.25">
      <c r="B91" s="43" t="s">
        <v>32</v>
      </c>
      <c r="C91" s="60">
        <f t="shared" si="8"/>
        <v>293827.0910666667</v>
      </c>
      <c r="D91" s="141">
        <v>417</v>
      </c>
      <c r="E91" s="60">
        <f t="shared" si="12"/>
        <v>86592.019543973933</v>
      </c>
      <c r="F91" s="239">
        <f t="shared" si="10"/>
        <v>104327.73439033005</v>
      </c>
      <c r="G91" s="60">
        <f t="shared" si="11"/>
        <v>189499.35667633667</v>
      </c>
    </row>
    <row r="92" spans="1:7" x14ac:dyDescent="0.25">
      <c r="B92" s="43" t="s">
        <v>33</v>
      </c>
      <c r="C92" s="60">
        <f t="shared" si="8"/>
        <v>345281.14133333333</v>
      </c>
      <c r="D92" s="141">
        <v>576</v>
      </c>
      <c r="E92" s="60">
        <f t="shared" si="12"/>
        <v>119609.12052117263</v>
      </c>
      <c r="F92" s="239">
        <f t="shared" si="10"/>
        <v>144107.37412189474</v>
      </c>
      <c r="G92" s="60">
        <f t="shared" si="11"/>
        <v>201173.76721143859</v>
      </c>
    </row>
    <row r="93" spans="1:7" x14ac:dyDescent="0.25">
      <c r="B93" s="41">
        <f>BefrJahr1</f>
        <v>2012</v>
      </c>
      <c r="C93" s="137">
        <f>SUM(C69:C80)</f>
        <v>3556346.032066667</v>
      </c>
      <c r="D93" s="139">
        <f t="shared" ref="D93:E93" si="13">SUM(D69:D80)</f>
        <v>2701</v>
      </c>
      <c r="E93" s="139">
        <f t="shared" si="13"/>
        <v>540000</v>
      </c>
      <c r="F93" s="139">
        <f>SUM(F69:F80)</f>
        <v>650602.40963855421</v>
      </c>
      <c r="G93" s="139">
        <f>SUM(G69:G80)</f>
        <v>2905743.6224281122</v>
      </c>
    </row>
    <row r="94" spans="1:7" x14ac:dyDescent="0.25">
      <c r="B94" s="41">
        <f>BefrJahr2</f>
        <v>2013</v>
      </c>
      <c r="C94" s="137">
        <f>SUM(C81:C92)</f>
        <v>3445362.8080666671</v>
      </c>
      <c r="D94" s="139">
        <f t="shared" ref="D94:E94" si="14">SUM(D81:D92)</f>
        <v>2456</v>
      </c>
      <c r="E94" s="139">
        <f t="shared" si="14"/>
        <v>510000</v>
      </c>
      <c r="F94" s="139">
        <f>SUM(F81:F92)</f>
        <v>614457.8313253012</v>
      </c>
      <c r="G94" s="139">
        <f>SUM(G81:G92)</f>
        <v>2830904.9767413656</v>
      </c>
    </row>
    <row r="97" spans="2:6" x14ac:dyDescent="0.25">
      <c r="B97" s="69" t="s">
        <v>138</v>
      </c>
    </row>
    <row r="98" spans="2:6" x14ac:dyDescent="0.25">
      <c r="B98" s="14" t="s">
        <v>368</v>
      </c>
    </row>
    <row r="99" spans="2:6" x14ac:dyDescent="0.25">
      <c r="B99" s="14" t="s">
        <v>153</v>
      </c>
    </row>
    <row r="100" spans="2:6" x14ac:dyDescent="0.25">
      <c r="B100" s="14" t="s">
        <v>371</v>
      </c>
    </row>
    <row r="102" spans="2:6" x14ac:dyDescent="0.25">
      <c r="B102" s="43" t="s">
        <v>442</v>
      </c>
      <c r="C102" s="43"/>
      <c r="D102" s="139">
        <f>MIN(C106:C129)</f>
        <v>230320.024</v>
      </c>
      <c r="E102" s="140" t="s">
        <v>134</v>
      </c>
      <c r="F102" s="14" t="s">
        <v>432</v>
      </c>
    </row>
    <row r="103" spans="2:6" x14ac:dyDescent="0.25">
      <c r="B103" s="43" t="s">
        <v>439</v>
      </c>
      <c r="C103" s="43"/>
      <c r="D103" s="138">
        <v>230000</v>
      </c>
      <c r="E103" s="140" t="s">
        <v>134</v>
      </c>
      <c r="F103" s="14" t="s">
        <v>432</v>
      </c>
    </row>
    <row r="105" spans="2:6" ht="39.6" x14ac:dyDescent="0.25">
      <c r="C105" s="55" t="s">
        <v>421</v>
      </c>
      <c r="D105" s="55" t="s">
        <v>433</v>
      </c>
      <c r="E105" s="55" t="s">
        <v>434</v>
      </c>
    </row>
    <row r="106" spans="2:6" x14ac:dyDescent="0.25">
      <c r="B106" s="43" t="s">
        <v>22</v>
      </c>
      <c r="C106" s="60">
        <f t="shared" ref="C106:C129" si="15">C69</f>
        <v>365518.67366666667</v>
      </c>
      <c r="D106" s="60">
        <f t="shared" ref="D106:D128" si="16">IF($D$103&gt;C106,C106,$D$103)</f>
        <v>230000</v>
      </c>
      <c r="E106" s="60">
        <f t="shared" ref="E106:E129" si="17">IF((C106-$D$103)&lt;0,0,(C106-$D$103))</f>
        <v>135518.67366666667</v>
      </c>
    </row>
    <row r="107" spans="2:6" x14ac:dyDescent="0.25">
      <c r="B107" s="43" t="s">
        <v>23</v>
      </c>
      <c r="C107" s="60">
        <f t="shared" si="15"/>
        <v>294503.33293333329</v>
      </c>
      <c r="D107" s="60">
        <f t="shared" si="16"/>
        <v>230000</v>
      </c>
      <c r="E107" s="60">
        <f t="shared" si="17"/>
        <v>64503.332933333295</v>
      </c>
    </row>
    <row r="108" spans="2:6" x14ac:dyDescent="0.25">
      <c r="B108" s="43" t="s">
        <v>24</v>
      </c>
      <c r="C108" s="60">
        <f t="shared" si="15"/>
        <v>303324.31140000001</v>
      </c>
      <c r="D108" s="60">
        <f t="shared" si="16"/>
        <v>230000</v>
      </c>
      <c r="E108" s="60">
        <f t="shared" si="17"/>
        <v>73324.311400000006</v>
      </c>
    </row>
    <row r="109" spans="2:6" x14ac:dyDescent="0.25">
      <c r="B109" s="43" t="s">
        <v>25</v>
      </c>
      <c r="C109" s="60">
        <f t="shared" si="15"/>
        <v>263923.2779333333</v>
      </c>
      <c r="D109" s="60">
        <f t="shared" si="16"/>
        <v>230000</v>
      </c>
      <c r="E109" s="60">
        <f t="shared" si="17"/>
        <v>33923.277933333302</v>
      </c>
    </row>
    <row r="110" spans="2:6" x14ac:dyDescent="0.25">
      <c r="B110" s="43" t="s">
        <v>26</v>
      </c>
      <c r="C110" s="60">
        <f t="shared" si="15"/>
        <v>265713.32993333333</v>
      </c>
      <c r="D110" s="60">
        <f t="shared" si="16"/>
        <v>230000</v>
      </c>
      <c r="E110" s="60">
        <f t="shared" si="17"/>
        <v>35713.329933333327</v>
      </c>
    </row>
    <row r="111" spans="2:6" x14ac:dyDescent="0.25">
      <c r="B111" s="43" t="s">
        <v>27</v>
      </c>
      <c r="C111" s="60">
        <f t="shared" si="15"/>
        <v>254485.726</v>
      </c>
      <c r="D111" s="60">
        <f t="shared" si="16"/>
        <v>230000</v>
      </c>
      <c r="E111" s="60">
        <f t="shared" si="17"/>
        <v>24485.725999999995</v>
      </c>
    </row>
    <row r="112" spans="2:6" x14ac:dyDescent="0.25">
      <c r="B112" s="43" t="s">
        <v>28</v>
      </c>
      <c r="C112" s="60">
        <f t="shared" si="15"/>
        <v>275439.27913333336</v>
      </c>
      <c r="D112" s="60">
        <f t="shared" si="16"/>
        <v>230000</v>
      </c>
      <c r="E112" s="60">
        <f t="shared" si="17"/>
        <v>45439.279133333359</v>
      </c>
    </row>
    <row r="113" spans="2:5" x14ac:dyDescent="0.25">
      <c r="B113" s="43" t="s">
        <v>29</v>
      </c>
      <c r="C113" s="60">
        <f t="shared" si="15"/>
        <v>273301.16146666667</v>
      </c>
      <c r="D113" s="60">
        <f t="shared" si="16"/>
        <v>230000</v>
      </c>
      <c r="E113" s="60">
        <f t="shared" si="17"/>
        <v>43301.161466666672</v>
      </c>
    </row>
    <row r="114" spans="2:5" x14ac:dyDescent="0.25">
      <c r="B114" s="43" t="s">
        <v>30</v>
      </c>
      <c r="C114" s="60">
        <f t="shared" si="15"/>
        <v>258592.90086666669</v>
      </c>
      <c r="D114" s="60">
        <f t="shared" si="16"/>
        <v>230000</v>
      </c>
      <c r="E114" s="60">
        <f t="shared" si="17"/>
        <v>28592.900866666692</v>
      </c>
    </row>
    <row r="115" spans="2:5" x14ac:dyDescent="0.25">
      <c r="B115" s="43" t="s">
        <v>31</v>
      </c>
      <c r="C115" s="60">
        <f t="shared" si="15"/>
        <v>319474.55833333329</v>
      </c>
      <c r="D115" s="60">
        <f t="shared" si="16"/>
        <v>230000</v>
      </c>
      <c r="E115" s="60">
        <f t="shared" si="17"/>
        <v>89474.558333333291</v>
      </c>
    </row>
    <row r="116" spans="2:5" x14ac:dyDescent="0.25">
      <c r="B116" s="43" t="s">
        <v>32</v>
      </c>
      <c r="C116" s="60">
        <f t="shared" si="15"/>
        <v>308296.67806666665</v>
      </c>
      <c r="D116" s="60">
        <f t="shared" si="16"/>
        <v>230000</v>
      </c>
      <c r="E116" s="60">
        <f t="shared" si="17"/>
        <v>78296.678066666645</v>
      </c>
    </row>
    <row r="117" spans="2:5" x14ac:dyDescent="0.25">
      <c r="B117" s="43" t="s">
        <v>33</v>
      </c>
      <c r="C117" s="60">
        <f t="shared" si="15"/>
        <v>373772.80233333335</v>
      </c>
      <c r="D117" s="60">
        <f t="shared" si="16"/>
        <v>230000</v>
      </c>
      <c r="E117" s="60">
        <f t="shared" si="17"/>
        <v>143772.80233333335</v>
      </c>
    </row>
    <row r="118" spans="2:5" x14ac:dyDescent="0.25">
      <c r="B118" s="43" t="s">
        <v>22</v>
      </c>
      <c r="C118" s="60">
        <f t="shared" si="15"/>
        <v>387884.37893333327</v>
      </c>
      <c r="D118" s="60">
        <f t="shared" si="16"/>
        <v>230000</v>
      </c>
      <c r="E118" s="60">
        <f t="shared" si="17"/>
        <v>157884.37893333327</v>
      </c>
    </row>
    <row r="119" spans="2:5" x14ac:dyDescent="0.25">
      <c r="B119" s="43" t="s">
        <v>23</v>
      </c>
      <c r="C119" s="60">
        <f t="shared" si="15"/>
        <v>319723.17666666664</v>
      </c>
      <c r="D119" s="60">
        <f t="shared" si="16"/>
        <v>230000</v>
      </c>
      <c r="E119" s="60">
        <f t="shared" si="17"/>
        <v>89723.176666666637</v>
      </c>
    </row>
    <row r="120" spans="2:5" x14ac:dyDescent="0.25">
      <c r="B120" s="43" t="s">
        <v>24</v>
      </c>
      <c r="C120" s="60">
        <f t="shared" si="15"/>
        <v>323422.61746666668</v>
      </c>
      <c r="D120" s="60">
        <f t="shared" si="16"/>
        <v>230000</v>
      </c>
      <c r="E120" s="60">
        <f t="shared" si="17"/>
        <v>93422.617466666678</v>
      </c>
    </row>
    <row r="121" spans="2:5" x14ac:dyDescent="0.25">
      <c r="B121" s="43" t="s">
        <v>25</v>
      </c>
      <c r="C121" s="60">
        <f t="shared" si="15"/>
        <v>244908.94780000002</v>
      </c>
      <c r="D121" s="60">
        <f t="shared" si="16"/>
        <v>230000</v>
      </c>
      <c r="E121" s="60">
        <f t="shared" si="17"/>
        <v>14908.947800000024</v>
      </c>
    </row>
    <row r="122" spans="2:5" x14ac:dyDescent="0.25">
      <c r="B122" s="43" t="s">
        <v>26</v>
      </c>
      <c r="C122" s="60">
        <f t="shared" si="15"/>
        <v>284747.54953333334</v>
      </c>
      <c r="D122" s="60">
        <f t="shared" si="16"/>
        <v>230000</v>
      </c>
      <c r="E122" s="60">
        <f t="shared" si="17"/>
        <v>54747.549533333338</v>
      </c>
    </row>
    <row r="123" spans="2:5" x14ac:dyDescent="0.25">
      <c r="B123" s="43" t="s">
        <v>27</v>
      </c>
      <c r="C123" s="60">
        <f t="shared" si="15"/>
        <v>243258.12206666663</v>
      </c>
      <c r="D123" s="60">
        <f t="shared" si="16"/>
        <v>230000</v>
      </c>
      <c r="E123" s="60">
        <f t="shared" si="17"/>
        <v>13258.122066666634</v>
      </c>
    </row>
    <row r="124" spans="2:5" x14ac:dyDescent="0.25">
      <c r="B124" s="43" t="s">
        <v>28</v>
      </c>
      <c r="C124" s="60">
        <f t="shared" si="15"/>
        <v>230320.024</v>
      </c>
      <c r="D124" s="60">
        <f t="shared" si="16"/>
        <v>230000</v>
      </c>
      <c r="E124" s="60">
        <f t="shared" si="17"/>
        <v>320.02400000000489</v>
      </c>
    </row>
    <row r="125" spans="2:5" x14ac:dyDescent="0.25">
      <c r="B125" s="43" t="s">
        <v>29</v>
      </c>
      <c r="C125" s="60">
        <f t="shared" si="15"/>
        <v>254973.01793333332</v>
      </c>
      <c r="D125" s="60">
        <f t="shared" si="16"/>
        <v>230000</v>
      </c>
      <c r="E125" s="60">
        <f t="shared" si="17"/>
        <v>24973.017933333322</v>
      </c>
    </row>
    <row r="126" spans="2:5" x14ac:dyDescent="0.25">
      <c r="B126" s="43" t="s">
        <v>30</v>
      </c>
      <c r="C126" s="60">
        <f t="shared" si="15"/>
        <v>241816.13573333333</v>
      </c>
      <c r="D126" s="60">
        <f t="shared" si="16"/>
        <v>230000</v>
      </c>
      <c r="E126" s="60">
        <f t="shared" si="17"/>
        <v>11816.135733333329</v>
      </c>
    </row>
    <row r="127" spans="2:5" x14ac:dyDescent="0.25">
      <c r="B127" s="43" t="s">
        <v>31</v>
      </c>
      <c r="C127" s="60">
        <f t="shared" si="15"/>
        <v>275200.60553333332</v>
      </c>
      <c r="D127" s="60">
        <f t="shared" si="16"/>
        <v>230000</v>
      </c>
      <c r="E127" s="60">
        <f t="shared" si="17"/>
        <v>45200.605533333321</v>
      </c>
    </row>
    <row r="128" spans="2:5" x14ac:dyDescent="0.25">
      <c r="B128" s="43" t="s">
        <v>32</v>
      </c>
      <c r="C128" s="60">
        <f t="shared" si="15"/>
        <v>293827.0910666667</v>
      </c>
      <c r="D128" s="60">
        <f t="shared" si="16"/>
        <v>230000</v>
      </c>
      <c r="E128" s="60">
        <f t="shared" si="17"/>
        <v>63827.091066666704</v>
      </c>
    </row>
    <row r="129" spans="2:5" x14ac:dyDescent="0.25">
      <c r="B129" s="43" t="s">
        <v>33</v>
      </c>
      <c r="C129" s="60">
        <f t="shared" si="15"/>
        <v>345281.14133333333</v>
      </c>
      <c r="D129" s="60">
        <f>$D$103</f>
        <v>230000</v>
      </c>
      <c r="E129" s="60">
        <f t="shared" si="17"/>
        <v>115281.14133333333</v>
      </c>
    </row>
    <row r="130" spans="2:5" x14ac:dyDescent="0.25">
      <c r="B130" s="41">
        <f>BefrJahr1</f>
        <v>2012</v>
      </c>
      <c r="C130" s="137">
        <f>SUM(C106:C117)</f>
        <v>3556346.032066667</v>
      </c>
      <c r="D130" s="139">
        <f t="shared" ref="D130:E130" si="18">SUM(D106:D117)</f>
        <v>2760000</v>
      </c>
      <c r="E130" s="139">
        <f t="shared" si="18"/>
        <v>796346.03206666652</v>
      </c>
    </row>
    <row r="131" spans="2:5" x14ac:dyDescent="0.25">
      <c r="B131" s="41">
        <f>BefrJahr2</f>
        <v>2013</v>
      </c>
      <c r="C131" s="137">
        <f>SUM(C118:C129)</f>
        <v>3445362.8080666671</v>
      </c>
      <c r="D131" s="139">
        <f t="shared" ref="D131:E131" si="19">SUM(D118:D129)</f>
        <v>2760000</v>
      </c>
      <c r="E131" s="139">
        <f t="shared" si="19"/>
        <v>685362.80806666648</v>
      </c>
    </row>
    <row r="134" spans="2:5" x14ac:dyDescent="0.25">
      <c r="B134" s="69" t="s">
        <v>141</v>
      </c>
    </row>
    <row r="136" spans="2:5" x14ac:dyDescent="0.25">
      <c r="C136" s="43" t="s">
        <v>372</v>
      </c>
      <c r="D136" s="43" t="s">
        <v>369</v>
      </c>
      <c r="E136" s="43" t="s">
        <v>370</v>
      </c>
    </row>
    <row r="137" spans="2:5" x14ac:dyDescent="0.25">
      <c r="B137" s="43" t="s">
        <v>22</v>
      </c>
      <c r="C137" s="60">
        <f t="shared" ref="C137:C160" si="20">F31</f>
        <v>195809.69694779118</v>
      </c>
      <c r="D137" s="60">
        <f t="shared" ref="D137:D160" si="21">F69</f>
        <v>158977.26411012435</v>
      </c>
      <c r="E137" s="60">
        <f>E106</f>
        <v>135518.67366666667</v>
      </c>
    </row>
    <row r="138" spans="2:5" x14ac:dyDescent="0.25">
      <c r="B138" s="43" t="s">
        <v>23</v>
      </c>
      <c r="C138" s="60">
        <f t="shared" si="20"/>
        <v>121967.05654618473</v>
      </c>
      <c r="D138" s="60">
        <f t="shared" si="21"/>
        <v>128867.93378623713</v>
      </c>
      <c r="E138" s="60">
        <f t="shared" ref="E138:E160" si="22">E107</f>
        <v>64503.332933333295</v>
      </c>
    </row>
    <row r="139" spans="2:5" x14ac:dyDescent="0.25">
      <c r="B139" s="43" t="s">
        <v>24</v>
      </c>
      <c r="C139" s="60">
        <f t="shared" si="20"/>
        <v>117282.24843373496</v>
      </c>
      <c r="D139" s="60">
        <f t="shared" si="21"/>
        <v>104539.5948845363</v>
      </c>
      <c r="E139" s="60">
        <f t="shared" si="22"/>
        <v>73324.311400000006</v>
      </c>
    </row>
    <row r="140" spans="2:5" x14ac:dyDescent="0.25">
      <c r="B140" s="43" t="s">
        <v>25</v>
      </c>
      <c r="C140" s="60">
        <f t="shared" si="20"/>
        <v>33135.426506024145</v>
      </c>
      <c r="D140" s="60">
        <f t="shared" si="21"/>
        <v>42393.937096033151</v>
      </c>
      <c r="E140" s="60">
        <f t="shared" si="22"/>
        <v>33923.277933333302</v>
      </c>
    </row>
    <row r="141" spans="2:5" x14ac:dyDescent="0.25">
      <c r="B141" s="43" t="s">
        <v>26</v>
      </c>
      <c r="C141" s="60">
        <f t="shared" si="20"/>
        <v>71416.659036144571</v>
      </c>
      <c r="D141" s="60">
        <f t="shared" si="21"/>
        <v>1926.9971407287796</v>
      </c>
      <c r="E141" s="60">
        <f t="shared" si="22"/>
        <v>35713.329933333327</v>
      </c>
    </row>
    <row r="142" spans="2:5" x14ac:dyDescent="0.25">
      <c r="B142" s="43" t="s">
        <v>27</v>
      </c>
      <c r="C142" s="60">
        <f t="shared" si="20"/>
        <v>19128.928594377507</v>
      </c>
      <c r="D142" s="60">
        <f t="shared" si="21"/>
        <v>0</v>
      </c>
      <c r="E142" s="60">
        <f t="shared" si="22"/>
        <v>24485.725999999995</v>
      </c>
    </row>
    <row r="143" spans="2:5" x14ac:dyDescent="0.25">
      <c r="B143" s="43" t="s">
        <v>28</v>
      </c>
      <c r="C143" s="60">
        <f t="shared" si="20"/>
        <v>8297.5563855421678</v>
      </c>
      <c r="D143" s="60">
        <f t="shared" si="21"/>
        <v>0</v>
      </c>
      <c r="E143" s="60">
        <f t="shared" si="22"/>
        <v>45439.279133333359</v>
      </c>
    </row>
    <row r="144" spans="2:5" x14ac:dyDescent="0.25">
      <c r="B144" s="43" t="s">
        <v>29</v>
      </c>
      <c r="C144" s="60">
        <f t="shared" si="20"/>
        <v>32021.137108433719</v>
      </c>
      <c r="D144" s="60">
        <f t="shared" si="21"/>
        <v>0</v>
      </c>
      <c r="E144" s="60">
        <f t="shared" si="22"/>
        <v>43301.161466666672</v>
      </c>
    </row>
    <row r="145" spans="2:5" x14ac:dyDescent="0.25">
      <c r="B145" s="43" t="s">
        <v>30</v>
      </c>
      <c r="C145" s="60">
        <f t="shared" si="20"/>
        <v>16612.791244979915</v>
      </c>
      <c r="D145" s="60">
        <f t="shared" si="21"/>
        <v>0</v>
      </c>
      <c r="E145" s="60">
        <f t="shared" si="22"/>
        <v>28592.900866666692</v>
      </c>
    </row>
    <row r="146" spans="2:5" x14ac:dyDescent="0.25">
      <c r="B146" s="43" t="s">
        <v>31</v>
      </c>
      <c r="C146" s="60">
        <f t="shared" si="20"/>
        <v>54342.869879518068</v>
      </c>
      <c r="D146" s="60">
        <f t="shared" si="21"/>
        <v>6503.6153499596312</v>
      </c>
      <c r="E146" s="60">
        <f t="shared" si="22"/>
        <v>89474.558333333291</v>
      </c>
    </row>
    <row r="147" spans="2:5" x14ac:dyDescent="0.25">
      <c r="B147" s="43" t="s">
        <v>32</v>
      </c>
      <c r="C147" s="60">
        <f t="shared" si="20"/>
        <v>85363.248915662596</v>
      </c>
      <c r="D147" s="60">
        <f t="shared" si="21"/>
        <v>83583.500979110817</v>
      </c>
      <c r="E147" s="60">
        <f t="shared" si="22"/>
        <v>78296.678066666645</v>
      </c>
    </row>
    <row r="148" spans="2:5" x14ac:dyDescent="0.25">
      <c r="B148" s="43" t="s">
        <v>33</v>
      </c>
      <c r="C148" s="60">
        <f t="shared" si="20"/>
        <v>138693.37911646589</v>
      </c>
      <c r="D148" s="60">
        <f t="shared" si="21"/>
        <v>123809.5662918241</v>
      </c>
      <c r="E148" s="60">
        <f t="shared" si="22"/>
        <v>143772.80233333335</v>
      </c>
    </row>
    <row r="149" spans="2:5" x14ac:dyDescent="0.25">
      <c r="B149" s="43" t="s">
        <v>22</v>
      </c>
      <c r="C149" s="60">
        <f t="shared" si="20"/>
        <v>135624.71285140561</v>
      </c>
      <c r="D149" s="60">
        <f t="shared" si="21"/>
        <v>116336.68223382128</v>
      </c>
      <c r="E149" s="60">
        <f t="shared" si="22"/>
        <v>157884.37893333327</v>
      </c>
    </row>
    <row r="150" spans="2:5" x14ac:dyDescent="0.25">
      <c r="B150" s="43" t="s">
        <v>23</v>
      </c>
      <c r="C150" s="60">
        <f t="shared" si="20"/>
        <v>66442.917349397598</v>
      </c>
      <c r="D150" s="60">
        <f t="shared" si="21"/>
        <v>101575.68384286331</v>
      </c>
      <c r="E150" s="60">
        <f t="shared" si="22"/>
        <v>89723.176666666637</v>
      </c>
    </row>
    <row r="151" spans="2:5" x14ac:dyDescent="0.25">
      <c r="B151" s="43" t="s">
        <v>24</v>
      </c>
      <c r="C151" s="60">
        <f t="shared" si="20"/>
        <v>64082.540883534137</v>
      </c>
      <c r="D151" s="60">
        <f t="shared" si="21"/>
        <v>88065.617518935673</v>
      </c>
      <c r="E151" s="60">
        <f t="shared" si="22"/>
        <v>93422.617466666678</v>
      </c>
    </row>
    <row r="152" spans="2:5" x14ac:dyDescent="0.25">
      <c r="B152" s="43" t="s">
        <v>25</v>
      </c>
      <c r="C152" s="60">
        <f t="shared" si="20"/>
        <v>16839.066746987963</v>
      </c>
      <c r="D152" s="60">
        <f t="shared" si="21"/>
        <v>14260.625564145834</v>
      </c>
      <c r="E152" s="60">
        <f t="shared" si="22"/>
        <v>14908.947800000024</v>
      </c>
    </row>
    <row r="153" spans="2:5" x14ac:dyDescent="0.25">
      <c r="B153" s="43" t="s">
        <v>26</v>
      </c>
      <c r="C153" s="60">
        <f t="shared" si="20"/>
        <v>21775.488594377515</v>
      </c>
      <c r="D153" s="60">
        <f t="shared" si="21"/>
        <v>0</v>
      </c>
      <c r="E153" s="60">
        <f t="shared" si="22"/>
        <v>54747.549533333338</v>
      </c>
    </row>
    <row r="154" spans="2:5" x14ac:dyDescent="0.25">
      <c r="B154" s="43" t="s">
        <v>27</v>
      </c>
      <c r="C154" s="60">
        <f t="shared" si="20"/>
        <v>10309.09124497992</v>
      </c>
      <c r="D154" s="60">
        <f t="shared" si="21"/>
        <v>0</v>
      </c>
      <c r="E154" s="60">
        <f t="shared" si="22"/>
        <v>13258.122066666634</v>
      </c>
    </row>
    <row r="155" spans="2:5" x14ac:dyDescent="0.25">
      <c r="B155" s="43" t="s">
        <v>28</v>
      </c>
      <c r="C155" s="60">
        <f t="shared" si="20"/>
        <v>23596.692771084345</v>
      </c>
      <c r="D155" s="60">
        <f t="shared" si="21"/>
        <v>0</v>
      </c>
      <c r="E155" s="60">
        <f t="shared" si="22"/>
        <v>320.02400000000489</v>
      </c>
    </row>
    <row r="156" spans="2:5" x14ac:dyDescent="0.25">
      <c r="B156" s="43" t="s">
        <v>29</v>
      </c>
      <c r="C156" s="60">
        <f t="shared" si="20"/>
        <v>30450.171646586354</v>
      </c>
      <c r="D156" s="60">
        <f t="shared" si="21"/>
        <v>0</v>
      </c>
      <c r="E156" s="60">
        <f t="shared" si="22"/>
        <v>24973.017933333322</v>
      </c>
    </row>
    <row r="157" spans="2:5" x14ac:dyDescent="0.25">
      <c r="B157" s="43" t="s">
        <v>30</v>
      </c>
      <c r="C157" s="60">
        <f t="shared" si="20"/>
        <v>18121.098634538153</v>
      </c>
      <c r="D157" s="60">
        <f t="shared" si="21"/>
        <v>7255.4059887759513</v>
      </c>
      <c r="E157" s="60">
        <f t="shared" si="22"/>
        <v>11816.135733333329</v>
      </c>
    </row>
    <row r="158" spans="2:5" x14ac:dyDescent="0.25">
      <c r="B158" s="43" t="s">
        <v>31</v>
      </c>
      <c r="C158" s="60">
        <f t="shared" si="20"/>
        <v>78951.714457831345</v>
      </c>
      <c r="D158" s="60">
        <f t="shared" si="21"/>
        <v>38528.707664534355</v>
      </c>
      <c r="E158" s="60">
        <f t="shared" si="22"/>
        <v>45200.605533333321</v>
      </c>
    </row>
    <row r="159" spans="2:5" x14ac:dyDescent="0.25">
      <c r="B159" s="43" t="s">
        <v>32</v>
      </c>
      <c r="C159" s="60">
        <f t="shared" si="20"/>
        <v>74710.225783132511</v>
      </c>
      <c r="D159" s="60">
        <f t="shared" si="21"/>
        <v>104327.73439033005</v>
      </c>
      <c r="E159" s="60">
        <f t="shared" si="22"/>
        <v>63827.091066666704</v>
      </c>
    </row>
    <row r="160" spans="2:5" x14ac:dyDescent="0.25">
      <c r="B160" s="43" t="s">
        <v>33</v>
      </c>
      <c r="C160" s="60">
        <f t="shared" si="20"/>
        <v>150421.99678714859</v>
      </c>
      <c r="D160" s="60">
        <f t="shared" si="21"/>
        <v>144107.37412189474</v>
      </c>
      <c r="E160" s="60">
        <f t="shared" si="22"/>
        <v>115281.14133333333</v>
      </c>
    </row>
    <row r="161" spans="2:5" x14ac:dyDescent="0.25">
      <c r="B161" s="41">
        <f>BefrJahr1</f>
        <v>2012</v>
      </c>
      <c r="C161" s="137">
        <f>SUM(C137:C148)</f>
        <v>894070.99871485948</v>
      </c>
      <c r="D161" s="139">
        <f t="shared" ref="D161:E161" si="23">SUM(D137:D148)</f>
        <v>650602.40963855421</v>
      </c>
      <c r="E161" s="139">
        <f t="shared" si="23"/>
        <v>796346.03206666652</v>
      </c>
    </row>
    <row r="162" spans="2:5" x14ac:dyDescent="0.25">
      <c r="B162" s="41">
        <f>BefrJahr2</f>
        <v>2013</v>
      </c>
      <c r="C162" s="137">
        <f>SUM(C149:C160)</f>
        <v>691325.71775100403</v>
      </c>
      <c r="D162" s="139">
        <f t="shared" ref="D162:E162" si="24">SUM(D149:D160)</f>
        <v>614457.8313253012</v>
      </c>
      <c r="E162" s="139">
        <f t="shared" si="24"/>
        <v>685362.80806666648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8" scale="44" orientation="portrait" r:id="rId1"/>
  <headerFooter>
    <oddHeader>&amp;L&amp;G&amp;R5.3.1_Heizung: Erhebung bzw. Abschätzung des monatlichen Heizenergiebedarfs bzw. Verbrauchs</oddHeader>
    <oddFooter>&amp;R&amp;P / &amp;N</oddFooter>
  </headerFooter>
  <rowBreaks count="3" manualBreakCount="3">
    <brk id="57" max="16383" man="1"/>
    <brk id="96" max="16383" man="1"/>
    <brk id="133" max="31" man="1"/>
  </rowBreaks>
  <colBreaks count="1" manualBreakCount="1">
    <brk id="15" max="1048575" man="1"/>
  </col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4">
    <tabColor theme="7" tint="0.39997558519241921"/>
    <pageSetUpPr fitToPage="1"/>
  </sheetPr>
  <dimension ref="A1:AC112"/>
  <sheetViews>
    <sheetView showGridLines="0" view="pageLayout" topLeftCell="J1" zoomScale="85" zoomScaleNormal="40" zoomScaleSheetLayoutView="85" zoomScalePageLayoutView="85" workbookViewId="0">
      <selection activeCell="V4" sqref="V4"/>
    </sheetView>
  </sheetViews>
  <sheetFormatPr baseColWidth="10" defaultColWidth="9.109375" defaultRowHeight="13.2" x14ac:dyDescent="0.25"/>
  <cols>
    <col min="1" max="2" width="10.33203125" style="14" customWidth="1"/>
    <col min="3" max="5" width="12.5546875" style="14" customWidth="1"/>
    <col min="6" max="6" width="4.109375" style="14" customWidth="1"/>
    <col min="7" max="16" width="12.5546875" style="14" customWidth="1"/>
    <col min="17" max="17" width="11.5546875" style="14" customWidth="1"/>
    <col min="18" max="18" width="10.6640625" style="14" customWidth="1"/>
    <col min="19" max="22" width="9.44140625" style="14" customWidth="1"/>
    <col min="23" max="23" width="15.6640625" style="14" customWidth="1"/>
    <col min="24" max="24" width="26.44140625" style="14" customWidth="1"/>
    <col min="25" max="29" width="9.44140625" style="14" customWidth="1"/>
    <col min="30" max="30" width="2" style="14" customWidth="1"/>
    <col min="31" max="44" width="8.109375" style="14" customWidth="1"/>
    <col min="45" max="16384" width="9.109375" style="14"/>
  </cols>
  <sheetData>
    <row r="1" spans="1:29" ht="24.75" customHeight="1" x14ac:dyDescent="0.25">
      <c r="A1" s="18" t="s">
        <v>633</v>
      </c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G2" s="69" t="s">
        <v>568</v>
      </c>
      <c r="H2" s="69"/>
      <c r="I2" s="69"/>
    </row>
    <row r="3" spans="1:29" ht="70.5" customHeight="1" x14ac:dyDescent="0.25">
      <c r="C3" s="55" t="s">
        <v>421</v>
      </c>
      <c r="D3" s="55" t="s">
        <v>440</v>
      </c>
      <c r="E3" s="55" t="s">
        <v>441</v>
      </c>
      <c r="G3" s="55" t="str">
        <f>'4.3'!C4</f>
        <v>Verarbeitete Milchmenge</v>
      </c>
      <c r="H3" s="55" t="str">
        <f>'4.3'!D4</f>
        <v>Past-Milch</v>
      </c>
      <c r="I3" s="55" t="str">
        <f>'4.3'!E4</f>
        <v>UHT-Milch</v>
      </c>
      <c r="J3" s="55" t="str">
        <f>'4.3'!F4</f>
        <v>Käse</v>
      </c>
      <c r="K3" s="55" t="str">
        <f>'4.3'!G4</f>
        <v>Rahm</v>
      </c>
      <c r="L3" s="55">
        <f>'4.3'!H4</f>
        <v>0</v>
      </c>
      <c r="M3" s="55">
        <f>'4.3'!I4</f>
        <v>0</v>
      </c>
      <c r="N3" s="55">
        <f>'4.3'!J4</f>
        <v>0</v>
      </c>
      <c r="O3" s="55">
        <f>'4.3'!K4</f>
        <v>0</v>
      </c>
      <c r="P3" s="55">
        <f>'4.3'!L4</f>
        <v>0</v>
      </c>
    </row>
    <row r="4" spans="1:29" x14ac:dyDescent="0.25">
      <c r="C4" s="43" t="s">
        <v>134</v>
      </c>
      <c r="D4" s="43" t="s">
        <v>134</v>
      </c>
      <c r="E4" s="43" t="s">
        <v>134</v>
      </c>
      <c r="G4" s="43" t="str">
        <f>'4.3'!C5</f>
        <v>l/Monat</v>
      </c>
      <c r="H4" s="43" t="str">
        <f>'4.3'!D5</f>
        <v>l/Monat</v>
      </c>
      <c r="I4" s="43" t="str">
        <f>'4.3'!E5</f>
        <v>l/Monat</v>
      </c>
      <c r="J4" s="43" t="str">
        <f>'4.3'!F5</f>
        <v>l/Monat</v>
      </c>
      <c r="K4" s="43" t="str">
        <f>'4.3'!G5</f>
        <v>l/Monat</v>
      </c>
      <c r="L4" s="43">
        <f>'4.3'!H5</f>
        <v>0</v>
      </c>
      <c r="M4" s="43">
        <f>'4.3'!I5</f>
        <v>0</v>
      </c>
      <c r="N4" s="43">
        <f>'4.3'!J5</f>
        <v>0</v>
      </c>
      <c r="O4" s="43">
        <f>'4.3'!K5</f>
        <v>0</v>
      </c>
      <c r="P4" s="43">
        <f>'4.3'!L5</f>
        <v>0</v>
      </c>
    </row>
    <row r="5" spans="1:29" x14ac:dyDescent="0.25">
      <c r="B5" s="43" t="s">
        <v>22</v>
      </c>
      <c r="C5" s="563">
        <f>'4.1'!AY8</f>
        <v>365518.67366666667</v>
      </c>
      <c r="D5" s="561">
        <v>158977.26411012435</v>
      </c>
      <c r="E5" s="563">
        <f>C5-D5</f>
        <v>206541.40955654232</v>
      </c>
      <c r="G5" s="563">
        <f>'4.3'!C6</f>
        <v>752194</v>
      </c>
      <c r="H5" s="563">
        <f>'4.3'!D6</f>
        <v>130894</v>
      </c>
      <c r="I5" s="563">
        <f>'4.3'!E6</f>
        <v>328836</v>
      </c>
      <c r="J5" s="563">
        <f>'4.3'!F6</f>
        <v>263480</v>
      </c>
      <c r="K5" s="563">
        <f>'4.3'!G6</f>
        <v>28984</v>
      </c>
      <c r="L5" s="561">
        <f>'4.3'!H6</f>
        <v>0</v>
      </c>
      <c r="M5" s="561">
        <f>'4.3'!I6</f>
        <v>0</v>
      </c>
      <c r="N5" s="561">
        <f>'4.3'!J6</f>
        <v>0</v>
      </c>
      <c r="O5" s="561">
        <f>'4.3'!K6</f>
        <v>0</v>
      </c>
      <c r="P5" s="561">
        <f>'4.3'!L6</f>
        <v>0</v>
      </c>
      <c r="R5" s="214"/>
    </row>
    <row r="6" spans="1:29" x14ac:dyDescent="0.25">
      <c r="B6" s="43" t="s">
        <v>23</v>
      </c>
      <c r="C6" s="563">
        <f>'4.1'!AY9</f>
        <v>294503.33293333329</v>
      </c>
      <c r="D6" s="561">
        <v>128867.93378623713</v>
      </c>
      <c r="E6" s="563">
        <f t="shared" ref="E6:E28" si="0">C6-D6</f>
        <v>165635.39914709615</v>
      </c>
      <c r="G6" s="563">
        <f>'4.3'!C7</f>
        <v>771784</v>
      </c>
      <c r="H6" s="563">
        <f>'4.3'!D7</f>
        <v>137460</v>
      </c>
      <c r="I6" s="563">
        <f>'4.3'!E7</f>
        <v>321864</v>
      </c>
      <c r="J6" s="563">
        <f>'4.3'!F7</f>
        <v>281974</v>
      </c>
      <c r="K6" s="563">
        <f>'4.3'!G7</f>
        <v>30486</v>
      </c>
      <c r="L6" s="561">
        <f>'4.3'!H7</f>
        <v>0</v>
      </c>
      <c r="M6" s="561">
        <f>'4.3'!I7</f>
        <v>0</v>
      </c>
      <c r="N6" s="561">
        <f>'4.3'!J7</f>
        <v>0</v>
      </c>
      <c r="O6" s="561">
        <f>'4.3'!K7</f>
        <v>0</v>
      </c>
      <c r="P6" s="561">
        <f>'4.3'!L7</f>
        <v>0</v>
      </c>
      <c r="R6" s="142" t="s">
        <v>545</v>
      </c>
      <c r="S6" s="618"/>
    </row>
    <row r="7" spans="1:29" x14ac:dyDescent="0.25">
      <c r="B7" s="43" t="s">
        <v>24</v>
      </c>
      <c r="C7" s="563">
        <f>'4.1'!AY10</f>
        <v>303324.31140000001</v>
      </c>
      <c r="D7" s="561">
        <v>104539.5948845363</v>
      </c>
      <c r="E7" s="563">
        <f t="shared" si="0"/>
        <v>198784.71651546372</v>
      </c>
      <c r="G7" s="563">
        <f>'4.3'!C8</f>
        <v>1082029</v>
      </c>
      <c r="H7" s="563">
        <f>'4.3'!D8</f>
        <v>178142</v>
      </c>
      <c r="I7" s="563">
        <f>'4.3'!E8</f>
        <v>480720</v>
      </c>
      <c r="J7" s="563">
        <f>'4.3'!F8</f>
        <v>381482</v>
      </c>
      <c r="K7" s="563">
        <f>'4.3'!G8</f>
        <v>41685</v>
      </c>
      <c r="L7" s="561">
        <f>'4.3'!H8</f>
        <v>0</v>
      </c>
      <c r="M7" s="561">
        <f>'4.3'!I8</f>
        <v>0</v>
      </c>
      <c r="N7" s="561">
        <f>'4.3'!J8</f>
        <v>0</v>
      </c>
      <c r="O7" s="561">
        <f>'4.3'!K8</f>
        <v>0</v>
      </c>
      <c r="P7" s="561">
        <f>'4.3'!L8</f>
        <v>0</v>
      </c>
      <c r="R7" s="142" t="s">
        <v>546</v>
      </c>
      <c r="S7" s="618"/>
    </row>
    <row r="8" spans="1:29" x14ac:dyDescent="0.25">
      <c r="B8" s="43" t="s">
        <v>25</v>
      </c>
      <c r="C8" s="563">
        <f>'4.1'!AY11</f>
        <v>263923.2779333333</v>
      </c>
      <c r="D8" s="561">
        <v>42393.937096033151</v>
      </c>
      <c r="E8" s="563">
        <f t="shared" si="0"/>
        <v>221529.34083730014</v>
      </c>
      <c r="G8" s="563">
        <f>'4.3'!C9</f>
        <v>904165</v>
      </c>
      <c r="H8" s="563">
        <f>'4.3'!D9</f>
        <v>167274</v>
      </c>
      <c r="I8" s="563">
        <f>'4.3'!E9</f>
        <v>352092</v>
      </c>
      <c r="J8" s="563">
        <f>'4.3'!F9</f>
        <v>353952</v>
      </c>
      <c r="K8" s="563">
        <f>'4.3'!G9</f>
        <v>30847</v>
      </c>
      <c r="L8" s="561">
        <f>'4.3'!H9</f>
        <v>0</v>
      </c>
      <c r="M8" s="561">
        <f>'4.3'!I9</f>
        <v>0</v>
      </c>
      <c r="N8" s="561">
        <f>'4.3'!J9</f>
        <v>0</v>
      </c>
      <c r="O8" s="561">
        <f>'4.3'!K9</f>
        <v>0</v>
      </c>
      <c r="P8" s="561">
        <f>'4.3'!L9</f>
        <v>0</v>
      </c>
      <c r="R8" s="142" t="s">
        <v>673</v>
      </c>
      <c r="S8" s="618"/>
    </row>
    <row r="9" spans="1:29" x14ac:dyDescent="0.25">
      <c r="B9" s="43" t="s">
        <v>26</v>
      </c>
      <c r="C9" s="563">
        <f>'4.1'!AY12</f>
        <v>265713.32993333333</v>
      </c>
      <c r="D9" s="561">
        <v>1926.9971407287796</v>
      </c>
      <c r="E9" s="563">
        <f t="shared" si="0"/>
        <v>263786.33279260457</v>
      </c>
      <c r="G9" s="563">
        <f>'4.3'!C10</f>
        <v>970862</v>
      </c>
      <c r="H9" s="563">
        <f>'4.3'!D10</f>
        <v>154762</v>
      </c>
      <c r="I9" s="563">
        <f>'4.3'!E10</f>
        <v>288804</v>
      </c>
      <c r="J9" s="563">
        <f>'4.3'!F10</f>
        <v>485364</v>
      </c>
      <c r="K9" s="563">
        <f>'4.3'!G10</f>
        <v>41932</v>
      </c>
      <c r="L9" s="561">
        <f>'4.3'!H10</f>
        <v>0</v>
      </c>
      <c r="M9" s="561">
        <f>'4.3'!I10</f>
        <v>0</v>
      </c>
      <c r="N9" s="561">
        <f>'4.3'!J10</f>
        <v>0</v>
      </c>
      <c r="O9" s="561">
        <f>'4.3'!K10</f>
        <v>0</v>
      </c>
      <c r="P9" s="561">
        <f>'4.3'!L10</f>
        <v>0</v>
      </c>
      <c r="R9" s="142"/>
      <c r="S9" s="618"/>
    </row>
    <row r="10" spans="1:29" x14ac:dyDescent="0.25">
      <c r="B10" s="43" t="s">
        <v>27</v>
      </c>
      <c r="C10" s="563">
        <f>'4.1'!AY13</f>
        <v>254485.726</v>
      </c>
      <c r="D10" s="561">
        <v>0</v>
      </c>
      <c r="E10" s="563">
        <f t="shared" si="0"/>
        <v>254485.726</v>
      </c>
      <c r="G10" s="563">
        <f>'4.3'!C11</f>
        <v>1333745</v>
      </c>
      <c r="H10" s="563">
        <f>'4.3'!D11</f>
        <v>194416</v>
      </c>
      <c r="I10" s="563">
        <f>'4.3'!E11</f>
        <v>531780</v>
      </c>
      <c r="J10" s="563">
        <f>'4.3'!F11</f>
        <v>563426</v>
      </c>
      <c r="K10" s="563">
        <f>'4.3'!G11</f>
        <v>44123</v>
      </c>
      <c r="L10" s="561">
        <f>'4.3'!H11</f>
        <v>0</v>
      </c>
      <c r="M10" s="561">
        <f>'4.3'!I11</f>
        <v>0</v>
      </c>
      <c r="N10" s="561">
        <f>'4.3'!J11</f>
        <v>0</v>
      </c>
      <c r="O10" s="561">
        <f>'4.3'!K11</f>
        <v>0</v>
      </c>
      <c r="P10" s="561">
        <f>'4.3'!L11</f>
        <v>0</v>
      </c>
      <c r="R10" s="142" t="s">
        <v>547</v>
      </c>
      <c r="S10" s="618"/>
    </row>
    <row r="11" spans="1:29" x14ac:dyDescent="0.25">
      <c r="B11" s="43" t="s">
        <v>28</v>
      </c>
      <c r="C11" s="563">
        <f>'4.1'!AY14</f>
        <v>275439.27913333336</v>
      </c>
      <c r="D11" s="561">
        <v>0</v>
      </c>
      <c r="E11" s="563">
        <f t="shared" si="0"/>
        <v>275439.27913333336</v>
      </c>
      <c r="G11" s="563">
        <f>'4.3'!C12</f>
        <v>1043645</v>
      </c>
      <c r="H11" s="563">
        <f>'4.3'!D12</f>
        <v>162270</v>
      </c>
      <c r="I11" s="563">
        <f>'4.3'!E12</f>
        <v>396828</v>
      </c>
      <c r="J11" s="563">
        <f>'4.3'!F12</f>
        <v>444612</v>
      </c>
      <c r="K11" s="563">
        <f>'4.3'!G12</f>
        <v>39935</v>
      </c>
      <c r="L11" s="561">
        <f>'4.3'!H12</f>
        <v>0</v>
      </c>
      <c r="M11" s="561">
        <f>'4.3'!I12</f>
        <v>0</v>
      </c>
      <c r="N11" s="561">
        <f>'4.3'!J12</f>
        <v>0</v>
      </c>
      <c r="O11" s="561">
        <f>'4.3'!K12</f>
        <v>0</v>
      </c>
      <c r="P11" s="561">
        <f>'4.3'!L12</f>
        <v>0</v>
      </c>
      <c r="R11" s="142" t="s">
        <v>548</v>
      </c>
      <c r="S11" s="618"/>
    </row>
    <row r="12" spans="1:29" x14ac:dyDescent="0.25">
      <c r="B12" s="43" t="s">
        <v>29</v>
      </c>
      <c r="C12" s="563">
        <f>'4.1'!AY15</f>
        <v>273301.16146666667</v>
      </c>
      <c r="D12" s="561">
        <v>0</v>
      </c>
      <c r="E12" s="563">
        <f t="shared" si="0"/>
        <v>273301.16146666667</v>
      </c>
      <c r="G12" s="563">
        <f>'4.3'!C13</f>
        <v>1269366</v>
      </c>
      <c r="H12" s="563">
        <f>'4.3'!D13</f>
        <v>197504</v>
      </c>
      <c r="I12" s="563">
        <f>'4.3'!E13</f>
        <v>469380</v>
      </c>
      <c r="J12" s="563">
        <f>'4.3'!F13</f>
        <v>548280</v>
      </c>
      <c r="K12" s="563">
        <f>'4.3'!G13</f>
        <v>54202</v>
      </c>
      <c r="L12" s="561">
        <f>'4.3'!H13</f>
        <v>0</v>
      </c>
      <c r="M12" s="561">
        <f>'4.3'!I13</f>
        <v>0</v>
      </c>
      <c r="N12" s="561">
        <f>'4.3'!J13</f>
        <v>0</v>
      </c>
      <c r="O12" s="561">
        <f>'4.3'!K13</f>
        <v>0</v>
      </c>
      <c r="P12" s="561">
        <f>'4.3'!L13</f>
        <v>0</v>
      </c>
      <c r="R12" s="142" t="s">
        <v>549</v>
      </c>
      <c r="S12" s="618"/>
    </row>
    <row r="13" spans="1:29" x14ac:dyDescent="0.25">
      <c r="B13" s="43" t="s">
        <v>30</v>
      </c>
      <c r="C13" s="563">
        <f>'4.1'!AY16</f>
        <v>258592.90086666669</v>
      </c>
      <c r="D13" s="561">
        <v>0</v>
      </c>
      <c r="E13" s="563">
        <f t="shared" si="0"/>
        <v>258592.90086666669</v>
      </c>
      <c r="G13" s="563">
        <f>'4.3'!C14</f>
        <v>1103322</v>
      </c>
      <c r="H13" s="563">
        <f>'4.3'!D14</f>
        <v>151450</v>
      </c>
      <c r="I13" s="563">
        <f>'4.3'!E14</f>
        <v>564792</v>
      </c>
      <c r="J13" s="563">
        <f>'4.3'!F14</f>
        <v>347656</v>
      </c>
      <c r="K13" s="563">
        <f>'4.3'!G14</f>
        <v>39424</v>
      </c>
      <c r="L13" s="561">
        <f>'4.3'!H14</f>
        <v>0</v>
      </c>
      <c r="M13" s="561">
        <f>'4.3'!I14</f>
        <v>0</v>
      </c>
      <c r="N13" s="561">
        <f>'4.3'!J14</f>
        <v>0</v>
      </c>
      <c r="O13" s="561">
        <f>'4.3'!K14</f>
        <v>0</v>
      </c>
      <c r="P13" s="561">
        <f>'4.3'!L14</f>
        <v>0</v>
      </c>
      <c r="R13" s="142" t="s">
        <v>550</v>
      </c>
      <c r="S13" s="618"/>
    </row>
    <row r="14" spans="1:29" x14ac:dyDescent="0.25">
      <c r="B14" s="43" t="s">
        <v>31</v>
      </c>
      <c r="C14" s="563">
        <f>'4.1'!AY17</f>
        <v>319474.55833333329</v>
      </c>
      <c r="D14" s="561">
        <v>6503.6153499596312</v>
      </c>
      <c r="E14" s="563">
        <f t="shared" si="0"/>
        <v>312970.94298337365</v>
      </c>
      <c r="G14" s="563">
        <f>'4.3'!C15</f>
        <v>919062</v>
      </c>
      <c r="H14" s="563">
        <f>'4.3'!D15</f>
        <v>148436</v>
      </c>
      <c r="I14" s="563">
        <f>'4.3'!E15</f>
        <v>403020</v>
      </c>
      <c r="J14" s="563">
        <f>'4.3'!F15</f>
        <v>334410</v>
      </c>
      <c r="K14" s="563">
        <f>'4.3'!G15</f>
        <v>33196</v>
      </c>
      <c r="L14" s="561">
        <f>'4.3'!H15</f>
        <v>0</v>
      </c>
      <c r="M14" s="561">
        <f>'4.3'!I15</f>
        <v>0</v>
      </c>
      <c r="N14" s="561">
        <f>'4.3'!J15</f>
        <v>0</v>
      </c>
      <c r="O14" s="561">
        <f>'4.3'!K15</f>
        <v>0</v>
      </c>
      <c r="P14" s="561">
        <f>'4.3'!L15</f>
        <v>0</v>
      </c>
      <c r="R14" s="618"/>
      <c r="S14" s="618"/>
    </row>
    <row r="15" spans="1:29" x14ac:dyDescent="0.25">
      <c r="B15" s="43" t="s">
        <v>32</v>
      </c>
      <c r="C15" s="563">
        <f>'4.1'!AY18</f>
        <v>308296.67806666665</v>
      </c>
      <c r="D15" s="561">
        <v>83583.500979110817</v>
      </c>
      <c r="E15" s="563">
        <f t="shared" si="0"/>
        <v>224713.17708755581</v>
      </c>
      <c r="G15" s="563">
        <f>'4.3'!C16</f>
        <v>1022829</v>
      </c>
      <c r="H15" s="563">
        <f>'4.3'!D16</f>
        <v>163002</v>
      </c>
      <c r="I15" s="563">
        <f>'4.3'!E16</f>
        <v>514872</v>
      </c>
      <c r="J15" s="563">
        <f>'4.3'!F16</f>
        <v>308822</v>
      </c>
      <c r="K15" s="563">
        <f>'4.3'!G16</f>
        <v>36133</v>
      </c>
      <c r="L15" s="561">
        <f>'4.3'!H16</f>
        <v>0</v>
      </c>
      <c r="M15" s="561">
        <f>'4.3'!I16</f>
        <v>0</v>
      </c>
      <c r="N15" s="561">
        <f>'4.3'!J16</f>
        <v>0</v>
      </c>
      <c r="O15" s="561">
        <f>'4.3'!K16</f>
        <v>0</v>
      </c>
      <c r="P15" s="561">
        <f>'4.3'!L16</f>
        <v>0</v>
      </c>
      <c r="R15" s="142" t="s">
        <v>570</v>
      </c>
      <c r="S15" s="618"/>
    </row>
    <row r="16" spans="1:29" x14ac:dyDescent="0.25">
      <c r="B16" s="43" t="s">
        <v>33</v>
      </c>
      <c r="C16" s="563">
        <f>'4.1'!AY19</f>
        <v>373772.80233333335</v>
      </c>
      <c r="D16" s="561">
        <v>123809.5662918241</v>
      </c>
      <c r="E16" s="563">
        <f t="shared" si="0"/>
        <v>249963.23604150926</v>
      </c>
      <c r="G16" s="563">
        <f>'4.3'!C17</f>
        <v>958325</v>
      </c>
      <c r="H16" s="563">
        <f>'4.3'!D17</f>
        <v>123474</v>
      </c>
      <c r="I16" s="563">
        <f>'4.3'!E17</f>
        <v>556260</v>
      </c>
      <c r="J16" s="563">
        <f>'4.3'!F17</f>
        <v>248200</v>
      </c>
      <c r="K16" s="563">
        <f>'4.3'!G17</f>
        <v>30391</v>
      </c>
      <c r="L16" s="561">
        <f>'4.3'!H17</f>
        <v>0</v>
      </c>
      <c r="M16" s="561">
        <f>'4.3'!I17</f>
        <v>0</v>
      </c>
      <c r="N16" s="561">
        <f>'4.3'!J17</f>
        <v>0</v>
      </c>
      <c r="O16" s="561">
        <f>'4.3'!K17</f>
        <v>0</v>
      </c>
      <c r="P16" s="561">
        <f>'4.3'!L17</f>
        <v>0</v>
      </c>
      <c r="R16" s="142" t="s">
        <v>571</v>
      </c>
      <c r="S16" s="618"/>
    </row>
    <row r="17" spans="1:19" x14ac:dyDescent="0.25">
      <c r="B17" s="43" t="s">
        <v>22</v>
      </c>
      <c r="C17" s="563">
        <f>'4.1'!AY20</f>
        <v>387884.37893333327</v>
      </c>
      <c r="D17" s="561">
        <v>116336.68223382128</v>
      </c>
      <c r="E17" s="563">
        <f t="shared" si="0"/>
        <v>271547.69669951196</v>
      </c>
      <c r="G17" s="563">
        <f>'4.3'!C23</f>
        <v>786888</v>
      </c>
      <c r="H17" s="563">
        <f>'4.3'!D23</f>
        <v>108912</v>
      </c>
      <c r="I17" s="563">
        <f>'4.3'!E23</f>
        <v>430644</v>
      </c>
      <c r="J17" s="563">
        <f>'4.3'!F23</f>
        <v>221312</v>
      </c>
      <c r="K17" s="563">
        <f>'4.3'!G23</f>
        <v>26020</v>
      </c>
      <c r="L17" s="561">
        <f>'4.3'!H23</f>
        <v>0</v>
      </c>
      <c r="M17" s="561">
        <f>'4.3'!I23</f>
        <v>0</v>
      </c>
      <c r="N17" s="561">
        <f>'4.3'!J23</f>
        <v>0</v>
      </c>
      <c r="O17" s="561">
        <f>'4.3'!K23</f>
        <v>0</v>
      </c>
      <c r="P17" s="561">
        <f>'4.3'!L23</f>
        <v>0</v>
      </c>
      <c r="R17" s="618"/>
      <c r="S17" s="618"/>
    </row>
    <row r="18" spans="1:19" x14ac:dyDescent="0.25">
      <c r="B18" s="43" t="s">
        <v>23</v>
      </c>
      <c r="C18" s="563">
        <f>'4.1'!AY21</f>
        <v>319723.17666666664</v>
      </c>
      <c r="D18" s="561">
        <v>101575.68384286331</v>
      </c>
      <c r="E18" s="563">
        <f t="shared" si="0"/>
        <v>218147.49282380333</v>
      </c>
      <c r="G18" s="563">
        <f>'4.3'!C24</f>
        <v>800718</v>
      </c>
      <c r="H18" s="563">
        <f>'4.3'!D24</f>
        <v>118928</v>
      </c>
      <c r="I18" s="563">
        <f>'4.3'!E24</f>
        <v>371496</v>
      </c>
      <c r="J18" s="563">
        <f>'4.3'!F24</f>
        <v>282440</v>
      </c>
      <c r="K18" s="563">
        <f>'4.3'!G24</f>
        <v>27854</v>
      </c>
      <c r="L18" s="561">
        <f>'4.3'!H24</f>
        <v>0</v>
      </c>
      <c r="M18" s="561">
        <f>'4.3'!I24</f>
        <v>0</v>
      </c>
      <c r="N18" s="561">
        <f>'4.3'!J24</f>
        <v>0</v>
      </c>
      <c r="O18" s="561">
        <f>'4.3'!K24</f>
        <v>0</v>
      </c>
      <c r="P18" s="561">
        <f>'4.3'!L24</f>
        <v>0</v>
      </c>
      <c r="R18" s="142" t="s">
        <v>559</v>
      </c>
      <c r="S18" s="618"/>
    </row>
    <row r="19" spans="1:19" x14ac:dyDescent="0.25">
      <c r="B19" s="43" t="s">
        <v>24</v>
      </c>
      <c r="C19" s="563">
        <f>'4.1'!AY22</f>
        <v>323422.61746666668</v>
      </c>
      <c r="D19" s="561">
        <v>88065.617518935673</v>
      </c>
      <c r="E19" s="563">
        <f t="shared" si="0"/>
        <v>235356.999947731</v>
      </c>
      <c r="G19" s="563">
        <f>'4.3'!C25</f>
        <v>1185000</v>
      </c>
      <c r="H19" s="563">
        <f>'4.3'!D25</f>
        <v>166468</v>
      </c>
      <c r="I19" s="563">
        <f>'4.3'!E25</f>
        <v>588612</v>
      </c>
      <c r="J19" s="563">
        <f>'4.3'!F25</f>
        <v>397512</v>
      </c>
      <c r="K19" s="563">
        <f>'4.3'!G25</f>
        <v>32408</v>
      </c>
      <c r="L19" s="561">
        <f>'4.3'!H25</f>
        <v>0</v>
      </c>
      <c r="M19" s="561">
        <f>'4.3'!I25</f>
        <v>0</v>
      </c>
      <c r="N19" s="561">
        <f>'4.3'!J25</f>
        <v>0</v>
      </c>
      <c r="O19" s="561">
        <f>'4.3'!K25</f>
        <v>0</v>
      </c>
      <c r="P19" s="561">
        <f>'4.3'!L25</f>
        <v>0</v>
      </c>
      <c r="R19" s="142" t="s">
        <v>560</v>
      </c>
      <c r="S19" s="618"/>
    </row>
    <row r="20" spans="1:19" x14ac:dyDescent="0.25">
      <c r="B20" s="43" t="s">
        <v>25</v>
      </c>
      <c r="C20" s="563">
        <f>'4.1'!AY23</f>
        <v>244908.94780000002</v>
      </c>
      <c r="D20" s="561">
        <v>14260.625564145834</v>
      </c>
      <c r="E20" s="563">
        <f t="shared" si="0"/>
        <v>230648.3222358542</v>
      </c>
      <c r="G20" s="563">
        <f>'4.3'!C26</f>
        <v>1030796</v>
      </c>
      <c r="H20" s="563">
        <f>'4.3'!D26</f>
        <v>151708</v>
      </c>
      <c r="I20" s="563">
        <f>'4.3'!E26</f>
        <v>483648</v>
      </c>
      <c r="J20" s="563">
        <f>'4.3'!F26</f>
        <v>361202</v>
      </c>
      <c r="K20" s="563">
        <f>'4.3'!G26</f>
        <v>34238</v>
      </c>
      <c r="L20" s="561">
        <f>'4.3'!H26</f>
        <v>0</v>
      </c>
      <c r="M20" s="561">
        <f>'4.3'!I26</f>
        <v>0</v>
      </c>
      <c r="N20" s="561">
        <f>'4.3'!J26</f>
        <v>0</v>
      </c>
      <c r="O20" s="561">
        <f>'4.3'!K26</f>
        <v>0</v>
      </c>
      <c r="P20" s="561">
        <f>'4.3'!L26</f>
        <v>0</v>
      </c>
      <c r="R20" s="142" t="s">
        <v>663</v>
      </c>
      <c r="S20" s="618"/>
    </row>
    <row r="21" spans="1:19" x14ac:dyDescent="0.25">
      <c r="B21" s="43" t="s">
        <v>26</v>
      </c>
      <c r="C21" s="563">
        <f>'4.1'!AY24</f>
        <v>284747.54953333334</v>
      </c>
      <c r="D21" s="561">
        <v>0</v>
      </c>
      <c r="E21" s="563">
        <f t="shared" si="0"/>
        <v>284747.54953333334</v>
      </c>
      <c r="G21" s="563">
        <f>'4.3'!C27</f>
        <v>974325</v>
      </c>
      <c r="H21" s="563">
        <f>'4.3'!D27</f>
        <v>147464</v>
      </c>
      <c r="I21" s="563">
        <f>'4.3'!E27</f>
        <v>402876</v>
      </c>
      <c r="J21" s="563">
        <f>'4.3'!F27</f>
        <v>392848</v>
      </c>
      <c r="K21" s="563">
        <f>'4.3'!G27</f>
        <v>31137</v>
      </c>
      <c r="L21" s="561">
        <f>'4.3'!H27</f>
        <v>0</v>
      </c>
      <c r="M21" s="561">
        <f>'4.3'!I27</f>
        <v>0</v>
      </c>
      <c r="N21" s="561">
        <f>'4.3'!J27</f>
        <v>0</v>
      </c>
      <c r="O21" s="561">
        <f>'4.3'!K27</f>
        <v>0</v>
      </c>
      <c r="P21" s="561">
        <f>'4.3'!L27</f>
        <v>0</v>
      </c>
      <c r="R21" s="142" t="s">
        <v>561</v>
      </c>
      <c r="S21" s="618"/>
    </row>
    <row r="22" spans="1:19" x14ac:dyDescent="0.25">
      <c r="B22" s="43" t="s">
        <v>27</v>
      </c>
      <c r="C22" s="563">
        <f>'4.1'!AY25</f>
        <v>243258.12206666663</v>
      </c>
      <c r="D22" s="561">
        <v>0</v>
      </c>
      <c r="E22" s="563">
        <f t="shared" si="0"/>
        <v>243258.12206666663</v>
      </c>
      <c r="G22" s="563">
        <f>'4.3'!C28</f>
        <v>1252840</v>
      </c>
      <c r="H22" s="563">
        <f>'4.3'!D28</f>
        <v>173510</v>
      </c>
      <c r="I22" s="563">
        <f>'4.3'!E28</f>
        <v>475248</v>
      </c>
      <c r="J22" s="563">
        <f>'4.3'!F28</f>
        <v>553690</v>
      </c>
      <c r="K22" s="563">
        <f>'4.3'!G28</f>
        <v>50392</v>
      </c>
      <c r="L22" s="561">
        <f>'4.3'!H28</f>
        <v>0</v>
      </c>
      <c r="M22" s="561">
        <f>'4.3'!I28</f>
        <v>0</v>
      </c>
      <c r="N22" s="561">
        <f>'4.3'!J28</f>
        <v>0</v>
      </c>
      <c r="O22" s="561">
        <f>'4.3'!K28</f>
        <v>0</v>
      </c>
      <c r="P22" s="561">
        <f>'4.3'!L28</f>
        <v>0</v>
      </c>
      <c r="R22" s="618"/>
      <c r="S22" s="618"/>
    </row>
    <row r="23" spans="1:19" x14ac:dyDescent="0.25">
      <c r="B23" s="43" t="s">
        <v>28</v>
      </c>
      <c r="C23" s="563">
        <f>'4.1'!AY26</f>
        <v>230320.024</v>
      </c>
      <c r="D23" s="561">
        <v>0</v>
      </c>
      <c r="E23" s="563">
        <f t="shared" si="0"/>
        <v>230320.024</v>
      </c>
      <c r="G23" s="563">
        <f>'4.3'!C29</f>
        <v>1103845</v>
      </c>
      <c r="H23" s="563">
        <f>'4.3'!D29</f>
        <v>162718</v>
      </c>
      <c r="I23" s="563">
        <f>'4.3'!E29</f>
        <v>525588</v>
      </c>
      <c r="J23" s="563">
        <f>'4.3'!F29</f>
        <v>382097</v>
      </c>
      <c r="K23" s="563">
        <f>'4.3'!G29</f>
        <v>33442</v>
      </c>
      <c r="L23" s="561">
        <f>'4.3'!H29</f>
        <v>0</v>
      </c>
      <c r="M23" s="561">
        <f>'4.3'!I29</f>
        <v>0</v>
      </c>
      <c r="N23" s="561">
        <f>'4.3'!J29</f>
        <v>0</v>
      </c>
      <c r="O23" s="561">
        <f>'4.3'!K29</f>
        <v>0</v>
      </c>
      <c r="P23" s="561">
        <f>'4.3'!L29</f>
        <v>0</v>
      </c>
    </row>
    <row r="24" spans="1:19" x14ac:dyDescent="0.25">
      <c r="B24" s="43" t="s">
        <v>29</v>
      </c>
      <c r="C24" s="563">
        <f>'4.1'!AY27</f>
        <v>254973.01793333332</v>
      </c>
      <c r="D24" s="561">
        <v>0</v>
      </c>
      <c r="E24" s="563">
        <f t="shared" si="0"/>
        <v>254973.01793333332</v>
      </c>
      <c r="G24" s="563">
        <f>'4.3'!C30</f>
        <v>1260674</v>
      </c>
      <c r="H24" s="563">
        <f>'4.3'!D30</f>
        <v>200806</v>
      </c>
      <c r="I24" s="563">
        <f>'4.3'!E30</f>
        <v>553680</v>
      </c>
      <c r="J24" s="563">
        <f>'4.3'!F30</f>
        <v>460210</v>
      </c>
      <c r="K24" s="563">
        <f>'4.3'!G30</f>
        <v>45978</v>
      </c>
      <c r="L24" s="561">
        <f>'4.3'!H30</f>
        <v>0</v>
      </c>
      <c r="M24" s="561">
        <f>'4.3'!I30</f>
        <v>0</v>
      </c>
      <c r="N24" s="561">
        <f>'4.3'!J30</f>
        <v>0</v>
      </c>
      <c r="O24" s="561">
        <f>'4.3'!K30</f>
        <v>0</v>
      </c>
      <c r="P24" s="561">
        <f>'4.3'!L30</f>
        <v>0</v>
      </c>
    </row>
    <row r="25" spans="1:19" x14ac:dyDescent="0.25">
      <c r="B25" s="43" t="s">
        <v>30</v>
      </c>
      <c r="C25" s="563">
        <f>'4.1'!AY28</f>
        <v>241816.13573333333</v>
      </c>
      <c r="D25" s="561">
        <v>7255.4059887759513</v>
      </c>
      <c r="E25" s="563">
        <f t="shared" si="0"/>
        <v>234560.72974455738</v>
      </c>
      <c r="G25" s="563">
        <f>'4.3'!C31</f>
        <v>1056746</v>
      </c>
      <c r="H25" s="563">
        <f>'4.3'!D31</f>
        <v>144910</v>
      </c>
      <c r="I25" s="563">
        <f>'4.3'!E31</f>
        <v>513900</v>
      </c>
      <c r="J25" s="563">
        <f>'4.3'!F31</f>
        <v>361812</v>
      </c>
      <c r="K25" s="563">
        <f>'4.3'!G31</f>
        <v>36124</v>
      </c>
      <c r="L25" s="561">
        <f>'4.3'!H31</f>
        <v>0</v>
      </c>
      <c r="M25" s="561">
        <f>'4.3'!I31</f>
        <v>0</v>
      </c>
      <c r="N25" s="561">
        <f>'4.3'!J31</f>
        <v>0</v>
      </c>
      <c r="O25" s="561">
        <f>'4.3'!K31</f>
        <v>0</v>
      </c>
      <c r="P25" s="561">
        <f>'4.3'!L31</f>
        <v>0</v>
      </c>
    </row>
    <row r="26" spans="1:19" x14ac:dyDescent="0.25">
      <c r="B26" s="43" t="s">
        <v>31</v>
      </c>
      <c r="C26" s="563">
        <f>'4.1'!AY29</f>
        <v>275200.60553333332</v>
      </c>
      <c r="D26" s="561">
        <v>38528.707664534355</v>
      </c>
      <c r="E26" s="563">
        <f t="shared" si="0"/>
        <v>236671.89786879896</v>
      </c>
      <c r="G26" s="563">
        <f>'4.3'!C32</f>
        <v>1021787</v>
      </c>
      <c r="H26" s="563">
        <f>'4.3'!D32</f>
        <v>147036</v>
      </c>
      <c r="I26" s="563">
        <f>'4.3'!E32</f>
        <v>502836</v>
      </c>
      <c r="J26" s="563">
        <f>'4.3'!F32</f>
        <v>335964</v>
      </c>
      <c r="K26" s="563">
        <f>'4.3'!G32</f>
        <v>35951</v>
      </c>
      <c r="L26" s="561">
        <f>'4.3'!H32</f>
        <v>0</v>
      </c>
      <c r="M26" s="561">
        <f>'4.3'!I32</f>
        <v>0</v>
      </c>
      <c r="N26" s="561">
        <f>'4.3'!J32</f>
        <v>0</v>
      </c>
      <c r="O26" s="561">
        <f>'4.3'!K32</f>
        <v>0</v>
      </c>
      <c r="P26" s="561">
        <f>'4.3'!L32</f>
        <v>0</v>
      </c>
    </row>
    <row r="27" spans="1:19" x14ac:dyDescent="0.25">
      <c r="B27" s="43" t="s">
        <v>32</v>
      </c>
      <c r="C27" s="563">
        <f>'4.1'!AY30</f>
        <v>293827.0910666667</v>
      </c>
      <c r="D27" s="561">
        <v>104327.73439033005</v>
      </c>
      <c r="E27" s="563">
        <f t="shared" si="0"/>
        <v>189499.35667633667</v>
      </c>
      <c r="G27" s="563">
        <f>'4.3'!C33</f>
        <v>1022941</v>
      </c>
      <c r="H27" s="563">
        <f>'4.3'!D33</f>
        <v>153292</v>
      </c>
      <c r="I27" s="563">
        <f>'4.3'!E33</f>
        <v>525564</v>
      </c>
      <c r="J27" s="563">
        <f>'4.3'!F33</f>
        <v>310700</v>
      </c>
      <c r="K27" s="563">
        <f>'4.3'!G33</f>
        <v>33385</v>
      </c>
      <c r="L27" s="561">
        <f>'4.3'!H33</f>
        <v>0</v>
      </c>
      <c r="M27" s="561">
        <f>'4.3'!I33</f>
        <v>0</v>
      </c>
      <c r="N27" s="561">
        <f>'4.3'!J33</f>
        <v>0</v>
      </c>
      <c r="O27" s="561">
        <f>'4.3'!K33</f>
        <v>0</v>
      </c>
      <c r="P27" s="561">
        <f>'4.3'!L33</f>
        <v>0</v>
      </c>
    </row>
    <row r="28" spans="1:19" x14ac:dyDescent="0.25">
      <c r="B28" s="43" t="s">
        <v>33</v>
      </c>
      <c r="C28" s="563">
        <f>'4.1'!AY31</f>
        <v>345281.14133333333</v>
      </c>
      <c r="D28" s="561">
        <v>144107.37412189474</v>
      </c>
      <c r="E28" s="563">
        <f t="shared" si="0"/>
        <v>201173.76721143859</v>
      </c>
      <c r="G28" s="563">
        <f>'4.3'!C34</f>
        <v>914563</v>
      </c>
      <c r="H28" s="563">
        <f>'4.3'!D34</f>
        <v>127004</v>
      </c>
      <c r="I28" s="563">
        <f>'4.3'!E34</f>
        <v>420312</v>
      </c>
      <c r="J28" s="563">
        <f>'4.3'!F34</f>
        <v>330150</v>
      </c>
      <c r="K28" s="563">
        <f>'4.3'!G34</f>
        <v>37097</v>
      </c>
      <c r="L28" s="561">
        <f>'4.3'!H34</f>
        <v>0</v>
      </c>
      <c r="M28" s="561">
        <f>'4.3'!I34</f>
        <v>0</v>
      </c>
      <c r="N28" s="561">
        <f>'4.3'!J34</f>
        <v>0</v>
      </c>
      <c r="O28" s="561">
        <f>'4.3'!K34</f>
        <v>0</v>
      </c>
      <c r="P28" s="561">
        <f>'4.3'!L34</f>
        <v>0</v>
      </c>
    </row>
    <row r="29" spans="1:19" x14ac:dyDescent="0.25">
      <c r="B29" s="41">
        <f>BefrJahr1</f>
        <v>2012</v>
      </c>
      <c r="C29" s="563">
        <f>SUM(C5:C16)</f>
        <v>3556346.032066667</v>
      </c>
      <c r="D29" s="563">
        <f>SUM(D5:D16)</f>
        <v>650602.40963855421</v>
      </c>
      <c r="E29" s="563">
        <f t="shared" ref="E29" si="1">SUM(E5:E16)</f>
        <v>2905743.6224281122</v>
      </c>
      <c r="G29" s="563">
        <f>SUM(G5:G16)</f>
        <v>12131328</v>
      </c>
      <c r="H29" s="563">
        <f t="shared" ref="H29:K29" si="2">SUM(H5:H16)</f>
        <v>1909084</v>
      </c>
      <c r="I29" s="563">
        <f t="shared" si="2"/>
        <v>5209248</v>
      </c>
      <c r="J29" s="563">
        <f t="shared" si="2"/>
        <v>4561658</v>
      </c>
      <c r="K29" s="563">
        <f t="shared" si="2"/>
        <v>451338</v>
      </c>
      <c r="L29" s="561">
        <f t="shared" ref="L29:P29" si="3">SUM(L5:L16)</f>
        <v>0</v>
      </c>
      <c r="M29" s="561">
        <f t="shared" si="3"/>
        <v>0</v>
      </c>
      <c r="N29" s="561">
        <f t="shared" si="3"/>
        <v>0</v>
      </c>
      <c r="O29" s="561">
        <f t="shared" si="3"/>
        <v>0</v>
      </c>
      <c r="P29" s="561">
        <f t="shared" si="3"/>
        <v>0</v>
      </c>
    </row>
    <row r="30" spans="1:19" x14ac:dyDescent="0.25">
      <c r="B30" s="41">
        <f>BefrJahr2</f>
        <v>2013</v>
      </c>
      <c r="C30" s="563">
        <f>SUM(C17:C28)</f>
        <v>3445362.8080666671</v>
      </c>
      <c r="D30" s="563">
        <f>SUM(D17:D28)</f>
        <v>614457.8313253012</v>
      </c>
      <c r="E30" s="563">
        <f t="shared" ref="E30" si="4">SUM(E17:E28)</f>
        <v>2830904.9767413656</v>
      </c>
      <c r="G30" s="563">
        <f>SUM(G17:G28)</f>
        <v>12411123</v>
      </c>
      <c r="H30" s="563">
        <f t="shared" ref="H30:K30" si="5">SUM(H17:H28)</f>
        <v>1802756</v>
      </c>
      <c r="I30" s="563">
        <f t="shared" si="5"/>
        <v>5794404</v>
      </c>
      <c r="J30" s="563">
        <f t="shared" si="5"/>
        <v>4389937</v>
      </c>
      <c r="K30" s="563">
        <f t="shared" si="5"/>
        <v>424026</v>
      </c>
      <c r="L30" s="563">
        <f t="shared" ref="L30:P30" si="6">SUM(L17:L28)</f>
        <v>0</v>
      </c>
      <c r="M30" s="563">
        <f t="shared" si="6"/>
        <v>0</v>
      </c>
      <c r="N30" s="563">
        <f t="shared" si="6"/>
        <v>0</v>
      </c>
      <c r="O30" s="563">
        <f t="shared" si="6"/>
        <v>0</v>
      </c>
      <c r="P30" s="563">
        <f t="shared" si="6"/>
        <v>0</v>
      </c>
    </row>
    <row r="31" spans="1:19" x14ac:dyDescent="0.25">
      <c r="A31" s="52"/>
      <c r="B31" s="295" t="s">
        <v>373</v>
      </c>
      <c r="C31" s="563">
        <f>C30+C29</f>
        <v>7001708.8401333336</v>
      </c>
      <c r="D31" s="563">
        <f t="shared" ref="D31:P31" si="7">D30+D29</f>
        <v>1265060.2409638553</v>
      </c>
      <c r="E31" s="563">
        <f t="shared" si="7"/>
        <v>5736648.5991694778</v>
      </c>
      <c r="G31" s="563">
        <f t="shared" si="7"/>
        <v>24542451</v>
      </c>
      <c r="H31" s="563">
        <f t="shared" si="7"/>
        <v>3711840</v>
      </c>
      <c r="I31" s="563">
        <f t="shared" si="7"/>
        <v>11003652</v>
      </c>
      <c r="J31" s="563">
        <f t="shared" si="7"/>
        <v>8951595</v>
      </c>
      <c r="K31" s="563">
        <f t="shared" si="7"/>
        <v>875364</v>
      </c>
      <c r="L31" s="563">
        <f t="shared" si="7"/>
        <v>0</v>
      </c>
      <c r="M31" s="563">
        <f t="shared" si="7"/>
        <v>0</v>
      </c>
      <c r="N31" s="563">
        <f t="shared" si="7"/>
        <v>0</v>
      </c>
      <c r="O31" s="563">
        <f t="shared" si="7"/>
        <v>0</v>
      </c>
      <c r="P31" s="563">
        <f t="shared" si="7"/>
        <v>0</v>
      </c>
    </row>
    <row r="33" spans="5:17" ht="26.4" x14ac:dyDescent="0.25">
      <c r="G33" s="55" t="str">
        <f t="shared" ref="G33:P33" si="8">G3</f>
        <v>Verarbeitete Milchmenge</v>
      </c>
      <c r="H33" s="55" t="str">
        <f t="shared" si="8"/>
        <v>Past-Milch</v>
      </c>
      <c r="I33" s="55" t="str">
        <f t="shared" si="8"/>
        <v>UHT-Milch</v>
      </c>
      <c r="J33" s="55" t="str">
        <f t="shared" si="8"/>
        <v>Käse</v>
      </c>
      <c r="K33" s="55" t="str">
        <f t="shared" si="8"/>
        <v>Rahm</v>
      </c>
      <c r="L33" s="55">
        <f t="shared" si="8"/>
        <v>0</v>
      </c>
      <c r="M33" s="55">
        <f t="shared" si="8"/>
        <v>0</v>
      </c>
      <c r="N33" s="55">
        <f t="shared" si="8"/>
        <v>0</v>
      </c>
      <c r="O33" s="55">
        <f t="shared" si="8"/>
        <v>0</v>
      </c>
      <c r="P33" s="55">
        <f t="shared" si="8"/>
        <v>0</v>
      </c>
      <c r="Q33" s="55" t="s">
        <v>373</v>
      </c>
    </row>
    <row r="34" spans="5:17" x14ac:dyDescent="0.25">
      <c r="G34" s="55" t="s">
        <v>134</v>
      </c>
      <c r="H34" s="55" t="s">
        <v>134</v>
      </c>
      <c r="I34" s="55" t="s">
        <v>134</v>
      </c>
      <c r="J34" s="55" t="s">
        <v>134</v>
      </c>
      <c r="K34" s="55" t="s">
        <v>134</v>
      </c>
      <c r="L34" s="55" t="s">
        <v>134</v>
      </c>
      <c r="M34" s="55" t="s">
        <v>134</v>
      </c>
      <c r="N34" s="55" t="s">
        <v>134</v>
      </c>
      <c r="O34" s="55" t="s">
        <v>134</v>
      </c>
      <c r="P34" s="55" t="s">
        <v>134</v>
      </c>
      <c r="Q34" s="55" t="s">
        <v>134</v>
      </c>
    </row>
    <row r="35" spans="5:17" x14ac:dyDescent="0.25">
      <c r="E35" s="327" t="s">
        <v>22</v>
      </c>
      <c r="F35" s="252"/>
      <c r="G35" s="562">
        <f t="shared" ref="G35:P35" si="9">G5*G$66</f>
        <v>0</v>
      </c>
      <c r="H35" s="562">
        <f t="shared" si="9"/>
        <v>10824.933799999999</v>
      </c>
      <c r="I35" s="562">
        <f t="shared" si="9"/>
        <v>40792.105799999998</v>
      </c>
      <c r="J35" s="562">
        <f t="shared" si="9"/>
        <v>108948.98</v>
      </c>
      <c r="K35" s="562">
        <f t="shared" si="9"/>
        <v>11984.884</v>
      </c>
      <c r="L35" s="562">
        <f t="shared" si="9"/>
        <v>0</v>
      </c>
      <c r="M35" s="562">
        <f t="shared" si="9"/>
        <v>0</v>
      </c>
      <c r="N35" s="562">
        <f t="shared" si="9"/>
        <v>0</v>
      </c>
      <c r="O35" s="562">
        <f t="shared" si="9"/>
        <v>0</v>
      </c>
      <c r="P35" s="562">
        <f t="shared" si="9"/>
        <v>0</v>
      </c>
      <c r="Q35" s="562">
        <f>SUM(G35:P35)</f>
        <v>172550.90359999999</v>
      </c>
    </row>
    <row r="36" spans="5:17" x14ac:dyDescent="0.25">
      <c r="E36" s="327" t="s">
        <v>23</v>
      </c>
      <c r="F36" s="252"/>
      <c r="G36" s="562">
        <f t="shared" ref="G36:P36" si="10">G6*G$66</f>
        <v>0</v>
      </c>
      <c r="H36" s="562">
        <f t="shared" si="10"/>
        <v>11367.941999999999</v>
      </c>
      <c r="I36" s="562">
        <f t="shared" si="10"/>
        <v>39927.229199999994</v>
      </c>
      <c r="J36" s="562">
        <f t="shared" si="10"/>
        <v>116596.249</v>
      </c>
      <c r="K36" s="562">
        <f t="shared" si="10"/>
        <v>12605.960999999999</v>
      </c>
      <c r="L36" s="562">
        <f t="shared" si="10"/>
        <v>0</v>
      </c>
      <c r="M36" s="562">
        <f t="shared" si="10"/>
        <v>0</v>
      </c>
      <c r="N36" s="562">
        <f t="shared" si="10"/>
        <v>0</v>
      </c>
      <c r="O36" s="562">
        <f t="shared" si="10"/>
        <v>0</v>
      </c>
      <c r="P36" s="562">
        <f t="shared" si="10"/>
        <v>0</v>
      </c>
      <c r="Q36" s="562">
        <f t="shared" ref="Q36:Q60" si="11">SUM(G36:P36)</f>
        <v>180497.3812</v>
      </c>
    </row>
    <row r="37" spans="5:17" x14ac:dyDescent="0.25">
      <c r="E37" s="327" t="s">
        <v>24</v>
      </c>
      <c r="F37" s="252"/>
      <c r="G37" s="562">
        <f t="shared" ref="G37:P37" si="12">G7*G$66</f>
        <v>0</v>
      </c>
      <c r="H37" s="562">
        <f t="shared" si="12"/>
        <v>14732.3434</v>
      </c>
      <c r="I37" s="562">
        <f t="shared" si="12"/>
        <v>59633.315999999999</v>
      </c>
      <c r="J37" s="562">
        <f t="shared" si="12"/>
        <v>157742.807</v>
      </c>
      <c r="K37" s="562">
        <f t="shared" si="12"/>
        <v>17236.747499999998</v>
      </c>
      <c r="L37" s="562">
        <f t="shared" si="12"/>
        <v>0</v>
      </c>
      <c r="M37" s="562">
        <f t="shared" si="12"/>
        <v>0</v>
      </c>
      <c r="N37" s="562">
        <f t="shared" si="12"/>
        <v>0</v>
      </c>
      <c r="O37" s="562">
        <f t="shared" si="12"/>
        <v>0</v>
      </c>
      <c r="P37" s="562">
        <f t="shared" si="12"/>
        <v>0</v>
      </c>
      <c r="Q37" s="562">
        <f t="shared" si="11"/>
        <v>249345.2139</v>
      </c>
    </row>
    <row r="38" spans="5:17" x14ac:dyDescent="0.25">
      <c r="E38" s="327" t="s">
        <v>25</v>
      </c>
      <c r="F38" s="252"/>
      <c r="G38" s="562">
        <f t="shared" ref="G38:P38" si="13">G8*G$66</f>
        <v>0</v>
      </c>
      <c r="H38" s="562">
        <f t="shared" si="13"/>
        <v>13833.559799999999</v>
      </c>
      <c r="I38" s="562">
        <f t="shared" si="13"/>
        <v>43677.012599999995</v>
      </c>
      <c r="J38" s="562">
        <f t="shared" si="13"/>
        <v>146359.152</v>
      </c>
      <c r="K38" s="562">
        <f t="shared" si="13"/>
        <v>12755.234499999999</v>
      </c>
      <c r="L38" s="562">
        <f t="shared" si="13"/>
        <v>0</v>
      </c>
      <c r="M38" s="562">
        <f t="shared" si="13"/>
        <v>0</v>
      </c>
      <c r="N38" s="562">
        <f t="shared" si="13"/>
        <v>0</v>
      </c>
      <c r="O38" s="562">
        <f t="shared" si="13"/>
        <v>0</v>
      </c>
      <c r="P38" s="562">
        <f t="shared" si="13"/>
        <v>0</v>
      </c>
      <c r="Q38" s="562">
        <f t="shared" si="11"/>
        <v>216624.9589</v>
      </c>
    </row>
    <row r="39" spans="5:17" x14ac:dyDescent="0.25">
      <c r="E39" s="327" t="s">
        <v>26</v>
      </c>
      <c r="F39" s="252"/>
      <c r="G39" s="562">
        <f t="shared" ref="G39:P39" si="14">G9*G$66</f>
        <v>0</v>
      </c>
      <c r="H39" s="562">
        <f t="shared" si="14"/>
        <v>12798.8174</v>
      </c>
      <c r="I39" s="562">
        <f t="shared" si="14"/>
        <v>35826.136200000001</v>
      </c>
      <c r="J39" s="562">
        <f t="shared" si="14"/>
        <v>200698.014</v>
      </c>
      <c r="K39" s="562">
        <f t="shared" si="14"/>
        <v>17338.881999999998</v>
      </c>
      <c r="L39" s="562">
        <f t="shared" si="14"/>
        <v>0</v>
      </c>
      <c r="M39" s="562">
        <f t="shared" si="14"/>
        <v>0</v>
      </c>
      <c r="N39" s="562">
        <f t="shared" si="14"/>
        <v>0</v>
      </c>
      <c r="O39" s="562">
        <f t="shared" si="14"/>
        <v>0</v>
      </c>
      <c r="P39" s="562">
        <f t="shared" si="14"/>
        <v>0</v>
      </c>
      <c r="Q39" s="562">
        <f t="shared" si="11"/>
        <v>266661.84960000002</v>
      </c>
    </row>
    <row r="40" spans="5:17" x14ac:dyDescent="0.25">
      <c r="E40" s="327" t="s">
        <v>27</v>
      </c>
      <c r="F40" s="252"/>
      <c r="G40" s="562">
        <f t="shared" ref="G40:P40" si="15">G10*G$66</f>
        <v>0</v>
      </c>
      <c r="H40" s="562">
        <f t="shared" si="15"/>
        <v>16078.2032</v>
      </c>
      <c r="I40" s="562">
        <f t="shared" si="15"/>
        <v>65967.308999999994</v>
      </c>
      <c r="J40" s="562">
        <f t="shared" si="15"/>
        <v>232976.65099999998</v>
      </c>
      <c r="K40" s="562">
        <f t="shared" si="15"/>
        <v>18244.860499999999</v>
      </c>
      <c r="L40" s="562">
        <f t="shared" si="15"/>
        <v>0</v>
      </c>
      <c r="M40" s="562">
        <f t="shared" si="15"/>
        <v>0</v>
      </c>
      <c r="N40" s="562">
        <f t="shared" si="15"/>
        <v>0</v>
      </c>
      <c r="O40" s="562">
        <f t="shared" si="15"/>
        <v>0</v>
      </c>
      <c r="P40" s="562">
        <f t="shared" si="15"/>
        <v>0</v>
      </c>
      <c r="Q40" s="562">
        <f t="shared" si="11"/>
        <v>333267.02369999996</v>
      </c>
    </row>
    <row r="41" spans="5:17" x14ac:dyDescent="0.25">
      <c r="E41" s="327" t="s">
        <v>28</v>
      </c>
      <c r="F41" s="252"/>
      <c r="G41" s="562">
        <f t="shared" ref="G41:P41" si="16">G11*G$66</f>
        <v>0</v>
      </c>
      <c r="H41" s="562">
        <f t="shared" si="16"/>
        <v>13419.728999999999</v>
      </c>
      <c r="I41" s="562">
        <f t="shared" si="16"/>
        <v>49226.513399999996</v>
      </c>
      <c r="J41" s="562">
        <f t="shared" si="16"/>
        <v>183847.06199999998</v>
      </c>
      <c r="K41" s="562">
        <f t="shared" si="16"/>
        <v>16513.122499999998</v>
      </c>
      <c r="L41" s="562">
        <f t="shared" si="16"/>
        <v>0</v>
      </c>
      <c r="M41" s="562">
        <f t="shared" si="16"/>
        <v>0</v>
      </c>
      <c r="N41" s="562">
        <f t="shared" si="16"/>
        <v>0</v>
      </c>
      <c r="O41" s="562">
        <f t="shared" si="16"/>
        <v>0</v>
      </c>
      <c r="P41" s="562">
        <f t="shared" si="16"/>
        <v>0</v>
      </c>
      <c r="Q41" s="562">
        <f t="shared" si="11"/>
        <v>263006.42689999996</v>
      </c>
    </row>
    <row r="42" spans="5:17" x14ac:dyDescent="0.25">
      <c r="E42" s="327" t="s">
        <v>29</v>
      </c>
      <c r="F42" s="252"/>
      <c r="G42" s="562">
        <f t="shared" ref="G42:P42" si="17">G12*G$66</f>
        <v>0</v>
      </c>
      <c r="H42" s="562">
        <f t="shared" si="17"/>
        <v>16333.5808</v>
      </c>
      <c r="I42" s="562">
        <f t="shared" si="17"/>
        <v>58226.589</v>
      </c>
      <c r="J42" s="562">
        <f t="shared" si="17"/>
        <v>226713.78</v>
      </c>
      <c r="K42" s="562">
        <f t="shared" si="17"/>
        <v>22412.526999999998</v>
      </c>
      <c r="L42" s="562">
        <f t="shared" si="17"/>
        <v>0</v>
      </c>
      <c r="M42" s="562">
        <f t="shared" si="17"/>
        <v>0</v>
      </c>
      <c r="N42" s="562">
        <f t="shared" si="17"/>
        <v>0</v>
      </c>
      <c r="O42" s="562">
        <f t="shared" si="17"/>
        <v>0</v>
      </c>
      <c r="P42" s="562">
        <f t="shared" si="17"/>
        <v>0</v>
      </c>
      <c r="Q42" s="562">
        <f t="shared" si="11"/>
        <v>323686.4768</v>
      </c>
    </row>
    <row r="43" spans="5:17" x14ac:dyDescent="0.25">
      <c r="E43" s="327" t="s">
        <v>30</v>
      </c>
      <c r="F43" s="252"/>
      <c r="G43" s="562">
        <f t="shared" ref="G43:P43" si="18">G13*G$66</f>
        <v>0</v>
      </c>
      <c r="H43" s="562">
        <f t="shared" si="18"/>
        <v>12524.914999999999</v>
      </c>
      <c r="I43" s="562">
        <f t="shared" si="18"/>
        <v>70062.4476</v>
      </c>
      <c r="J43" s="562">
        <f t="shared" si="18"/>
        <v>143755.75599999999</v>
      </c>
      <c r="K43" s="562">
        <f t="shared" si="18"/>
        <v>16301.823999999999</v>
      </c>
      <c r="L43" s="562">
        <f t="shared" si="18"/>
        <v>0</v>
      </c>
      <c r="M43" s="562">
        <f t="shared" si="18"/>
        <v>0</v>
      </c>
      <c r="N43" s="562">
        <f t="shared" si="18"/>
        <v>0</v>
      </c>
      <c r="O43" s="562">
        <f t="shared" si="18"/>
        <v>0</v>
      </c>
      <c r="P43" s="562">
        <f t="shared" si="18"/>
        <v>0</v>
      </c>
      <c r="Q43" s="562">
        <f t="shared" si="11"/>
        <v>242644.94259999998</v>
      </c>
    </row>
    <row r="44" spans="5:17" x14ac:dyDescent="0.25">
      <c r="E44" s="327" t="s">
        <v>31</v>
      </c>
      <c r="F44" s="252"/>
      <c r="G44" s="562">
        <f t="shared" ref="G44:P44" si="19">G14*G$66</f>
        <v>0</v>
      </c>
      <c r="H44" s="562">
        <f t="shared" si="19"/>
        <v>12275.6572</v>
      </c>
      <c r="I44" s="562">
        <f t="shared" si="19"/>
        <v>49994.630999999994</v>
      </c>
      <c r="J44" s="562">
        <f t="shared" si="19"/>
        <v>138278.535</v>
      </c>
      <c r="K44" s="562">
        <f t="shared" si="19"/>
        <v>13726.545999999998</v>
      </c>
      <c r="L44" s="562">
        <f t="shared" si="19"/>
        <v>0</v>
      </c>
      <c r="M44" s="562">
        <f t="shared" si="19"/>
        <v>0</v>
      </c>
      <c r="N44" s="562">
        <f t="shared" si="19"/>
        <v>0</v>
      </c>
      <c r="O44" s="562">
        <f t="shared" si="19"/>
        <v>0</v>
      </c>
      <c r="P44" s="562">
        <f t="shared" si="19"/>
        <v>0</v>
      </c>
      <c r="Q44" s="562">
        <f t="shared" si="11"/>
        <v>214275.36919999999</v>
      </c>
    </row>
    <row r="45" spans="5:17" x14ac:dyDescent="0.25">
      <c r="E45" s="327" t="s">
        <v>32</v>
      </c>
      <c r="F45" s="252"/>
      <c r="G45" s="562">
        <f t="shared" ref="G45:P45" si="20">G15*G$66</f>
        <v>0</v>
      </c>
      <c r="H45" s="562">
        <f t="shared" si="20"/>
        <v>13480.265399999998</v>
      </c>
      <c r="I45" s="562">
        <f t="shared" si="20"/>
        <v>63869.871599999999</v>
      </c>
      <c r="J45" s="562">
        <f t="shared" si="20"/>
        <v>127697.897</v>
      </c>
      <c r="K45" s="562">
        <f t="shared" si="20"/>
        <v>14940.995499999999</v>
      </c>
      <c r="L45" s="562">
        <f t="shared" si="20"/>
        <v>0</v>
      </c>
      <c r="M45" s="562">
        <f t="shared" si="20"/>
        <v>0</v>
      </c>
      <c r="N45" s="562">
        <f t="shared" si="20"/>
        <v>0</v>
      </c>
      <c r="O45" s="562">
        <f t="shared" si="20"/>
        <v>0</v>
      </c>
      <c r="P45" s="562">
        <f t="shared" si="20"/>
        <v>0</v>
      </c>
      <c r="Q45" s="562">
        <f t="shared" si="11"/>
        <v>219989.02949999998</v>
      </c>
    </row>
    <row r="46" spans="5:17" x14ac:dyDescent="0.25">
      <c r="E46" s="327" t="s">
        <v>33</v>
      </c>
      <c r="F46" s="252"/>
      <c r="G46" s="562">
        <f t="shared" ref="G46:P46" si="21">G16*G$66</f>
        <v>0</v>
      </c>
      <c r="H46" s="562">
        <f t="shared" si="21"/>
        <v>10211.299799999999</v>
      </c>
      <c r="I46" s="562">
        <f t="shared" si="21"/>
        <v>69004.053</v>
      </c>
      <c r="J46" s="562">
        <f t="shared" si="21"/>
        <v>102630.7</v>
      </c>
      <c r="K46" s="562">
        <f t="shared" si="21"/>
        <v>12566.6785</v>
      </c>
      <c r="L46" s="562">
        <f t="shared" si="21"/>
        <v>0</v>
      </c>
      <c r="M46" s="562">
        <f t="shared" si="21"/>
        <v>0</v>
      </c>
      <c r="N46" s="562">
        <f t="shared" si="21"/>
        <v>0</v>
      </c>
      <c r="O46" s="562">
        <f t="shared" si="21"/>
        <v>0</v>
      </c>
      <c r="P46" s="562">
        <f t="shared" si="21"/>
        <v>0</v>
      </c>
      <c r="Q46" s="562">
        <f t="shared" si="11"/>
        <v>194412.73130000001</v>
      </c>
    </row>
    <row r="47" spans="5:17" x14ac:dyDescent="0.25">
      <c r="E47" s="327" t="s">
        <v>22</v>
      </c>
      <c r="F47" s="252"/>
      <c r="G47" s="562">
        <f t="shared" ref="G47:P47" si="22">G17*G$69</f>
        <v>0</v>
      </c>
      <c r="H47" s="562">
        <f t="shared" si="22"/>
        <v>9007.0223999999998</v>
      </c>
      <c r="I47" s="562">
        <f t="shared" si="22"/>
        <v>53421.388199999994</v>
      </c>
      <c r="J47" s="562">
        <f t="shared" si="22"/>
        <v>91512.512000000002</v>
      </c>
      <c r="K47" s="562">
        <f t="shared" si="22"/>
        <v>10759.269999999999</v>
      </c>
      <c r="L47" s="562">
        <f t="shared" si="22"/>
        <v>0</v>
      </c>
      <c r="M47" s="562">
        <f t="shared" si="22"/>
        <v>0</v>
      </c>
      <c r="N47" s="562">
        <f t="shared" si="22"/>
        <v>0</v>
      </c>
      <c r="O47" s="562">
        <f t="shared" si="22"/>
        <v>0</v>
      </c>
      <c r="P47" s="562">
        <f t="shared" si="22"/>
        <v>0</v>
      </c>
      <c r="Q47" s="562">
        <f t="shared" si="11"/>
        <v>164700.19259999998</v>
      </c>
    </row>
    <row r="48" spans="5:17" x14ac:dyDescent="0.25">
      <c r="E48" s="327" t="s">
        <v>23</v>
      </c>
      <c r="F48" s="252"/>
      <c r="G48" s="562">
        <f t="shared" ref="G48:P48" si="23">G18*G$69</f>
        <v>0</v>
      </c>
      <c r="H48" s="562">
        <f t="shared" si="23"/>
        <v>9835.3455999999987</v>
      </c>
      <c r="I48" s="562">
        <f t="shared" si="23"/>
        <v>46084.078799999996</v>
      </c>
      <c r="J48" s="562">
        <f t="shared" si="23"/>
        <v>116788.93999999999</v>
      </c>
      <c r="K48" s="562">
        <f t="shared" si="23"/>
        <v>11517.628999999999</v>
      </c>
      <c r="L48" s="562">
        <f t="shared" si="23"/>
        <v>0</v>
      </c>
      <c r="M48" s="562">
        <f t="shared" si="23"/>
        <v>0</v>
      </c>
      <c r="N48" s="562">
        <f t="shared" si="23"/>
        <v>0</v>
      </c>
      <c r="O48" s="562">
        <f t="shared" si="23"/>
        <v>0</v>
      </c>
      <c r="P48" s="562">
        <f t="shared" si="23"/>
        <v>0</v>
      </c>
      <c r="Q48" s="562">
        <f t="shared" si="11"/>
        <v>184225.99339999998</v>
      </c>
    </row>
    <row r="49" spans="4:17" x14ac:dyDescent="0.25">
      <c r="E49" s="327" t="s">
        <v>24</v>
      </c>
      <c r="F49" s="252"/>
      <c r="G49" s="562">
        <f t="shared" ref="G49:P49" si="24">G19*G$69</f>
        <v>0</v>
      </c>
      <c r="H49" s="562">
        <f t="shared" si="24"/>
        <v>13766.9036</v>
      </c>
      <c r="I49" s="562">
        <f t="shared" si="24"/>
        <v>73017.318599999999</v>
      </c>
      <c r="J49" s="562">
        <f t="shared" si="24"/>
        <v>164371.212</v>
      </c>
      <c r="K49" s="562">
        <f t="shared" si="24"/>
        <v>13400.707999999999</v>
      </c>
      <c r="L49" s="562">
        <f t="shared" si="24"/>
        <v>0</v>
      </c>
      <c r="M49" s="562">
        <f t="shared" si="24"/>
        <v>0</v>
      </c>
      <c r="N49" s="562">
        <f t="shared" si="24"/>
        <v>0</v>
      </c>
      <c r="O49" s="562">
        <f t="shared" si="24"/>
        <v>0</v>
      </c>
      <c r="P49" s="562">
        <f t="shared" si="24"/>
        <v>0</v>
      </c>
      <c r="Q49" s="562">
        <f t="shared" si="11"/>
        <v>264556.1422</v>
      </c>
    </row>
    <row r="50" spans="4:17" x14ac:dyDescent="0.25">
      <c r="E50" s="327" t="s">
        <v>25</v>
      </c>
      <c r="F50" s="252"/>
      <c r="G50" s="562">
        <f t="shared" ref="G50:P50" si="25">G20*G$69</f>
        <v>0</v>
      </c>
      <c r="H50" s="562">
        <f t="shared" si="25"/>
        <v>12546.2516</v>
      </c>
      <c r="I50" s="562">
        <f t="shared" si="25"/>
        <v>59996.534399999997</v>
      </c>
      <c r="J50" s="562">
        <f t="shared" si="25"/>
        <v>149357.027</v>
      </c>
      <c r="K50" s="562">
        <f t="shared" si="25"/>
        <v>14157.412999999999</v>
      </c>
      <c r="L50" s="562">
        <f t="shared" si="25"/>
        <v>0</v>
      </c>
      <c r="M50" s="562">
        <f t="shared" si="25"/>
        <v>0</v>
      </c>
      <c r="N50" s="562">
        <f t="shared" si="25"/>
        <v>0</v>
      </c>
      <c r="O50" s="562">
        <f t="shared" si="25"/>
        <v>0</v>
      </c>
      <c r="P50" s="562">
        <f t="shared" si="25"/>
        <v>0</v>
      </c>
      <c r="Q50" s="562">
        <f t="shared" si="11"/>
        <v>236057.226</v>
      </c>
    </row>
    <row r="51" spans="4:17" x14ac:dyDescent="0.25">
      <c r="E51" s="327" t="s">
        <v>26</v>
      </c>
      <c r="F51" s="252"/>
      <c r="G51" s="562">
        <f t="shared" ref="G51:P51" si="26">G21*G$69</f>
        <v>0</v>
      </c>
      <c r="H51" s="562">
        <f t="shared" si="26"/>
        <v>12195.272799999999</v>
      </c>
      <c r="I51" s="562">
        <f t="shared" si="26"/>
        <v>49976.767799999994</v>
      </c>
      <c r="J51" s="562">
        <f t="shared" si="26"/>
        <v>162442.64799999999</v>
      </c>
      <c r="K51" s="562">
        <f t="shared" si="26"/>
        <v>12875.1495</v>
      </c>
      <c r="L51" s="562">
        <f t="shared" si="26"/>
        <v>0</v>
      </c>
      <c r="M51" s="562">
        <f t="shared" si="26"/>
        <v>0</v>
      </c>
      <c r="N51" s="562">
        <f t="shared" si="26"/>
        <v>0</v>
      </c>
      <c r="O51" s="562">
        <f t="shared" si="26"/>
        <v>0</v>
      </c>
      <c r="P51" s="562">
        <f t="shared" si="26"/>
        <v>0</v>
      </c>
      <c r="Q51" s="562">
        <f t="shared" si="11"/>
        <v>237489.83809999999</v>
      </c>
    </row>
    <row r="52" spans="4:17" x14ac:dyDescent="0.25">
      <c r="E52" s="327" t="s">
        <v>27</v>
      </c>
      <c r="F52" s="252"/>
      <c r="G52" s="562">
        <f t="shared" ref="G52:P52" si="27">G22*G$69</f>
        <v>0</v>
      </c>
      <c r="H52" s="562">
        <f t="shared" si="27"/>
        <v>14349.277</v>
      </c>
      <c r="I52" s="562">
        <f t="shared" si="27"/>
        <v>58954.5144</v>
      </c>
      <c r="J52" s="562">
        <f t="shared" si="27"/>
        <v>228950.815</v>
      </c>
      <c r="K52" s="562">
        <f t="shared" si="27"/>
        <v>20837.092000000001</v>
      </c>
      <c r="L52" s="562">
        <f t="shared" si="27"/>
        <v>0</v>
      </c>
      <c r="M52" s="562">
        <f t="shared" si="27"/>
        <v>0</v>
      </c>
      <c r="N52" s="562">
        <f t="shared" si="27"/>
        <v>0</v>
      </c>
      <c r="O52" s="562">
        <f t="shared" si="27"/>
        <v>0</v>
      </c>
      <c r="P52" s="562">
        <f t="shared" si="27"/>
        <v>0</v>
      </c>
      <c r="Q52" s="562">
        <f t="shared" si="11"/>
        <v>323091.69839999999</v>
      </c>
    </row>
    <row r="53" spans="4:17" x14ac:dyDescent="0.25">
      <c r="E53" s="327" t="s">
        <v>28</v>
      </c>
      <c r="F53" s="252"/>
      <c r="G53" s="562">
        <f t="shared" ref="G53:P53" si="28">G23*G$69</f>
        <v>0</v>
      </c>
      <c r="H53" s="562">
        <f t="shared" si="28"/>
        <v>13456.7786</v>
      </c>
      <c r="I53" s="562">
        <f t="shared" si="28"/>
        <v>65199.191399999996</v>
      </c>
      <c r="J53" s="562">
        <f t="shared" si="28"/>
        <v>157997.10949999999</v>
      </c>
      <c r="K53" s="562">
        <f t="shared" si="28"/>
        <v>13828.267</v>
      </c>
      <c r="L53" s="562">
        <f t="shared" si="28"/>
        <v>0</v>
      </c>
      <c r="M53" s="562">
        <f t="shared" si="28"/>
        <v>0</v>
      </c>
      <c r="N53" s="562">
        <f t="shared" si="28"/>
        <v>0</v>
      </c>
      <c r="O53" s="562">
        <f t="shared" si="28"/>
        <v>0</v>
      </c>
      <c r="P53" s="562">
        <f t="shared" si="28"/>
        <v>0</v>
      </c>
      <c r="Q53" s="562">
        <f t="shared" si="11"/>
        <v>250481.34649999999</v>
      </c>
    </row>
    <row r="54" spans="4:17" x14ac:dyDescent="0.25">
      <c r="E54" s="327" t="s">
        <v>29</v>
      </c>
      <c r="F54" s="252"/>
      <c r="G54" s="562">
        <f t="shared" ref="G54:P54" si="29">G24*G$69</f>
        <v>0</v>
      </c>
      <c r="H54" s="562">
        <f t="shared" si="29"/>
        <v>16606.656199999998</v>
      </c>
      <c r="I54" s="562">
        <f t="shared" si="29"/>
        <v>68684.004000000001</v>
      </c>
      <c r="J54" s="562">
        <f t="shared" si="29"/>
        <v>190296.83499999999</v>
      </c>
      <c r="K54" s="562">
        <f t="shared" si="29"/>
        <v>19011.902999999998</v>
      </c>
      <c r="L54" s="562">
        <f t="shared" si="29"/>
        <v>0</v>
      </c>
      <c r="M54" s="562">
        <f t="shared" si="29"/>
        <v>0</v>
      </c>
      <c r="N54" s="562">
        <f t="shared" si="29"/>
        <v>0</v>
      </c>
      <c r="O54" s="562">
        <f t="shared" si="29"/>
        <v>0</v>
      </c>
      <c r="P54" s="562">
        <f t="shared" si="29"/>
        <v>0</v>
      </c>
      <c r="Q54" s="562">
        <f t="shared" si="11"/>
        <v>294599.3982</v>
      </c>
    </row>
    <row r="55" spans="4:17" x14ac:dyDescent="0.25">
      <c r="E55" s="327" t="s">
        <v>30</v>
      </c>
      <c r="F55" s="252"/>
      <c r="G55" s="562">
        <f t="shared" ref="G55:P55" si="30">G25*G$69</f>
        <v>0</v>
      </c>
      <c r="H55" s="562">
        <f t="shared" si="30"/>
        <v>11984.056999999999</v>
      </c>
      <c r="I55" s="562">
        <f t="shared" si="30"/>
        <v>63749.294999999998</v>
      </c>
      <c r="J55" s="562">
        <f t="shared" si="30"/>
        <v>149609.26199999999</v>
      </c>
      <c r="K55" s="562">
        <f t="shared" si="30"/>
        <v>14937.273999999999</v>
      </c>
      <c r="L55" s="562">
        <f t="shared" si="30"/>
        <v>0</v>
      </c>
      <c r="M55" s="562">
        <f t="shared" si="30"/>
        <v>0</v>
      </c>
      <c r="N55" s="562">
        <f t="shared" si="30"/>
        <v>0</v>
      </c>
      <c r="O55" s="562">
        <f t="shared" si="30"/>
        <v>0</v>
      </c>
      <c r="P55" s="562">
        <f t="shared" si="30"/>
        <v>0</v>
      </c>
      <c r="Q55" s="562">
        <f t="shared" si="11"/>
        <v>240279.88800000001</v>
      </c>
    </row>
    <row r="56" spans="4:17" x14ac:dyDescent="0.25">
      <c r="E56" s="327" t="s">
        <v>31</v>
      </c>
      <c r="F56" s="252"/>
      <c r="G56" s="562">
        <f t="shared" ref="G56:P56" si="31">G26*G$69</f>
        <v>0</v>
      </c>
      <c r="H56" s="562">
        <f t="shared" si="31"/>
        <v>12159.877199999999</v>
      </c>
      <c r="I56" s="562">
        <f t="shared" si="31"/>
        <v>62376.805799999995</v>
      </c>
      <c r="J56" s="562">
        <f t="shared" si="31"/>
        <v>138921.114</v>
      </c>
      <c r="K56" s="562">
        <f t="shared" si="31"/>
        <v>14865.738499999999</v>
      </c>
      <c r="L56" s="562">
        <f t="shared" si="31"/>
        <v>0</v>
      </c>
      <c r="M56" s="562">
        <f t="shared" si="31"/>
        <v>0</v>
      </c>
      <c r="N56" s="562">
        <f t="shared" si="31"/>
        <v>0</v>
      </c>
      <c r="O56" s="562">
        <f t="shared" si="31"/>
        <v>0</v>
      </c>
      <c r="P56" s="562">
        <f t="shared" si="31"/>
        <v>0</v>
      </c>
      <c r="Q56" s="562">
        <f t="shared" si="11"/>
        <v>228323.5355</v>
      </c>
    </row>
    <row r="57" spans="4:17" x14ac:dyDescent="0.25">
      <c r="E57" s="327" t="s">
        <v>32</v>
      </c>
      <c r="F57" s="252"/>
      <c r="G57" s="562">
        <f t="shared" ref="G57:P57" si="32">G27*G$69</f>
        <v>0</v>
      </c>
      <c r="H57" s="562">
        <f t="shared" si="32"/>
        <v>12677.248399999999</v>
      </c>
      <c r="I57" s="562">
        <f t="shared" si="32"/>
        <v>65196.214199999995</v>
      </c>
      <c r="J57" s="562">
        <f t="shared" si="32"/>
        <v>128474.45</v>
      </c>
      <c r="K57" s="562">
        <f t="shared" si="32"/>
        <v>13804.697499999998</v>
      </c>
      <c r="L57" s="562">
        <f t="shared" si="32"/>
        <v>0</v>
      </c>
      <c r="M57" s="562">
        <f t="shared" si="32"/>
        <v>0</v>
      </c>
      <c r="N57" s="562">
        <f t="shared" si="32"/>
        <v>0</v>
      </c>
      <c r="O57" s="562">
        <f t="shared" si="32"/>
        <v>0</v>
      </c>
      <c r="P57" s="562">
        <f t="shared" si="32"/>
        <v>0</v>
      </c>
      <c r="Q57" s="562">
        <f t="shared" si="11"/>
        <v>220152.61009999999</v>
      </c>
    </row>
    <row r="58" spans="4:17" ht="13.8" thickBot="1" x14ac:dyDescent="0.3">
      <c r="E58" s="327" t="s">
        <v>33</v>
      </c>
      <c r="F58" s="252"/>
      <c r="G58" s="562">
        <f t="shared" ref="G58:P58" si="33">G28*G$69</f>
        <v>0</v>
      </c>
      <c r="H58" s="562">
        <f t="shared" si="33"/>
        <v>10503.230799999999</v>
      </c>
      <c r="I58" s="562">
        <f t="shared" si="33"/>
        <v>52139.703600000001</v>
      </c>
      <c r="J58" s="562">
        <f t="shared" si="33"/>
        <v>136517.02499999999</v>
      </c>
      <c r="K58" s="562">
        <f t="shared" si="33"/>
        <v>15339.609499999999</v>
      </c>
      <c r="L58" s="562">
        <f t="shared" si="33"/>
        <v>0</v>
      </c>
      <c r="M58" s="562">
        <f t="shared" si="33"/>
        <v>0</v>
      </c>
      <c r="N58" s="562">
        <f t="shared" si="33"/>
        <v>0</v>
      </c>
      <c r="O58" s="562">
        <f t="shared" si="33"/>
        <v>0</v>
      </c>
      <c r="P58" s="562">
        <f t="shared" si="33"/>
        <v>0</v>
      </c>
      <c r="Q58" s="562">
        <f t="shared" si="11"/>
        <v>214499.56889999998</v>
      </c>
    </row>
    <row r="59" spans="4:17" x14ac:dyDescent="0.25">
      <c r="E59" s="659">
        <f xml:space="preserve"> BefrJahr1</f>
        <v>2012</v>
      </c>
      <c r="F59" s="660"/>
      <c r="G59" s="563">
        <f t="shared" ref="G59" si="34">SUM(G35:G46)</f>
        <v>0</v>
      </c>
      <c r="H59" s="563">
        <f t="shared" ref="H59:K59" si="35">SUM(H35:H46)</f>
        <v>157881.24679999999</v>
      </c>
      <c r="I59" s="563">
        <f t="shared" si="35"/>
        <v>646207.21439999994</v>
      </c>
      <c r="J59" s="563">
        <f t="shared" si="35"/>
        <v>1886245.5829999999</v>
      </c>
      <c r="K59" s="563">
        <f t="shared" si="35"/>
        <v>186628.26300000001</v>
      </c>
      <c r="L59" s="563">
        <f t="shared" ref="L59:P59" si="36">SUM(L35:L46)</f>
        <v>0</v>
      </c>
      <c r="M59" s="563">
        <f t="shared" si="36"/>
        <v>0</v>
      </c>
      <c r="N59" s="563">
        <f t="shared" si="36"/>
        <v>0</v>
      </c>
      <c r="O59" s="563">
        <f t="shared" si="36"/>
        <v>0</v>
      </c>
      <c r="P59" s="563">
        <f t="shared" si="36"/>
        <v>0</v>
      </c>
      <c r="Q59" s="562">
        <f t="shared" si="11"/>
        <v>2876962.3071999997</v>
      </c>
    </row>
    <row r="60" spans="4:17" ht="13.8" thickBot="1" x14ac:dyDescent="0.3">
      <c r="E60" s="655">
        <f xml:space="preserve"> BefrJahr2</f>
        <v>2013</v>
      </c>
      <c r="F60" s="656"/>
      <c r="G60" s="563">
        <f t="shared" ref="G60" si="37">SUM(G47:G58)</f>
        <v>0</v>
      </c>
      <c r="H60" s="563">
        <f t="shared" ref="H60:K60" si="38">SUM(H47:H58)</f>
        <v>149087.92119999998</v>
      </c>
      <c r="I60" s="563">
        <f t="shared" si="38"/>
        <v>718795.8162</v>
      </c>
      <c r="J60" s="563">
        <f t="shared" si="38"/>
        <v>1815238.9494999999</v>
      </c>
      <c r="K60" s="563">
        <f t="shared" si="38"/>
        <v>175334.75099999999</v>
      </c>
      <c r="L60" s="563">
        <f t="shared" ref="L60:P60" si="39">SUM(L47:L58)</f>
        <v>0</v>
      </c>
      <c r="M60" s="563">
        <f t="shared" si="39"/>
        <v>0</v>
      </c>
      <c r="N60" s="563">
        <f t="shared" si="39"/>
        <v>0</v>
      </c>
      <c r="O60" s="563">
        <f t="shared" si="39"/>
        <v>0</v>
      </c>
      <c r="P60" s="563">
        <f t="shared" si="39"/>
        <v>0</v>
      </c>
      <c r="Q60" s="562">
        <f t="shared" si="11"/>
        <v>2858457.4379000003</v>
      </c>
    </row>
    <row r="61" spans="4:17" x14ac:dyDescent="0.25">
      <c r="E61" s="326"/>
      <c r="F61" s="328" t="s">
        <v>373</v>
      </c>
      <c r="G61" s="443">
        <f>G59+G60</f>
        <v>0</v>
      </c>
      <c r="H61" s="443">
        <f t="shared" ref="H61:K61" si="40">H59+H60</f>
        <v>306969.16799999995</v>
      </c>
      <c r="I61" s="443">
        <f t="shared" si="40"/>
        <v>1365003.0305999999</v>
      </c>
      <c r="J61" s="443">
        <f t="shared" si="40"/>
        <v>3701484.5324999997</v>
      </c>
      <c r="K61" s="443">
        <f t="shared" si="40"/>
        <v>361963.01399999997</v>
      </c>
      <c r="L61" s="443">
        <f t="shared" ref="L61:P61" si="41">L59+L60</f>
        <v>0</v>
      </c>
      <c r="M61" s="443">
        <f t="shared" si="41"/>
        <v>0</v>
      </c>
      <c r="N61" s="443">
        <f t="shared" si="41"/>
        <v>0</v>
      </c>
      <c r="O61" s="443">
        <f t="shared" si="41"/>
        <v>0</v>
      </c>
      <c r="P61" s="443">
        <f t="shared" si="41"/>
        <v>0</v>
      </c>
      <c r="Q61" s="443">
        <f>Q59+Q60</f>
        <v>5735419.7450999999</v>
      </c>
    </row>
    <row r="62" spans="4:17" x14ac:dyDescent="0.25">
      <c r="D62" s="14" t="str">
        <f>"Heizwärmebedarf " &amp;BefrJahr1</f>
        <v>Heizwärmebedarf 2012</v>
      </c>
    </row>
    <row r="63" spans="4:17" x14ac:dyDescent="0.25">
      <c r="D63" s="14" t="str">
        <f>"Heizwärmebedarf " &amp;BefrJahr2</f>
        <v>Heizwärmebedarf 2013</v>
      </c>
    </row>
    <row r="64" spans="4:17" ht="27" thickBot="1" x14ac:dyDescent="0.3">
      <c r="G64" s="55" t="str">
        <f>G3</f>
        <v>Verarbeitete Milchmenge</v>
      </c>
      <c r="H64" s="55" t="str">
        <f t="shared" ref="H64:P64" si="42">H3</f>
        <v>Past-Milch</v>
      </c>
      <c r="I64" s="55" t="str">
        <f t="shared" si="42"/>
        <v>UHT-Milch</v>
      </c>
      <c r="J64" s="55" t="str">
        <f t="shared" si="42"/>
        <v>Käse</v>
      </c>
      <c r="K64" s="55" t="str">
        <f t="shared" si="42"/>
        <v>Rahm</v>
      </c>
      <c r="L64" s="55">
        <f t="shared" si="42"/>
        <v>0</v>
      </c>
      <c r="M64" s="55">
        <f t="shared" si="42"/>
        <v>0</v>
      </c>
      <c r="N64" s="55">
        <f t="shared" si="42"/>
        <v>0</v>
      </c>
      <c r="O64" s="55">
        <f t="shared" si="42"/>
        <v>0</v>
      </c>
      <c r="P64" s="55">
        <f t="shared" si="42"/>
        <v>0</v>
      </c>
    </row>
    <row r="65" spans="2:20" x14ac:dyDescent="0.25">
      <c r="C65" s="307" t="s">
        <v>487</v>
      </c>
      <c r="D65" s="252"/>
      <c r="E65" s="659">
        <f xml:space="preserve"> BefrJahr1</f>
        <v>2012</v>
      </c>
      <c r="F65" s="660"/>
      <c r="G65" s="396">
        <v>0</v>
      </c>
      <c r="H65" s="396">
        <v>1</v>
      </c>
      <c r="I65" s="396">
        <v>1.5</v>
      </c>
      <c r="J65" s="396">
        <v>5</v>
      </c>
      <c r="K65" s="396">
        <v>5</v>
      </c>
      <c r="L65" s="396">
        <v>0</v>
      </c>
      <c r="M65" s="396">
        <v>0</v>
      </c>
      <c r="N65" s="396">
        <v>0</v>
      </c>
      <c r="O65" s="396">
        <v>0</v>
      </c>
      <c r="P65" s="396">
        <v>0</v>
      </c>
    </row>
    <row r="66" spans="2:20" ht="13.8" thickBot="1" x14ac:dyDescent="0.3">
      <c r="C66" s="329" t="s">
        <v>563</v>
      </c>
      <c r="D66" s="256"/>
      <c r="E66" s="655">
        <f xml:space="preserve"> BefrJahr2</f>
        <v>2013</v>
      </c>
      <c r="F66" s="656"/>
      <c r="G66" s="564">
        <f t="shared" ref="G66:P66" si="43">G65*$J73</f>
        <v>0</v>
      </c>
      <c r="H66" s="564">
        <f t="shared" si="43"/>
        <v>8.2699999999999996E-2</v>
      </c>
      <c r="I66" s="564">
        <f t="shared" si="43"/>
        <v>0.12404999999999999</v>
      </c>
      <c r="J66" s="564">
        <f t="shared" si="43"/>
        <v>0.41349999999999998</v>
      </c>
      <c r="K66" s="564">
        <f t="shared" si="43"/>
        <v>0.41349999999999998</v>
      </c>
      <c r="L66" s="564">
        <f t="shared" si="43"/>
        <v>0</v>
      </c>
      <c r="M66" s="564">
        <f t="shared" si="43"/>
        <v>0</v>
      </c>
      <c r="N66" s="564">
        <f t="shared" si="43"/>
        <v>0</v>
      </c>
      <c r="O66" s="564">
        <f t="shared" si="43"/>
        <v>0</v>
      </c>
      <c r="P66" s="564">
        <f t="shared" si="43"/>
        <v>0</v>
      </c>
    </row>
    <row r="67" spans="2:20" ht="13.8" thickBot="1" x14ac:dyDescent="0.3">
      <c r="B67" s="335" t="s">
        <v>569</v>
      </c>
      <c r="C67" s="332" t="s">
        <v>564</v>
      </c>
      <c r="D67" s="333"/>
      <c r="E67" s="657" t="s">
        <v>565</v>
      </c>
      <c r="F67" s="658"/>
      <c r="G67" s="565">
        <f t="shared" ref="G67:P67" si="44">G59/G29</f>
        <v>0</v>
      </c>
      <c r="H67" s="565">
        <f t="shared" si="44"/>
        <v>8.2699999999999996E-2</v>
      </c>
      <c r="I67" s="565">
        <f t="shared" si="44"/>
        <v>0.12404999999999999</v>
      </c>
      <c r="J67" s="565">
        <f t="shared" si="44"/>
        <v>0.41349999999999998</v>
      </c>
      <c r="K67" s="565">
        <f t="shared" si="44"/>
        <v>0.41350000000000003</v>
      </c>
      <c r="L67" s="565" t="e">
        <f t="shared" si="44"/>
        <v>#DIV/0!</v>
      </c>
      <c r="M67" s="565" t="e">
        <f t="shared" si="44"/>
        <v>#DIV/0!</v>
      </c>
      <c r="N67" s="565" t="e">
        <f t="shared" si="44"/>
        <v>#DIV/0!</v>
      </c>
      <c r="O67" s="565" t="e">
        <f t="shared" si="44"/>
        <v>#DIV/0!</v>
      </c>
      <c r="P67" s="566" t="e">
        <f t="shared" si="44"/>
        <v>#DIV/0!</v>
      </c>
    </row>
    <row r="68" spans="2:20" x14ac:dyDescent="0.25">
      <c r="C68" s="330" t="s">
        <v>487</v>
      </c>
      <c r="D68" s="331"/>
      <c r="E68" s="659">
        <f xml:space="preserve"> BefrJahr1</f>
        <v>2012</v>
      </c>
      <c r="F68" s="660"/>
      <c r="G68" s="396">
        <v>0</v>
      </c>
      <c r="H68" s="396">
        <v>1</v>
      </c>
      <c r="I68" s="396">
        <v>1.5</v>
      </c>
      <c r="J68" s="396">
        <v>5</v>
      </c>
      <c r="K68" s="396">
        <v>5</v>
      </c>
      <c r="L68" s="396">
        <v>0</v>
      </c>
      <c r="M68" s="396">
        <v>0</v>
      </c>
      <c r="N68" s="396">
        <v>0</v>
      </c>
      <c r="O68" s="569">
        <v>0</v>
      </c>
      <c r="P68" s="569">
        <v>0</v>
      </c>
    </row>
    <row r="69" spans="2:20" ht="13.8" thickBot="1" x14ac:dyDescent="0.3">
      <c r="C69" s="307" t="s">
        <v>563</v>
      </c>
      <c r="D69" s="252"/>
      <c r="E69" s="655">
        <f xml:space="preserve"> BefrJahr2</f>
        <v>2013</v>
      </c>
      <c r="F69" s="656"/>
      <c r="G69" s="567">
        <f t="shared" ref="G69:P69" si="45">G68*$J$75</f>
        <v>0</v>
      </c>
      <c r="H69" s="567">
        <f t="shared" si="45"/>
        <v>8.2699999999999996E-2</v>
      </c>
      <c r="I69" s="567">
        <f t="shared" si="45"/>
        <v>0.12404999999999999</v>
      </c>
      <c r="J69" s="567">
        <f t="shared" si="45"/>
        <v>0.41349999999999998</v>
      </c>
      <c r="K69" s="567">
        <f t="shared" si="45"/>
        <v>0.41349999999999998</v>
      </c>
      <c r="L69" s="567">
        <f t="shared" si="45"/>
        <v>0</v>
      </c>
      <c r="M69" s="567">
        <f t="shared" si="45"/>
        <v>0</v>
      </c>
      <c r="N69" s="567">
        <f t="shared" si="45"/>
        <v>0</v>
      </c>
      <c r="O69" s="567">
        <f t="shared" si="45"/>
        <v>0</v>
      </c>
      <c r="P69" s="567">
        <f t="shared" si="45"/>
        <v>0</v>
      </c>
    </row>
    <row r="70" spans="2:20" ht="13.8" thickBot="1" x14ac:dyDescent="0.3">
      <c r="B70" s="335" t="s">
        <v>569</v>
      </c>
      <c r="C70" s="332" t="s">
        <v>564</v>
      </c>
      <c r="D70" s="333"/>
      <c r="E70" s="657" t="s">
        <v>565</v>
      </c>
      <c r="F70" s="658"/>
      <c r="G70" s="565">
        <f t="shared" ref="G70:P70" si="46">G60/G30</f>
        <v>0</v>
      </c>
      <c r="H70" s="565">
        <f t="shared" si="46"/>
        <v>8.2699999999999996E-2</v>
      </c>
      <c r="I70" s="565">
        <f t="shared" si="46"/>
        <v>0.12404999999999999</v>
      </c>
      <c r="J70" s="565">
        <f t="shared" si="46"/>
        <v>0.41349999999999998</v>
      </c>
      <c r="K70" s="565">
        <f t="shared" si="46"/>
        <v>0.41349999999999998</v>
      </c>
      <c r="L70" s="565" t="e">
        <f t="shared" si="46"/>
        <v>#DIV/0!</v>
      </c>
      <c r="M70" s="565" t="e">
        <f t="shared" si="46"/>
        <v>#DIV/0!</v>
      </c>
      <c r="N70" s="565" t="e">
        <f t="shared" si="46"/>
        <v>#DIV/0!</v>
      </c>
      <c r="O70" s="565" t="e">
        <f t="shared" si="46"/>
        <v>#DIV/0!</v>
      </c>
      <c r="P70" s="566" t="e">
        <f t="shared" si="46"/>
        <v>#DIV/0!</v>
      </c>
    </row>
    <row r="72" spans="2:20" x14ac:dyDescent="0.25">
      <c r="G72" s="258" t="str">
        <f xml:space="preserve"> "Multiplikationsfaktor " &amp;BefrJahr1 &amp; " (B1)"</f>
        <v>Multiplikationsfaktor 2012 (B1)</v>
      </c>
      <c r="H72" s="251"/>
      <c r="I72" s="251"/>
      <c r="J72" s="568">
        <f>E29/Q59</f>
        <v>1.0100040640630166</v>
      </c>
      <c r="K72" s="14" t="str">
        <f xml:space="preserve"> "(B) im " &amp;BefrJahr1 &amp; " mit diesem Faktor multiplizieren, wenn die Summe des Energieverbrauchs im " &amp;BefrJahr1 &amp; " korrekt abgebildet werden soll"</f>
        <v>(B) im 2012 mit diesem Faktor multiplizieren, wenn die Summe des Energieverbrauchs im 2012 korrekt abgebildet werden soll</v>
      </c>
    </row>
    <row r="73" spans="2:20" x14ac:dyDescent="0.25">
      <c r="G73" s="258" t="str">
        <f xml:space="preserve"> "Multiplikationsfaktor " &amp;BefrJahr1 &amp; " (B*)"</f>
        <v>Multiplikationsfaktor 2012 (B*)</v>
      </c>
      <c r="H73" s="251"/>
      <c r="I73" s="251"/>
      <c r="J73" s="570">
        <v>8.2699999999999996E-2</v>
      </c>
    </row>
    <row r="74" spans="2:20" x14ac:dyDescent="0.25">
      <c r="G74" s="258" t="str">
        <f xml:space="preserve"> "Multiplikationsfaktor " &amp;BefrJahr2 &amp; " (B2)"</f>
        <v>Multiplikationsfaktor 2013 (B2)</v>
      </c>
      <c r="H74" s="251"/>
      <c r="I74" s="251"/>
      <c r="J74" s="568">
        <f>E30/Q60</f>
        <v>0.99036107349603342</v>
      </c>
      <c r="K74" s="14" t="str">
        <f xml:space="preserve"> "(B) im " &amp;BefrJahr2 &amp; " mit diesem Faktor multiplizieren, wenn die Summe des Energieverbrauchs im " &amp;BefrJahr2 &amp; " korrekt abgebildet werden soll"</f>
        <v>(B) im 2013 mit diesem Faktor multiplizieren, wenn die Summe des Energieverbrauchs im 2013 korrekt abgebildet werden soll</v>
      </c>
    </row>
    <row r="75" spans="2:20" x14ac:dyDescent="0.25">
      <c r="G75" s="258" t="str">
        <f xml:space="preserve"> "Multiplikationsfaktor " &amp;BefrJahr2 &amp; " (B*)"</f>
        <v>Multiplikationsfaktor 2013 (B*)</v>
      </c>
      <c r="H75" s="251"/>
      <c r="I75" s="251"/>
      <c r="J75" s="570">
        <v>8.2699999999999996E-2</v>
      </c>
    </row>
    <row r="76" spans="2:20" x14ac:dyDescent="0.25">
      <c r="G76" s="258" t="str">
        <f xml:space="preserve"> "Multiplikationsfaktor " &amp;BefrJahr1 &amp;" - " &amp;BefrJahr2 &amp; " (B3)"</f>
        <v>Multiplikationsfaktor 2012 - 2013 (B3)</v>
      </c>
      <c r="H76" s="251"/>
      <c r="I76" s="252"/>
      <c r="J76" s="568">
        <f>E31/Q61</f>
        <v>1.000214257042046</v>
      </c>
      <c r="K76" s="348" t="str">
        <f xml:space="preserve"> "(B) in beiden Jahren mit diesem Faktor multiplizieren, wenn die Summe des Energieverbrauch in den Jahren " &amp;BefrJahr1 &amp; " - " &amp;BefrJahr2 &amp; " korrekt abgebildet werden soll"</f>
        <v>(B) in beiden Jahren mit diesem Faktor multiplizieren, wenn die Summe des Energieverbrauch in den Jahren 2012 - 2013 korrekt abgebildet werden soll</v>
      </c>
      <c r="L76" s="349"/>
      <c r="M76" s="349"/>
      <c r="N76" s="349"/>
      <c r="O76" s="349"/>
      <c r="P76" s="349"/>
      <c r="Q76" s="349"/>
      <c r="R76" s="349"/>
      <c r="S76" s="349"/>
      <c r="T76" s="349"/>
    </row>
    <row r="77" spans="2:20" x14ac:dyDescent="0.25">
      <c r="K77" s="349"/>
      <c r="L77" s="349"/>
      <c r="M77" s="349"/>
      <c r="N77" s="349"/>
      <c r="O77" s="349"/>
      <c r="P77" s="349"/>
      <c r="Q77" s="349"/>
      <c r="R77" s="349"/>
      <c r="S77" s="349"/>
      <c r="T77" s="349"/>
    </row>
    <row r="78" spans="2:20" x14ac:dyDescent="0.25">
      <c r="G78" s="14" t="s">
        <v>490</v>
      </c>
    </row>
    <row r="80" spans="2:20" x14ac:dyDescent="0.25">
      <c r="G80" s="14" t="s">
        <v>481</v>
      </c>
    </row>
    <row r="81" spans="2:20" x14ac:dyDescent="0.25">
      <c r="G81" s="297" t="s">
        <v>567</v>
      </c>
    </row>
    <row r="83" spans="2:20" x14ac:dyDescent="0.25">
      <c r="G83" s="69" t="s">
        <v>479</v>
      </c>
    </row>
    <row r="84" spans="2:20" x14ac:dyDescent="0.25">
      <c r="G84" s="14" t="s">
        <v>478</v>
      </c>
    </row>
    <row r="85" spans="2:20" x14ac:dyDescent="0.25">
      <c r="G85" s="14" t="s">
        <v>488</v>
      </c>
    </row>
    <row r="86" spans="2:20" x14ac:dyDescent="0.25">
      <c r="G86" s="14" t="s">
        <v>480</v>
      </c>
    </row>
    <row r="87" spans="2:20" x14ac:dyDescent="0.25">
      <c r="G87" s="14" t="s">
        <v>489</v>
      </c>
    </row>
    <row r="88" spans="2:20" x14ac:dyDescent="0.25">
      <c r="G88" s="14" t="s">
        <v>491</v>
      </c>
    </row>
    <row r="89" spans="2:20" x14ac:dyDescent="0.25">
      <c r="G89" s="14" t="s">
        <v>562</v>
      </c>
    </row>
    <row r="90" spans="2:20" x14ac:dyDescent="0.25">
      <c r="G90" s="14" t="s">
        <v>566</v>
      </c>
      <c r="S90" s="567">
        <f>CORREL(E5:E28,Q35:Q58)</f>
        <v>0.33569362345264969</v>
      </c>
      <c r="T90" s="334" t="s">
        <v>63</v>
      </c>
    </row>
    <row r="93" spans="2:20" x14ac:dyDescent="0.25">
      <c r="B93" s="14">
        <f>BefrJahr1</f>
        <v>2012</v>
      </c>
    </row>
    <row r="94" spans="2:20" x14ac:dyDescent="0.25">
      <c r="B94" s="14">
        <f>BefrJahr2</f>
        <v>2013</v>
      </c>
    </row>
    <row r="109" spans="7:7" x14ac:dyDescent="0.25">
      <c r="G109" s="214"/>
    </row>
    <row r="110" spans="7:7" x14ac:dyDescent="0.25">
      <c r="G110" s="214"/>
    </row>
    <row r="111" spans="7:7" x14ac:dyDescent="0.25">
      <c r="G111" s="214"/>
    </row>
    <row r="112" spans="7:7" x14ac:dyDescent="0.25">
      <c r="G112" s="214"/>
    </row>
  </sheetData>
  <sheetProtection selectLockedCells="1"/>
  <mergeCells count="8">
    <mergeCell ref="E69:F69"/>
    <mergeCell ref="E67:F67"/>
    <mergeCell ref="E70:F70"/>
    <mergeCell ref="E59:F59"/>
    <mergeCell ref="E60:F60"/>
    <mergeCell ref="E65:F65"/>
    <mergeCell ref="E68:F68"/>
    <mergeCell ref="E66:F66"/>
  </mergeCells>
  <pageMargins left="0.70866141732283472" right="0.70866141732283472" top="0.74803149606299213" bottom="0.74803149606299213" header="0.31496062992125984" footer="0.31496062992125984"/>
  <pageSetup paperSize="8" scale="50" orientation="portrait" r:id="rId1"/>
  <headerFooter>
    <oddHeader>&amp;L&amp;G&amp;R5.3.1_EI: Korrelation der Energieverbrauchsindikatoren mit dem thermischen Endenergieverbrauch (ohne Gebäudeheizung)</oddHeader>
    <oddFooter>&amp;R&amp;P / &amp;N</oddFooter>
  </headerFooter>
  <drawing r:id="rId2"/>
  <legacyDrawing r:id="rId3"/>
  <legacyDrawingHF r:id="rId4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4"/>
  <sheetViews>
    <sheetView showGridLines="0" view="pageLayout" zoomScale="85" zoomScaleNormal="50" zoomScalePageLayoutView="85" workbookViewId="0">
      <selection activeCell="V4" sqref="V4"/>
    </sheetView>
  </sheetViews>
  <sheetFormatPr baseColWidth="10" defaultRowHeight="13.2" outlineLevelCol="1" x14ac:dyDescent="0.25"/>
  <cols>
    <col min="1" max="1" width="5.109375" style="14" customWidth="1"/>
    <col min="2" max="2" width="3.6640625" style="14" customWidth="1"/>
    <col min="3" max="3" width="10" style="14" customWidth="1"/>
    <col min="4" max="4" width="10.33203125" style="143" customWidth="1"/>
    <col min="5" max="5" width="10.109375" style="143" customWidth="1"/>
    <col min="6" max="6" width="12.33203125" style="14" customWidth="1"/>
    <col min="7" max="7" width="10.5546875" style="14" customWidth="1"/>
    <col min="8" max="8" width="9" style="14" customWidth="1"/>
    <col min="9" max="9" width="7.6640625" style="14" customWidth="1"/>
    <col min="10" max="10" width="10.5546875" style="14" customWidth="1"/>
    <col min="11" max="11" width="9" style="14" customWidth="1"/>
    <col min="12" max="12" width="12.6640625" style="14" customWidth="1"/>
    <col min="13" max="13" width="10.33203125" style="14" customWidth="1" outlineLevel="1"/>
    <col min="14" max="14" width="10.88671875" style="14" customWidth="1" outlineLevel="1"/>
    <col min="15" max="15" width="9.5546875" style="14" customWidth="1" outlineLevel="1"/>
    <col min="16" max="16" width="8.109375" style="143" bestFit="1" customWidth="1" outlineLevel="1"/>
    <col min="17" max="17" width="7.88671875" style="143" bestFit="1" customWidth="1" outlineLevel="1"/>
    <col min="18" max="18" width="8" style="143" customWidth="1" outlineLevel="1"/>
    <col min="19" max="19" width="6.109375" style="14" customWidth="1"/>
    <col min="20" max="20" width="9.44140625" style="143" customWidth="1"/>
    <col min="21" max="21" width="9.109375" style="143" customWidth="1"/>
    <col min="22" max="22" width="11.44140625" style="14"/>
    <col min="23" max="23" width="10.5546875" style="144" customWidth="1"/>
    <col min="24" max="24" width="9.44140625" style="143" customWidth="1"/>
    <col min="25" max="25" width="8.44140625" style="143" customWidth="1"/>
    <col min="26" max="26" width="21.109375" style="14" customWidth="1"/>
    <col min="27" max="257" width="11.44140625" style="14"/>
    <col min="258" max="258" width="5.88671875" style="14" customWidth="1"/>
    <col min="259" max="259" width="7.5546875" style="14" customWidth="1"/>
    <col min="260" max="260" width="26" style="14" customWidth="1"/>
    <col min="261" max="261" width="11.44140625" style="14" customWidth="1"/>
    <col min="262" max="262" width="10.33203125" style="14" customWidth="1"/>
    <col min="263" max="263" width="8.5546875" style="14" customWidth="1"/>
    <col min="264" max="264" width="11.5546875" style="14" customWidth="1"/>
    <col min="265" max="265" width="11" style="14" customWidth="1"/>
    <col min="266" max="266" width="10" style="14" customWidth="1"/>
    <col min="267" max="267" width="11.88671875" style="14" customWidth="1"/>
    <col min="268" max="268" width="10.33203125" style="14" customWidth="1"/>
    <col min="269" max="269" width="10.88671875" style="14" customWidth="1"/>
    <col min="270" max="270" width="10.5546875" style="14" customWidth="1"/>
    <col min="271" max="271" width="15.5546875" style="14" customWidth="1"/>
    <col min="272" max="272" width="23.5546875" style="14" customWidth="1"/>
    <col min="273" max="273" width="9.109375" style="14" customWidth="1"/>
    <col min="274" max="274" width="15.6640625" style="14" customWidth="1"/>
    <col min="275" max="275" width="23.88671875" style="14" customWidth="1"/>
    <col min="276" max="276" width="10.44140625" style="14" customWidth="1"/>
    <col min="277" max="277" width="12.44140625" style="14" customWidth="1"/>
    <col min="278" max="278" width="8.33203125" style="14" customWidth="1"/>
    <col min="279" max="279" width="8.44140625" style="14" customWidth="1"/>
    <col min="280" max="280" width="7.6640625" style="14" customWidth="1"/>
    <col min="281" max="281" width="7.5546875" style="14" customWidth="1"/>
    <col min="282" max="282" width="21.109375" style="14" customWidth="1"/>
    <col min="283" max="513" width="11.44140625" style="14"/>
    <col min="514" max="514" width="5.88671875" style="14" customWidth="1"/>
    <col min="515" max="515" width="7.5546875" style="14" customWidth="1"/>
    <col min="516" max="516" width="26" style="14" customWidth="1"/>
    <col min="517" max="517" width="11.44140625" style="14" customWidth="1"/>
    <col min="518" max="518" width="10.33203125" style="14" customWidth="1"/>
    <col min="519" max="519" width="8.5546875" style="14" customWidth="1"/>
    <col min="520" max="520" width="11.5546875" style="14" customWidth="1"/>
    <col min="521" max="521" width="11" style="14" customWidth="1"/>
    <col min="522" max="522" width="10" style="14" customWidth="1"/>
    <col min="523" max="523" width="11.88671875" style="14" customWidth="1"/>
    <col min="524" max="524" width="10.33203125" style="14" customWidth="1"/>
    <col min="525" max="525" width="10.88671875" style="14" customWidth="1"/>
    <col min="526" max="526" width="10.5546875" style="14" customWidth="1"/>
    <col min="527" max="527" width="15.5546875" style="14" customWidth="1"/>
    <col min="528" max="528" width="23.5546875" style="14" customWidth="1"/>
    <col min="529" max="529" width="9.109375" style="14" customWidth="1"/>
    <col min="530" max="530" width="15.6640625" style="14" customWidth="1"/>
    <col min="531" max="531" width="23.88671875" style="14" customWidth="1"/>
    <col min="532" max="532" width="10.44140625" style="14" customWidth="1"/>
    <col min="533" max="533" width="12.44140625" style="14" customWidth="1"/>
    <col min="534" max="534" width="8.33203125" style="14" customWidth="1"/>
    <col min="535" max="535" width="8.44140625" style="14" customWidth="1"/>
    <col min="536" max="536" width="7.6640625" style="14" customWidth="1"/>
    <col min="537" max="537" width="7.5546875" style="14" customWidth="1"/>
    <col min="538" max="538" width="21.109375" style="14" customWidth="1"/>
    <col min="539" max="769" width="11.44140625" style="14"/>
    <col min="770" max="770" width="5.88671875" style="14" customWidth="1"/>
    <col min="771" max="771" width="7.5546875" style="14" customWidth="1"/>
    <col min="772" max="772" width="26" style="14" customWidth="1"/>
    <col min="773" max="773" width="11.44140625" style="14" customWidth="1"/>
    <col min="774" max="774" width="10.33203125" style="14" customWidth="1"/>
    <col min="775" max="775" width="8.5546875" style="14" customWidth="1"/>
    <col min="776" max="776" width="11.5546875" style="14" customWidth="1"/>
    <col min="777" max="777" width="11" style="14" customWidth="1"/>
    <col min="778" max="778" width="10" style="14" customWidth="1"/>
    <col min="779" max="779" width="11.88671875" style="14" customWidth="1"/>
    <col min="780" max="780" width="10.33203125" style="14" customWidth="1"/>
    <col min="781" max="781" width="10.88671875" style="14" customWidth="1"/>
    <col min="782" max="782" width="10.5546875" style="14" customWidth="1"/>
    <col min="783" max="783" width="15.5546875" style="14" customWidth="1"/>
    <col min="784" max="784" width="23.5546875" style="14" customWidth="1"/>
    <col min="785" max="785" width="9.109375" style="14" customWidth="1"/>
    <col min="786" max="786" width="15.6640625" style="14" customWidth="1"/>
    <col min="787" max="787" width="23.88671875" style="14" customWidth="1"/>
    <col min="788" max="788" width="10.44140625" style="14" customWidth="1"/>
    <col min="789" max="789" width="12.44140625" style="14" customWidth="1"/>
    <col min="790" max="790" width="8.33203125" style="14" customWidth="1"/>
    <col min="791" max="791" width="8.44140625" style="14" customWidth="1"/>
    <col min="792" max="792" width="7.6640625" style="14" customWidth="1"/>
    <col min="793" max="793" width="7.5546875" style="14" customWidth="1"/>
    <col min="794" max="794" width="21.109375" style="14" customWidth="1"/>
    <col min="795" max="1025" width="11.44140625" style="14"/>
    <col min="1026" max="1026" width="5.88671875" style="14" customWidth="1"/>
    <col min="1027" max="1027" width="7.5546875" style="14" customWidth="1"/>
    <col min="1028" max="1028" width="26" style="14" customWidth="1"/>
    <col min="1029" max="1029" width="11.44140625" style="14" customWidth="1"/>
    <col min="1030" max="1030" width="10.33203125" style="14" customWidth="1"/>
    <col min="1031" max="1031" width="8.5546875" style="14" customWidth="1"/>
    <col min="1032" max="1032" width="11.5546875" style="14" customWidth="1"/>
    <col min="1033" max="1033" width="11" style="14" customWidth="1"/>
    <col min="1034" max="1034" width="10" style="14" customWidth="1"/>
    <col min="1035" max="1035" width="11.88671875" style="14" customWidth="1"/>
    <col min="1036" max="1036" width="10.33203125" style="14" customWidth="1"/>
    <col min="1037" max="1037" width="10.88671875" style="14" customWidth="1"/>
    <col min="1038" max="1038" width="10.5546875" style="14" customWidth="1"/>
    <col min="1039" max="1039" width="15.5546875" style="14" customWidth="1"/>
    <col min="1040" max="1040" width="23.5546875" style="14" customWidth="1"/>
    <col min="1041" max="1041" width="9.109375" style="14" customWidth="1"/>
    <col min="1042" max="1042" width="15.6640625" style="14" customWidth="1"/>
    <col min="1043" max="1043" width="23.88671875" style="14" customWidth="1"/>
    <col min="1044" max="1044" width="10.44140625" style="14" customWidth="1"/>
    <col min="1045" max="1045" width="12.44140625" style="14" customWidth="1"/>
    <col min="1046" max="1046" width="8.33203125" style="14" customWidth="1"/>
    <col min="1047" max="1047" width="8.44140625" style="14" customWidth="1"/>
    <col min="1048" max="1048" width="7.6640625" style="14" customWidth="1"/>
    <col min="1049" max="1049" width="7.5546875" style="14" customWidth="1"/>
    <col min="1050" max="1050" width="21.109375" style="14" customWidth="1"/>
    <col min="1051" max="1281" width="11.44140625" style="14"/>
    <col min="1282" max="1282" width="5.88671875" style="14" customWidth="1"/>
    <col min="1283" max="1283" width="7.5546875" style="14" customWidth="1"/>
    <col min="1284" max="1284" width="26" style="14" customWidth="1"/>
    <col min="1285" max="1285" width="11.44140625" style="14" customWidth="1"/>
    <col min="1286" max="1286" width="10.33203125" style="14" customWidth="1"/>
    <col min="1287" max="1287" width="8.5546875" style="14" customWidth="1"/>
    <col min="1288" max="1288" width="11.5546875" style="14" customWidth="1"/>
    <col min="1289" max="1289" width="11" style="14" customWidth="1"/>
    <col min="1290" max="1290" width="10" style="14" customWidth="1"/>
    <col min="1291" max="1291" width="11.88671875" style="14" customWidth="1"/>
    <col min="1292" max="1292" width="10.33203125" style="14" customWidth="1"/>
    <col min="1293" max="1293" width="10.88671875" style="14" customWidth="1"/>
    <col min="1294" max="1294" width="10.5546875" style="14" customWidth="1"/>
    <col min="1295" max="1295" width="15.5546875" style="14" customWidth="1"/>
    <col min="1296" max="1296" width="23.5546875" style="14" customWidth="1"/>
    <col min="1297" max="1297" width="9.109375" style="14" customWidth="1"/>
    <col min="1298" max="1298" width="15.6640625" style="14" customWidth="1"/>
    <col min="1299" max="1299" width="23.88671875" style="14" customWidth="1"/>
    <col min="1300" max="1300" width="10.44140625" style="14" customWidth="1"/>
    <col min="1301" max="1301" width="12.44140625" style="14" customWidth="1"/>
    <col min="1302" max="1302" width="8.33203125" style="14" customWidth="1"/>
    <col min="1303" max="1303" width="8.44140625" style="14" customWidth="1"/>
    <col min="1304" max="1304" width="7.6640625" style="14" customWidth="1"/>
    <col min="1305" max="1305" width="7.5546875" style="14" customWidth="1"/>
    <col min="1306" max="1306" width="21.109375" style="14" customWidth="1"/>
    <col min="1307" max="1537" width="11.44140625" style="14"/>
    <col min="1538" max="1538" width="5.88671875" style="14" customWidth="1"/>
    <col min="1539" max="1539" width="7.5546875" style="14" customWidth="1"/>
    <col min="1540" max="1540" width="26" style="14" customWidth="1"/>
    <col min="1541" max="1541" width="11.44140625" style="14" customWidth="1"/>
    <col min="1542" max="1542" width="10.33203125" style="14" customWidth="1"/>
    <col min="1543" max="1543" width="8.5546875" style="14" customWidth="1"/>
    <col min="1544" max="1544" width="11.5546875" style="14" customWidth="1"/>
    <col min="1545" max="1545" width="11" style="14" customWidth="1"/>
    <col min="1546" max="1546" width="10" style="14" customWidth="1"/>
    <col min="1547" max="1547" width="11.88671875" style="14" customWidth="1"/>
    <col min="1548" max="1548" width="10.33203125" style="14" customWidth="1"/>
    <col min="1549" max="1549" width="10.88671875" style="14" customWidth="1"/>
    <col min="1550" max="1550" width="10.5546875" style="14" customWidth="1"/>
    <col min="1551" max="1551" width="15.5546875" style="14" customWidth="1"/>
    <col min="1552" max="1552" width="23.5546875" style="14" customWidth="1"/>
    <col min="1553" max="1553" width="9.109375" style="14" customWidth="1"/>
    <col min="1554" max="1554" width="15.6640625" style="14" customWidth="1"/>
    <col min="1555" max="1555" width="23.88671875" style="14" customWidth="1"/>
    <col min="1556" max="1556" width="10.44140625" style="14" customWidth="1"/>
    <col min="1557" max="1557" width="12.44140625" style="14" customWidth="1"/>
    <col min="1558" max="1558" width="8.33203125" style="14" customWidth="1"/>
    <col min="1559" max="1559" width="8.44140625" style="14" customWidth="1"/>
    <col min="1560" max="1560" width="7.6640625" style="14" customWidth="1"/>
    <col min="1561" max="1561" width="7.5546875" style="14" customWidth="1"/>
    <col min="1562" max="1562" width="21.109375" style="14" customWidth="1"/>
    <col min="1563" max="1793" width="11.44140625" style="14"/>
    <col min="1794" max="1794" width="5.88671875" style="14" customWidth="1"/>
    <col min="1795" max="1795" width="7.5546875" style="14" customWidth="1"/>
    <col min="1796" max="1796" width="26" style="14" customWidth="1"/>
    <col min="1797" max="1797" width="11.44140625" style="14" customWidth="1"/>
    <col min="1798" max="1798" width="10.33203125" style="14" customWidth="1"/>
    <col min="1799" max="1799" width="8.5546875" style="14" customWidth="1"/>
    <col min="1800" max="1800" width="11.5546875" style="14" customWidth="1"/>
    <col min="1801" max="1801" width="11" style="14" customWidth="1"/>
    <col min="1802" max="1802" width="10" style="14" customWidth="1"/>
    <col min="1803" max="1803" width="11.88671875" style="14" customWidth="1"/>
    <col min="1804" max="1804" width="10.33203125" style="14" customWidth="1"/>
    <col min="1805" max="1805" width="10.88671875" style="14" customWidth="1"/>
    <col min="1806" max="1806" width="10.5546875" style="14" customWidth="1"/>
    <col min="1807" max="1807" width="15.5546875" style="14" customWidth="1"/>
    <col min="1808" max="1808" width="23.5546875" style="14" customWidth="1"/>
    <col min="1809" max="1809" width="9.109375" style="14" customWidth="1"/>
    <col min="1810" max="1810" width="15.6640625" style="14" customWidth="1"/>
    <col min="1811" max="1811" width="23.88671875" style="14" customWidth="1"/>
    <col min="1812" max="1812" width="10.44140625" style="14" customWidth="1"/>
    <col min="1813" max="1813" width="12.44140625" style="14" customWidth="1"/>
    <col min="1814" max="1814" width="8.33203125" style="14" customWidth="1"/>
    <col min="1815" max="1815" width="8.44140625" style="14" customWidth="1"/>
    <col min="1816" max="1816" width="7.6640625" style="14" customWidth="1"/>
    <col min="1817" max="1817" width="7.5546875" style="14" customWidth="1"/>
    <col min="1818" max="1818" width="21.109375" style="14" customWidth="1"/>
    <col min="1819" max="2049" width="11.44140625" style="14"/>
    <col min="2050" max="2050" width="5.88671875" style="14" customWidth="1"/>
    <col min="2051" max="2051" width="7.5546875" style="14" customWidth="1"/>
    <col min="2052" max="2052" width="26" style="14" customWidth="1"/>
    <col min="2053" max="2053" width="11.44140625" style="14" customWidth="1"/>
    <col min="2054" max="2054" width="10.33203125" style="14" customWidth="1"/>
    <col min="2055" max="2055" width="8.5546875" style="14" customWidth="1"/>
    <col min="2056" max="2056" width="11.5546875" style="14" customWidth="1"/>
    <col min="2057" max="2057" width="11" style="14" customWidth="1"/>
    <col min="2058" max="2058" width="10" style="14" customWidth="1"/>
    <col min="2059" max="2059" width="11.88671875" style="14" customWidth="1"/>
    <col min="2060" max="2060" width="10.33203125" style="14" customWidth="1"/>
    <col min="2061" max="2061" width="10.88671875" style="14" customWidth="1"/>
    <col min="2062" max="2062" width="10.5546875" style="14" customWidth="1"/>
    <col min="2063" max="2063" width="15.5546875" style="14" customWidth="1"/>
    <col min="2064" max="2064" width="23.5546875" style="14" customWidth="1"/>
    <col min="2065" max="2065" width="9.109375" style="14" customWidth="1"/>
    <col min="2066" max="2066" width="15.6640625" style="14" customWidth="1"/>
    <col min="2067" max="2067" width="23.88671875" style="14" customWidth="1"/>
    <col min="2068" max="2068" width="10.44140625" style="14" customWidth="1"/>
    <col min="2069" max="2069" width="12.44140625" style="14" customWidth="1"/>
    <col min="2070" max="2070" width="8.33203125" style="14" customWidth="1"/>
    <col min="2071" max="2071" width="8.44140625" style="14" customWidth="1"/>
    <col min="2072" max="2072" width="7.6640625" style="14" customWidth="1"/>
    <col min="2073" max="2073" width="7.5546875" style="14" customWidth="1"/>
    <col min="2074" max="2074" width="21.109375" style="14" customWidth="1"/>
    <col min="2075" max="2305" width="11.44140625" style="14"/>
    <col min="2306" max="2306" width="5.88671875" style="14" customWidth="1"/>
    <col min="2307" max="2307" width="7.5546875" style="14" customWidth="1"/>
    <col min="2308" max="2308" width="26" style="14" customWidth="1"/>
    <col min="2309" max="2309" width="11.44140625" style="14" customWidth="1"/>
    <col min="2310" max="2310" width="10.33203125" style="14" customWidth="1"/>
    <col min="2311" max="2311" width="8.5546875" style="14" customWidth="1"/>
    <col min="2312" max="2312" width="11.5546875" style="14" customWidth="1"/>
    <col min="2313" max="2313" width="11" style="14" customWidth="1"/>
    <col min="2314" max="2314" width="10" style="14" customWidth="1"/>
    <col min="2315" max="2315" width="11.88671875" style="14" customWidth="1"/>
    <col min="2316" max="2316" width="10.33203125" style="14" customWidth="1"/>
    <col min="2317" max="2317" width="10.88671875" style="14" customWidth="1"/>
    <col min="2318" max="2318" width="10.5546875" style="14" customWidth="1"/>
    <col min="2319" max="2319" width="15.5546875" style="14" customWidth="1"/>
    <col min="2320" max="2320" width="23.5546875" style="14" customWidth="1"/>
    <col min="2321" max="2321" width="9.109375" style="14" customWidth="1"/>
    <col min="2322" max="2322" width="15.6640625" style="14" customWidth="1"/>
    <col min="2323" max="2323" width="23.88671875" style="14" customWidth="1"/>
    <col min="2324" max="2324" width="10.44140625" style="14" customWidth="1"/>
    <col min="2325" max="2325" width="12.44140625" style="14" customWidth="1"/>
    <col min="2326" max="2326" width="8.33203125" style="14" customWidth="1"/>
    <col min="2327" max="2327" width="8.44140625" style="14" customWidth="1"/>
    <col min="2328" max="2328" width="7.6640625" style="14" customWidth="1"/>
    <col min="2329" max="2329" width="7.5546875" style="14" customWidth="1"/>
    <col min="2330" max="2330" width="21.109375" style="14" customWidth="1"/>
    <col min="2331" max="2561" width="11.44140625" style="14"/>
    <col min="2562" max="2562" width="5.88671875" style="14" customWidth="1"/>
    <col min="2563" max="2563" width="7.5546875" style="14" customWidth="1"/>
    <col min="2564" max="2564" width="26" style="14" customWidth="1"/>
    <col min="2565" max="2565" width="11.44140625" style="14" customWidth="1"/>
    <col min="2566" max="2566" width="10.33203125" style="14" customWidth="1"/>
    <col min="2567" max="2567" width="8.5546875" style="14" customWidth="1"/>
    <col min="2568" max="2568" width="11.5546875" style="14" customWidth="1"/>
    <col min="2569" max="2569" width="11" style="14" customWidth="1"/>
    <col min="2570" max="2570" width="10" style="14" customWidth="1"/>
    <col min="2571" max="2571" width="11.88671875" style="14" customWidth="1"/>
    <col min="2572" max="2572" width="10.33203125" style="14" customWidth="1"/>
    <col min="2573" max="2573" width="10.88671875" style="14" customWidth="1"/>
    <col min="2574" max="2574" width="10.5546875" style="14" customWidth="1"/>
    <col min="2575" max="2575" width="15.5546875" style="14" customWidth="1"/>
    <col min="2576" max="2576" width="23.5546875" style="14" customWidth="1"/>
    <col min="2577" max="2577" width="9.109375" style="14" customWidth="1"/>
    <col min="2578" max="2578" width="15.6640625" style="14" customWidth="1"/>
    <col min="2579" max="2579" width="23.88671875" style="14" customWidth="1"/>
    <col min="2580" max="2580" width="10.44140625" style="14" customWidth="1"/>
    <col min="2581" max="2581" width="12.44140625" style="14" customWidth="1"/>
    <col min="2582" max="2582" width="8.33203125" style="14" customWidth="1"/>
    <col min="2583" max="2583" width="8.44140625" style="14" customWidth="1"/>
    <col min="2584" max="2584" width="7.6640625" style="14" customWidth="1"/>
    <col min="2585" max="2585" width="7.5546875" style="14" customWidth="1"/>
    <col min="2586" max="2586" width="21.109375" style="14" customWidth="1"/>
    <col min="2587" max="2817" width="11.44140625" style="14"/>
    <col min="2818" max="2818" width="5.88671875" style="14" customWidth="1"/>
    <col min="2819" max="2819" width="7.5546875" style="14" customWidth="1"/>
    <col min="2820" max="2820" width="26" style="14" customWidth="1"/>
    <col min="2821" max="2821" width="11.44140625" style="14" customWidth="1"/>
    <col min="2822" max="2822" width="10.33203125" style="14" customWidth="1"/>
    <col min="2823" max="2823" width="8.5546875" style="14" customWidth="1"/>
    <col min="2824" max="2824" width="11.5546875" style="14" customWidth="1"/>
    <col min="2825" max="2825" width="11" style="14" customWidth="1"/>
    <col min="2826" max="2826" width="10" style="14" customWidth="1"/>
    <col min="2827" max="2827" width="11.88671875" style="14" customWidth="1"/>
    <col min="2828" max="2828" width="10.33203125" style="14" customWidth="1"/>
    <col min="2829" max="2829" width="10.88671875" style="14" customWidth="1"/>
    <col min="2830" max="2830" width="10.5546875" style="14" customWidth="1"/>
    <col min="2831" max="2831" width="15.5546875" style="14" customWidth="1"/>
    <col min="2832" max="2832" width="23.5546875" style="14" customWidth="1"/>
    <col min="2833" max="2833" width="9.109375" style="14" customWidth="1"/>
    <col min="2834" max="2834" width="15.6640625" style="14" customWidth="1"/>
    <col min="2835" max="2835" width="23.88671875" style="14" customWidth="1"/>
    <col min="2836" max="2836" width="10.44140625" style="14" customWidth="1"/>
    <col min="2837" max="2837" width="12.44140625" style="14" customWidth="1"/>
    <col min="2838" max="2838" width="8.33203125" style="14" customWidth="1"/>
    <col min="2839" max="2839" width="8.44140625" style="14" customWidth="1"/>
    <col min="2840" max="2840" width="7.6640625" style="14" customWidth="1"/>
    <col min="2841" max="2841" width="7.5546875" style="14" customWidth="1"/>
    <col min="2842" max="2842" width="21.109375" style="14" customWidth="1"/>
    <col min="2843" max="3073" width="11.44140625" style="14"/>
    <col min="3074" max="3074" width="5.88671875" style="14" customWidth="1"/>
    <col min="3075" max="3075" width="7.5546875" style="14" customWidth="1"/>
    <col min="3076" max="3076" width="26" style="14" customWidth="1"/>
    <col min="3077" max="3077" width="11.44140625" style="14" customWidth="1"/>
    <col min="3078" max="3078" width="10.33203125" style="14" customWidth="1"/>
    <col min="3079" max="3079" width="8.5546875" style="14" customWidth="1"/>
    <col min="3080" max="3080" width="11.5546875" style="14" customWidth="1"/>
    <col min="3081" max="3081" width="11" style="14" customWidth="1"/>
    <col min="3082" max="3082" width="10" style="14" customWidth="1"/>
    <col min="3083" max="3083" width="11.88671875" style="14" customWidth="1"/>
    <col min="3084" max="3084" width="10.33203125" style="14" customWidth="1"/>
    <col min="3085" max="3085" width="10.88671875" style="14" customWidth="1"/>
    <col min="3086" max="3086" width="10.5546875" style="14" customWidth="1"/>
    <col min="3087" max="3087" width="15.5546875" style="14" customWidth="1"/>
    <col min="3088" max="3088" width="23.5546875" style="14" customWidth="1"/>
    <col min="3089" max="3089" width="9.109375" style="14" customWidth="1"/>
    <col min="3090" max="3090" width="15.6640625" style="14" customWidth="1"/>
    <col min="3091" max="3091" width="23.88671875" style="14" customWidth="1"/>
    <col min="3092" max="3092" width="10.44140625" style="14" customWidth="1"/>
    <col min="3093" max="3093" width="12.44140625" style="14" customWidth="1"/>
    <col min="3094" max="3094" width="8.33203125" style="14" customWidth="1"/>
    <col min="3095" max="3095" width="8.44140625" style="14" customWidth="1"/>
    <col min="3096" max="3096" width="7.6640625" style="14" customWidth="1"/>
    <col min="3097" max="3097" width="7.5546875" style="14" customWidth="1"/>
    <col min="3098" max="3098" width="21.109375" style="14" customWidth="1"/>
    <col min="3099" max="3329" width="11.44140625" style="14"/>
    <col min="3330" max="3330" width="5.88671875" style="14" customWidth="1"/>
    <col min="3331" max="3331" width="7.5546875" style="14" customWidth="1"/>
    <col min="3332" max="3332" width="26" style="14" customWidth="1"/>
    <col min="3333" max="3333" width="11.44140625" style="14" customWidth="1"/>
    <col min="3334" max="3334" width="10.33203125" style="14" customWidth="1"/>
    <col min="3335" max="3335" width="8.5546875" style="14" customWidth="1"/>
    <col min="3336" max="3336" width="11.5546875" style="14" customWidth="1"/>
    <col min="3337" max="3337" width="11" style="14" customWidth="1"/>
    <col min="3338" max="3338" width="10" style="14" customWidth="1"/>
    <col min="3339" max="3339" width="11.88671875" style="14" customWidth="1"/>
    <col min="3340" max="3340" width="10.33203125" style="14" customWidth="1"/>
    <col min="3341" max="3341" width="10.88671875" style="14" customWidth="1"/>
    <col min="3342" max="3342" width="10.5546875" style="14" customWidth="1"/>
    <col min="3343" max="3343" width="15.5546875" style="14" customWidth="1"/>
    <col min="3344" max="3344" width="23.5546875" style="14" customWidth="1"/>
    <col min="3345" max="3345" width="9.109375" style="14" customWidth="1"/>
    <col min="3346" max="3346" width="15.6640625" style="14" customWidth="1"/>
    <col min="3347" max="3347" width="23.88671875" style="14" customWidth="1"/>
    <col min="3348" max="3348" width="10.44140625" style="14" customWidth="1"/>
    <col min="3349" max="3349" width="12.44140625" style="14" customWidth="1"/>
    <col min="3350" max="3350" width="8.33203125" style="14" customWidth="1"/>
    <col min="3351" max="3351" width="8.44140625" style="14" customWidth="1"/>
    <col min="3352" max="3352" width="7.6640625" style="14" customWidth="1"/>
    <col min="3353" max="3353" width="7.5546875" style="14" customWidth="1"/>
    <col min="3354" max="3354" width="21.109375" style="14" customWidth="1"/>
    <col min="3355" max="3585" width="11.44140625" style="14"/>
    <col min="3586" max="3586" width="5.88671875" style="14" customWidth="1"/>
    <col min="3587" max="3587" width="7.5546875" style="14" customWidth="1"/>
    <col min="3588" max="3588" width="26" style="14" customWidth="1"/>
    <col min="3589" max="3589" width="11.44140625" style="14" customWidth="1"/>
    <col min="3590" max="3590" width="10.33203125" style="14" customWidth="1"/>
    <col min="3591" max="3591" width="8.5546875" style="14" customWidth="1"/>
    <col min="3592" max="3592" width="11.5546875" style="14" customWidth="1"/>
    <col min="3593" max="3593" width="11" style="14" customWidth="1"/>
    <col min="3594" max="3594" width="10" style="14" customWidth="1"/>
    <col min="3595" max="3595" width="11.88671875" style="14" customWidth="1"/>
    <col min="3596" max="3596" width="10.33203125" style="14" customWidth="1"/>
    <col min="3597" max="3597" width="10.88671875" style="14" customWidth="1"/>
    <col min="3598" max="3598" width="10.5546875" style="14" customWidth="1"/>
    <col min="3599" max="3599" width="15.5546875" style="14" customWidth="1"/>
    <col min="3600" max="3600" width="23.5546875" style="14" customWidth="1"/>
    <col min="3601" max="3601" width="9.109375" style="14" customWidth="1"/>
    <col min="3602" max="3602" width="15.6640625" style="14" customWidth="1"/>
    <col min="3603" max="3603" width="23.88671875" style="14" customWidth="1"/>
    <col min="3604" max="3604" width="10.44140625" style="14" customWidth="1"/>
    <col min="3605" max="3605" width="12.44140625" style="14" customWidth="1"/>
    <col min="3606" max="3606" width="8.33203125" style="14" customWidth="1"/>
    <col min="3607" max="3607" width="8.44140625" style="14" customWidth="1"/>
    <col min="3608" max="3608" width="7.6640625" style="14" customWidth="1"/>
    <col min="3609" max="3609" width="7.5546875" style="14" customWidth="1"/>
    <col min="3610" max="3610" width="21.109375" style="14" customWidth="1"/>
    <col min="3611" max="3841" width="11.44140625" style="14"/>
    <col min="3842" max="3842" width="5.88671875" style="14" customWidth="1"/>
    <col min="3843" max="3843" width="7.5546875" style="14" customWidth="1"/>
    <col min="3844" max="3844" width="26" style="14" customWidth="1"/>
    <col min="3845" max="3845" width="11.44140625" style="14" customWidth="1"/>
    <col min="3846" max="3846" width="10.33203125" style="14" customWidth="1"/>
    <col min="3847" max="3847" width="8.5546875" style="14" customWidth="1"/>
    <col min="3848" max="3848" width="11.5546875" style="14" customWidth="1"/>
    <col min="3849" max="3849" width="11" style="14" customWidth="1"/>
    <col min="3850" max="3850" width="10" style="14" customWidth="1"/>
    <col min="3851" max="3851" width="11.88671875" style="14" customWidth="1"/>
    <col min="3852" max="3852" width="10.33203125" style="14" customWidth="1"/>
    <col min="3853" max="3853" width="10.88671875" style="14" customWidth="1"/>
    <col min="3854" max="3854" width="10.5546875" style="14" customWidth="1"/>
    <col min="3855" max="3855" width="15.5546875" style="14" customWidth="1"/>
    <col min="3856" max="3856" width="23.5546875" style="14" customWidth="1"/>
    <col min="3857" max="3857" width="9.109375" style="14" customWidth="1"/>
    <col min="3858" max="3858" width="15.6640625" style="14" customWidth="1"/>
    <col min="3859" max="3859" width="23.88671875" style="14" customWidth="1"/>
    <col min="3860" max="3860" width="10.44140625" style="14" customWidth="1"/>
    <col min="3861" max="3861" width="12.44140625" style="14" customWidth="1"/>
    <col min="3862" max="3862" width="8.33203125" style="14" customWidth="1"/>
    <col min="3863" max="3863" width="8.44140625" style="14" customWidth="1"/>
    <col min="3864" max="3864" width="7.6640625" style="14" customWidth="1"/>
    <col min="3865" max="3865" width="7.5546875" style="14" customWidth="1"/>
    <col min="3866" max="3866" width="21.109375" style="14" customWidth="1"/>
    <col min="3867" max="4097" width="11.44140625" style="14"/>
    <col min="4098" max="4098" width="5.88671875" style="14" customWidth="1"/>
    <col min="4099" max="4099" width="7.5546875" style="14" customWidth="1"/>
    <col min="4100" max="4100" width="26" style="14" customWidth="1"/>
    <col min="4101" max="4101" width="11.44140625" style="14" customWidth="1"/>
    <col min="4102" max="4102" width="10.33203125" style="14" customWidth="1"/>
    <col min="4103" max="4103" width="8.5546875" style="14" customWidth="1"/>
    <col min="4104" max="4104" width="11.5546875" style="14" customWidth="1"/>
    <col min="4105" max="4105" width="11" style="14" customWidth="1"/>
    <col min="4106" max="4106" width="10" style="14" customWidth="1"/>
    <col min="4107" max="4107" width="11.88671875" style="14" customWidth="1"/>
    <col min="4108" max="4108" width="10.33203125" style="14" customWidth="1"/>
    <col min="4109" max="4109" width="10.88671875" style="14" customWidth="1"/>
    <col min="4110" max="4110" width="10.5546875" style="14" customWidth="1"/>
    <col min="4111" max="4111" width="15.5546875" style="14" customWidth="1"/>
    <col min="4112" max="4112" width="23.5546875" style="14" customWidth="1"/>
    <col min="4113" max="4113" width="9.109375" style="14" customWidth="1"/>
    <col min="4114" max="4114" width="15.6640625" style="14" customWidth="1"/>
    <col min="4115" max="4115" width="23.88671875" style="14" customWidth="1"/>
    <col min="4116" max="4116" width="10.44140625" style="14" customWidth="1"/>
    <col min="4117" max="4117" width="12.44140625" style="14" customWidth="1"/>
    <col min="4118" max="4118" width="8.33203125" style="14" customWidth="1"/>
    <col min="4119" max="4119" width="8.44140625" style="14" customWidth="1"/>
    <col min="4120" max="4120" width="7.6640625" style="14" customWidth="1"/>
    <col min="4121" max="4121" width="7.5546875" style="14" customWidth="1"/>
    <col min="4122" max="4122" width="21.109375" style="14" customWidth="1"/>
    <col min="4123" max="4353" width="11.44140625" style="14"/>
    <col min="4354" max="4354" width="5.88671875" style="14" customWidth="1"/>
    <col min="4355" max="4355" width="7.5546875" style="14" customWidth="1"/>
    <col min="4356" max="4356" width="26" style="14" customWidth="1"/>
    <col min="4357" max="4357" width="11.44140625" style="14" customWidth="1"/>
    <col min="4358" max="4358" width="10.33203125" style="14" customWidth="1"/>
    <col min="4359" max="4359" width="8.5546875" style="14" customWidth="1"/>
    <col min="4360" max="4360" width="11.5546875" style="14" customWidth="1"/>
    <col min="4361" max="4361" width="11" style="14" customWidth="1"/>
    <col min="4362" max="4362" width="10" style="14" customWidth="1"/>
    <col min="4363" max="4363" width="11.88671875" style="14" customWidth="1"/>
    <col min="4364" max="4364" width="10.33203125" style="14" customWidth="1"/>
    <col min="4365" max="4365" width="10.88671875" style="14" customWidth="1"/>
    <col min="4366" max="4366" width="10.5546875" style="14" customWidth="1"/>
    <col min="4367" max="4367" width="15.5546875" style="14" customWidth="1"/>
    <col min="4368" max="4368" width="23.5546875" style="14" customWidth="1"/>
    <col min="4369" max="4369" width="9.109375" style="14" customWidth="1"/>
    <col min="4370" max="4370" width="15.6640625" style="14" customWidth="1"/>
    <col min="4371" max="4371" width="23.88671875" style="14" customWidth="1"/>
    <col min="4372" max="4372" width="10.44140625" style="14" customWidth="1"/>
    <col min="4373" max="4373" width="12.44140625" style="14" customWidth="1"/>
    <col min="4374" max="4374" width="8.33203125" style="14" customWidth="1"/>
    <col min="4375" max="4375" width="8.44140625" style="14" customWidth="1"/>
    <col min="4376" max="4376" width="7.6640625" style="14" customWidth="1"/>
    <col min="4377" max="4377" width="7.5546875" style="14" customWidth="1"/>
    <col min="4378" max="4378" width="21.109375" style="14" customWidth="1"/>
    <col min="4379" max="4609" width="11.44140625" style="14"/>
    <col min="4610" max="4610" width="5.88671875" style="14" customWidth="1"/>
    <col min="4611" max="4611" width="7.5546875" style="14" customWidth="1"/>
    <col min="4612" max="4612" width="26" style="14" customWidth="1"/>
    <col min="4613" max="4613" width="11.44140625" style="14" customWidth="1"/>
    <col min="4614" max="4614" width="10.33203125" style="14" customWidth="1"/>
    <col min="4615" max="4615" width="8.5546875" style="14" customWidth="1"/>
    <col min="4616" max="4616" width="11.5546875" style="14" customWidth="1"/>
    <col min="4617" max="4617" width="11" style="14" customWidth="1"/>
    <col min="4618" max="4618" width="10" style="14" customWidth="1"/>
    <col min="4619" max="4619" width="11.88671875" style="14" customWidth="1"/>
    <col min="4620" max="4620" width="10.33203125" style="14" customWidth="1"/>
    <col min="4621" max="4621" width="10.88671875" style="14" customWidth="1"/>
    <col min="4622" max="4622" width="10.5546875" style="14" customWidth="1"/>
    <col min="4623" max="4623" width="15.5546875" style="14" customWidth="1"/>
    <col min="4624" max="4624" width="23.5546875" style="14" customWidth="1"/>
    <col min="4625" max="4625" width="9.109375" style="14" customWidth="1"/>
    <col min="4626" max="4626" width="15.6640625" style="14" customWidth="1"/>
    <col min="4627" max="4627" width="23.88671875" style="14" customWidth="1"/>
    <col min="4628" max="4628" width="10.44140625" style="14" customWidth="1"/>
    <col min="4629" max="4629" width="12.44140625" style="14" customWidth="1"/>
    <col min="4630" max="4630" width="8.33203125" style="14" customWidth="1"/>
    <col min="4631" max="4631" width="8.44140625" style="14" customWidth="1"/>
    <col min="4632" max="4632" width="7.6640625" style="14" customWidth="1"/>
    <col min="4633" max="4633" width="7.5546875" style="14" customWidth="1"/>
    <col min="4634" max="4634" width="21.109375" style="14" customWidth="1"/>
    <col min="4635" max="4865" width="11.44140625" style="14"/>
    <col min="4866" max="4866" width="5.88671875" style="14" customWidth="1"/>
    <col min="4867" max="4867" width="7.5546875" style="14" customWidth="1"/>
    <col min="4868" max="4868" width="26" style="14" customWidth="1"/>
    <col min="4869" max="4869" width="11.44140625" style="14" customWidth="1"/>
    <col min="4870" max="4870" width="10.33203125" style="14" customWidth="1"/>
    <col min="4871" max="4871" width="8.5546875" style="14" customWidth="1"/>
    <col min="4872" max="4872" width="11.5546875" style="14" customWidth="1"/>
    <col min="4873" max="4873" width="11" style="14" customWidth="1"/>
    <col min="4874" max="4874" width="10" style="14" customWidth="1"/>
    <col min="4875" max="4875" width="11.88671875" style="14" customWidth="1"/>
    <col min="4876" max="4876" width="10.33203125" style="14" customWidth="1"/>
    <col min="4877" max="4877" width="10.88671875" style="14" customWidth="1"/>
    <col min="4878" max="4878" width="10.5546875" style="14" customWidth="1"/>
    <col min="4879" max="4879" width="15.5546875" style="14" customWidth="1"/>
    <col min="4880" max="4880" width="23.5546875" style="14" customWidth="1"/>
    <col min="4881" max="4881" width="9.109375" style="14" customWidth="1"/>
    <col min="4882" max="4882" width="15.6640625" style="14" customWidth="1"/>
    <col min="4883" max="4883" width="23.88671875" style="14" customWidth="1"/>
    <col min="4884" max="4884" width="10.44140625" style="14" customWidth="1"/>
    <col min="4885" max="4885" width="12.44140625" style="14" customWidth="1"/>
    <col min="4886" max="4886" width="8.33203125" style="14" customWidth="1"/>
    <col min="4887" max="4887" width="8.44140625" style="14" customWidth="1"/>
    <col min="4888" max="4888" width="7.6640625" style="14" customWidth="1"/>
    <col min="4889" max="4889" width="7.5546875" style="14" customWidth="1"/>
    <col min="4890" max="4890" width="21.109375" style="14" customWidth="1"/>
    <col min="4891" max="5121" width="11.44140625" style="14"/>
    <col min="5122" max="5122" width="5.88671875" style="14" customWidth="1"/>
    <col min="5123" max="5123" width="7.5546875" style="14" customWidth="1"/>
    <col min="5124" max="5124" width="26" style="14" customWidth="1"/>
    <col min="5125" max="5125" width="11.44140625" style="14" customWidth="1"/>
    <col min="5126" max="5126" width="10.33203125" style="14" customWidth="1"/>
    <col min="5127" max="5127" width="8.5546875" style="14" customWidth="1"/>
    <col min="5128" max="5128" width="11.5546875" style="14" customWidth="1"/>
    <col min="5129" max="5129" width="11" style="14" customWidth="1"/>
    <col min="5130" max="5130" width="10" style="14" customWidth="1"/>
    <col min="5131" max="5131" width="11.88671875" style="14" customWidth="1"/>
    <col min="5132" max="5132" width="10.33203125" style="14" customWidth="1"/>
    <col min="5133" max="5133" width="10.88671875" style="14" customWidth="1"/>
    <col min="5134" max="5134" width="10.5546875" style="14" customWidth="1"/>
    <col min="5135" max="5135" width="15.5546875" style="14" customWidth="1"/>
    <col min="5136" max="5136" width="23.5546875" style="14" customWidth="1"/>
    <col min="5137" max="5137" width="9.109375" style="14" customWidth="1"/>
    <col min="5138" max="5138" width="15.6640625" style="14" customWidth="1"/>
    <col min="5139" max="5139" width="23.88671875" style="14" customWidth="1"/>
    <col min="5140" max="5140" width="10.44140625" style="14" customWidth="1"/>
    <col min="5141" max="5141" width="12.44140625" style="14" customWidth="1"/>
    <col min="5142" max="5142" width="8.33203125" style="14" customWidth="1"/>
    <col min="5143" max="5143" width="8.44140625" style="14" customWidth="1"/>
    <col min="5144" max="5144" width="7.6640625" style="14" customWidth="1"/>
    <col min="5145" max="5145" width="7.5546875" style="14" customWidth="1"/>
    <col min="5146" max="5146" width="21.109375" style="14" customWidth="1"/>
    <col min="5147" max="5377" width="11.44140625" style="14"/>
    <col min="5378" max="5378" width="5.88671875" style="14" customWidth="1"/>
    <col min="5379" max="5379" width="7.5546875" style="14" customWidth="1"/>
    <col min="5380" max="5380" width="26" style="14" customWidth="1"/>
    <col min="5381" max="5381" width="11.44140625" style="14" customWidth="1"/>
    <col min="5382" max="5382" width="10.33203125" style="14" customWidth="1"/>
    <col min="5383" max="5383" width="8.5546875" style="14" customWidth="1"/>
    <col min="5384" max="5384" width="11.5546875" style="14" customWidth="1"/>
    <col min="5385" max="5385" width="11" style="14" customWidth="1"/>
    <col min="5386" max="5386" width="10" style="14" customWidth="1"/>
    <col min="5387" max="5387" width="11.88671875" style="14" customWidth="1"/>
    <col min="5388" max="5388" width="10.33203125" style="14" customWidth="1"/>
    <col min="5389" max="5389" width="10.88671875" style="14" customWidth="1"/>
    <col min="5390" max="5390" width="10.5546875" style="14" customWidth="1"/>
    <col min="5391" max="5391" width="15.5546875" style="14" customWidth="1"/>
    <col min="5392" max="5392" width="23.5546875" style="14" customWidth="1"/>
    <col min="5393" max="5393" width="9.109375" style="14" customWidth="1"/>
    <col min="5394" max="5394" width="15.6640625" style="14" customWidth="1"/>
    <col min="5395" max="5395" width="23.88671875" style="14" customWidth="1"/>
    <col min="5396" max="5396" width="10.44140625" style="14" customWidth="1"/>
    <col min="5397" max="5397" width="12.44140625" style="14" customWidth="1"/>
    <col min="5398" max="5398" width="8.33203125" style="14" customWidth="1"/>
    <col min="5399" max="5399" width="8.44140625" style="14" customWidth="1"/>
    <col min="5400" max="5400" width="7.6640625" style="14" customWidth="1"/>
    <col min="5401" max="5401" width="7.5546875" style="14" customWidth="1"/>
    <col min="5402" max="5402" width="21.109375" style="14" customWidth="1"/>
    <col min="5403" max="5633" width="11.44140625" style="14"/>
    <col min="5634" max="5634" width="5.88671875" style="14" customWidth="1"/>
    <col min="5635" max="5635" width="7.5546875" style="14" customWidth="1"/>
    <col min="5636" max="5636" width="26" style="14" customWidth="1"/>
    <col min="5637" max="5637" width="11.44140625" style="14" customWidth="1"/>
    <col min="5638" max="5638" width="10.33203125" style="14" customWidth="1"/>
    <col min="5639" max="5639" width="8.5546875" style="14" customWidth="1"/>
    <col min="5640" max="5640" width="11.5546875" style="14" customWidth="1"/>
    <col min="5641" max="5641" width="11" style="14" customWidth="1"/>
    <col min="5642" max="5642" width="10" style="14" customWidth="1"/>
    <col min="5643" max="5643" width="11.88671875" style="14" customWidth="1"/>
    <col min="5644" max="5644" width="10.33203125" style="14" customWidth="1"/>
    <col min="5645" max="5645" width="10.88671875" style="14" customWidth="1"/>
    <col min="5646" max="5646" width="10.5546875" style="14" customWidth="1"/>
    <col min="5647" max="5647" width="15.5546875" style="14" customWidth="1"/>
    <col min="5648" max="5648" width="23.5546875" style="14" customWidth="1"/>
    <col min="5649" max="5649" width="9.109375" style="14" customWidth="1"/>
    <col min="5650" max="5650" width="15.6640625" style="14" customWidth="1"/>
    <col min="5651" max="5651" width="23.88671875" style="14" customWidth="1"/>
    <col min="5652" max="5652" width="10.44140625" style="14" customWidth="1"/>
    <col min="5653" max="5653" width="12.44140625" style="14" customWidth="1"/>
    <col min="5654" max="5654" width="8.33203125" style="14" customWidth="1"/>
    <col min="5655" max="5655" width="8.44140625" style="14" customWidth="1"/>
    <col min="5656" max="5656" width="7.6640625" style="14" customWidth="1"/>
    <col min="5657" max="5657" width="7.5546875" style="14" customWidth="1"/>
    <col min="5658" max="5658" width="21.109375" style="14" customWidth="1"/>
    <col min="5659" max="5889" width="11.44140625" style="14"/>
    <col min="5890" max="5890" width="5.88671875" style="14" customWidth="1"/>
    <col min="5891" max="5891" width="7.5546875" style="14" customWidth="1"/>
    <col min="5892" max="5892" width="26" style="14" customWidth="1"/>
    <col min="5893" max="5893" width="11.44140625" style="14" customWidth="1"/>
    <col min="5894" max="5894" width="10.33203125" style="14" customWidth="1"/>
    <col min="5895" max="5895" width="8.5546875" style="14" customWidth="1"/>
    <col min="5896" max="5896" width="11.5546875" style="14" customWidth="1"/>
    <col min="5897" max="5897" width="11" style="14" customWidth="1"/>
    <col min="5898" max="5898" width="10" style="14" customWidth="1"/>
    <col min="5899" max="5899" width="11.88671875" style="14" customWidth="1"/>
    <col min="5900" max="5900" width="10.33203125" style="14" customWidth="1"/>
    <col min="5901" max="5901" width="10.88671875" style="14" customWidth="1"/>
    <col min="5902" max="5902" width="10.5546875" style="14" customWidth="1"/>
    <col min="5903" max="5903" width="15.5546875" style="14" customWidth="1"/>
    <col min="5904" max="5904" width="23.5546875" style="14" customWidth="1"/>
    <col min="5905" max="5905" width="9.109375" style="14" customWidth="1"/>
    <col min="5906" max="5906" width="15.6640625" style="14" customWidth="1"/>
    <col min="5907" max="5907" width="23.88671875" style="14" customWidth="1"/>
    <col min="5908" max="5908" width="10.44140625" style="14" customWidth="1"/>
    <col min="5909" max="5909" width="12.44140625" style="14" customWidth="1"/>
    <col min="5910" max="5910" width="8.33203125" style="14" customWidth="1"/>
    <col min="5911" max="5911" width="8.44140625" style="14" customWidth="1"/>
    <col min="5912" max="5912" width="7.6640625" style="14" customWidth="1"/>
    <col min="5913" max="5913" width="7.5546875" style="14" customWidth="1"/>
    <col min="5914" max="5914" width="21.109375" style="14" customWidth="1"/>
    <col min="5915" max="6145" width="11.44140625" style="14"/>
    <col min="6146" max="6146" width="5.88671875" style="14" customWidth="1"/>
    <col min="6147" max="6147" width="7.5546875" style="14" customWidth="1"/>
    <col min="6148" max="6148" width="26" style="14" customWidth="1"/>
    <col min="6149" max="6149" width="11.44140625" style="14" customWidth="1"/>
    <col min="6150" max="6150" width="10.33203125" style="14" customWidth="1"/>
    <col min="6151" max="6151" width="8.5546875" style="14" customWidth="1"/>
    <col min="6152" max="6152" width="11.5546875" style="14" customWidth="1"/>
    <col min="6153" max="6153" width="11" style="14" customWidth="1"/>
    <col min="6154" max="6154" width="10" style="14" customWidth="1"/>
    <col min="6155" max="6155" width="11.88671875" style="14" customWidth="1"/>
    <col min="6156" max="6156" width="10.33203125" style="14" customWidth="1"/>
    <col min="6157" max="6157" width="10.88671875" style="14" customWidth="1"/>
    <col min="6158" max="6158" width="10.5546875" style="14" customWidth="1"/>
    <col min="6159" max="6159" width="15.5546875" style="14" customWidth="1"/>
    <col min="6160" max="6160" width="23.5546875" style="14" customWidth="1"/>
    <col min="6161" max="6161" width="9.109375" style="14" customWidth="1"/>
    <col min="6162" max="6162" width="15.6640625" style="14" customWidth="1"/>
    <col min="6163" max="6163" width="23.88671875" style="14" customWidth="1"/>
    <col min="6164" max="6164" width="10.44140625" style="14" customWidth="1"/>
    <col min="6165" max="6165" width="12.44140625" style="14" customWidth="1"/>
    <col min="6166" max="6166" width="8.33203125" style="14" customWidth="1"/>
    <col min="6167" max="6167" width="8.44140625" style="14" customWidth="1"/>
    <col min="6168" max="6168" width="7.6640625" style="14" customWidth="1"/>
    <col min="6169" max="6169" width="7.5546875" style="14" customWidth="1"/>
    <col min="6170" max="6170" width="21.109375" style="14" customWidth="1"/>
    <col min="6171" max="6401" width="11.44140625" style="14"/>
    <col min="6402" max="6402" width="5.88671875" style="14" customWidth="1"/>
    <col min="6403" max="6403" width="7.5546875" style="14" customWidth="1"/>
    <col min="6404" max="6404" width="26" style="14" customWidth="1"/>
    <col min="6405" max="6405" width="11.44140625" style="14" customWidth="1"/>
    <col min="6406" max="6406" width="10.33203125" style="14" customWidth="1"/>
    <col min="6407" max="6407" width="8.5546875" style="14" customWidth="1"/>
    <col min="6408" max="6408" width="11.5546875" style="14" customWidth="1"/>
    <col min="6409" max="6409" width="11" style="14" customWidth="1"/>
    <col min="6410" max="6410" width="10" style="14" customWidth="1"/>
    <col min="6411" max="6411" width="11.88671875" style="14" customWidth="1"/>
    <col min="6412" max="6412" width="10.33203125" style="14" customWidth="1"/>
    <col min="6413" max="6413" width="10.88671875" style="14" customWidth="1"/>
    <col min="6414" max="6414" width="10.5546875" style="14" customWidth="1"/>
    <col min="6415" max="6415" width="15.5546875" style="14" customWidth="1"/>
    <col min="6416" max="6416" width="23.5546875" style="14" customWidth="1"/>
    <col min="6417" max="6417" width="9.109375" style="14" customWidth="1"/>
    <col min="6418" max="6418" width="15.6640625" style="14" customWidth="1"/>
    <col min="6419" max="6419" width="23.88671875" style="14" customWidth="1"/>
    <col min="6420" max="6420" width="10.44140625" style="14" customWidth="1"/>
    <col min="6421" max="6421" width="12.44140625" style="14" customWidth="1"/>
    <col min="6422" max="6422" width="8.33203125" style="14" customWidth="1"/>
    <col min="6423" max="6423" width="8.44140625" style="14" customWidth="1"/>
    <col min="6424" max="6424" width="7.6640625" style="14" customWidth="1"/>
    <col min="6425" max="6425" width="7.5546875" style="14" customWidth="1"/>
    <col min="6426" max="6426" width="21.109375" style="14" customWidth="1"/>
    <col min="6427" max="6657" width="11.44140625" style="14"/>
    <col min="6658" max="6658" width="5.88671875" style="14" customWidth="1"/>
    <col min="6659" max="6659" width="7.5546875" style="14" customWidth="1"/>
    <col min="6660" max="6660" width="26" style="14" customWidth="1"/>
    <col min="6661" max="6661" width="11.44140625" style="14" customWidth="1"/>
    <col min="6662" max="6662" width="10.33203125" style="14" customWidth="1"/>
    <col min="6663" max="6663" width="8.5546875" style="14" customWidth="1"/>
    <col min="6664" max="6664" width="11.5546875" style="14" customWidth="1"/>
    <col min="6665" max="6665" width="11" style="14" customWidth="1"/>
    <col min="6666" max="6666" width="10" style="14" customWidth="1"/>
    <col min="6667" max="6667" width="11.88671875" style="14" customWidth="1"/>
    <col min="6668" max="6668" width="10.33203125" style="14" customWidth="1"/>
    <col min="6669" max="6669" width="10.88671875" style="14" customWidth="1"/>
    <col min="6670" max="6670" width="10.5546875" style="14" customWidth="1"/>
    <col min="6671" max="6671" width="15.5546875" style="14" customWidth="1"/>
    <col min="6672" max="6672" width="23.5546875" style="14" customWidth="1"/>
    <col min="6673" max="6673" width="9.109375" style="14" customWidth="1"/>
    <col min="6674" max="6674" width="15.6640625" style="14" customWidth="1"/>
    <col min="6675" max="6675" width="23.88671875" style="14" customWidth="1"/>
    <col min="6676" max="6676" width="10.44140625" style="14" customWidth="1"/>
    <col min="6677" max="6677" width="12.44140625" style="14" customWidth="1"/>
    <col min="6678" max="6678" width="8.33203125" style="14" customWidth="1"/>
    <col min="6679" max="6679" width="8.44140625" style="14" customWidth="1"/>
    <col min="6680" max="6680" width="7.6640625" style="14" customWidth="1"/>
    <col min="6681" max="6681" width="7.5546875" style="14" customWidth="1"/>
    <col min="6682" max="6682" width="21.109375" style="14" customWidth="1"/>
    <col min="6683" max="6913" width="11.44140625" style="14"/>
    <col min="6914" max="6914" width="5.88671875" style="14" customWidth="1"/>
    <col min="6915" max="6915" width="7.5546875" style="14" customWidth="1"/>
    <col min="6916" max="6916" width="26" style="14" customWidth="1"/>
    <col min="6917" max="6917" width="11.44140625" style="14" customWidth="1"/>
    <col min="6918" max="6918" width="10.33203125" style="14" customWidth="1"/>
    <col min="6919" max="6919" width="8.5546875" style="14" customWidth="1"/>
    <col min="6920" max="6920" width="11.5546875" style="14" customWidth="1"/>
    <col min="6921" max="6921" width="11" style="14" customWidth="1"/>
    <col min="6922" max="6922" width="10" style="14" customWidth="1"/>
    <col min="6923" max="6923" width="11.88671875" style="14" customWidth="1"/>
    <col min="6924" max="6924" width="10.33203125" style="14" customWidth="1"/>
    <col min="6925" max="6925" width="10.88671875" style="14" customWidth="1"/>
    <col min="6926" max="6926" width="10.5546875" style="14" customWidth="1"/>
    <col min="6927" max="6927" width="15.5546875" style="14" customWidth="1"/>
    <col min="6928" max="6928" width="23.5546875" style="14" customWidth="1"/>
    <col min="6929" max="6929" width="9.109375" style="14" customWidth="1"/>
    <col min="6930" max="6930" width="15.6640625" style="14" customWidth="1"/>
    <col min="6931" max="6931" width="23.88671875" style="14" customWidth="1"/>
    <col min="6932" max="6932" width="10.44140625" style="14" customWidth="1"/>
    <col min="6933" max="6933" width="12.44140625" style="14" customWidth="1"/>
    <col min="6934" max="6934" width="8.33203125" style="14" customWidth="1"/>
    <col min="6935" max="6935" width="8.44140625" style="14" customWidth="1"/>
    <col min="6936" max="6936" width="7.6640625" style="14" customWidth="1"/>
    <col min="6937" max="6937" width="7.5546875" style="14" customWidth="1"/>
    <col min="6938" max="6938" width="21.109375" style="14" customWidth="1"/>
    <col min="6939" max="7169" width="11.44140625" style="14"/>
    <col min="7170" max="7170" width="5.88671875" style="14" customWidth="1"/>
    <col min="7171" max="7171" width="7.5546875" style="14" customWidth="1"/>
    <col min="7172" max="7172" width="26" style="14" customWidth="1"/>
    <col min="7173" max="7173" width="11.44140625" style="14" customWidth="1"/>
    <col min="7174" max="7174" width="10.33203125" style="14" customWidth="1"/>
    <col min="7175" max="7175" width="8.5546875" style="14" customWidth="1"/>
    <col min="7176" max="7176" width="11.5546875" style="14" customWidth="1"/>
    <col min="7177" max="7177" width="11" style="14" customWidth="1"/>
    <col min="7178" max="7178" width="10" style="14" customWidth="1"/>
    <col min="7179" max="7179" width="11.88671875" style="14" customWidth="1"/>
    <col min="7180" max="7180" width="10.33203125" style="14" customWidth="1"/>
    <col min="7181" max="7181" width="10.88671875" style="14" customWidth="1"/>
    <col min="7182" max="7182" width="10.5546875" style="14" customWidth="1"/>
    <col min="7183" max="7183" width="15.5546875" style="14" customWidth="1"/>
    <col min="7184" max="7184" width="23.5546875" style="14" customWidth="1"/>
    <col min="7185" max="7185" width="9.109375" style="14" customWidth="1"/>
    <col min="7186" max="7186" width="15.6640625" style="14" customWidth="1"/>
    <col min="7187" max="7187" width="23.88671875" style="14" customWidth="1"/>
    <col min="7188" max="7188" width="10.44140625" style="14" customWidth="1"/>
    <col min="7189" max="7189" width="12.44140625" style="14" customWidth="1"/>
    <col min="7190" max="7190" width="8.33203125" style="14" customWidth="1"/>
    <col min="7191" max="7191" width="8.44140625" style="14" customWidth="1"/>
    <col min="7192" max="7192" width="7.6640625" style="14" customWidth="1"/>
    <col min="7193" max="7193" width="7.5546875" style="14" customWidth="1"/>
    <col min="7194" max="7194" width="21.109375" style="14" customWidth="1"/>
    <col min="7195" max="7425" width="11.44140625" style="14"/>
    <col min="7426" max="7426" width="5.88671875" style="14" customWidth="1"/>
    <col min="7427" max="7427" width="7.5546875" style="14" customWidth="1"/>
    <col min="7428" max="7428" width="26" style="14" customWidth="1"/>
    <col min="7429" max="7429" width="11.44140625" style="14" customWidth="1"/>
    <col min="7430" max="7430" width="10.33203125" style="14" customWidth="1"/>
    <col min="7431" max="7431" width="8.5546875" style="14" customWidth="1"/>
    <col min="7432" max="7432" width="11.5546875" style="14" customWidth="1"/>
    <col min="7433" max="7433" width="11" style="14" customWidth="1"/>
    <col min="7434" max="7434" width="10" style="14" customWidth="1"/>
    <col min="7435" max="7435" width="11.88671875" style="14" customWidth="1"/>
    <col min="7436" max="7436" width="10.33203125" style="14" customWidth="1"/>
    <col min="7437" max="7437" width="10.88671875" style="14" customWidth="1"/>
    <col min="7438" max="7438" width="10.5546875" style="14" customWidth="1"/>
    <col min="7439" max="7439" width="15.5546875" style="14" customWidth="1"/>
    <col min="7440" max="7440" width="23.5546875" style="14" customWidth="1"/>
    <col min="7441" max="7441" width="9.109375" style="14" customWidth="1"/>
    <col min="7442" max="7442" width="15.6640625" style="14" customWidth="1"/>
    <col min="7443" max="7443" width="23.88671875" style="14" customWidth="1"/>
    <col min="7444" max="7444" width="10.44140625" style="14" customWidth="1"/>
    <col min="7445" max="7445" width="12.44140625" style="14" customWidth="1"/>
    <col min="7446" max="7446" width="8.33203125" style="14" customWidth="1"/>
    <col min="7447" max="7447" width="8.44140625" style="14" customWidth="1"/>
    <col min="7448" max="7448" width="7.6640625" style="14" customWidth="1"/>
    <col min="7449" max="7449" width="7.5546875" style="14" customWidth="1"/>
    <col min="7450" max="7450" width="21.109375" style="14" customWidth="1"/>
    <col min="7451" max="7681" width="11.44140625" style="14"/>
    <col min="7682" max="7682" width="5.88671875" style="14" customWidth="1"/>
    <col min="7683" max="7683" width="7.5546875" style="14" customWidth="1"/>
    <col min="7684" max="7684" width="26" style="14" customWidth="1"/>
    <col min="7685" max="7685" width="11.44140625" style="14" customWidth="1"/>
    <col min="7686" max="7686" width="10.33203125" style="14" customWidth="1"/>
    <col min="7687" max="7687" width="8.5546875" style="14" customWidth="1"/>
    <col min="7688" max="7688" width="11.5546875" style="14" customWidth="1"/>
    <col min="7689" max="7689" width="11" style="14" customWidth="1"/>
    <col min="7690" max="7690" width="10" style="14" customWidth="1"/>
    <col min="7691" max="7691" width="11.88671875" style="14" customWidth="1"/>
    <col min="7692" max="7692" width="10.33203125" style="14" customWidth="1"/>
    <col min="7693" max="7693" width="10.88671875" style="14" customWidth="1"/>
    <col min="7694" max="7694" width="10.5546875" style="14" customWidth="1"/>
    <col min="7695" max="7695" width="15.5546875" style="14" customWidth="1"/>
    <col min="7696" max="7696" width="23.5546875" style="14" customWidth="1"/>
    <col min="7697" max="7697" width="9.109375" style="14" customWidth="1"/>
    <col min="7698" max="7698" width="15.6640625" style="14" customWidth="1"/>
    <col min="7699" max="7699" width="23.88671875" style="14" customWidth="1"/>
    <col min="7700" max="7700" width="10.44140625" style="14" customWidth="1"/>
    <col min="7701" max="7701" width="12.44140625" style="14" customWidth="1"/>
    <col min="7702" max="7702" width="8.33203125" style="14" customWidth="1"/>
    <col min="7703" max="7703" width="8.44140625" style="14" customWidth="1"/>
    <col min="7704" max="7704" width="7.6640625" style="14" customWidth="1"/>
    <col min="7705" max="7705" width="7.5546875" style="14" customWidth="1"/>
    <col min="7706" max="7706" width="21.109375" style="14" customWidth="1"/>
    <col min="7707" max="7937" width="11.44140625" style="14"/>
    <col min="7938" max="7938" width="5.88671875" style="14" customWidth="1"/>
    <col min="7939" max="7939" width="7.5546875" style="14" customWidth="1"/>
    <col min="7940" max="7940" width="26" style="14" customWidth="1"/>
    <col min="7941" max="7941" width="11.44140625" style="14" customWidth="1"/>
    <col min="7942" max="7942" width="10.33203125" style="14" customWidth="1"/>
    <col min="7943" max="7943" width="8.5546875" style="14" customWidth="1"/>
    <col min="7944" max="7944" width="11.5546875" style="14" customWidth="1"/>
    <col min="7945" max="7945" width="11" style="14" customWidth="1"/>
    <col min="7946" max="7946" width="10" style="14" customWidth="1"/>
    <col min="7947" max="7947" width="11.88671875" style="14" customWidth="1"/>
    <col min="7948" max="7948" width="10.33203125" style="14" customWidth="1"/>
    <col min="7949" max="7949" width="10.88671875" style="14" customWidth="1"/>
    <col min="7950" max="7950" width="10.5546875" style="14" customWidth="1"/>
    <col min="7951" max="7951" width="15.5546875" style="14" customWidth="1"/>
    <col min="7952" max="7952" width="23.5546875" style="14" customWidth="1"/>
    <col min="7953" max="7953" width="9.109375" style="14" customWidth="1"/>
    <col min="7954" max="7954" width="15.6640625" style="14" customWidth="1"/>
    <col min="7955" max="7955" width="23.88671875" style="14" customWidth="1"/>
    <col min="7956" max="7956" width="10.44140625" style="14" customWidth="1"/>
    <col min="7957" max="7957" width="12.44140625" style="14" customWidth="1"/>
    <col min="7958" max="7958" width="8.33203125" style="14" customWidth="1"/>
    <col min="7959" max="7959" width="8.44140625" style="14" customWidth="1"/>
    <col min="7960" max="7960" width="7.6640625" style="14" customWidth="1"/>
    <col min="7961" max="7961" width="7.5546875" style="14" customWidth="1"/>
    <col min="7962" max="7962" width="21.109375" style="14" customWidth="1"/>
    <col min="7963" max="8193" width="11.44140625" style="14"/>
    <col min="8194" max="8194" width="5.88671875" style="14" customWidth="1"/>
    <col min="8195" max="8195" width="7.5546875" style="14" customWidth="1"/>
    <col min="8196" max="8196" width="26" style="14" customWidth="1"/>
    <col min="8197" max="8197" width="11.44140625" style="14" customWidth="1"/>
    <col min="8198" max="8198" width="10.33203125" style="14" customWidth="1"/>
    <col min="8199" max="8199" width="8.5546875" style="14" customWidth="1"/>
    <col min="8200" max="8200" width="11.5546875" style="14" customWidth="1"/>
    <col min="8201" max="8201" width="11" style="14" customWidth="1"/>
    <col min="8202" max="8202" width="10" style="14" customWidth="1"/>
    <col min="8203" max="8203" width="11.88671875" style="14" customWidth="1"/>
    <col min="8204" max="8204" width="10.33203125" style="14" customWidth="1"/>
    <col min="8205" max="8205" width="10.88671875" style="14" customWidth="1"/>
    <col min="8206" max="8206" width="10.5546875" style="14" customWidth="1"/>
    <col min="8207" max="8207" width="15.5546875" style="14" customWidth="1"/>
    <col min="8208" max="8208" width="23.5546875" style="14" customWidth="1"/>
    <col min="8209" max="8209" width="9.109375" style="14" customWidth="1"/>
    <col min="8210" max="8210" width="15.6640625" style="14" customWidth="1"/>
    <col min="8211" max="8211" width="23.88671875" style="14" customWidth="1"/>
    <col min="8212" max="8212" width="10.44140625" style="14" customWidth="1"/>
    <col min="8213" max="8213" width="12.44140625" style="14" customWidth="1"/>
    <col min="8214" max="8214" width="8.33203125" style="14" customWidth="1"/>
    <col min="8215" max="8215" width="8.44140625" style="14" customWidth="1"/>
    <col min="8216" max="8216" width="7.6640625" style="14" customWidth="1"/>
    <col min="8217" max="8217" width="7.5546875" style="14" customWidth="1"/>
    <col min="8218" max="8218" width="21.109375" style="14" customWidth="1"/>
    <col min="8219" max="8449" width="11.44140625" style="14"/>
    <col min="8450" max="8450" width="5.88671875" style="14" customWidth="1"/>
    <col min="8451" max="8451" width="7.5546875" style="14" customWidth="1"/>
    <col min="8452" max="8452" width="26" style="14" customWidth="1"/>
    <col min="8453" max="8453" width="11.44140625" style="14" customWidth="1"/>
    <col min="8454" max="8454" width="10.33203125" style="14" customWidth="1"/>
    <col min="8455" max="8455" width="8.5546875" style="14" customWidth="1"/>
    <col min="8456" max="8456" width="11.5546875" style="14" customWidth="1"/>
    <col min="8457" max="8457" width="11" style="14" customWidth="1"/>
    <col min="8458" max="8458" width="10" style="14" customWidth="1"/>
    <col min="8459" max="8459" width="11.88671875" style="14" customWidth="1"/>
    <col min="8460" max="8460" width="10.33203125" style="14" customWidth="1"/>
    <col min="8461" max="8461" width="10.88671875" style="14" customWidth="1"/>
    <col min="8462" max="8462" width="10.5546875" style="14" customWidth="1"/>
    <col min="8463" max="8463" width="15.5546875" style="14" customWidth="1"/>
    <col min="8464" max="8464" width="23.5546875" style="14" customWidth="1"/>
    <col min="8465" max="8465" width="9.109375" style="14" customWidth="1"/>
    <col min="8466" max="8466" width="15.6640625" style="14" customWidth="1"/>
    <col min="8467" max="8467" width="23.88671875" style="14" customWidth="1"/>
    <col min="8468" max="8468" width="10.44140625" style="14" customWidth="1"/>
    <col min="8469" max="8469" width="12.44140625" style="14" customWidth="1"/>
    <col min="8470" max="8470" width="8.33203125" style="14" customWidth="1"/>
    <col min="8471" max="8471" width="8.44140625" style="14" customWidth="1"/>
    <col min="8472" max="8472" width="7.6640625" style="14" customWidth="1"/>
    <col min="8473" max="8473" width="7.5546875" style="14" customWidth="1"/>
    <col min="8474" max="8474" width="21.109375" style="14" customWidth="1"/>
    <col min="8475" max="8705" width="11.44140625" style="14"/>
    <col min="8706" max="8706" width="5.88671875" style="14" customWidth="1"/>
    <col min="8707" max="8707" width="7.5546875" style="14" customWidth="1"/>
    <col min="8708" max="8708" width="26" style="14" customWidth="1"/>
    <col min="8709" max="8709" width="11.44140625" style="14" customWidth="1"/>
    <col min="8710" max="8710" width="10.33203125" style="14" customWidth="1"/>
    <col min="8711" max="8711" width="8.5546875" style="14" customWidth="1"/>
    <col min="8712" max="8712" width="11.5546875" style="14" customWidth="1"/>
    <col min="8713" max="8713" width="11" style="14" customWidth="1"/>
    <col min="8714" max="8714" width="10" style="14" customWidth="1"/>
    <col min="8715" max="8715" width="11.88671875" style="14" customWidth="1"/>
    <col min="8716" max="8716" width="10.33203125" style="14" customWidth="1"/>
    <col min="8717" max="8717" width="10.88671875" style="14" customWidth="1"/>
    <col min="8718" max="8718" width="10.5546875" style="14" customWidth="1"/>
    <col min="8719" max="8719" width="15.5546875" style="14" customWidth="1"/>
    <col min="8720" max="8720" width="23.5546875" style="14" customWidth="1"/>
    <col min="8721" max="8721" width="9.109375" style="14" customWidth="1"/>
    <col min="8722" max="8722" width="15.6640625" style="14" customWidth="1"/>
    <col min="8723" max="8723" width="23.88671875" style="14" customWidth="1"/>
    <col min="8724" max="8724" width="10.44140625" style="14" customWidth="1"/>
    <col min="8725" max="8725" width="12.44140625" style="14" customWidth="1"/>
    <col min="8726" max="8726" width="8.33203125" style="14" customWidth="1"/>
    <col min="8727" max="8727" width="8.44140625" style="14" customWidth="1"/>
    <col min="8728" max="8728" width="7.6640625" style="14" customWidth="1"/>
    <col min="8729" max="8729" width="7.5546875" style="14" customWidth="1"/>
    <col min="8730" max="8730" width="21.109375" style="14" customWidth="1"/>
    <col min="8731" max="8961" width="11.44140625" style="14"/>
    <col min="8962" max="8962" width="5.88671875" style="14" customWidth="1"/>
    <col min="8963" max="8963" width="7.5546875" style="14" customWidth="1"/>
    <col min="8964" max="8964" width="26" style="14" customWidth="1"/>
    <col min="8965" max="8965" width="11.44140625" style="14" customWidth="1"/>
    <col min="8966" max="8966" width="10.33203125" style="14" customWidth="1"/>
    <col min="8967" max="8967" width="8.5546875" style="14" customWidth="1"/>
    <col min="8968" max="8968" width="11.5546875" style="14" customWidth="1"/>
    <col min="8969" max="8969" width="11" style="14" customWidth="1"/>
    <col min="8970" max="8970" width="10" style="14" customWidth="1"/>
    <col min="8971" max="8971" width="11.88671875" style="14" customWidth="1"/>
    <col min="8972" max="8972" width="10.33203125" style="14" customWidth="1"/>
    <col min="8973" max="8973" width="10.88671875" style="14" customWidth="1"/>
    <col min="8974" max="8974" width="10.5546875" style="14" customWidth="1"/>
    <col min="8975" max="8975" width="15.5546875" style="14" customWidth="1"/>
    <col min="8976" max="8976" width="23.5546875" style="14" customWidth="1"/>
    <col min="8977" max="8977" width="9.109375" style="14" customWidth="1"/>
    <col min="8978" max="8978" width="15.6640625" style="14" customWidth="1"/>
    <col min="8979" max="8979" width="23.88671875" style="14" customWidth="1"/>
    <col min="8980" max="8980" width="10.44140625" style="14" customWidth="1"/>
    <col min="8981" max="8981" width="12.44140625" style="14" customWidth="1"/>
    <col min="8982" max="8982" width="8.33203125" style="14" customWidth="1"/>
    <col min="8983" max="8983" width="8.44140625" style="14" customWidth="1"/>
    <col min="8984" max="8984" width="7.6640625" style="14" customWidth="1"/>
    <col min="8985" max="8985" width="7.5546875" style="14" customWidth="1"/>
    <col min="8986" max="8986" width="21.109375" style="14" customWidth="1"/>
    <col min="8987" max="9217" width="11.44140625" style="14"/>
    <col min="9218" max="9218" width="5.88671875" style="14" customWidth="1"/>
    <col min="9219" max="9219" width="7.5546875" style="14" customWidth="1"/>
    <col min="9220" max="9220" width="26" style="14" customWidth="1"/>
    <col min="9221" max="9221" width="11.44140625" style="14" customWidth="1"/>
    <col min="9222" max="9222" width="10.33203125" style="14" customWidth="1"/>
    <col min="9223" max="9223" width="8.5546875" style="14" customWidth="1"/>
    <col min="9224" max="9224" width="11.5546875" style="14" customWidth="1"/>
    <col min="9225" max="9225" width="11" style="14" customWidth="1"/>
    <col min="9226" max="9226" width="10" style="14" customWidth="1"/>
    <col min="9227" max="9227" width="11.88671875" style="14" customWidth="1"/>
    <col min="9228" max="9228" width="10.33203125" style="14" customWidth="1"/>
    <col min="9229" max="9229" width="10.88671875" style="14" customWidth="1"/>
    <col min="9230" max="9230" width="10.5546875" style="14" customWidth="1"/>
    <col min="9231" max="9231" width="15.5546875" style="14" customWidth="1"/>
    <col min="9232" max="9232" width="23.5546875" style="14" customWidth="1"/>
    <col min="9233" max="9233" width="9.109375" style="14" customWidth="1"/>
    <col min="9234" max="9234" width="15.6640625" style="14" customWidth="1"/>
    <col min="9235" max="9235" width="23.88671875" style="14" customWidth="1"/>
    <col min="9236" max="9236" width="10.44140625" style="14" customWidth="1"/>
    <col min="9237" max="9237" width="12.44140625" style="14" customWidth="1"/>
    <col min="9238" max="9238" width="8.33203125" style="14" customWidth="1"/>
    <col min="9239" max="9239" width="8.44140625" style="14" customWidth="1"/>
    <col min="9240" max="9240" width="7.6640625" style="14" customWidth="1"/>
    <col min="9241" max="9241" width="7.5546875" style="14" customWidth="1"/>
    <col min="9242" max="9242" width="21.109375" style="14" customWidth="1"/>
    <col min="9243" max="9473" width="11.44140625" style="14"/>
    <col min="9474" max="9474" width="5.88671875" style="14" customWidth="1"/>
    <col min="9475" max="9475" width="7.5546875" style="14" customWidth="1"/>
    <col min="9476" max="9476" width="26" style="14" customWidth="1"/>
    <col min="9477" max="9477" width="11.44140625" style="14" customWidth="1"/>
    <col min="9478" max="9478" width="10.33203125" style="14" customWidth="1"/>
    <col min="9479" max="9479" width="8.5546875" style="14" customWidth="1"/>
    <col min="9480" max="9480" width="11.5546875" style="14" customWidth="1"/>
    <col min="9481" max="9481" width="11" style="14" customWidth="1"/>
    <col min="9482" max="9482" width="10" style="14" customWidth="1"/>
    <col min="9483" max="9483" width="11.88671875" style="14" customWidth="1"/>
    <col min="9484" max="9484" width="10.33203125" style="14" customWidth="1"/>
    <col min="9485" max="9485" width="10.88671875" style="14" customWidth="1"/>
    <col min="9486" max="9486" width="10.5546875" style="14" customWidth="1"/>
    <col min="9487" max="9487" width="15.5546875" style="14" customWidth="1"/>
    <col min="9488" max="9488" width="23.5546875" style="14" customWidth="1"/>
    <col min="9489" max="9489" width="9.109375" style="14" customWidth="1"/>
    <col min="9490" max="9490" width="15.6640625" style="14" customWidth="1"/>
    <col min="9491" max="9491" width="23.88671875" style="14" customWidth="1"/>
    <col min="9492" max="9492" width="10.44140625" style="14" customWidth="1"/>
    <col min="9493" max="9493" width="12.44140625" style="14" customWidth="1"/>
    <col min="9494" max="9494" width="8.33203125" style="14" customWidth="1"/>
    <col min="9495" max="9495" width="8.44140625" style="14" customWidth="1"/>
    <col min="9496" max="9496" width="7.6640625" style="14" customWidth="1"/>
    <col min="9497" max="9497" width="7.5546875" style="14" customWidth="1"/>
    <col min="9498" max="9498" width="21.109375" style="14" customWidth="1"/>
    <col min="9499" max="9729" width="11.44140625" style="14"/>
    <col min="9730" max="9730" width="5.88671875" style="14" customWidth="1"/>
    <col min="9731" max="9731" width="7.5546875" style="14" customWidth="1"/>
    <col min="9732" max="9732" width="26" style="14" customWidth="1"/>
    <col min="9733" max="9733" width="11.44140625" style="14" customWidth="1"/>
    <col min="9734" max="9734" width="10.33203125" style="14" customWidth="1"/>
    <col min="9735" max="9735" width="8.5546875" style="14" customWidth="1"/>
    <col min="9736" max="9736" width="11.5546875" style="14" customWidth="1"/>
    <col min="9737" max="9737" width="11" style="14" customWidth="1"/>
    <col min="9738" max="9738" width="10" style="14" customWidth="1"/>
    <col min="9739" max="9739" width="11.88671875" style="14" customWidth="1"/>
    <col min="9740" max="9740" width="10.33203125" style="14" customWidth="1"/>
    <col min="9741" max="9741" width="10.88671875" style="14" customWidth="1"/>
    <col min="9742" max="9742" width="10.5546875" style="14" customWidth="1"/>
    <col min="9743" max="9743" width="15.5546875" style="14" customWidth="1"/>
    <col min="9744" max="9744" width="23.5546875" style="14" customWidth="1"/>
    <col min="9745" max="9745" width="9.109375" style="14" customWidth="1"/>
    <col min="9746" max="9746" width="15.6640625" style="14" customWidth="1"/>
    <col min="9747" max="9747" width="23.88671875" style="14" customWidth="1"/>
    <col min="9748" max="9748" width="10.44140625" style="14" customWidth="1"/>
    <col min="9749" max="9749" width="12.44140625" style="14" customWidth="1"/>
    <col min="9750" max="9750" width="8.33203125" style="14" customWidth="1"/>
    <col min="9751" max="9751" width="8.44140625" style="14" customWidth="1"/>
    <col min="9752" max="9752" width="7.6640625" style="14" customWidth="1"/>
    <col min="9753" max="9753" width="7.5546875" style="14" customWidth="1"/>
    <col min="9754" max="9754" width="21.109375" style="14" customWidth="1"/>
    <col min="9755" max="9985" width="11.44140625" style="14"/>
    <col min="9986" max="9986" width="5.88671875" style="14" customWidth="1"/>
    <col min="9987" max="9987" width="7.5546875" style="14" customWidth="1"/>
    <col min="9988" max="9988" width="26" style="14" customWidth="1"/>
    <col min="9989" max="9989" width="11.44140625" style="14" customWidth="1"/>
    <col min="9990" max="9990" width="10.33203125" style="14" customWidth="1"/>
    <col min="9991" max="9991" width="8.5546875" style="14" customWidth="1"/>
    <col min="9992" max="9992" width="11.5546875" style="14" customWidth="1"/>
    <col min="9993" max="9993" width="11" style="14" customWidth="1"/>
    <col min="9994" max="9994" width="10" style="14" customWidth="1"/>
    <col min="9995" max="9995" width="11.88671875" style="14" customWidth="1"/>
    <col min="9996" max="9996" width="10.33203125" style="14" customWidth="1"/>
    <col min="9997" max="9997" width="10.88671875" style="14" customWidth="1"/>
    <col min="9998" max="9998" width="10.5546875" style="14" customWidth="1"/>
    <col min="9999" max="9999" width="15.5546875" style="14" customWidth="1"/>
    <col min="10000" max="10000" width="23.5546875" style="14" customWidth="1"/>
    <col min="10001" max="10001" width="9.109375" style="14" customWidth="1"/>
    <col min="10002" max="10002" width="15.6640625" style="14" customWidth="1"/>
    <col min="10003" max="10003" width="23.88671875" style="14" customWidth="1"/>
    <col min="10004" max="10004" width="10.44140625" style="14" customWidth="1"/>
    <col min="10005" max="10005" width="12.44140625" style="14" customWidth="1"/>
    <col min="10006" max="10006" width="8.33203125" style="14" customWidth="1"/>
    <col min="10007" max="10007" width="8.44140625" style="14" customWidth="1"/>
    <col min="10008" max="10008" width="7.6640625" style="14" customWidth="1"/>
    <col min="10009" max="10009" width="7.5546875" style="14" customWidth="1"/>
    <col min="10010" max="10010" width="21.109375" style="14" customWidth="1"/>
    <col min="10011" max="10241" width="11.44140625" style="14"/>
    <col min="10242" max="10242" width="5.88671875" style="14" customWidth="1"/>
    <col min="10243" max="10243" width="7.5546875" style="14" customWidth="1"/>
    <col min="10244" max="10244" width="26" style="14" customWidth="1"/>
    <col min="10245" max="10245" width="11.44140625" style="14" customWidth="1"/>
    <col min="10246" max="10246" width="10.33203125" style="14" customWidth="1"/>
    <col min="10247" max="10247" width="8.5546875" style="14" customWidth="1"/>
    <col min="10248" max="10248" width="11.5546875" style="14" customWidth="1"/>
    <col min="10249" max="10249" width="11" style="14" customWidth="1"/>
    <col min="10250" max="10250" width="10" style="14" customWidth="1"/>
    <col min="10251" max="10251" width="11.88671875" style="14" customWidth="1"/>
    <col min="10252" max="10252" width="10.33203125" style="14" customWidth="1"/>
    <col min="10253" max="10253" width="10.88671875" style="14" customWidth="1"/>
    <col min="10254" max="10254" width="10.5546875" style="14" customWidth="1"/>
    <col min="10255" max="10255" width="15.5546875" style="14" customWidth="1"/>
    <col min="10256" max="10256" width="23.5546875" style="14" customWidth="1"/>
    <col min="10257" max="10257" width="9.109375" style="14" customWidth="1"/>
    <col min="10258" max="10258" width="15.6640625" style="14" customWidth="1"/>
    <col min="10259" max="10259" width="23.88671875" style="14" customWidth="1"/>
    <col min="10260" max="10260" width="10.44140625" style="14" customWidth="1"/>
    <col min="10261" max="10261" width="12.44140625" style="14" customWidth="1"/>
    <col min="10262" max="10262" width="8.33203125" style="14" customWidth="1"/>
    <col min="10263" max="10263" width="8.44140625" style="14" customWidth="1"/>
    <col min="10264" max="10264" width="7.6640625" style="14" customWidth="1"/>
    <col min="10265" max="10265" width="7.5546875" style="14" customWidth="1"/>
    <col min="10266" max="10266" width="21.109375" style="14" customWidth="1"/>
    <col min="10267" max="10497" width="11.44140625" style="14"/>
    <col min="10498" max="10498" width="5.88671875" style="14" customWidth="1"/>
    <col min="10499" max="10499" width="7.5546875" style="14" customWidth="1"/>
    <col min="10500" max="10500" width="26" style="14" customWidth="1"/>
    <col min="10501" max="10501" width="11.44140625" style="14" customWidth="1"/>
    <col min="10502" max="10502" width="10.33203125" style="14" customWidth="1"/>
    <col min="10503" max="10503" width="8.5546875" style="14" customWidth="1"/>
    <col min="10504" max="10504" width="11.5546875" style="14" customWidth="1"/>
    <col min="10505" max="10505" width="11" style="14" customWidth="1"/>
    <col min="10506" max="10506" width="10" style="14" customWidth="1"/>
    <col min="10507" max="10507" width="11.88671875" style="14" customWidth="1"/>
    <col min="10508" max="10508" width="10.33203125" style="14" customWidth="1"/>
    <col min="10509" max="10509" width="10.88671875" style="14" customWidth="1"/>
    <col min="10510" max="10510" width="10.5546875" style="14" customWidth="1"/>
    <col min="10511" max="10511" width="15.5546875" style="14" customWidth="1"/>
    <col min="10512" max="10512" width="23.5546875" style="14" customWidth="1"/>
    <col min="10513" max="10513" width="9.109375" style="14" customWidth="1"/>
    <col min="10514" max="10514" width="15.6640625" style="14" customWidth="1"/>
    <col min="10515" max="10515" width="23.88671875" style="14" customWidth="1"/>
    <col min="10516" max="10516" width="10.44140625" style="14" customWidth="1"/>
    <col min="10517" max="10517" width="12.44140625" style="14" customWidth="1"/>
    <col min="10518" max="10518" width="8.33203125" style="14" customWidth="1"/>
    <col min="10519" max="10519" width="8.44140625" style="14" customWidth="1"/>
    <col min="10520" max="10520" width="7.6640625" style="14" customWidth="1"/>
    <col min="10521" max="10521" width="7.5546875" style="14" customWidth="1"/>
    <col min="10522" max="10522" width="21.109375" style="14" customWidth="1"/>
    <col min="10523" max="10753" width="11.44140625" style="14"/>
    <col min="10754" max="10754" width="5.88671875" style="14" customWidth="1"/>
    <col min="10755" max="10755" width="7.5546875" style="14" customWidth="1"/>
    <col min="10756" max="10756" width="26" style="14" customWidth="1"/>
    <col min="10757" max="10757" width="11.44140625" style="14" customWidth="1"/>
    <col min="10758" max="10758" width="10.33203125" style="14" customWidth="1"/>
    <col min="10759" max="10759" width="8.5546875" style="14" customWidth="1"/>
    <col min="10760" max="10760" width="11.5546875" style="14" customWidth="1"/>
    <col min="10761" max="10761" width="11" style="14" customWidth="1"/>
    <col min="10762" max="10762" width="10" style="14" customWidth="1"/>
    <col min="10763" max="10763" width="11.88671875" style="14" customWidth="1"/>
    <col min="10764" max="10764" width="10.33203125" style="14" customWidth="1"/>
    <col min="10765" max="10765" width="10.88671875" style="14" customWidth="1"/>
    <col min="10766" max="10766" width="10.5546875" style="14" customWidth="1"/>
    <col min="10767" max="10767" width="15.5546875" style="14" customWidth="1"/>
    <col min="10768" max="10768" width="23.5546875" style="14" customWidth="1"/>
    <col min="10769" max="10769" width="9.109375" style="14" customWidth="1"/>
    <col min="10770" max="10770" width="15.6640625" style="14" customWidth="1"/>
    <col min="10771" max="10771" width="23.88671875" style="14" customWidth="1"/>
    <col min="10772" max="10772" width="10.44140625" style="14" customWidth="1"/>
    <col min="10773" max="10773" width="12.44140625" style="14" customWidth="1"/>
    <col min="10774" max="10774" width="8.33203125" style="14" customWidth="1"/>
    <col min="10775" max="10775" width="8.44140625" style="14" customWidth="1"/>
    <col min="10776" max="10776" width="7.6640625" style="14" customWidth="1"/>
    <col min="10777" max="10777" width="7.5546875" style="14" customWidth="1"/>
    <col min="10778" max="10778" width="21.109375" style="14" customWidth="1"/>
    <col min="10779" max="11009" width="11.44140625" style="14"/>
    <col min="11010" max="11010" width="5.88671875" style="14" customWidth="1"/>
    <col min="11011" max="11011" width="7.5546875" style="14" customWidth="1"/>
    <col min="11012" max="11012" width="26" style="14" customWidth="1"/>
    <col min="11013" max="11013" width="11.44140625" style="14" customWidth="1"/>
    <col min="11014" max="11014" width="10.33203125" style="14" customWidth="1"/>
    <col min="11015" max="11015" width="8.5546875" style="14" customWidth="1"/>
    <col min="11016" max="11016" width="11.5546875" style="14" customWidth="1"/>
    <col min="11017" max="11017" width="11" style="14" customWidth="1"/>
    <col min="11018" max="11018" width="10" style="14" customWidth="1"/>
    <col min="11019" max="11019" width="11.88671875" style="14" customWidth="1"/>
    <col min="11020" max="11020" width="10.33203125" style="14" customWidth="1"/>
    <col min="11021" max="11021" width="10.88671875" style="14" customWidth="1"/>
    <col min="11022" max="11022" width="10.5546875" style="14" customWidth="1"/>
    <col min="11023" max="11023" width="15.5546875" style="14" customWidth="1"/>
    <col min="11024" max="11024" width="23.5546875" style="14" customWidth="1"/>
    <col min="11025" max="11025" width="9.109375" style="14" customWidth="1"/>
    <col min="11026" max="11026" width="15.6640625" style="14" customWidth="1"/>
    <col min="11027" max="11027" width="23.88671875" style="14" customWidth="1"/>
    <col min="11028" max="11028" width="10.44140625" style="14" customWidth="1"/>
    <col min="11029" max="11029" width="12.44140625" style="14" customWidth="1"/>
    <col min="11030" max="11030" width="8.33203125" style="14" customWidth="1"/>
    <col min="11031" max="11031" width="8.44140625" style="14" customWidth="1"/>
    <col min="11032" max="11032" width="7.6640625" style="14" customWidth="1"/>
    <col min="11033" max="11033" width="7.5546875" style="14" customWidth="1"/>
    <col min="11034" max="11034" width="21.109375" style="14" customWidth="1"/>
    <col min="11035" max="11265" width="11.44140625" style="14"/>
    <col min="11266" max="11266" width="5.88671875" style="14" customWidth="1"/>
    <col min="11267" max="11267" width="7.5546875" style="14" customWidth="1"/>
    <col min="11268" max="11268" width="26" style="14" customWidth="1"/>
    <col min="11269" max="11269" width="11.44140625" style="14" customWidth="1"/>
    <col min="11270" max="11270" width="10.33203125" style="14" customWidth="1"/>
    <col min="11271" max="11271" width="8.5546875" style="14" customWidth="1"/>
    <col min="11272" max="11272" width="11.5546875" style="14" customWidth="1"/>
    <col min="11273" max="11273" width="11" style="14" customWidth="1"/>
    <col min="11274" max="11274" width="10" style="14" customWidth="1"/>
    <col min="11275" max="11275" width="11.88671875" style="14" customWidth="1"/>
    <col min="11276" max="11276" width="10.33203125" style="14" customWidth="1"/>
    <col min="11277" max="11277" width="10.88671875" style="14" customWidth="1"/>
    <col min="11278" max="11278" width="10.5546875" style="14" customWidth="1"/>
    <col min="11279" max="11279" width="15.5546875" style="14" customWidth="1"/>
    <col min="11280" max="11280" width="23.5546875" style="14" customWidth="1"/>
    <col min="11281" max="11281" width="9.109375" style="14" customWidth="1"/>
    <col min="11282" max="11282" width="15.6640625" style="14" customWidth="1"/>
    <col min="11283" max="11283" width="23.88671875" style="14" customWidth="1"/>
    <col min="11284" max="11284" width="10.44140625" style="14" customWidth="1"/>
    <col min="11285" max="11285" width="12.44140625" style="14" customWidth="1"/>
    <col min="11286" max="11286" width="8.33203125" style="14" customWidth="1"/>
    <col min="11287" max="11287" width="8.44140625" style="14" customWidth="1"/>
    <col min="11288" max="11288" width="7.6640625" style="14" customWidth="1"/>
    <col min="11289" max="11289" width="7.5546875" style="14" customWidth="1"/>
    <col min="11290" max="11290" width="21.109375" style="14" customWidth="1"/>
    <col min="11291" max="11521" width="11.44140625" style="14"/>
    <col min="11522" max="11522" width="5.88671875" style="14" customWidth="1"/>
    <col min="11523" max="11523" width="7.5546875" style="14" customWidth="1"/>
    <col min="11524" max="11524" width="26" style="14" customWidth="1"/>
    <col min="11525" max="11525" width="11.44140625" style="14" customWidth="1"/>
    <col min="11526" max="11526" width="10.33203125" style="14" customWidth="1"/>
    <col min="11527" max="11527" width="8.5546875" style="14" customWidth="1"/>
    <col min="11528" max="11528" width="11.5546875" style="14" customWidth="1"/>
    <col min="11529" max="11529" width="11" style="14" customWidth="1"/>
    <col min="11530" max="11530" width="10" style="14" customWidth="1"/>
    <col min="11531" max="11531" width="11.88671875" style="14" customWidth="1"/>
    <col min="11532" max="11532" width="10.33203125" style="14" customWidth="1"/>
    <col min="11533" max="11533" width="10.88671875" style="14" customWidth="1"/>
    <col min="11534" max="11534" width="10.5546875" style="14" customWidth="1"/>
    <col min="11535" max="11535" width="15.5546875" style="14" customWidth="1"/>
    <col min="11536" max="11536" width="23.5546875" style="14" customWidth="1"/>
    <col min="11537" max="11537" width="9.109375" style="14" customWidth="1"/>
    <col min="11538" max="11538" width="15.6640625" style="14" customWidth="1"/>
    <col min="11539" max="11539" width="23.88671875" style="14" customWidth="1"/>
    <col min="11540" max="11540" width="10.44140625" style="14" customWidth="1"/>
    <col min="11541" max="11541" width="12.44140625" style="14" customWidth="1"/>
    <col min="11542" max="11542" width="8.33203125" style="14" customWidth="1"/>
    <col min="11543" max="11543" width="8.44140625" style="14" customWidth="1"/>
    <col min="11544" max="11544" width="7.6640625" style="14" customWidth="1"/>
    <col min="11545" max="11545" width="7.5546875" style="14" customWidth="1"/>
    <col min="11546" max="11546" width="21.109375" style="14" customWidth="1"/>
    <col min="11547" max="11777" width="11.44140625" style="14"/>
    <col min="11778" max="11778" width="5.88671875" style="14" customWidth="1"/>
    <col min="11779" max="11779" width="7.5546875" style="14" customWidth="1"/>
    <col min="11780" max="11780" width="26" style="14" customWidth="1"/>
    <col min="11781" max="11781" width="11.44140625" style="14" customWidth="1"/>
    <col min="11782" max="11782" width="10.33203125" style="14" customWidth="1"/>
    <col min="11783" max="11783" width="8.5546875" style="14" customWidth="1"/>
    <col min="11784" max="11784" width="11.5546875" style="14" customWidth="1"/>
    <col min="11785" max="11785" width="11" style="14" customWidth="1"/>
    <col min="11786" max="11786" width="10" style="14" customWidth="1"/>
    <col min="11787" max="11787" width="11.88671875" style="14" customWidth="1"/>
    <col min="11788" max="11788" width="10.33203125" style="14" customWidth="1"/>
    <col min="11789" max="11789" width="10.88671875" style="14" customWidth="1"/>
    <col min="11790" max="11790" width="10.5546875" style="14" customWidth="1"/>
    <col min="11791" max="11791" width="15.5546875" style="14" customWidth="1"/>
    <col min="11792" max="11792" width="23.5546875" style="14" customWidth="1"/>
    <col min="11793" max="11793" width="9.109375" style="14" customWidth="1"/>
    <col min="11794" max="11794" width="15.6640625" style="14" customWidth="1"/>
    <col min="11795" max="11795" width="23.88671875" style="14" customWidth="1"/>
    <col min="11796" max="11796" width="10.44140625" style="14" customWidth="1"/>
    <col min="11797" max="11797" width="12.44140625" style="14" customWidth="1"/>
    <col min="11798" max="11798" width="8.33203125" style="14" customWidth="1"/>
    <col min="11799" max="11799" width="8.44140625" style="14" customWidth="1"/>
    <col min="11800" max="11800" width="7.6640625" style="14" customWidth="1"/>
    <col min="11801" max="11801" width="7.5546875" style="14" customWidth="1"/>
    <col min="11802" max="11802" width="21.109375" style="14" customWidth="1"/>
    <col min="11803" max="12033" width="11.44140625" style="14"/>
    <col min="12034" max="12034" width="5.88671875" style="14" customWidth="1"/>
    <col min="12035" max="12035" width="7.5546875" style="14" customWidth="1"/>
    <col min="12036" max="12036" width="26" style="14" customWidth="1"/>
    <col min="12037" max="12037" width="11.44140625" style="14" customWidth="1"/>
    <col min="12038" max="12038" width="10.33203125" style="14" customWidth="1"/>
    <col min="12039" max="12039" width="8.5546875" style="14" customWidth="1"/>
    <col min="12040" max="12040" width="11.5546875" style="14" customWidth="1"/>
    <col min="12041" max="12041" width="11" style="14" customWidth="1"/>
    <col min="12042" max="12042" width="10" style="14" customWidth="1"/>
    <col min="12043" max="12043" width="11.88671875" style="14" customWidth="1"/>
    <col min="12044" max="12044" width="10.33203125" style="14" customWidth="1"/>
    <col min="12045" max="12045" width="10.88671875" style="14" customWidth="1"/>
    <col min="12046" max="12046" width="10.5546875" style="14" customWidth="1"/>
    <col min="12047" max="12047" width="15.5546875" style="14" customWidth="1"/>
    <col min="12048" max="12048" width="23.5546875" style="14" customWidth="1"/>
    <col min="12049" max="12049" width="9.109375" style="14" customWidth="1"/>
    <col min="12050" max="12050" width="15.6640625" style="14" customWidth="1"/>
    <col min="12051" max="12051" width="23.88671875" style="14" customWidth="1"/>
    <col min="12052" max="12052" width="10.44140625" style="14" customWidth="1"/>
    <col min="12053" max="12053" width="12.44140625" style="14" customWidth="1"/>
    <col min="12054" max="12054" width="8.33203125" style="14" customWidth="1"/>
    <col min="12055" max="12055" width="8.44140625" style="14" customWidth="1"/>
    <col min="12056" max="12056" width="7.6640625" style="14" customWidth="1"/>
    <col min="12057" max="12057" width="7.5546875" style="14" customWidth="1"/>
    <col min="12058" max="12058" width="21.109375" style="14" customWidth="1"/>
    <col min="12059" max="12289" width="11.44140625" style="14"/>
    <col min="12290" max="12290" width="5.88671875" style="14" customWidth="1"/>
    <col min="12291" max="12291" width="7.5546875" style="14" customWidth="1"/>
    <col min="12292" max="12292" width="26" style="14" customWidth="1"/>
    <col min="12293" max="12293" width="11.44140625" style="14" customWidth="1"/>
    <col min="12294" max="12294" width="10.33203125" style="14" customWidth="1"/>
    <col min="12295" max="12295" width="8.5546875" style="14" customWidth="1"/>
    <col min="12296" max="12296" width="11.5546875" style="14" customWidth="1"/>
    <col min="12297" max="12297" width="11" style="14" customWidth="1"/>
    <col min="12298" max="12298" width="10" style="14" customWidth="1"/>
    <col min="12299" max="12299" width="11.88671875" style="14" customWidth="1"/>
    <col min="12300" max="12300" width="10.33203125" style="14" customWidth="1"/>
    <col min="12301" max="12301" width="10.88671875" style="14" customWidth="1"/>
    <col min="12302" max="12302" width="10.5546875" style="14" customWidth="1"/>
    <col min="12303" max="12303" width="15.5546875" style="14" customWidth="1"/>
    <col min="12304" max="12304" width="23.5546875" style="14" customWidth="1"/>
    <col min="12305" max="12305" width="9.109375" style="14" customWidth="1"/>
    <col min="12306" max="12306" width="15.6640625" style="14" customWidth="1"/>
    <col min="12307" max="12307" width="23.88671875" style="14" customWidth="1"/>
    <col min="12308" max="12308" width="10.44140625" style="14" customWidth="1"/>
    <col min="12309" max="12309" width="12.44140625" style="14" customWidth="1"/>
    <col min="12310" max="12310" width="8.33203125" style="14" customWidth="1"/>
    <col min="12311" max="12311" width="8.44140625" style="14" customWidth="1"/>
    <col min="12312" max="12312" width="7.6640625" style="14" customWidth="1"/>
    <col min="12313" max="12313" width="7.5546875" style="14" customWidth="1"/>
    <col min="12314" max="12314" width="21.109375" style="14" customWidth="1"/>
    <col min="12315" max="12545" width="11.44140625" style="14"/>
    <col min="12546" max="12546" width="5.88671875" style="14" customWidth="1"/>
    <col min="12547" max="12547" width="7.5546875" style="14" customWidth="1"/>
    <col min="12548" max="12548" width="26" style="14" customWidth="1"/>
    <col min="12549" max="12549" width="11.44140625" style="14" customWidth="1"/>
    <col min="12550" max="12550" width="10.33203125" style="14" customWidth="1"/>
    <col min="12551" max="12551" width="8.5546875" style="14" customWidth="1"/>
    <col min="12552" max="12552" width="11.5546875" style="14" customWidth="1"/>
    <col min="12553" max="12553" width="11" style="14" customWidth="1"/>
    <col min="12554" max="12554" width="10" style="14" customWidth="1"/>
    <col min="12555" max="12555" width="11.88671875" style="14" customWidth="1"/>
    <col min="12556" max="12556" width="10.33203125" style="14" customWidth="1"/>
    <col min="12557" max="12557" width="10.88671875" style="14" customWidth="1"/>
    <col min="12558" max="12558" width="10.5546875" style="14" customWidth="1"/>
    <col min="12559" max="12559" width="15.5546875" style="14" customWidth="1"/>
    <col min="12560" max="12560" width="23.5546875" style="14" customWidth="1"/>
    <col min="12561" max="12561" width="9.109375" style="14" customWidth="1"/>
    <col min="12562" max="12562" width="15.6640625" style="14" customWidth="1"/>
    <col min="12563" max="12563" width="23.88671875" style="14" customWidth="1"/>
    <col min="12564" max="12564" width="10.44140625" style="14" customWidth="1"/>
    <col min="12565" max="12565" width="12.44140625" style="14" customWidth="1"/>
    <col min="12566" max="12566" width="8.33203125" style="14" customWidth="1"/>
    <col min="12567" max="12567" width="8.44140625" style="14" customWidth="1"/>
    <col min="12568" max="12568" width="7.6640625" style="14" customWidth="1"/>
    <col min="12569" max="12569" width="7.5546875" style="14" customWidth="1"/>
    <col min="12570" max="12570" width="21.109375" style="14" customWidth="1"/>
    <col min="12571" max="12801" width="11.44140625" style="14"/>
    <col min="12802" max="12802" width="5.88671875" style="14" customWidth="1"/>
    <col min="12803" max="12803" width="7.5546875" style="14" customWidth="1"/>
    <col min="12804" max="12804" width="26" style="14" customWidth="1"/>
    <col min="12805" max="12805" width="11.44140625" style="14" customWidth="1"/>
    <col min="12806" max="12806" width="10.33203125" style="14" customWidth="1"/>
    <col min="12807" max="12807" width="8.5546875" style="14" customWidth="1"/>
    <col min="12808" max="12808" width="11.5546875" style="14" customWidth="1"/>
    <col min="12809" max="12809" width="11" style="14" customWidth="1"/>
    <col min="12810" max="12810" width="10" style="14" customWidth="1"/>
    <col min="12811" max="12811" width="11.88671875" style="14" customWidth="1"/>
    <col min="12812" max="12812" width="10.33203125" style="14" customWidth="1"/>
    <col min="12813" max="12813" width="10.88671875" style="14" customWidth="1"/>
    <col min="12814" max="12814" width="10.5546875" style="14" customWidth="1"/>
    <col min="12815" max="12815" width="15.5546875" style="14" customWidth="1"/>
    <col min="12816" max="12816" width="23.5546875" style="14" customWidth="1"/>
    <col min="12817" max="12817" width="9.109375" style="14" customWidth="1"/>
    <col min="12818" max="12818" width="15.6640625" style="14" customWidth="1"/>
    <col min="12819" max="12819" width="23.88671875" style="14" customWidth="1"/>
    <col min="12820" max="12820" width="10.44140625" style="14" customWidth="1"/>
    <col min="12821" max="12821" width="12.44140625" style="14" customWidth="1"/>
    <col min="12822" max="12822" width="8.33203125" style="14" customWidth="1"/>
    <col min="12823" max="12823" width="8.44140625" style="14" customWidth="1"/>
    <col min="12824" max="12824" width="7.6640625" style="14" customWidth="1"/>
    <col min="12825" max="12825" width="7.5546875" style="14" customWidth="1"/>
    <col min="12826" max="12826" width="21.109375" style="14" customWidth="1"/>
    <col min="12827" max="13057" width="11.44140625" style="14"/>
    <col min="13058" max="13058" width="5.88671875" style="14" customWidth="1"/>
    <col min="13059" max="13059" width="7.5546875" style="14" customWidth="1"/>
    <col min="13060" max="13060" width="26" style="14" customWidth="1"/>
    <col min="13061" max="13061" width="11.44140625" style="14" customWidth="1"/>
    <col min="13062" max="13062" width="10.33203125" style="14" customWidth="1"/>
    <col min="13063" max="13063" width="8.5546875" style="14" customWidth="1"/>
    <col min="13064" max="13064" width="11.5546875" style="14" customWidth="1"/>
    <col min="13065" max="13065" width="11" style="14" customWidth="1"/>
    <col min="13066" max="13066" width="10" style="14" customWidth="1"/>
    <col min="13067" max="13067" width="11.88671875" style="14" customWidth="1"/>
    <col min="13068" max="13068" width="10.33203125" style="14" customWidth="1"/>
    <col min="13069" max="13069" width="10.88671875" style="14" customWidth="1"/>
    <col min="13070" max="13070" width="10.5546875" style="14" customWidth="1"/>
    <col min="13071" max="13071" width="15.5546875" style="14" customWidth="1"/>
    <col min="13072" max="13072" width="23.5546875" style="14" customWidth="1"/>
    <col min="13073" max="13073" width="9.109375" style="14" customWidth="1"/>
    <col min="13074" max="13074" width="15.6640625" style="14" customWidth="1"/>
    <col min="13075" max="13075" width="23.88671875" style="14" customWidth="1"/>
    <col min="13076" max="13076" width="10.44140625" style="14" customWidth="1"/>
    <col min="13077" max="13077" width="12.44140625" style="14" customWidth="1"/>
    <col min="13078" max="13078" width="8.33203125" style="14" customWidth="1"/>
    <col min="13079" max="13079" width="8.44140625" style="14" customWidth="1"/>
    <col min="13080" max="13080" width="7.6640625" style="14" customWidth="1"/>
    <col min="13081" max="13081" width="7.5546875" style="14" customWidth="1"/>
    <col min="13082" max="13082" width="21.109375" style="14" customWidth="1"/>
    <col min="13083" max="13313" width="11.44140625" style="14"/>
    <col min="13314" max="13314" width="5.88671875" style="14" customWidth="1"/>
    <col min="13315" max="13315" width="7.5546875" style="14" customWidth="1"/>
    <col min="13316" max="13316" width="26" style="14" customWidth="1"/>
    <col min="13317" max="13317" width="11.44140625" style="14" customWidth="1"/>
    <col min="13318" max="13318" width="10.33203125" style="14" customWidth="1"/>
    <col min="13319" max="13319" width="8.5546875" style="14" customWidth="1"/>
    <col min="13320" max="13320" width="11.5546875" style="14" customWidth="1"/>
    <col min="13321" max="13321" width="11" style="14" customWidth="1"/>
    <col min="13322" max="13322" width="10" style="14" customWidth="1"/>
    <col min="13323" max="13323" width="11.88671875" style="14" customWidth="1"/>
    <col min="13324" max="13324" width="10.33203125" style="14" customWidth="1"/>
    <col min="13325" max="13325" width="10.88671875" style="14" customWidth="1"/>
    <col min="13326" max="13326" width="10.5546875" style="14" customWidth="1"/>
    <col min="13327" max="13327" width="15.5546875" style="14" customWidth="1"/>
    <col min="13328" max="13328" width="23.5546875" style="14" customWidth="1"/>
    <col min="13329" max="13329" width="9.109375" style="14" customWidth="1"/>
    <col min="13330" max="13330" width="15.6640625" style="14" customWidth="1"/>
    <col min="13331" max="13331" width="23.88671875" style="14" customWidth="1"/>
    <col min="13332" max="13332" width="10.44140625" style="14" customWidth="1"/>
    <col min="13333" max="13333" width="12.44140625" style="14" customWidth="1"/>
    <col min="13334" max="13334" width="8.33203125" style="14" customWidth="1"/>
    <col min="13335" max="13335" width="8.44140625" style="14" customWidth="1"/>
    <col min="13336" max="13336" width="7.6640625" style="14" customWidth="1"/>
    <col min="13337" max="13337" width="7.5546875" style="14" customWidth="1"/>
    <col min="13338" max="13338" width="21.109375" style="14" customWidth="1"/>
    <col min="13339" max="13569" width="11.44140625" style="14"/>
    <col min="13570" max="13570" width="5.88671875" style="14" customWidth="1"/>
    <col min="13571" max="13571" width="7.5546875" style="14" customWidth="1"/>
    <col min="13572" max="13572" width="26" style="14" customWidth="1"/>
    <col min="13573" max="13573" width="11.44140625" style="14" customWidth="1"/>
    <col min="13574" max="13574" width="10.33203125" style="14" customWidth="1"/>
    <col min="13575" max="13575" width="8.5546875" style="14" customWidth="1"/>
    <col min="13576" max="13576" width="11.5546875" style="14" customWidth="1"/>
    <col min="13577" max="13577" width="11" style="14" customWidth="1"/>
    <col min="13578" max="13578" width="10" style="14" customWidth="1"/>
    <col min="13579" max="13579" width="11.88671875" style="14" customWidth="1"/>
    <col min="13580" max="13580" width="10.33203125" style="14" customWidth="1"/>
    <col min="13581" max="13581" width="10.88671875" style="14" customWidth="1"/>
    <col min="13582" max="13582" width="10.5546875" style="14" customWidth="1"/>
    <col min="13583" max="13583" width="15.5546875" style="14" customWidth="1"/>
    <col min="13584" max="13584" width="23.5546875" style="14" customWidth="1"/>
    <col min="13585" max="13585" width="9.109375" style="14" customWidth="1"/>
    <col min="13586" max="13586" width="15.6640625" style="14" customWidth="1"/>
    <col min="13587" max="13587" width="23.88671875" style="14" customWidth="1"/>
    <col min="13588" max="13588" width="10.44140625" style="14" customWidth="1"/>
    <col min="13589" max="13589" width="12.44140625" style="14" customWidth="1"/>
    <col min="13590" max="13590" width="8.33203125" style="14" customWidth="1"/>
    <col min="13591" max="13591" width="8.44140625" style="14" customWidth="1"/>
    <col min="13592" max="13592" width="7.6640625" style="14" customWidth="1"/>
    <col min="13593" max="13593" width="7.5546875" style="14" customWidth="1"/>
    <col min="13594" max="13594" width="21.109375" style="14" customWidth="1"/>
    <col min="13595" max="13825" width="11.44140625" style="14"/>
    <col min="13826" max="13826" width="5.88671875" style="14" customWidth="1"/>
    <col min="13827" max="13827" width="7.5546875" style="14" customWidth="1"/>
    <col min="13828" max="13828" width="26" style="14" customWidth="1"/>
    <col min="13829" max="13829" width="11.44140625" style="14" customWidth="1"/>
    <col min="13830" max="13830" width="10.33203125" style="14" customWidth="1"/>
    <col min="13831" max="13831" width="8.5546875" style="14" customWidth="1"/>
    <col min="13832" max="13832" width="11.5546875" style="14" customWidth="1"/>
    <col min="13833" max="13833" width="11" style="14" customWidth="1"/>
    <col min="13834" max="13834" width="10" style="14" customWidth="1"/>
    <col min="13835" max="13835" width="11.88671875" style="14" customWidth="1"/>
    <col min="13836" max="13836" width="10.33203125" style="14" customWidth="1"/>
    <col min="13837" max="13837" width="10.88671875" style="14" customWidth="1"/>
    <col min="13838" max="13838" width="10.5546875" style="14" customWidth="1"/>
    <col min="13839" max="13839" width="15.5546875" style="14" customWidth="1"/>
    <col min="13840" max="13840" width="23.5546875" style="14" customWidth="1"/>
    <col min="13841" max="13841" width="9.109375" style="14" customWidth="1"/>
    <col min="13842" max="13842" width="15.6640625" style="14" customWidth="1"/>
    <col min="13843" max="13843" width="23.88671875" style="14" customWidth="1"/>
    <col min="13844" max="13844" width="10.44140625" style="14" customWidth="1"/>
    <col min="13845" max="13845" width="12.44140625" style="14" customWidth="1"/>
    <col min="13846" max="13846" width="8.33203125" style="14" customWidth="1"/>
    <col min="13847" max="13847" width="8.44140625" style="14" customWidth="1"/>
    <col min="13848" max="13848" width="7.6640625" style="14" customWidth="1"/>
    <col min="13849" max="13849" width="7.5546875" style="14" customWidth="1"/>
    <col min="13850" max="13850" width="21.109375" style="14" customWidth="1"/>
    <col min="13851" max="14081" width="11.44140625" style="14"/>
    <col min="14082" max="14082" width="5.88671875" style="14" customWidth="1"/>
    <col min="14083" max="14083" width="7.5546875" style="14" customWidth="1"/>
    <col min="14084" max="14084" width="26" style="14" customWidth="1"/>
    <col min="14085" max="14085" width="11.44140625" style="14" customWidth="1"/>
    <col min="14086" max="14086" width="10.33203125" style="14" customWidth="1"/>
    <col min="14087" max="14087" width="8.5546875" style="14" customWidth="1"/>
    <col min="14088" max="14088" width="11.5546875" style="14" customWidth="1"/>
    <col min="14089" max="14089" width="11" style="14" customWidth="1"/>
    <col min="14090" max="14090" width="10" style="14" customWidth="1"/>
    <col min="14091" max="14091" width="11.88671875" style="14" customWidth="1"/>
    <col min="14092" max="14092" width="10.33203125" style="14" customWidth="1"/>
    <col min="14093" max="14093" width="10.88671875" style="14" customWidth="1"/>
    <col min="14094" max="14094" width="10.5546875" style="14" customWidth="1"/>
    <col min="14095" max="14095" width="15.5546875" style="14" customWidth="1"/>
    <col min="14096" max="14096" width="23.5546875" style="14" customWidth="1"/>
    <col min="14097" max="14097" width="9.109375" style="14" customWidth="1"/>
    <col min="14098" max="14098" width="15.6640625" style="14" customWidth="1"/>
    <col min="14099" max="14099" width="23.88671875" style="14" customWidth="1"/>
    <col min="14100" max="14100" width="10.44140625" style="14" customWidth="1"/>
    <col min="14101" max="14101" width="12.44140625" style="14" customWidth="1"/>
    <col min="14102" max="14102" width="8.33203125" style="14" customWidth="1"/>
    <col min="14103" max="14103" width="8.44140625" style="14" customWidth="1"/>
    <col min="14104" max="14104" width="7.6640625" style="14" customWidth="1"/>
    <col min="14105" max="14105" width="7.5546875" style="14" customWidth="1"/>
    <col min="14106" max="14106" width="21.109375" style="14" customWidth="1"/>
    <col min="14107" max="14337" width="11.44140625" style="14"/>
    <col min="14338" max="14338" width="5.88671875" style="14" customWidth="1"/>
    <col min="14339" max="14339" width="7.5546875" style="14" customWidth="1"/>
    <col min="14340" max="14340" width="26" style="14" customWidth="1"/>
    <col min="14341" max="14341" width="11.44140625" style="14" customWidth="1"/>
    <col min="14342" max="14342" width="10.33203125" style="14" customWidth="1"/>
    <col min="14343" max="14343" width="8.5546875" style="14" customWidth="1"/>
    <col min="14344" max="14344" width="11.5546875" style="14" customWidth="1"/>
    <col min="14345" max="14345" width="11" style="14" customWidth="1"/>
    <col min="14346" max="14346" width="10" style="14" customWidth="1"/>
    <col min="14347" max="14347" width="11.88671875" style="14" customWidth="1"/>
    <col min="14348" max="14348" width="10.33203125" style="14" customWidth="1"/>
    <col min="14349" max="14349" width="10.88671875" style="14" customWidth="1"/>
    <col min="14350" max="14350" width="10.5546875" style="14" customWidth="1"/>
    <col min="14351" max="14351" width="15.5546875" style="14" customWidth="1"/>
    <col min="14352" max="14352" width="23.5546875" style="14" customWidth="1"/>
    <col min="14353" max="14353" width="9.109375" style="14" customWidth="1"/>
    <col min="14354" max="14354" width="15.6640625" style="14" customWidth="1"/>
    <col min="14355" max="14355" width="23.88671875" style="14" customWidth="1"/>
    <col min="14356" max="14356" width="10.44140625" style="14" customWidth="1"/>
    <col min="14357" max="14357" width="12.44140625" style="14" customWidth="1"/>
    <col min="14358" max="14358" width="8.33203125" style="14" customWidth="1"/>
    <col min="14359" max="14359" width="8.44140625" style="14" customWidth="1"/>
    <col min="14360" max="14360" width="7.6640625" style="14" customWidth="1"/>
    <col min="14361" max="14361" width="7.5546875" style="14" customWidth="1"/>
    <col min="14362" max="14362" width="21.109375" style="14" customWidth="1"/>
    <col min="14363" max="14593" width="11.44140625" style="14"/>
    <col min="14594" max="14594" width="5.88671875" style="14" customWidth="1"/>
    <col min="14595" max="14595" width="7.5546875" style="14" customWidth="1"/>
    <col min="14596" max="14596" width="26" style="14" customWidth="1"/>
    <col min="14597" max="14597" width="11.44140625" style="14" customWidth="1"/>
    <col min="14598" max="14598" width="10.33203125" style="14" customWidth="1"/>
    <col min="14599" max="14599" width="8.5546875" style="14" customWidth="1"/>
    <col min="14600" max="14600" width="11.5546875" style="14" customWidth="1"/>
    <col min="14601" max="14601" width="11" style="14" customWidth="1"/>
    <col min="14602" max="14602" width="10" style="14" customWidth="1"/>
    <col min="14603" max="14603" width="11.88671875" style="14" customWidth="1"/>
    <col min="14604" max="14604" width="10.33203125" style="14" customWidth="1"/>
    <col min="14605" max="14605" width="10.88671875" style="14" customWidth="1"/>
    <col min="14606" max="14606" width="10.5546875" style="14" customWidth="1"/>
    <col min="14607" max="14607" width="15.5546875" style="14" customWidth="1"/>
    <col min="14608" max="14608" width="23.5546875" style="14" customWidth="1"/>
    <col min="14609" max="14609" width="9.109375" style="14" customWidth="1"/>
    <col min="14610" max="14610" width="15.6640625" style="14" customWidth="1"/>
    <col min="14611" max="14611" width="23.88671875" style="14" customWidth="1"/>
    <col min="14612" max="14612" width="10.44140625" style="14" customWidth="1"/>
    <col min="14613" max="14613" width="12.44140625" style="14" customWidth="1"/>
    <col min="14614" max="14614" width="8.33203125" style="14" customWidth="1"/>
    <col min="14615" max="14615" width="8.44140625" style="14" customWidth="1"/>
    <col min="14616" max="14616" width="7.6640625" style="14" customWidth="1"/>
    <col min="14617" max="14617" width="7.5546875" style="14" customWidth="1"/>
    <col min="14618" max="14618" width="21.109375" style="14" customWidth="1"/>
    <col min="14619" max="14849" width="11.44140625" style="14"/>
    <col min="14850" max="14850" width="5.88671875" style="14" customWidth="1"/>
    <col min="14851" max="14851" width="7.5546875" style="14" customWidth="1"/>
    <col min="14852" max="14852" width="26" style="14" customWidth="1"/>
    <col min="14853" max="14853" width="11.44140625" style="14" customWidth="1"/>
    <col min="14854" max="14854" width="10.33203125" style="14" customWidth="1"/>
    <col min="14855" max="14855" width="8.5546875" style="14" customWidth="1"/>
    <col min="14856" max="14856" width="11.5546875" style="14" customWidth="1"/>
    <col min="14857" max="14857" width="11" style="14" customWidth="1"/>
    <col min="14858" max="14858" width="10" style="14" customWidth="1"/>
    <col min="14859" max="14859" width="11.88671875" style="14" customWidth="1"/>
    <col min="14860" max="14860" width="10.33203125" style="14" customWidth="1"/>
    <col min="14861" max="14861" width="10.88671875" style="14" customWidth="1"/>
    <col min="14862" max="14862" width="10.5546875" style="14" customWidth="1"/>
    <col min="14863" max="14863" width="15.5546875" style="14" customWidth="1"/>
    <col min="14864" max="14864" width="23.5546875" style="14" customWidth="1"/>
    <col min="14865" max="14865" width="9.109375" style="14" customWidth="1"/>
    <col min="14866" max="14866" width="15.6640625" style="14" customWidth="1"/>
    <col min="14867" max="14867" width="23.88671875" style="14" customWidth="1"/>
    <col min="14868" max="14868" width="10.44140625" style="14" customWidth="1"/>
    <col min="14869" max="14869" width="12.44140625" style="14" customWidth="1"/>
    <col min="14870" max="14870" width="8.33203125" style="14" customWidth="1"/>
    <col min="14871" max="14871" width="8.44140625" style="14" customWidth="1"/>
    <col min="14872" max="14872" width="7.6640625" style="14" customWidth="1"/>
    <col min="14873" max="14873" width="7.5546875" style="14" customWidth="1"/>
    <col min="14874" max="14874" width="21.109375" style="14" customWidth="1"/>
    <col min="14875" max="15105" width="11.44140625" style="14"/>
    <col min="15106" max="15106" width="5.88671875" style="14" customWidth="1"/>
    <col min="15107" max="15107" width="7.5546875" style="14" customWidth="1"/>
    <col min="15108" max="15108" width="26" style="14" customWidth="1"/>
    <col min="15109" max="15109" width="11.44140625" style="14" customWidth="1"/>
    <col min="15110" max="15110" width="10.33203125" style="14" customWidth="1"/>
    <col min="15111" max="15111" width="8.5546875" style="14" customWidth="1"/>
    <col min="15112" max="15112" width="11.5546875" style="14" customWidth="1"/>
    <col min="15113" max="15113" width="11" style="14" customWidth="1"/>
    <col min="15114" max="15114" width="10" style="14" customWidth="1"/>
    <col min="15115" max="15115" width="11.88671875" style="14" customWidth="1"/>
    <col min="15116" max="15116" width="10.33203125" style="14" customWidth="1"/>
    <col min="15117" max="15117" width="10.88671875" style="14" customWidth="1"/>
    <col min="15118" max="15118" width="10.5546875" style="14" customWidth="1"/>
    <col min="15119" max="15119" width="15.5546875" style="14" customWidth="1"/>
    <col min="15120" max="15120" width="23.5546875" style="14" customWidth="1"/>
    <col min="15121" max="15121" width="9.109375" style="14" customWidth="1"/>
    <col min="15122" max="15122" width="15.6640625" style="14" customWidth="1"/>
    <col min="15123" max="15123" width="23.88671875" style="14" customWidth="1"/>
    <col min="15124" max="15124" width="10.44140625" style="14" customWidth="1"/>
    <col min="15125" max="15125" width="12.44140625" style="14" customWidth="1"/>
    <col min="15126" max="15126" width="8.33203125" style="14" customWidth="1"/>
    <col min="15127" max="15127" width="8.44140625" style="14" customWidth="1"/>
    <col min="15128" max="15128" width="7.6640625" style="14" customWidth="1"/>
    <col min="15129" max="15129" width="7.5546875" style="14" customWidth="1"/>
    <col min="15130" max="15130" width="21.109375" style="14" customWidth="1"/>
    <col min="15131" max="15361" width="11.44140625" style="14"/>
    <col min="15362" max="15362" width="5.88671875" style="14" customWidth="1"/>
    <col min="15363" max="15363" width="7.5546875" style="14" customWidth="1"/>
    <col min="15364" max="15364" width="26" style="14" customWidth="1"/>
    <col min="15365" max="15365" width="11.44140625" style="14" customWidth="1"/>
    <col min="15366" max="15366" width="10.33203125" style="14" customWidth="1"/>
    <col min="15367" max="15367" width="8.5546875" style="14" customWidth="1"/>
    <col min="15368" max="15368" width="11.5546875" style="14" customWidth="1"/>
    <col min="15369" max="15369" width="11" style="14" customWidth="1"/>
    <col min="15370" max="15370" width="10" style="14" customWidth="1"/>
    <col min="15371" max="15371" width="11.88671875" style="14" customWidth="1"/>
    <col min="15372" max="15372" width="10.33203125" style="14" customWidth="1"/>
    <col min="15373" max="15373" width="10.88671875" style="14" customWidth="1"/>
    <col min="15374" max="15374" width="10.5546875" style="14" customWidth="1"/>
    <col min="15375" max="15375" width="15.5546875" style="14" customWidth="1"/>
    <col min="15376" max="15376" width="23.5546875" style="14" customWidth="1"/>
    <col min="15377" max="15377" width="9.109375" style="14" customWidth="1"/>
    <col min="15378" max="15378" width="15.6640625" style="14" customWidth="1"/>
    <col min="15379" max="15379" width="23.88671875" style="14" customWidth="1"/>
    <col min="15380" max="15380" width="10.44140625" style="14" customWidth="1"/>
    <col min="15381" max="15381" width="12.44140625" style="14" customWidth="1"/>
    <col min="15382" max="15382" width="8.33203125" style="14" customWidth="1"/>
    <col min="15383" max="15383" width="8.44140625" style="14" customWidth="1"/>
    <col min="15384" max="15384" width="7.6640625" style="14" customWidth="1"/>
    <col min="15385" max="15385" width="7.5546875" style="14" customWidth="1"/>
    <col min="15386" max="15386" width="21.109375" style="14" customWidth="1"/>
    <col min="15387" max="15617" width="11.44140625" style="14"/>
    <col min="15618" max="15618" width="5.88671875" style="14" customWidth="1"/>
    <col min="15619" max="15619" width="7.5546875" style="14" customWidth="1"/>
    <col min="15620" max="15620" width="26" style="14" customWidth="1"/>
    <col min="15621" max="15621" width="11.44140625" style="14" customWidth="1"/>
    <col min="15622" max="15622" width="10.33203125" style="14" customWidth="1"/>
    <col min="15623" max="15623" width="8.5546875" style="14" customWidth="1"/>
    <col min="15624" max="15624" width="11.5546875" style="14" customWidth="1"/>
    <col min="15625" max="15625" width="11" style="14" customWidth="1"/>
    <col min="15626" max="15626" width="10" style="14" customWidth="1"/>
    <col min="15627" max="15627" width="11.88671875" style="14" customWidth="1"/>
    <col min="15628" max="15628" width="10.33203125" style="14" customWidth="1"/>
    <col min="15629" max="15629" width="10.88671875" style="14" customWidth="1"/>
    <col min="15630" max="15630" width="10.5546875" style="14" customWidth="1"/>
    <col min="15631" max="15631" width="15.5546875" style="14" customWidth="1"/>
    <col min="15632" max="15632" width="23.5546875" style="14" customWidth="1"/>
    <col min="15633" max="15633" width="9.109375" style="14" customWidth="1"/>
    <col min="15634" max="15634" width="15.6640625" style="14" customWidth="1"/>
    <col min="15635" max="15635" width="23.88671875" style="14" customWidth="1"/>
    <col min="15636" max="15636" width="10.44140625" style="14" customWidth="1"/>
    <col min="15637" max="15637" width="12.44140625" style="14" customWidth="1"/>
    <col min="15638" max="15638" width="8.33203125" style="14" customWidth="1"/>
    <col min="15639" max="15639" width="8.44140625" style="14" customWidth="1"/>
    <col min="15640" max="15640" width="7.6640625" style="14" customWidth="1"/>
    <col min="15641" max="15641" width="7.5546875" style="14" customWidth="1"/>
    <col min="15642" max="15642" width="21.109375" style="14" customWidth="1"/>
    <col min="15643" max="15873" width="11.44140625" style="14"/>
    <col min="15874" max="15874" width="5.88671875" style="14" customWidth="1"/>
    <col min="15875" max="15875" width="7.5546875" style="14" customWidth="1"/>
    <col min="15876" max="15876" width="26" style="14" customWidth="1"/>
    <col min="15877" max="15877" width="11.44140625" style="14" customWidth="1"/>
    <col min="15878" max="15878" width="10.33203125" style="14" customWidth="1"/>
    <col min="15879" max="15879" width="8.5546875" style="14" customWidth="1"/>
    <col min="15880" max="15880" width="11.5546875" style="14" customWidth="1"/>
    <col min="15881" max="15881" width="11" style="14" customWidth="1"/>
    <col min="15882" max="15882" width="10" style="14" customWidth="1"/>
    <col min="15883" max="15883" width="11.88671875" style="14" customWidth="1"/>
    <col min="15884" max="15884" width="10.33203125" style="14" customWidth="1"/>
    <col min="15885" max="15885" width="10.88671875" style="14" customWidth="1"/>
    <col min="15886" max="15886" width="10.5546875" style="14" customWidth="1"/>
    <col min="15887" max="15887" width="15.5546875" style="14" customWidth="1"/>
    <col min="15888" max="15888" width="23.5546875" style="14" customWidth="1"/>
    <col min="15889" max="15889" width="9.109375" style="14" customWidth="1"/>
    <col min="15890" max="15890" width="15.6640625" style="14" customWidth="1"/>
    <col min="15891" max="15891" width="23.88671875" style="14" customWidth="1"/>
    <col min="15892" max="15892" width="10.44140625" style="14" customWidth="1"/>
    <col min="15893" max="15893" width="12.44140625" style="14" customWidth="1"/>
    <col min="15894" max="15894" width="8.33203125" style="14" customWidth="1"/>
    <col min="15895" max="15895" width="8.44140625" style="14" customWidth="1"/>
    <col min="15896" max="15896" width="7.6640625" style="14" customWidth="1"/>
    <col min="15897" max="15897" width="7.5546875" style="14" customWidth="1"/>
    <col min="15898" max="15898" width="21.109375" style="14" customWidth="1"/>
    <col min="15899" max="16129" width="11.44140625" style="14"/>
    <col min="16130" max="16130" width="5.88671875" style="14" customWidth="1"/>
    <col min="16131" max="16131" width="7.5546875" style="14" customWidth="1"/>
    <col min="16132" max="16132" width="26" style="14" customWidth="1"/>
    <col min="16133" max="16133" width="11.44140625" style="14" customWidth="1"/>
    <col min="16134" max="16134" width="10.33203125" style="14" customWidth="1"/>
    <col min="16135" max="16135" width="8.5546875" style="14" customWidth="1"/>
    <col min="16136" max="16136" width="11.5546875" style="14" customWidth="1"/>
    <col min="16137" max="16137" width="11" style="14" customWidth="1"/>
    <col min="16138" max="16138" width="10" style="14" customWidth="1"/>
    <col min="16139" max="16139" width="11.88671875" style="14" customWidth="1"/>
    <col min="16140" max="16140" width="10.33203125" style="14" customWidth="1"/>
    <col min="16141" max="16141" width="10.88671875" style="14" customWidth="1"/>
    <col min="16142" max="16142" width="10.5546875" style="14" customWidth="1"/>
    <col min="16143" max="16143" width="15.5546875" style="14" customWidth="1"/>
    <col min="16144" max="16144" width="23.5546875" style="14" customWidth="1"/>
    <col min="16145" max="16145" width="9.109375" style="14" customWidth="1"/>
    <col min="16146" max="16146" width="15.6640625" style="14" customWidth="1"/>
    <col min="16147" max="16147" width="23.88671875" style="14" customWidth="1"/>
    <col min="16148" max="16148" width="10.44140625" style="14" customWidth="1"/>
    <col min="16149" max="16149" width="12.44140625" style="14" customWidth="1"/>
    <col min="16150" max="16150" width="8.33203125" style="14" customWidth="1"/>
    <col min="16151" max="16151" width="8.44140625" style="14" customWidth="1"/>
    <col min="16152" max="16152" width="7.6640625" style="14" customWidth="1"/>
    <col min="16153" max="16153" width="7.5546875" style="14" customWidth="1"/>
    <col min="16154" max="16154" width="21.109375" style="14" customWidth="1"/>
    <col min="16155" max="16384" width="11.44140625" style="14"/>
  </cols>
  <sheetData>
    <row r="1" spans="1:25" ht="30" customHeight="1" x14ac:dyDescent="0.25">
      <c r="A1" s="603" t="s">
        <v>320</v>
      </c>
      <c r="B1" s="602"/>
      <c r="C1" s="602"/>
    </row>
    <row r="2" spans="1:25" ht="13.8" x14ac:dyDescent="0.25">
      <c r="A2" s="603" t="s">
        <v>590</v>
      </c>
      <c r="B2" s="602"/>
      <c r="C2" s="602"/>
      <c r="H2" s="214"/>
    </row>
    <row r="3" spans="1:25" ht="13.8" x14ac:dyDescent="0.25">
      <c r="A3" s="603"/>
      <c r="B3" s="602"/>
      <c r="C3" s="602"/>
    </row>
    <row r="4" spans="1:25" ht="13.8" x14ac:dyDescent="0.25">
      <c r="A4" s="602"/>
      <c r="B4" s="601" t="s">
        <v>89</v>
      </c>
      <c r="C4" s="602"/>
      <c r="D4" s="14"/>
      <c r="E4" s="14"/>
      <c r="H4" s="13"/>
      <c r="I4" s="13"/>
      <c r="J4" s="13"/>
      <c r="K4" s="13"/>
      <c r="P4" s="14"/>
      <c r="Q4" s="14"/>
      <c r="R4" s="14"/>
      <c r="T4" s="14"/>
      <c r="U4" s="14"/>
      <c r="X4" s="14"/>
      <c r="Y4" s="14"/>
    </row>
    <row r="5" spans="1:25" ht="39.6" x14ac:dyDescent="0.25">
      <c r="B5" s="649" t="s">
        <v>40</v>
      </c>
      <c r="C5" s="11" t="s">
        <v>649</v>
      </c>
      <c r="D5" s="11" t="s">
        <v>650</v>
      </c>
      <c r="E5" s="11"/>
      <c r="F5" s="11" t="s">
        <v>90</v>
      </c>
      <c r="G5" s="11" t="s">
        <v>652</v>
      </c>
      <c r="H5" s="11" t="s">
        <v>658</v>
      </c>
      <c r="I5" s="200" t="s">
        <v>653</v>
      </c>
      <c r="J5" s="11" t="s">
        <v>331</v>
      </c>
      <c r="K5" s="11" t="s">
        <v>644</v>
      </c>
      <c r="L5" s="662" t="s">
        <v>623</v>
      </c>
      <c r="M5" s="11" t="s">
        <v>43</v>
      </c>
      <c r="N5" s="11" t="s">
        <v>44</v>
      </c>
      <c r="O5" s="649" t="s">
        <v>648</v>
      </c>
      <c r="P5" s="649" t="s">
        <v>657</v>
      </c>
      <c r="Q5" s="649" t="s">
        <v>46</v>
      </c>
      <c r="R5" s="649" t="s">
        <v>656</v>
      </c>
      <c r="S5" s="649" t="s">
        <v>655</v>
      </c>
      <c r="T5" s="649" t="s">
        <v>647</v>
      </c>
      <c r="U5" s="649" t="s">
        <v>654</v>
      </c>
      <c r="X5" s="14"/>
      <c r="Y5" s="14"/>
    </row>
    <row r="6" spans="1:25" x14ac:dyDescent="0.25">
      <c r="B6" s="649"/>
      <c r="C6" s="16" t="s">
        <v>461</v>
      </c>
      <c r="D6" s="16" t="s">
        <v>462</v>
      </c>
      <c r="E6" s="16"/>
      <c r="F6" s="16" t="s">
        <v>414</v>
      </c>
      <c r="G6" s="217" t="s">
        <v>280</v>
      </c>
      <c r="H6" s="16" t="s">
        <v>11</v>
      </c>
      <c r="I6" s="201"/>
      <c r="J6" s="201" t="s">
        <v>52</v>
      </c>
      <c r="K6" s="201" t="s">
        <v>11</v>
      </c>
      <c r="L6" s="663"/>
      <c r="M6" s="16" t="s">
        <v>53</v>
      </c>
      <c r="N6" s="16" t="s">
        <v>53</v>
      </c>
      <c r="O6" s="649"/>
      <c r="P6" s="649"/>
      <c r="Q6" s="649"/>
      <c r="R6" s="649"/>
      <c r="S6" s="649"/>
      <c r="T6" s="649"/>
      <c r="U6" s="661"/>
      <c r="X6" s="14"/>
      <c r="Y6" s="14"/>
    </row>
    <row r="7" spans="1:25" ht="26.4" x14ac:dyDescent="0.25">
      <c r="B7" s="12">
        <v>1</v>
      </c>
      <c r="C7" s="547">
        <v>4000</v>
      </c>
      <c r="D7" s="547">
        <v>45</v>
      </c>
      <c r="E7" s="221"/>
      <c r="F7" s="573">
        <f>C7*D7/1000</f>
        <v>180</v>
      </c>
      <c r="G7" s="548">
        <v>0.7</v>
      </c>
      <c r="H7" s="573">
        <f>F7*G7</f>
        <v>125.99999999999999</v>
      </c>
      <c r="I7" s="571" t="s">
        <v>16</v>
      </c>
      <c r="J7" s="548">
        <v>0</v>
      </c>
      <c r="K7" s="573">
        <f>H7*J7</f>
        <v>0</v>
      </c>
      <c r="L7" s="547" t="s">
        <v>339</v>
      </c>
      <c r="M7" s="549">
        <v>38</v>
      </c>
      <c r="N7" s="549">
        <v>60</v>
      </c>
      <c r="O7" s="549"/>
      <c r="P7" s="549" t="s">
        <v>415</v>
      </c>
      <c r="Q7" s="549" t="s">
        <v>416</v>
      </c>
      <c r="R7" s="549" t="s">
        <v>417</v>
      </c>
      <c r="S7" s="547">
        <v>1999</v>
      </c>
      <c r="T7" s="549"/>
      <c r="U7" s="398"/>
      <c r="X7" s="14"/>
      <c r="Y7" s="14"/>
    </row>
    <row r="8" spans="1:25" ht="26.4" x14ac:dyDescent="0.25">
      <c r="B8" s="12">
        <v>2</v>
      </c>
      <c r="C8" s="547">
        <v>3000</v>
      </c>
      <c r="D8" s="547">
        <v>45</v>
      </c>
      <c r="E8" s="221"/>
      <c r="F8" s="573">
        <f t="shared" ref="F8:F10" si="0">C8*D8/1000</f>
        <v>135</v>
      </c>
      <c r="G8" s="548">
        <v>0.6</v>
      </c>
      <c r="H8" s="573">
        <f>F8*G8</f>
        <v>81</v>
      </c>
      <c r="I8" s="571" t="s">
        <v>16</v>
      </c>
      <c r="J8" s="548">
        <v>0</v>
      </c>
      <c r="K8" s="573">
        <f t="shared" ref="K8:K10" si="1">H8*J8</f>
        <v>0</v>
      </c>
      <c r="L8" s="547" t="s">
        <v>339</v>
      </c>
      <c r="M8" s="549">
        <v>38</v>
      </c>
      <c r="N8" s="549">
        <v>60</v>
      </c>
      <c r="O8" s="549"/>
      <c r="P8" s="549" t="s">
        <v>415</v>
      </c>
      <c r="Q8" s="549" t="s">
        <v>416</v>
      </c>
      <c r="R8" s="549" t="s">
        <v>417</v>
      </c>
      <c r="S8" s="547">
        <v>1999</v>
      </c>
      <c r="T8" s="549"/>
      <c r="U8" s="398"/>
      <c r="X8" s="14"/>
      <c r="Y8" s="14"/>
    </row>
    <row r="9" spans="1:25" x14ac:dyDescent="0.25">
      <c r="B9" s="12">
        <v>3</v>
      </c>
      <c r="C9" s="547"/>
      <c r="D9" s="547"/>
      <c r="E9" s="221"/>
      <c r="F9" s="573">
        <f t="shared" si="0"/>
        <v>0</v>
      </c>
      <c r="G9" s="548">
        <v>0.65</v>
      </c>
      <c r="H9" s="573">
        <f t="shared" ref="H9:H16" si="2">F9*G9</f>
        <v>0</v>
      </c>
      <c r="I9" s="571"/>
      <c r="J9" s="548"/>
      <c r="K9" s="573">
        <f t="shared" si="1"/>
        <v>0</v>
      </c>
      <c r="L9" s="547"/>
      <c r="M9" s="549"/>
      <c r="N9" s="549"/>
      <c r="O9" s="549"/>
      <c r="P9" s="549"/>
      <c r="Q9" s="549"/>
      <c r="R9" s="549"/>
      <c r="S9" s="547"/>
      <c r="T9" s="549"/>
      <c r="U9" s="398"/>
      <c r="X9" s="14"/>
      <c r="Y9" s="14"/>
    </row>
    <row r="10" spans="1:25" x14ac:dyDescent="0.25">
      <c r="B10" s="12">
        <v>4</v>
      </c>
      <c r="C10" s="547"/>
      <c r="D10" s="547"/>
      <c r="E10" s="221"/>
      <c r="F10" s="573">
        <f t="shared" si="0"/>
        <v>0</v>
      </c>
      <c r="G10" s="548">
        <v>0.65</v>
      </c>
      <c r="H10" s="573">
        <f t="shared" si="2"/>
        <v>0</v>
      </c>
      <c r="I10" s="571"/>
      <c r="J10" s="548"/>
      <c r="K10" s="573">
        <f t="shared" si="1"/>
        <v>0</v>
      </c>
      <c r="L10" s="547"/>
      <c r="M10" s="549"/>
      <c r="N10" s="549"/>
      <c r="O10" s="549"/>
      <c r="P10" s="549"/>
      <c r="Q10" s="549"/>
      <c r="R10" s="549"/>
      <c r="S10" s="547"/>
      <c r="T10" s="549"/>
      <c r="U10" s="398"/>
      <c r="X10" s="14"/>
      <c r="Y10" s="14"/>
    </row>
    <row r="11" spans="1:25" x14ac:dyDescent="0.25">
      <c r="B11" s="12">
        <v>5</v>
      </c>
      <c r="C11" s="547"/>
      <c r="D11" s="547"/>
      <c r="E11" s="221"/>
      <c r="F11" s="573">
        <f t="shared" ref="F11:F16" si="3">C11*D11/1000</f>
        <v>0</v>
      </c>
      <c r="G11" s="548">
        <v>0.65</v>
      </c>
      <c r="H11" s="573">
        <f t="shared" si="2"/>
        <v>0</v>
      </c>
      <c r="I11" s="571"/>
      <c r="J11" s="548"/>
      <c r="K11" s="573">
        <f t="shared" ref="K11:K16" si="4">H11*J11</f>
        <v>0</v>
      </c>
      <c r="L11" s="547"/>
      <c r="M11" s="549"/>
      <c r="N11" s="549"/>
      <c r="O11" s="549"/>
      <c r="P11" s="549"/>
      <c r="Q11" s="549"/>
      <c r="R11" s="549"/>
      <c r="S11" s="547"/>
      <c r="T11" s="549"/>
      <c r="U11" s="398"/>
      <c r="X11" s="14"/>
      <c r="Y11" s="14"/>
    </row>
    <row r="12" spans="1:25" x14ac:dyDescent="0.25">
      <c r="B12" s="12">
        <v>6</v>
      </c>
      <c r="C12" s="547"/>
      <c r="D12" s="547"/>
      <c r="E12" s="221"/>
      <c r="F12" s="573">
        <f t="shared" si="3"/>
        <v>0</v>
      </c>
      <c r="G12" s="548">
        <v>0.65</v>
      </c>
      <c r="H12" s="573">
        <f t="shared" si="2"/>
        <v>0</v>
      </c>
      <c r="I12" s="571"/>
      <c r="J12" s="548"/>
      <c r="K12" s="573">
        <f t="shared" si="4"/>
        <v>0</v>
      </c>
      <c r="L12" s="547"/>
      <c r="M12" s="549"/>
      <c r="N12" s="549"/>
      <c r="O12" s="549"/>
      <c r="P12" s="549"/>
      <c r="Q12" s="549"/>
      <c r="R12" s="549"/>
      <c r="S12" s="547"/>
      <c r="T12" s="549"/>
      <c r="U12" s="398"/>
      <c r="X12" s="14"/>
      <c r="Y12" s="14"/>
    </row>
    <row r="13" spans="1:25" x14ac:dyDescent="0.25">
      <c r="B13" s="12">
        <v>7</v>
      </c>
      <c r="C13" s="547"/>
      <c r="D13" s="547"/>
      <c r="E13" s="221"/>
      <c r="F13" s="573">
        <f t="shared" si="3"/>
        <v>0</v>
      </c>
      <c r="G13" s="548">
        <v>0.65</v>
      </c>
      <c r="H13" s="573">
        <f t="shared" si="2"/>
        <v>0</v>
      </c>
      <c r="I13" s="571"/>
      <c r="J13" s="548"/>
      <c r="K13" s="573">
        <f t="shared" si="4"/>
        <v>0</v>
      </c>
      <c r="L13" s="547"/>
      <c r="M13" s="549"/>
      <c r="N13" s="549"/>
      <c r="O13" s="549"/>
      <c r="P13" s="549"/>
      <c r="Q13" s="549"/>
      <c r="R13" s="549"/>
      <c r="S13" s="547"/>
      <c r="T13" s="549"/>
      <c r="U13" s="398"/>
      <c r="X13" s="14"/>
      <c r="Y13" s="14"/>
    </row>
    <row r="14" spans="1:25" x14ac:dyDescent="0.25">
      <c r="B14" s="12">
        <v>8</v>
      </c>
      <c r="C14" s="547"/>
      <c r="D14" s="547"/>
      <c r="E14" s="221"/>
      <c r="F14" s="573">
        <f t="shared" si="3"/>
        <v>0</v>
      </c>
      <c r="G14" s="548"/>
      <c r="H14" s="573">
        <f t="shared" si="2"/>
        <v>0</v>
      </c>
      <c r="I14" s="571"/>
      <c r="J14" s="548"/>
      <c r="K14" s="573">
        <f t="shared" si="4"/>
        <v>0</v>
      </c>
      <c r="L14" s="547"/>
      <c r="M14" s="549"/>
      <c r="N14" s="549"/>
      <c r="O14" s="549"/>
      <c r="P14" s="549"/>
      <c r="Q14" s="549"/>
      <c r="R14" s="549"/>
      <c r="S14" s="547"/>
      <c r="T14" s="549"/>
      <c r="U14" s="398"/>
      <c r="X14" s="14"/>
      <c r="Y14" s="14"/>
    </row>
    <row r="15" spans="1:25" x14ac:dyDescent="0.25">
      <c r="B15" s="12">
        <v>9</v>
      </c>
      <c r="C15" s="547"/>
      <c r="D15" s="547"/>
      <c r="E15" s="221"/>
      <c r="F15" s="573">
        <f t="shared" si="3"/>
        <v>0</v>
      </c>
      <c r="G15" s="548"/>
      <c r="H15" s="573">
        <f t="shared" si="2"/>
        <v>0</v>
      </c>
      <c r="I15" s="571"/>
      <c r="J15" s="548"/>
      <c r="K15" s="573">
        <f t="shared" si="4"/>
        <v>0</v>
      </c>
      <c r="L15" s="547"/>
      <c r="M15" s="549"/>
      <c r="N15" s="549"/>
      <c r="O15" s="549"/>
      <c r="P15" s="549"/>
      <c r="Q15" s="549"/>
      <c r="R15" s="549"/>
      <c r="S15" s="547"/>
      <c r="T15" s="549"/>
      <c r="U15" s="398"/>
      <c r="X15" s="14"/>
      <c r="Y15" s="14"/>
    </row>
    <row r="16" spans="1:25" x14ac:dyDescent="0.25">
      <c r="B16" s="12">
        <v>10</v>
      </c>
      <c r="C16" s="547"/>
      <c r="D16" s="547"/>
      <c r="E16" s="221"/>
      <c r="F16" s="573">
        <f t="shared" si="3"/>
        <v>0</v>
      </c>
      <c r="G16" s="548"/>
      <c r="H16" s="573">
        <f t="shared" si="2"/>
        <v>0</v>
      </c>
      <c r="I16" s="571"/>
      <c r="J16" s="548"/>
      <c r="K16" s="573">
        <f t="shared" si="4"/>
        <v>0</v>
      </c>
      <c r="L16" s="547"/>
      <c r="M16" s="549"/>
      <c r="N16" s="549"/>
      <c r="O16" s="549"/>
      <c r="P16" s="549"/>
      <c r="Q16" s="549"/>
      <c r="R16" s="549"/>
      <c r="S16" s="547"/>
      <c r="T16" s="549"/>
      <c r="U16" s="398"/>
      <c r="X16" s="14"/>
      <c r="Y16" s="14"/>
    </row>
    <row r="17" spans="2:25" x14ac:dyDescent="0.25">
      <c r="B17" s="217" t="s">
        <v>377</v>
      </c>
      <c r="C17" s="221"/>
      <c r="D17" s="221"/>
      <c r="E17" s="221"/>
      <c r="F17" s="574">
        <f>SUM(F7:F16)</f>
        <v>315</v>
      </c>
      <c r="G17" s="575">
        <f>H17/F17</f>
        <v>0.65714285714285714</v>
      </c>
      <c r="H17" s="574">
        <f>SUM(H7:H16)</f>
        <v>207</v>
      </c>
      <c r="I17" s="220"/>
      <c r="J17" s="220"/>
      <c r="K17" s="574">
        <f>SUM(K7:K16)</f>
        <v>0</v>
      </c>
      <c r="L17" s="221"/>
      <c r="M17" s="238"/>
      <c r="N17" s="238"/>
      <c r="O17" s="238"/>
      <c r="P17" s="238"/>
      <c r="Q17" s="238"/>
      <c r="R17" s="238"/>
      <c r="S17" s="238"/>
      <c r="T17" s="238"/>
      <c r="U17" s="233"/>
      <c r="X17" s="14"/>
      <c r="Y17" s="14"/>
    </row>
    <row r="19" spans="2:25" ht="13.8" x14ac:dyDescent="0.25">
      <c r="B19" s="601" t="s">
        <v>586</v>
      </c>
      <c r="C19" s="602"/>
      <c r="E19" s="15"/>
      <c r="U19" s="14"/>
    </row>
    <row r="20" spans="2:25" ht="39.6" x14ac:dyDescent="0.25">
      <c r="B20" s="649" t="s">
        <v>40</v>
      </c>
      <c r="C20" s="11" t="s">
        <v>649</v>
      </c>
      <c r="D20" s="11" t="s">
        <v>650</v>
      </c>
      <c r="E20" s="11" t="s">
        <v>624</v>
      </c>
      <c r="F20" s="11" t="s">
        <v>651</v>
      </c>
      <c r="G20" s="11" t="s">
        <v>652</v>
      </c>
      <c r="H20" s="11" t="s">
        <v>658</v>
      </c>
      <c r="I20" s="200" t="s">
        <v>653</v>
      </c>
      <c r="J20" s="11" t="s">
        <v>331</v>
      </c>
      <c r="K20" s="11" t="s">
        <v>644</v>
      </c>
      <c r="L20" s="662" t="s">
        <v>623</v>
      </c>
      <c r="M20" s="11" t="s">
        <v>43</v>
      </c>
      <c r="N20" s="11" t="s">
        <v>44</v>
      </c>
      <c r="O20" s="649" t="s">
        <v>648</v>
      </c>
      <c r="P20" s="649" t="s">
        <v>657</v>
      </c>
      <c r="Q20" s="649" t="s">
        <v>46</v>
      </c>
      <c r="R20" s="649" t="s">
        <v>656</v>
      </c>
      <c r="S20" s="649" t="s">
        <v>655</v>
      </c>
      <c r="T20" s="649" t="s">
        <v>49</v>
      </c>
      <c r="U20" s="649" t="s">
        <v>654</v>
      </c>
    </row>
    <row r="21" spans="2:25" x14ac:dyDescent="0.25">
      <c r="B21" s="649"/>
      <c r="C21" s="16" t="s">
        <v>51</v>
      </c>
      <c r="D21" s="266" t="s">
        <v>462</v>
      </c>
      <c r="E21" s="16"/>
      <c r="F21" s="16" t="s">
        <v>11</v>
      </c>
      <c r="G21" s="217" t="s">
        <v>280</v>
      </c>
      <c r="H21" s="217" t="s">
        <v>11</v>
      </c>
      <c r="I21" s="201"/>
      <c r="J21" s="201" t="s">
        <v>52</v>
      </c>
      <c r="K21" s="201" t="s">
        <v>11</v>
      </c>
      <c r="L21" s="663"/>
      <c r="M21" s="16" t="s">
        <v>53</v>
      </c>
      <c r="N21" s="16" t="s">
        <v>53</v>
      </c>
      <c r="O21" s="649"/>
      <c r="P21" s="649"/>
      <c r="Q21" s="649"/>
      <c r="R21" s="649"/>
      <c r="S21" s="649"/>
      <c r="T21" s="649"/>
      <c r="U21" s="661"/>
    </row>
    <row r="22" spans="2:25" x14ac:dyDescent="0.25">
      <c r="B22" s="12">
        <v>1</v>
      </c>
      <c r="C22" s="549"/>
      <c r="D22" s="549"/>
      <c r="E22" s="549" t="s">
        <v>223</v>
      </c>
      <c r="F22" s="573">
        <v>180</v>
      </c>
      <c r="G22" s="548">
        <v>0.7</v>
      </c>
      <c r="H22" s="573">
        <f>F22*G22</f>
        <v>125.99999999999999</v>
      </c>
      <c r="I22" s="571"/>
      <c r="J22" s="548"/>
      <c r="K22" s="573">
        <f>H22*J22</f>
        <v>0</v>
      </c>
      <c r="L22" s="549"/>
      <c r="M22" s="549"/>
      <c r="N22" s="549"/>
      <c r="O22" s="549"/>
      <c r="P22" s="549"/>
      <c r="Q22" s="549"/>
      <c r="R22" s="549"/>
      <c r="S22" s="549"/>
      <c r="T22" s="549"/>
      <c r="U22" s="398"/>
      <c r="X22" s="14"/>
      <c r="Y22" s="14"/>
    </row>
    <row r="23" spans="2:25" x14ac:dyDescent="0.25">
      <c r="B23" s="12">
        <v>2</v>
      </c>
      <c r="C23" s="549"/>
      <c r="D23" s="549"/>
      <c r="E23" s="549" t="s">
        <v>223</v>
      </c>
      <c r="F23" s="573">
        <v>120</v>
      </c>
      <c r="G23" s="548">
        <v>0.6</v>
      </c>
      <c r="H23" s="573">
        <f>F23*0.65</f>
        <v>78</v>
      </c>
      <c r="I23" s="571"/>
      <c r="J23" s="548"/>
      <c r="K23" s="573">
        <f t="shared" ref="K23:K41" si="5">H23*J23</f>
        <v>0</v>
      </c>
      <c r="L23" s="549"/>
      <c r="M23" s="549"/>
      <c r="N23" s="549"/>
      <c r="O23" s="549"/>
      <c r="P23" s="549"/>
      <c r="Q23" s="549"/>
      <c r="R23" s="549"/>
      <c r="S23" s="549"/>
      <c r="T23" s="549"/>
      <c r="U23" s="398"/>
      <c r="X23" s="14"/>
      <c r="Y23" s="14"/>
    </row>
    <row r="24" spans="2:25" x14ac:dyDescent="0.25">
      <c r="B24" s="12">
        <v>3</v>
      </c>
      <c r="C24" s="549"/>
      <c r="D24" s="549"/>
      <c r="E24" s="549" t="s">
        <v>223</v>
      </c>
      <c r="F24" s="573">
        <f t="shared" ref="F24:F41" si="6">C24*D24/1000</f>
        <v>0</v>
      </c>
      <c r="G24" s="548">
        <v>0.65</v>
      </c>
      <c r="H24" s="573">
        <f t="shared" ref="H24:H41" si="7">F24*0.65</f>
        <v>0</v>
      </c>
      <c r="I24" s="398"/>
      <c r="J24" s="548"/>
      <c r="K24" s="573">
        <f t="shared" si="5"/>
        <v>0</v>
      </c>
      <c r="L24" s="549"/>
      <c r="M24" s="549"/>
      <c r="N24" s="549"/>
      <c r="O24" s="549"/>
      <c r="P24" s="549"/>
      <c r="Q24" s="549"/>
      <c r="R24" s="549"/>
      <c r="S24" s="549"/>
      <c r="T24" s="549"/>
      <c r="U24" s="398"/>
      <c r="X24" s="14"/>
      <c r="Y24" s="14"/>
    </row>
    <row r="25" spans="2:25" x14ac:dyDescent="0.25">
      <c r="B25" s="12">
        <v>4</v>
      </c>
      <c r="C25" s="549"/>
      <c r="D25" s="549"/>
      <c r="E25" s="549" t="s">
        <v>223</v>
      </c>
      <c r="F25" s="573">
        <f t="shared" si="6"/>
        <v>0</v>
      </c>
      <c r="G25" s="548">
        <v>0.65</v>
      </c>
      <c r="H25" s="573">
        <f t="shared" si="7"/>
        <v>0</v>
      </c>
      <c r="I25" s="398"/>
      <c r="J25" s="548"/>
      <c r="K25" s="573">
        <f t="shared" si="5"/>
        <v>0</v>
      </c>
      <c r="L25" s="549"/>
      <c r="M25" s="549"/>
      <c r="N25" s="549"/>
      <c r="O25" s="549"/>
      <c r="P25" s="549"/>
      <c r="Q25" s="549"/>
      <c r="R25" s="549"/>
      <c r="S25" s="549"/>
      <c r="T25" s="549"/>
      <c r="U25" s="398"/>
      <c r="X25" s="14"/>
      <c r="Y25" s="14"/>
    </row>
    <row r="26" spans="2:25" x14ac:dyDescent="0.25">
      <c r="B26" s="12">
        <v>5</v>
      </c>
      <c r="C26" s="549"/>
      <c r="D26" s="549"/>
      <c r="E26" s="549" t="s">
        <v>223</v>
      </c>
      <c r="F26" s="573">
        <f t="shared" si="6"/>
        <v>0</v>
      </c>
      <c r="G26" s="548">
        <v>0.65</v>
      </c>
      <c r="H26" s="573">
        <f t="shared" si="7"/>
        <v>0</v>
      </c>
      <c r="I26" s="398"/>
      <c r="J26" s="548"/>
      <c r="K26" s="573">
        <f t="shared" si="5"/>
        <v>0</v>
      </c>
      <c r="L26" s="549"/>
      <c r="M26" s="549"/>
      <c r="N26" s="549"/>
      <c r="O26" s="549"/>
      <c r="P26" s="549"/>
      <c r="Q26" s="549"/>
      <c r="R26" s="549"/>
      <c r="S26" s="549"/>
      <c r="T26" s="549"/>
      <c r="U26" s="398"/>
      <c r="X26" s="14"/>
      <c r="Y26" s="14"/>
    </row>
    <row r="27" spans="2:25" x14ac:dyDescent="0.25">
      <c r="B27" s="12">
        <v>6</v>
      </c>
      <c r="C27" s="549"/>
      <c r="D27" s="549"/>
      <c r="E27" s="549" t="s">
        <v>223</v>
      </c>
      <c r="F27" s="573">
        <f t="shared" si="6"/>
        <v>0</v>
      </c>
      <c r="G27" s="548">
        <v>0.65</v>
      </c>
      <c r="H27" s="573">
        <f t="shared" si="7"/>
        <v>0</v>
      </c>
      <c r="I27" s="398"/>
      <c r="J27" s="548"/>
      <c r="K27" s="573">
        <f t="shared" si="5"/>
        <v>0</v>
      </c>
      <c r="L27" s="549"/>
      <c r="M27" s="549"/>
      <c r="N27" s="549"/>
      <c r="O27" s="549"/>
      <c r="P27" s="549"/>
      <c r="Q27" s="549"/>
      <c r="R27" s="549"/>
      <c r="S27" s="549"/>
      <c r="T27" s="549"/>
      <c r="U27" s="398"/>
      <c r="X27" s="14"/>
      <c r="Y27" s="14"/>
    </row>
    <row r="28" spans="2:25" x14ac:dyDescent="0.25">
      <c r="B28" s="12">
        <v>7</v>
      </c>
      <c r="C28" s="549"/>
      <c r="D28" s="549"/>
      <c r="E28" s="549" t="s">
        <v>223</v>
      </c>
      <c r="F28" s="573">
        <f t="shared" si="6"/>
        <v>0</v>
      </c>
      <c r="G28" s="548">
        <v>0.65</v>
      </c>
      <c r="H28" s="573">
        <f t="shared" si="7"/>
        <v>0</v>
      </c>
      <c r="I28" s="398"/>
      <c r="J28" s="548"/>
      <c r="K28" s="573">
        <f t="shared" si="5"/>
        <v>0</v>
      </c>
      <c r="L28" s="549"/>
      <c r="M28" s="549"/>
      <c r="N28" s="549"/>
      <c r="O28" s="549"/>
      <c r="P28" s="549"/>
      <c r="Q28" s="549"/>
      <c r="R28" s="549"/>
      <c r="S28" s="549"/>
      <c r="T28" s="549"/>
      <c r="U28" s="398"/>
      <c r="X28" s="14"/>
      <c r="Y28" s="14"/>
    </row>
    <row r="29" spans="2:25" x14ac:dyDescent="0.25">
      <c r="B29" s="12">
        <v>8</v>
      </c>
      <c r="C29" s="549"/>
      <c r="D29" s="549"/>
      <c r="E29" s="549" t="s">
        <v>223</v>
      </c>
      <c r="F29" s="573">
        <f t="shared" si="6"/>
        <v>0</v>
      </c>
      <c r="G29" s="548">
        <v>0.65</v>
      </c>
      <c r="H29" s="573">
        <f t="shared" si="7"/>
        <v>0</v>
      </c>
      <c r="I29" s="398"/>
      <c r="J29" s="548"/>
      <c r="K29" s="573">
        <f t="shared" si="5"/>
        <v>0</v>
      </c>
      <c r="L29" s="549"/>
      <c r="M29" s="549"/>
      <c r="N29" s="549"/>
      <c r="O29" s="549"/>
      <c r="P29" s="549"/>
      <c r="Q29" s="549"/>
      <c r="R29" s="549"/>
      <c r="S29" s="549"/>
      <c r="T29" s="549"/>
      <c r="U29" s="398"/>
      <c r="X29" s="14"/>
      <c r="Y29" s="14"/>
    </row>
    <row r="30" spans="2:25" x14ac:dyDescent="0.25">
      <c r="B30" s="12">
        <v>9</v>
      </c>
      <c r="C30" s="549"/>
      <c r="D30" s="549"/>
      <c r="E30" s="549" t="s">
        <v>223</v>
      </c>
      <c r="F30" s="573">
        <f t="shared" si="6"/>
        <v>0</v>
      </c>
      <c r="G30" s="548">
        <v>0.65</v>
      </c>
      <c r="H30" s="573">
        <f t="shared" si="7"/>
        <v>0</v>
      </c>
      <c r="I30" s="398"/>
      <c r="J30" s="548"/>
      <c r="K30" s="573">
        <f t="shared" si="5"/>
        <v>0</v>
      </c>
      <c r="L30" s="549"/>
      <c r="M30" s="549"/>
      <c r="N30" s="549"/>
      <c r="O30" s="549"/>
      <c r="P30" s="549"/>
      <c r="Q30" s="549"/>
      <c r="R30" s="549"/>
      <c r="S30" s="549"/>
      <c r="T30" s="549"/>
      <c r="U30" s="398"/>
      <c r="X30" s="14"/>
      <c r="Y30" s="14"/>
    </row>
    <row r="31" spans="2:25" x14ac:dyDescent="0.25">
      <c r="B31" s="12">
        <v>10</v>
      </c>
      <c r="C31" s="549"/>
      <c r="D31" s="549"/>
      <c r="E31" s="549" t="s">
        <v>223</v>
      </c>
      <c r="F31" s="573">
        <f t="shared" si="6"/>
        <v>0</v>
      </c>
      <c r="G31" s="548">
        <v>0.65</v>
      </c>
      <c r="H31" s="573">
        <f t="shared" si="7"/>
        <v>0</v>
      </c>
      <c r="I31" s="398"/>
      <c r="J31" s="548"/>
      <c r="K31" s="573">
        <f t="shared" si="5"/>
        <v>0</v>
      </c>
      <c r="L31" s="549"/>
      <c r="M31" s="549"/>
      <c r="N31" s="549"/>
      <c r="O31" s="549"/>
      <c r="P31" s="549"/>
      <c r="Q31" s="549"/>
      <c r="R31" s="549"/>
      <c r="S31" s="549"/>
      <c r="T31" s="549"/>
      <c r="U31" s="398"/>
      <c r="X31" s="14"/>
      <c r="Y31" s="14"/>
    </row>
    <row r="32" spans="2:25" x14ac:dyDescent="0.25">
      <c r="B32" s="12">
        <v>11</v>
      </c>
      <c r="C32" s="549"/>
      <c r="D32" s="549"/>
      <c r="E32" s="549" t="s">
        <v>223</v>
      </c>
      <c r="F32" s="573">
        <f t="shared" si="6"/>
        <v>0</v>
      </c>
      <c r="G32" s="548"/>
      <c r="H32" s="573">
        <f t="shared" si="7"/>
        <v>0</v>
      </c>
      <c r="I32" s="398"/>
      <c r="J32" s="548"/>
      <c r="K32" s="573">
        <f t="shared" si="5"/>
        <v>0</v>
      </c>
      <c r="L32" s="549"/>
      <c r="M32" s="549"/>
      <c r="N32" s="549"/>
      <c r="O32" s="549"/>
      <c r="P32" s="549"/>
      <c r="Q32" s="549"/>
      <c r="R32" s="549"/>
      <c r="S32" s="549"/>
      <c r="T32" s="549"/>
      <c r="U32" s="398"/>
      <c r="X32" s="14"/>
      <c r="Y32" s="14"/>
    </row>
    <row r="33" spans="2:25" x14ac:dyDescent="0.25">
      <c r="B33" s="12">
        <v>12</v>
      </c>
      <c r="C33" s="549"/>
      <c r="D33" s="549"/>
      <c r="E33" s="549" t="s">
        <v>223</v>
      </c>
      <c r="F33" s="573">
        <f t="shared" ref="F33:F38" si="8">C33*D33/1000</f>
        <v>0</v>
      </c>
      <c r="G33" s="548"/>
      <c r="H33" s="573">
        <f t="shared" ref="H33:H38" si="9">F33*0.65</f>
        <v>0</v>
      </c>
      <c r="I33" s="398"/>
      <c r="J33" s="548"/>
      <c r="K33" s="573">
        <f t="shared" ref="K33:K38" si="10">H33*J33</f>
        <v>0</v>
      </c>
      <c r="L33" s="549"/>
      <c r="M33" s="549"/>
      <c r="N33" s="549"/>
      <c r="O33" s="549"/>
      <c r="P33" s="549"/>
      <c r="Q33" s="549"/>
      <c r="R33" s="549"/>
      <c r="S33" s="549"/>
      <c r="T33" s="549"/>
      <c r="U33" s="398"/>
      <c r="X33" s="14"/>
      <c r="Y33" s="14"/>
    </row>
    <row r="34" spans="2:25" x14ac:dyDescent="0.25">
      <c r="B34" s="12">
        <v>13</v>
      </c>
      <c r="C34" s="549"/>
      <c r="D34" s="549"/>
      <c r="E34" s="549" t="s">
        <v>223</v>
      </c>
      <c r="F34" s="573">
        <f t="shared" si="8"/>
        <v>0</v>
      </c>
      <c r="G34" s="548"/>
      <c r="H34" s="573">
        <f t="shared" si="9"/>
        <v>0</v>
      </c>
      <c r="I34" s="398"/>
      <c r="J34" s="548"/>
      <c r="K34" s="573">
        <f t="shared" si="10"/>
        <v>0</v>
      </c>
      <c r="L34" s="549"/>
      <c r="M34" s="549"/>
      <c r="N34" s="549"/>
      <c r="O34" s="549"/>
      <c r="P34" s="549"/>
      <c r="Q34" s="549"/>
      <c r="R34" s="549"/>
      <c r="S34" s="549"/>
      <c r="T34" s="549"/>
      <c r="U34" s="398"/>
      <c r="X34" s="14"/>
      <c r="Y34" s="14"/>
    </row>
    <row r="35" spans="2:25" x14ac:dyDescent="0.25">
      <c r="B35" s="12">
        <v>14</v>
      </c>
      <c r="C35" s="549"/>
      <c r="D35" s="549"/>
      <c r="E35" s="549" t="s">
        <v>223</v>
      </c>
      <c r="F35" s="573">
        <f t="shared" si="8"/>
        <v>0</v>
      </c>
      <c r="G35" s="548"/>
      <c r="H35" s="573">
        <f t="shared" si="9"/>
        <v>0</v>
      </c>
      <c r="I35" s="398"/>
      <c r="J35" s="548"/>
      <c r="K35" s="573">
        <f t="shared" si="10"/>
        <v>0</v>
      </c>
      <c r="L35" s="549"/>
      <c r="M35" s="549"/>
      <c r="N35" s="549"/>
      <c r="O35" s="549"/>
      <c r="P35" s="549"/>
      <c r="Q35" s="549"/>
      <c r="R35" s="549"/>
      <c r="S35" s="549"/>
      <c r="T35" s="549"/>
      <c r="U35" s="398"/>
      <c r="X35" s="14"/>
      <c r="Y35" s="14"/>
    </row>
    <row r="36" spans="2:25" x14ac:dyDescent="0.25">
      <c r="B36" s="12">
        <v>15</v>
      </c>
      <c r="C36" s="549"/>
      <c r="D36" s="549"/>
      <c r="E36" s="549" t="s">
        <v>223</v>
      </c>
      <c r="F36" s="573">
        <f t="shared" si="8"/>
        <v>0</v>
      </c>
      <c r="G36" s="548"/>
      <c r="H36" s="573">
        <f t="shared" si="9"/>
        <v>0</v>
      </c>
      <c r="I36" s="398"/>
      <c r="J36" s="548"/>
      <c r="K36" s="573">
        <f t="shared" si="10"/>
        <v>0</v>
      </c>
      <c r="L36" s="549"/>
      <c r="M36" s="549"/>
      <c r="N36" s="549"/>
      <c r="O36" s="549"/>
      <c r="P36" s="549"/>
      <c r="Q36" s="549"/>
      <c r="R36" s="549"/>
      <c r="S36" s="549"/>
      <c r="T36" s="549"/>
      <c r="U36" s="398"/>
      <c r="X36" s="14"/>
      <c r="Y36" s="14"/>
    </row>
    <row r="37" spans="2:25" x14ac:dyDescent="0.25">
      <c r="B37" s="12">
        <v>16</v>
      </c>
      <c r="C37" s="549"/>
      <c r="D37" s="549"/>
      <c r="E37" s="549" t="s">
        <v>223</v>
      </c>
      <c r="F37" s="573">
        <f t="shared" si="8"/>
        <v>0</v>
      </c>
      <c r="G37" s="548"/>
      <c r="H37" s="573">
        <f t="shared" si="9"/>
        <v>0</v>
      </c>
      <c r="I37" s="398"/>
      <c r="J37" s="548"/>
      <c r="K37" s="573">
        <f t="shared" si="10"/>
        <v>0</v>
      </c>
      <c r="L37" s="549"/>
      <c r="M37" s="549"/>
      <c r="N37" s="549"/>
      <c r="O37" s="549"/>
      <c r="P37" s="549"/>
      <c r="Q37" s="549"/>
      <c r="R37" s="549"/>
      <c r="S37" s="549"/>
      <c r="T37" s="549"/>
      <c r="U37" s="398"/>
      <c r="X37" s="14"/>
      <c r="Y37" s="14"/>
    </row>
    <row r="38" spans="2:25" x14ac:dyDescent="0.25">
      <c r="B38" s="12">
        <v>17</v>
      </c>
      <c r="C38" s="549"/>
      <c r="D38" s="549"/>
      <c r="E38" s="549" t="s">
        <v>223</v>
      </c>
      <c r="F38" s="573">
        <f t="shared" si="8"/>
        <v>0</v>
      </c>
      <c r="G38" s="548"/>
      <c r="H38" s="573">
        <f t="shared" si="9"/>
        <v>0</v>
      </c>
      <c r="I38" s="398"/>
      <c r="J38" s="548"/>
      <c r="K38" s="573">
        <f t="shared" si="10"/>
        <v>0</v>
      </c>
      <c r="L38" s="549"/>
      <c r="M38" s="549"/>
      <c r="N38" s="549"/>
      <c r="O38" s="549"/>
      <c r="P38" s="549"/>
      <c r="Q38" s="549"/>
      <c r="R38" s="549"/>
      <c r="S38" s="549"/>
      <c r="T38" s="549"/>
      <c r="U38" s="398"/>
      <c r="X38" s="14"/>
      <c r="Y38" s="14"/>
    </row>
    <row r="39" spans="2:25" x14ac:dyDescent="0.25">
      <c r="B39" s="12">
        <v>18</v>
      </c>
      <c r="C39" s="549"/>
      <c r="D39" s="549"/>
      <c r="E39" s="549" t="s">
        <v>223</v>
      </c>
      <c r="F39" s="573">
        <f t="shared" si="6"/>
        <v>0</v>
      </c>
      <c r="G39" s="548"/>
      <c r="H39" s="573">
        <f t="shared" si="7"/>
        <v>0</v>
      </c>
      <c r="I39" s="398"/>
      <c r="J39" s="548"/>
      <c r="K39" s="573">
        <f t="shared" si="5"/>
        <v>0</v>
      </c>
      <c r="L39" s="549"/>
      <c r="M39" s="549"/>
      <c r="N39" s="549"/>
      <c r="O39" s="549"/>
      <c r="P39" s="549"/>
      <c r="Q39" s="549"/>
      <c r="R39" s="549"/>
      <c r="S39" s="549"/>
      <c r="T39" s="549"/>
      <c r="U39" s="398"/>
      <c r="X39" s="14"/>
      <c r="Y39" s="14"/>
    </row>
    <row r="40" spans="2:25" x14ac:dyDescent="0.25">
      <c r="B40" s="12">
        <v>19</v>
      </c>
      <c r="C40" s="549"/>
      <c r="D40" s="549"/>
      <c r="E40" s="549" t="s">
        <v>223</v>
      </c>
      <c r="F40" s="573">
        <f t="shared" si="6"/>
        <v>0</v>
      </c>
      <c r="G40" s="548"/>
      <c r="H40" s="573">
        <f t="shared" si="7"/>
        <v>0</v>
      </c>
      <c r="I40" s="398"/>
      <c r="J40" s="548"/>
      <c r="K40" s="573">
        <f t="shared" si="5"/>
        <v>0</v>
      </c>
      <c r="L40" s="549"/>
      <c r="M40" s="549"/>
      <c r="N40" s="549"/>
      <c r="O40" s="549"/>
      <c r="P40" s="549"/>
      <c r="Q40" s="549"/>
      <c r="R40" s="549"/>
      <c r="S40" s="549"/>
      <c r="T40" s="549"/>
      <c r="U40" s="398"/>
      <c r="X40" s="14"/>
      <c r="Y40" s="14"/>
    </row>
    <row r="41" spans="2:25" x14ac:dyDescent="0.25">
      <c r="B41" s="12">
        <v>20</v>
      </c>
      <c r="C41" s="549"/>
      <c r="D41" s="549"/>
      <c r="E41" s="549" t="s">
        <v>223</v>
      </c>
      <c r="F41" s="573">
        <f t="shared" si="6"/>
        <v>0</v>
      </c>
      <c r="G41" s="548"/>
      <c r="H41" s="573">
        <f t="shared" si="7"/>
        <v>0</v>
      </c>
      <c r="I41" s="398"/>
      <c r="J41" s="548"/>
      <c r="K41" s="573">
        <f t="shared" si="5"/>
        <v>0</v>
      </c>
      <c r="L41" s="549"/>
      <c r="M41" s="549"/>
      <c r="N41" s="549"/>
      <c r="O41" s="549"/>
      <c r="P41" s="549"/>
      <c r="Q41" s="549"/>
      <c r="R41" s="549"/>
      <c r="S41" s="549"/>
      <c r="T41" s="549"/>
      <c r="U41" s="398"/>
      <c r="X41" s="14"/>
      <c r="Y41" s="14"/>
    </row>
    <row r="42" spans="2:25" x14ac:dyDescent="0.25">
      <c r="B42" s="217" t="s">
        <v>377</v>
      </c>
      <c r="C42" s="221"/>
      <c r="D42" s="221"/>
      <c r="E42" s="221"/>
      <c r="F42" s="574">
        <f>SUM(F22:F41)</f>
        <v>300</v>
      </c>
      <c r="G42" s="575">
        <f>H42/F42</f>
        <v>0.68</v>
      </c>
      <c r="H42" s="574">
        <f>SUM(H22:H41)</f>
        <v>204</v>
      </c>
      <c r="I42" s="220"/>
      <c r="J42" s="220"/>
      <c r="K42" s="574">
        <f>SUM(K22:K41)</f>
        <v>0</v>
      </c>
      <c r="L42" s="572"/>
      <c r="M42" s="549"/>
      <c r="N42" s="549"/>
      <c r="O42" s="549"/>
      <c r="P42" s="549"/>
      <c r="Q42" s="549"/>
      <c r="R42" s="549"/>
      <c r="S42" s="549"/>
      <c r="T42" s="549"/>
      <c r="U42" s="398"/>
    </row>
    <row r="45" spans="2:25" x14ac:dyDescent="0.25">
      <c r="J45" s="14" t="s">
        <v>551</v>
      </c>
    </row>
    <row r="46" spans="2:25" x14ac:dyDescent="0.25">
      <c r="J46" t="s">
        <v>552</v>
      </c>
    </row>
    <row r="47" spans="2:25" x14ac:dyDescent="0.25">
      <c r="J47" s="14" t="s">
        <v>553</v>
      </c>
    </row>
    <row r="48" spans="2:25" x14ac:dyDescent="0.25">
      <c r="J48" s="14" t="s">
        <v>554</v>
      </c>
    </row>
    <row r="50" spans="4:10" x14ac:dyDescent="0.25">
      <c r="J50" s="14" t="s">
        <v>555</v>
      </c>
    </row>
    <row r="51" spans="4:10" x14ac:dyDescent="0.25">
      <c r="J51" s="14" t="s">
        <v>556</v>
      </c>
    </row>
    <row r="52" spans="4:10" x14ac:dyDescent="0.25">
      <c r="J52" s="14" t="s">
        <v>557</v>
      </c>
    </row>
    <row r="53" spans="4:10" x14ac:dyDescent="0.25">
      <c r="J53" s="14" t="s">
        <v>558</v>
      </c>
    </row>
    <row r="62" spans="4:10" x14ac:dyDescent="0.25">
      <c r="D62" s="143" t="str">
        <f>"Heizwärmebedarf " &amp;BefrJahr1</f>
        <v>Heizwärmebedarf 2012</v>
      </c>
    </row>
    <row r="63" spans="4:10" x14ac:dyDescent="0.25">
      <c r="D63" s="143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mergeCells count="18">
    <mergeCell ref="O20:O21"/>
    <mergeCell ref="O5:O6"/>
    <mergeCell ref="B5:B6"/>
    <mergeCell ref="P5:P6"/>
    <mergeCell ref="Q5:Q6"/>
    <mergeCell ref="L5:L6"/>
    <mergeCell ref="B20:B21"/>
    <mergeCell ref="P20:P21"/>
    <mergeCell ref="Q20:Q21"/>
    <mergeCell ref="L20:L21"/>
    <mergeCell ref="R20:R21"/>
    <mergeCell ref="T20:T21"/>
    <mergeCell ref="U20:U21"/>
    <mergeCell ref="S5:S6"/>
    <mergeCell ref="R5:R6"/>
    <mergeCell ref="T5:T6"/>
    <mergeCell ref="U5:U6"/>
    <mergeCell ref="S20:S21"/>
  </mergeCells>
  <dataValidations count="3">
    <dataValidation type="list" allowBlank="1" showInputMessage="1" showErrorMessage="1" sqref="E22:E41">
      <formula1>Effizienzklassen</formula1>
    </dataValidation>
    <dataValidation type="list" allowBlank="1" showInputMessage="1" showErrorMessage="1" sqref="E42">
      <formula1>TypVerdichter</formula1>
    </dataValidation>
    <dataValidation type="list" allowBlank="1" showInputMessage="1" showErrorMessage="1" sqref="I7:I16 I22:I23">
      <formula1>janein</formula1>
    </dataValidation>
  </dataValidations>
  <pageMargins left="0.70866141732283472" right="0.70866141732283472" top="0.78740157480314965" bottom="0.78740157480314965" header="0.31496062992125984" footer="0.31496062992125984"/>
  <pageSetup paperSize="8" scale="57" orientation="landscape" r:id="rId1"/>
  <headerFooter>
    <oddHeader>&amp;L&amp;G&amp;R5.3.2 Elektrizität (Druckluftkompressoren, weitere elektrische Verbraucher)</oddHeader>
  </headerFooter>
  <drawing r:id="rId2"/>
  <legacyDrawing r:id="rId3"/>
  <legacyDrawingHF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pageSetUpPr fitToPage="1"/>
  </sheetPr>
  <dimension ref="A1:J94"/>
  <sheetViews>
    <sheetView showGridLines="0" view="pageLayout" zoomScaleNormal="100" zoomScaleSheetLayoutView="100" workbookViewId="0">
      <selection activeCell="V4" sqref="V4"/>
    </sheetView>
  </sheetViews>
  <sheetFormatPr baseColWidth="10" defaultColWidth="9.109375" defaultRowHeight="13.2" x14ac:dyDescent="0.25"/>
  <cols>
    <col min="1" max="1" width="4.33203125" style="14" customWidth="1"/>
    <col min="2" max="2" width="4" style="14" customWidth="1"/>
    <col min="3" max="3" width="28.88671875" style="14" customWidth="1"/>
    <col min="4" max="5" width="6.109375" style="14" customWidth="1"/>
    <col min="6" max="6" width="12.6640625" style="14" customWidth="1"/>
    <col min="7" max="7" width="12.88671875" style="14" customWidth="1"/>
    <col min="8" max="10" width="13.88671875" style="14" customWidth="1"/>
    <col min="11" max="16384" width="9.109375" style="14"/>
  </cols>
  <sheetData>
    <row r="1" spans="1:10" ht="17.25" customHeight="1" x14ac:dyDescent="0.25">
      <c r="A1" s="18" t="s">
        <v>578</v>
      </c>
    </row>
    <row r="2" spans="1:10" ht="18" customHeight="1" x14ac:dyDescent="0.25">
      <c r="B2" s="69" t="s">
        <v>93</v>
      </c>
    </row>
    <row r="3" spans="1:10" ht="15" customHeight="1" x14ac:dyDescent="0.25">
      <c r="B3" s="664" t="s">
        <v>3</v>
      </c>
      <c r="C3" s="652" t="s">
        <v>94</v>
      </c>
      <c r="D3" s="43" t="s">
        <v>597</v>
      </c>
      <c r="E3" s="339" t="s">
        <v>598</v>
      </c>
      <c r="F3" s="196" t="s">
        <v>97</v>
      </c>
      <c r="G3" s="654" t="s">
        <v>2</v>
      </c>
      <c r="H3" s="196" t="s">
        <v>102</v>
      </c>
      <c r="I3" s="196" t="s">
        <v>98</v>
      </c>
      <c r="J3" s="196" t="s">
        <v>96</v>
      </c>
    </row>
    <row r="4" spans="1:10" ht="15" customHeight="1" x14ac:dyDescent="0.25">
      <c r="B4" s="665"/>
      <c r="C4" s="666"/>
      <c r="D4" s="43" t="s">
        <v>95</v>
      </c>
      <c r="E4" s="196" t="s">
        <v>95</v>
      </c>
      <c r="F4" s="196" t="s">
        <v>463</v>
      </c>
      <c r="G4" s="653"/>
      <c r="H4" s="92" t="s">
        <v>461</v>
      </c>
      <c r="I4" s="196" t="s">
        <v>464</v>
      </c>
      <c r="J4" s="196" t="s">
        <v>240</v>
      </c>
    </row>
    <row r="5" spans="1:10" x14ac:dyDescent="0.25">
      <c r="B5" s="93">
        <v>1</v>
      </c>
      <c r="C5" s="458" t="s">
        <v>318</v>
      </c>
      <c r="D5" s="462">
        <v>25</v>
      </c>
      <c r="E5" s="462">
        <v>12</v>
      </c>
      <c r="F5" s="462">
        <v>50000000</v>
      </c>
      <c r="G5" s="462" t="s">
        <v>319</v>
      </c>
      <c r="H5" s="462">
        <v>908</v>
      </c>
      <c r="I5" s="576">
        <v>4.18</v>
      </c>
      <c r="J5" s="472">
        <f>I5*F5/3600*(D5-E5)</f>
        <v>754722.22222222225</v>
      </c>
    </row>
    <row r="6" spans="1:10" x14ac:dyDescent="0.25">
      <c r="B6" s="93">
        <v>2</v>
      </c>
      <c r="C6" s="458" t="s">
        <v>577</v>
      </c>
      <c r="D6" s="462">
        <v>70</v>
      </c>
      <c r="E6" s="462">
        <v>12</v>
      </c>
      <c r="F6" s="462">
        <v>2500000</v>
      </c>
      <c r="G6" s="462" t="s">
        <v>319</v>
      </c>
      <c r="H6" s="462">
        <v>908</v>
      </c>
      <c r="I6" s="576">
        <v>4.18</v>
      </c>
      <c r="J6" s="472">
        <f t="shared" ref="J6" si="0">I6*F6/3600*(D6-E6)</f>
        <v>168361.11111111112</v>
      </c>
    </row>
    <row r="7" spans="1:10" x14ac:dyDescent="0.25">
      <c r="B7" s="93">
        <v>3</v>
      </c>
      <c r="C7" s="458" t="s">
        <v>574</v>
      </c>
      <c r="D7" s="462">
        <v>38</v>
      </c>
      <c r="E7" s="462">
        <v>12</v>
      </c>
      <c r="F7" s="462">
        <v>2727000</v>
      </c>
      <c r="G7" s="462" t="s">
        <v>103</v>
      </c>
      <c r="H7" s="462">
        <v>612</v>
      </c>
      <c r="I7" s="576">
        <v>4.05</v>
      </c>
      <c r="J7" s="472">
        <f>I7*F7/3600*(D7-E7)</f>
        <v>79764.75</v>
      </c>
    </row>
    <row r="8" spans="1:10" x14ac:dyDescent="0.25">
      <c r="B8" s="93">
        <v>4</v>
      </c>
      <c r="C8" s="458" t="s">
        <v>575</v>
      </c>
      <c r="D8" s="462">
        <v>48</v>
      </c>
      <c r="E8" s="462">
        <v>12</v>
      </c>
      <c r="F8" s="462">
        <v>1200000</v>
      </c>
      <c r="G8" s="462" t="s">
        <v>419</v>
      </c>
      <c r="H8" s="462">
        <v>4000</v>
      </c>
      <c r="I8" s="576">
        <v>4.05</v>
      </c>
      <c r="J8" s="472">
        <f>I8*F8/3600*(D8-E8)</f>
        <v>48600</v>
      </c>
    </row>
    <row r="9" spans="1:10" x14ac:dyDescent="0.25">
      <c r="B9" s="93">
        <v>5</v>
      </c>
      <c r="C9" s="458" t="s">
        <v>418</v>
      </c>
      <c r="D9" s="462">
        <v>22</v>
      </c>
      <c r="E9" s="462">
        <v>12</v>
      </c>
      <c r="F9" s="462">
        <v>80000000</v>
      </c>
      <c r="G9" s="462" t="s">
        <v>419</v>
      </c>
      <c r="H9" s="462">
        <v>4000</v>
      </c>
      <c r="I9" s="576">
        <v>1</v>
      </c>
      <c r="J9" s="472">
        <f>I9*F9/3600*(D9-E9)</f>
        <v>222222.22222222222</v>
      </c>
    </row>
    <row r="10" spans="1:10" x14ac:dyDescent="0.25">
      <c r="B10" s="93">
        <v>6</v>
      </c>
      <c r="C10" s="458" t="s">
        <v>576</v>
      </c>
      <c r="D10" s="462">
        <v>64</v>
      </c>
      <c r="E10" s="462">
        <v>6.5</v>
      </c>
      <c r="F10" s="462">
        <v>425000</v>
      </c>
      <c r="G10" s="462" t="s">
        <v>114</v>
      </c>
      <c r="H10" s="462">
        <v>354</v>
      </c>
      <c r="I10" s="576">
        <v>3.41</v>
      </c>
      <c r="J10" s="472">
        <f>I10*F10/3600*(D10-E10)</f>
        <v>23147.743055555555</v>
      </c>
    </row>
    <row r="11" spans="1:10" x14ac:dyDescent="0.25">
      <c r="B11" s="93">
        <v>7</v>
      </c>
      <c r="C11" s="458" t="s">
        <v>101</v>
      </c>
      <c r="D11" s="462">
        <v>12</v>
      </c>
      <c r="E11" s="462">
        <v>4</v>
      </c>
      <c r="F11" s="462">
        <v>10000000</v>
      </c>
      <c r="G11" s="462" t="s">
        <v>99</v>
      </c>
      <c r="H11" s="462">
        <v>183</v>
      </c>
      <c r="I11" s="576">
        <v>3.9</v>
      </c>
      <c r="J11" s="472">
        <f>I11*F11/3600*(D11-E11)</f>
        <v>86666.666666666672</v>
      </c>
    </row>
    <row r="12" spans="1:10" x14ac:dyDescent="0.25">
      <c r="B12" s="93">
        <v>8</v>
      </c>
      <c r="C12" s="458"/>
      <c r="D12" s="462"/>
      <c r="E12" s="462"/>
      <c r="F12" s="462"/>
      <c r="G12" s="462"/>
      <c r="H12" s="462"/>
      <c r="I12" s="576"/>
      <c r="J12" s="472">
        <f t="shared" ref="J12" si="1">I12*F12/3600*(D12-E12)</f>
        <v>0</v>
      </c>
    </row>
    <row r="13" spans="1:10" x14ac:dyDescent="0.25">
      <c r="B13" s="93">
        <v>9</v>
      </c>
      <c r="C13" s="458"/>
      <c r="D13" s="462"/>
      <c r="E13" s="462"/>
      <c r="F13" s="462"/>
      <c r="G13" s="462"/>
      <c r="H13" s="462"/>
      <c r="I13" s="576"/>
      <c r="J13" s="472">
        <f t="shared" ref="J13:J17" si="2">I13*F13/3600*(D13-E13)</f>
        <v>0</v>
      </c>
    </row>
    <row r="14" spans="1:10" x14ac:dyDescent="0.25">
      <c r="B14" s="93">
        <v>10</v>
      </c>
      <c r="C14" s="458"/>
      <c r="D14" s="462"/>
      <c r="E14" s="462"/>
      <c r="F14" s="462"/>
      <c r="G14" s="462"/>
      <c r="H14" s="462"/>
      <c r="I14" s="576"/>
      <c r="J14" s="472">
        <f t="shared" si="2"/>
        <v>0</v>
      </c>
    </row>
    <row r="15" spans="1:10" x14ac:dyDescent="0.25">
      <c r="B15" s="93">
        <v>11</v>
      </c>
      <c r="C15" s="458"/>
      <c r="D15" s="462"/>
      <c r="E15" s="462"/>
      <c r="F15" s="462"/>
      <c r="G15" s="462"/>
      <c r="H15" s="462"/>
      <c r="I15" s="576"/>
      <c r="J15" s="472">
        <f t="shared" si="2"/>
        <v>0</v>
      </c>
    </row>
    <row r="16" spans="1:10" x14ac:dyDescent="0.25">
      <c r="B16" s="93">
        <v>12</v>
      </c>
      <c r="C16" s="458"/>
      <c r="D16" s="462"/>
      <c r="E16" s="462"/>
      <c r="F16" s="462"/>
      <c r="G16" s="462"/>
      <c r="H16" s="462"/>
      <c r="I16" s="576"/>
      <c r="J16" s="472">
        <f t="shared" si="2"/>
        <v>0</v>
      </c>
    </row>
    <row r="17" spans="2:10" x14ac:dyDescent="0.25">
      <c r="B17" s="93">
        <v>13</v>
      </c>
      <c r="C17" s="458"/>
      <c r="D17" s="462"/>
      <c r="E17" s="462"/>
      <c r="F17" s="462"/>
      <c r="G17" s="462"/>
      <c r="H17" s="462"/>
      <c r="I17" s="576"/>
      <c r="J17" s="472">
        <f t="shared" si="2"/>
        <v>0</v>
      </c>
    </row>
    <row r="18" spans="2:10" x14ac:dyDescent="0.25">
      <c r="B18" s="93">
        <v>14</v>
      </c>
      <c r="C18" s="458"/>
      <c r="D18" s="462"/>
      <c r="E18" s="462"/>
      <c r="F18" s="462"/>
      <c r="G18" s="462"/>
      <c r="H18" s="462"/>
      <c r="I18" s="576"/>
      <c r="J18" s="472">
        <f t="shared" ref="J18:J24" si="3">I18*F18/3600*(D18-E18)</f>
        <v>0</v>
      </c>
    </row>
    <row r="19" spans="2:10" x14ac:dyDescent="0.25">
      <c r="B19" s="93">
        <v>15</v>
      </c>
      <c r="C19" s="458"/>
      <c r="D19" s="462"/>
      <c r="E19" s="462"/>
      <c r="F19" s="462"/>
      <c r="G19" s="462"/>
      <c r="H19" s="462"/>
      <c r="I19" s="576"/>
      <c r="J19" s="472">
        <f t="shared" si="3"/>
        <v>0</v>
      </c>
    </row>
    <row r="20" spans="2:10" x14ac:dyDescent="0.25">
      <c r="B20" s="93">
        <v>16</v>
      </c>
      <c r="C20" s="458"/>
      <c r="D20" s="462"/>
      <c r="E20" s="462"/>
      <c r="F20" s="462"/>
      <c r="G20" s="462"/>
      <c r="H20" s="462"/>
      <c r="I20" s="576"/>
      <c r="J20" s="472">
        <f t="shared" si="3"/>
        <v>0</v>
      </c>
    </row>
    <row r="21" spans="2:10" x14ac:dyDescent="0.25">
      <c r="B21" s="93">
        <v>17</v>
      </c>
      <c r="C21" s="458"/>
      <c r="D21" s="462"/>
      <c r="E21" s="462"/>
      <c r="F21" s="462"/>
      <c r="G21" s="462"/>
      <c r="H21" s="462"/>
      <c r="I21" s="576"/>
      <c r="J21" s="472">
        <f t="shared" si="3"/>
        <v>0</v>
      </c>
    </row>
    <row r="22" spans="2:10" x14ac:dyDescent="0.25">
      <c r="B22" s="93">
        <v>18</v>
      </c>
      <c r="C22" s="458"/>
      <c r="D22" s="462"/>
      <c r="E22" s="462"/>
      <c r="F22" s="462"/>
      <c r="G22" s="462"/>
      <c r="H22" s="462"/>
      <c r="I22" s="576"/>
      <c r="J22" s="472">
        <f t="shared" si="3"/>
        <v>0</v>
      </c>
    </row>
    <row r="23" spans="2:10" x14ac:dyDescent="0.25">
      <c r="B23" s="93">
        <v>19</v>
      </c>
      <c r="C23" s="458"/>
      <c r="D23" s="462"/>
      <c r="E23" s="462"/>
      <c r="F23" s="462"/>
      <c r="G23" s="462"/>
      <c r="H23" s="462"/>
      <c r="I23" s="576"/>
      <c r="J23" s="472">
        <f t="shared" si="3"/>
        <v>0</v>
      </c>
    </row>
    <row r="24" spans="2:10" x14ac:dyDescent="0.25">
      <c r="B24" s="93">
        <v>20</v>
      </c>
      <c r="C24" s="458"/>
      <c r="D24" s="462"/>
      <c r="E24" s="462"/>
      <c r="F24" s="462"/>
      <c r="G24" s="462"/>
      <c r="H24" s="462"/>
      <c r="I24" s="576"/>
      <c r="J24" s="472">
        <f t="shared" si="3"/>
        <v>0</v>
      </c>
    </row>
    <row r="62" spans="4:4" x14ac:dyDescent="0.25">
      <c r="D62" s="14" t="str">
        <f>"Heizwärmebedarf " &amp;BefrJahr1</f>
        <v>Heizwärmebedarf 2012</v>
      </c>
    </row>
    <row r="63" spans="4:4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mergeCells count="3">
    <mergeCell ref="B3:B4"/>
    <mergeCell ref="C3:C4"/>
    <mergeCell ref="G3:G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>
    <oddHeader>&amp;L&amp;G&amp;R5.4 Erhebung des Abwärmepotenzials und der Kühlanforderungen</oddHeader>
    <oddFooter>&amp;R&amp;P / &amp;N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94"/>
  <sheetViews>
    <sheetView showGridLines="0" view="pageLayout" zoomScale="85" zoomScaleNormal="100" zoomScalePageLayoutView="85" workbookViewId="0">
      <selection activeCell="V4" sqref="V4"/>
    </sheetView>
  </sheetViews>
  <sheetFormatPr baseColWidth="10" defaultColWidth="9.109375" defaultRowHeight="13.2" x14ac:dyDescent="0.25"/>
  <cols>
    <col min="1" max="1" width="4.44140625" style="14" customWidth="1"/>
    <col min="2" max="2" width="3.6640625" style="14" customWidth="1"/>
    <col min="3" max="3" width="24.44140625" style="14" customWidth="1"/>
    <col min="4" max="5" width="9.6640625" style="14" customWidth="1"/>
    <col min="6" max="6" width="12.33203125" style="14" customWidth="1"/>
    <col min="7" max="7" width="20.6640625" style="14" customWidth="1"/>
    <col min="8" max="12" width="9.5546875" style="14" customWidth="1"/>
    <col min="13" max="13" width="14.6640625" style="14" customWidth="1"/>
    <col min="14" max="14" width="9.5546875" style="14" customWidth="1"/>
    <col min="15" max="16" width="11.33203125" style="14" customWidth="1"/>
    <col min="17" max="18" width="14.44140625" style="14" customWidth="1"/>
    <col min="19" max="25" width="6.109375" style="14" customWidth="1"/>
    <col min="26" max="16384" width="9.109375" style="14"/>
  </cols>
  <sheetData>
    <row r="1" spans="1:16" ht="18.75" customHeight="1" x14ac:dyDescent="0.25">
      <c r="A1" s="18"/>
      <c r="B1" s="18" t="s">
        <v>579</v>
      </c>
      <c r="D1" s="214"/>
    </row>
    <row r="2" spans="1:16" x14ac:dyDescent="0.25">
      <c r="C2" s="17"/>
      <c r="J2" s="443">
        <f>AVERAGE('4.2'!G47:H47)</f>
        <v>928.95872207353011</v>
      </c>
      <c r="K2" s="140" t="s">
        <v>517</v>
      </c>
    </row>
    <row r="3" spans="1:16" ht="13.8" thickBot="1" x14ac:dyDescent="0.3">
      <c r="B3" s="14" t="str">
        <f>"* Mittelwert der CO2-Emissionen durch den Endenergieverbrauch in den Jahren " &amp;BefrJahr1 &amp; " und " &amp;BefrJahr2</f>
        <v>* Mittelwert der CO2-Emissionen durch den Endenergieverbrauch in den Jahren 2012 und 2013</v>
      </c>
    </row>
    <row r="4" spans="1:16" ht="39.6" x14ac:dyDescent="0.25">
      <c r="B4" s="145" t="s">
        <v>157</v>
      </c>
      <c r="C4" s="146" t="s">
        <v>282</v>
      </c>
      <c r="D4" s="147" t="s">
        <v>660</v>
      </c>
      <c r="E4" s="147" t="s">
        <v>659</v>
      </c>
      <c r="F4" s="147" t="s">
        <v>661</v>
      </c>
      <c r="G4" s="636" t="s">
        <v>235</v>
      </c>
      <c r="H4" s="637"/>
      <c r="I4" s="637"/>
      <c r="J4" s="637"/>
      <c r="K4" s="637"/>
      <c r="L4" s="148" t="s">
        <v>115</v>
      </c>
      <c r="M4" s="360" t="s">
        <v>617</v>
      </c>
      <c r="N4" s="149" t="s">
        <v>236</v>
      </c>
      <c r="O4" s="667" t="s">
        <v>618</v>
      </c>
      <c r="P4" s="668"/>
    </row>
    <row r="5" spans="1:16" ht="13.8" thickBot="1" x14ac:dyDescent="0.3">
      <c r="B5" s="150"/>
      <c r="C5" s="151"/>
      <c r="D5" s="152" t="s">
        <v>239</v>
      </c>
      <c r="E5" s="152" t="s">
        <v>280</v>
      </c>
      <c r="F5" s="152"/>
      <c r="G5" s="152" t="s">
        <v>2</v>
      </c>
      <c r="H5" s="152" t="s">
        <v>240</v>
      </c>
      <c r="I5" s="152" t="s">
        <v>241</v>
      </c>
      <c r="J5" s="152" t="s">
        <v>242</v>
      </c>
      <c r="K5" s="152" t="s">
        <v>243</v>
      </c>
      <c r="L5" s="153" t="s">
        <v>237</v>
      </c>
      <c r="M5" s="154"/>
      <c r="N5" s="154" t="s">
        <v>238</v>
      </c>
      <c r="O5" s="154" t="s">
        <v>619</v>
      </c>
      <c r="P5" s="155" t="s">
        <v>620</v>
      </c>
    </row>
    <row r="6" spans="1:16" ht="52.8" x14ac:dyDescent="0.25">
      <c r="B6" s="429">
        <v>1</v>
      </c>
      <c r="C6" s="430" t="s">
        <v>445</v>
      </c>
      <c r="D6" s="431">
        <v>110000</v>
      </c>
      <c r="E6" s="626">
        <v>1</v>
      </c>
      <c r="F6" s="448">
        <f>D6*E6</f>
        <v>110000</v>
      </c>
      <c r="G6" s="156"/>
      <c r="H6" s="442">
        <f>SUM(H7:H10)</f>
        <v>350000</v>
      </c>
      <c r="I6" s="444">
        <f>SUM(I7:I11)</f>
        <v>92.873199999999997</v>
      </c>
      <c r="J6" s="445">
        <f>I6/$J$2</f>
        <v>9.9975593956099146E-2</v>
      </c>
      <c r="K6" s="444">
        <f>SUM(K7:K11)</f>
        <v>24500</v>
      </c>
      <c r="L6" s="610">
        <f>F6/K6</f>
        <v>4.4897959183673466</v>
      </c>
      <c r="M6" s="156"/>
      <c r="N6" s="611">
        <v>2</v>
      </c>
      <c r="O6" s="577" t="s">
        <v>621</v>
      </c>
      <c r="P6" s="437" t="s">
        <v>449</v>
      </c>
    </row>
    <row r="7" spans="1:16" x14ac:dyDescent="0.25">
      <c r="B7" s="157"/>
      <c r="C7" s="398" t="s">
        <v>283</v>
      </c>
      <c r="D7" s="159"/>
      <c r="E7" s="625"/>
      <c r="F7" s="159"/>
      <c r="G7" s="433" t="s">
        <v>5</v>
      </c>
      <c r="H7" s="434">
        <v>350000</v>
      </c>
      <c r="I7" s="449">
        <f>INDEX(EnergieträgerMatrix,MATCH($G7,Energieträger,0),3)*H7/1000</f>
        <v>92.873199999999997</v>
      </c>
      <c r="J7" s="160"/>
      <c r="K7" s="447">
        <f>INDEX(EnergieträgerMatrix,MATCH($G7,Energieträger,0),2)*H7/1000</f>
        <v>24500</v>
      </c>
      <c r="L7" s="159"/>
      <c r="M7" s="161" t="s">
        <v>246</v>
      </c>
      <c r="N7" s="612">
        <v>1</v>
      </c>
      <c r="O7" s="162"/>
      <c r="P7" s="163"/>
    </row>
    <row r="8" spans="1:16" x14ac:dyDescent="0.25">
      <c r="B8" s="157"/>
      <c r="C8" s="164"/>
      <c r="D8" s="159"/>
      <c r="E8" s="625"/>
      <c r="F8" s="159"/>
      <c r="G8" s="433" t="s">
        <v>223</v>
      </c>
      <c r="H8" s="434"/>
      <c r="I8" s="449">
        <f>INDEX(EnergieträgerMatrix,MATCH($G8,Energieträger,0),3)*H8/1000</f>
        <v>0</v>
      </c>
      <c r="J8" s="160"/>
      <c r="K8" s="447">
        <f>INDEX(EnergieträgerMatrix,MATCH($G8,Energieträger,0),2)*H8/1000</f>
        <v>0</v>
      </c>
      <c r="L8" s="159"/>
      <c r="M8" s="140" t="s">
        <v>244</v>
      </c>
      <c r="N8" s="613">
        <v>2</v>
      </c>
      <c r="O8" s="164"/>
      <c r="P8" s="165"/>
    </row>
    <row r="9" spans="1:16" x14ac:dyDescent="0.25">
      <c r="B9" s="157"/>
      <c r="C9" s="164"/>
      <c r="D9" s="159"/>
      <c r="E9" s="625"/>
      <c r="F9" s="159"/>
      <c r="G9" s="433" t="s">
        <v>223</v>
      </c>
      <c r="H9" s="434"/>
      <c r="I9" s="449">
        <f>INDEX(EnergieträgerMatrix,MATCH($G9,Energieträger,0),3)*H9/1000</f>
        <v>0</v>
      </c>
      <c r="J9" s="160"/>
      <c r="K9" s="447">
        <f>INDEX(EnergieträgerMatrix,MATCH($G9,Energieträger,0),2)*H9/1000</f>
        <v>0</v>
      </c>
      <c r="L9" s="159"/>
      <c r="M9" s="140" t="s">
        <v>245</v>
      </c>
      <c r="N9" s="613">
        <v>3</v>
      </c>
      <c r="O9" s="164"/>
      <c r="P9" s="165"/>
    </row>
    <row r="10" spans="1:16" x14ac:dyDescent="0.25">
      <c r="B10" s="157"/>
      <c r="C10" s="164"/>
      <c r="D10" s="159"/>
      <c r="E10" s="625"/>
      <c r="F10" s="159"/>
      <c r="G10" s="433" t="s">
        <v>223</v>
      </c>
      <c r="H10" s="434"/>
      <c r="I10" s="449">
        <f>INDEX(EnergieträgerMatrix,MATCH($G10,Energieträger,0),3)*H10/1000</f>
        <v>0</v>
      </c>
      <c r="J10" s="160"/>
      <c r="K10" s="447">
        <f>INDEX(EnergieträgerMatrix,MATCH($G10,Energieträger,0),2)*H10/1000</f>
        <v>0</v>
      </c>
      <c r="L10" s="159"/>
      <c r="M10" s="140"/>
      <c r="N10" s="613"/>
      <c r="O10" s="164"/>
      <c r="P10" s="165"/>
    </row>
    <row r="11" spans="1:16" ht="13.8" thickBot="1" x14ac:dyDescent="0.3">
      <c r="B11" s="157"/>
      <c r="C11" s="164"/>
      <c r="D11" s="159"/>
      <c r="E11" s="625"/>
      <c r="F11" s="159"/>
      <c r="G11" s="604" t="s">
        <v>582</v>
      </c>
      <c r="H11" s="160"/>
      <c r="I11" s="435">
        <v>0</v>
      </c>
      <c r="J11" s="160"/>
      <c r="K11" s="436">
        <v>0</v>
      </c>
      <c r="L11" s="159"/>
      <c r="M11" s="140"/>
      <c r="N11" s="613"/>
      <c r="O11" s="164"/>
      <c r="P11" s="165"/>
    </row>
    <row r="12" spans="1:16" ht="39.6" x14ac:dyDescent="0.25">
      <c r="B12" s="429">
        <v>2</v>
      </c>
      <c r="C12" s="430" t="s">
        <v>446</v>
      </c>
      <c r="D12" s="431">
        <v>140000</v>
      </c>
      <c r="E12" s="626">
        <v>1</v>
      </c>
      <c r="F12" s="448">
        <f>D12*E12/100</f>
        <v>1400</v>
      </c>
      <c r="G12" s="156"/>
      <c r="H12" s="442">
        <f>SUM(H13:H16)</f>
        <v>550000</v>
      </c>
      <c r="I12" s="444">
        <f>SUM(I13:I17)</f>
        <v>145.94359999999998</v>
      </c>
      <c r="J12" s="445">
        <f>I12/$J$2</f>
        <v>0.15710450478815577</v>
      </c>
      <c r="K12" s="444">
        <f>SUM(K13:K17)</f>
        <v>38500</v>
      </c>
      <c r="L12" s="610">
        <f>F12/K12</f>
        <v>3.6363636363636362E-2</v>
      </c>
      <c r="M12" s="156"/>
      <c r="N12" s="611">
        <v>1</v>
      </c>
      <c r="O12" s="577" t="s">
        <v>249</v>
      </c>
      <c r="P12" s="437" t="s">
        <v>449</v>
      </c>
    </row>
    <row r="13" spans="1:16" x14ac:dyDescent="0.25">
      <c r="B13" s="157"/>
      <c r="C13" s="398" t="s">
        <v>284</v>
      </c>
      <c r="D13" s="159"/>
      <c r="E13" s="625"/>
      <c r="F13" s="159"/>
      <c r="G13" s="433" t="s">
        <v>5</v>
      </c>
      <c r="H13" s="434">
        <v>550000</v>
      </c>
      <c r="I13" s="449">
        <f>INDEX(EnergieträgerMatrix,MATCH($G13,Energieträger,0),3)*H13/1000</f>
        <v>145.94359999999998</v>
      </c>
      <c r="J13" s="160"/>
      <c r="K13" s="447">
        <f>INDEX(EnergieträgerMatrix,MATCH($G13,Energieträger,0),2)*H13/1000</f>
        <v>38500</v>
      </c>
      <c r="L13" s="159"/>
      <c r="M13" s="161" t="s">
        <v>246</v>
      </c>
      <c r="N13" s="612">
        <v>1</v>
      </c>
      <c r="O13" s="162"/>
      <c r="P13" s="163"/>
    </row>
    <row r="14" spans="1:16" x14ac:dyDescent="0.25">
      <c r="B14" s="157"/>
      <c r="C14" s="164"/>
      <c r="D14" s="159"/>
      <c r="E14" s="625"/>
      <c r="F14" s="159"/>
      <c r="G14" s="433" t="s">
        <v>223</v>
      </c>
      <c r="H14" s="434"/>
      <c r="I14" s="449">
        <f>INDEX(EnergieträgerMatrix,MATCH($G14,Energieträger,0),3)*H14/1000</f>
        <v>0</v>
      </c>
      <c r="J14" s="160"/>
      <c r="K14" s="447">
        <f>INDEX(EnergieträgerMatrix,MATCH($G14,Energieträger,0),2)*H14/1000</f>
        <v>0</v>
      </c>
      <c r="L14" s="159"/>
      <c r="M14" s="140" t="s">
        <v>244</v>
      </c>
      <c r="N14" s="613">
        <v>2</v>
      </c>
      <c r="O14" s="164"/>
      <c r="P14" s="165"/>
    </row>
    <row r="15" spans="1:16" x14ac:dyDescent="0.25">
      <c r="B15" s="157"/>
      <c r="C15" s="164"/>
      <c r="D15" s="159"/>
      <c r="E15" s="625"/>
      <c r="F15" s="159"/>
      <c r="G15" s="433" t="s">
        <v>223</v>
      </c>
      <c r="H15" s="434"/>
      <c r="I15" s="449">
        <f>INDEX(EnergieträgerMatrix,MATCH($G15,Energieträger,0),3)*H15/1000</f>
        <v>0</v>
      </c>
      <c r="J15" s="160"/>
      <c r="K15" s="447">
        <f>INDEX(EnergieträgerMatrix,MATCH($G15,Energieträger,0),2)*H15/1000</f>
        <v>0</v>
      </c>
      <c r="L15" s="159"/>
      <c r="M15" s="140" t="s">
        <v>245</v>
      </c>
      <c r="N15" s="613">
        <v>2</v>
      </c>
      <c r="O15" s="164"/>
      <c r="P15" s="165"/>
    </row>
    <row r="16" spans="1:16" x14ac:dyDescent="0.25">
      <c r="B16" s="157"/>
      <c r="C16" s="164"/>
      <c r="D16" s="159"/>
      <c r="E16" s="625"/>
      <c r="F16" s="159"/>
      <c r="G16" s="433" t="s">
        <v>223</v>
      </c>
      <c r="H16" s="434"/>
      <c r="I16" s="449">
        <f>INDEX(EnergieträgerMatrix,MATCH($G16,Energieträger,0),3)*H16/1000</f>
        <v>0</v>
      </c>
      <c r="J16" s="160"/>
      <c r="K16" s="447">
        <f>INDEX(EnergieträgerMatrix,MATCH($G16,Energieträger,0),2)*H16/1000</f>
        <v>0</v>
      </c>
      <c r="L16" s="159"/>
      <c r="M16" s="140"/>
      <c r="N16" s="613"/>
      <c r="O16" s="164"/>
      <c r="P16" s="165"/>
    </row>
    <row r="17" spans="2:16" ht="13.8" thickBot="1" x14ac:dyDescent="0.3">
      <c r="B17" s="157"/>
      <c r="C17" s="164"/>
      <c r="D17" s="159"/>
      <c r="E17" s="625"/>
      <c r="F17" s="159"/>
      <c r="G17" s="604" t="s">
        <v>582</v>
      </c>
      <c r="H17" s="160"/>
      <c r="I17" s="435">
        <v>0</v>
      </c>
      <c r="J17" s="160"/>
      <c r="K17" s="436">
        <v>0</v>
      </c>
      <c r="L17" s="159"/>
      <c r="M17" s="140"/>
      <c r="N17" s="613"/>
      <c r="O17" s="164"/>
      <c r="P17" s="165"/>
    </row>
    <row r="18" spans="2:16" ht="26.4" x14ac:dyDescent="0.25">
      <c r="B18" s="429">
        <v>3</v>
      </c>
      <c r="C18" s="430" t="s">
        <v>447</v>
      </c>
      <c r="D18" s="431">
        <v>570000</v>
      </c>
      <c r="E18" s="626">
        <v>0.75</v>
      </c>
      <c r="F18" s="448">
        <f>D18*E18/100</f>
        <v>4275</v>
      </c>
      <c r="G18" s="156"/>
      <c r="H18" s="442">
        <f>SUM(H19:H22)</f>
        <v>1050000</v>
      </c>
      <c r="I18" s="444">
        <f>SUM(I19:I23)</f>
        <v>334.34351999999996</v>
      </c>
      <c r="J18" s="445">
        <f>I18/$J$2</f>
        <v>0.35991213824195689</v>
      </c>
      <c r="K18" s="444">
        <f>SUM(K19:K23)</f>
        <v>63000</v>
      </c>
      <c r="L18" s="610">
        <f>F18/K18</f>
        <v>6.7857142857142852E-2</v>
      </c>
      <c r="M18" s="156"/>
      <c r="N18" s="611"/>
      <c r="O18" s="577" t="s">
        <v>622</v>
      </c>
      <c r="P18" s="437" t="s">
        <v>449</v>
      </c>
    </row>
    <row r="19" spans="2:16" x14ac:dyDescent="0.25">
      <c r="B19" s="157"/>
      <c r="C19" s="398" t="s">
        <v>448</v>
      </c>
      <c r="D19" s="159"/>
      <c r="E19" s="625"/>
      <c r="F19" s="159"/>
      <c r="G19" s="433" t="s">
        <v>5</v>
      </c>
      <c r="H19" s="434">
        <v>1260000</v>
      </c>
      <c r="I19" s="449">
        <f>INDEX(EnergieträgerMatrix,MATCH($G19,Energieträger,0),3)*H19/1000</f>
        <v>334.34351999999996</v>
      </c>
      <c r="J19" s="160"/>
      <c r="K19" s="447">
        <f>INDEX(EnergieträgerMatrix,MATCH($G19,Energieträger,0),2)*H19/1000</f>
        <v>88200</v>
      </c>
      <c r="L19" s="159"/>
      <c r="M19" s="161" t="s">
        <v>246</v>
      </c>
      <c r="N19" s="612">
        <v>3</v>
      </c>
      <c r="O19" s="162"/>
      <c r="P19" s="163"/>
    </row>
    <row r="20" spans="2:16" x14ac:dyDescent="0.25">
      <c r="B20" s="157"/>
      <c r="C20" s="164"/>
      <c r="D20" s="159"/>
      <c r="E20" s="625"/>
      <c r="F20" s="159"/>
      <c r="G20" s="433" t="s">
        <v>514</v>
      </c>
      <c r="H20" s="434">
        <v>-210000</v>
      </c>
      <c r="I20" s="449">
        <f>INDEX(EnergieträgerMatrix,MATCH($G20,Energieträger,0),3)*H20/1000</f>
        <v>0</v>
      </c>
      <c r="J20" s="160"/>
      <c r="K20" s="447">
        <f>INDEX(EnergieträgerMatrix,MATCH($G20,Energieträger,0),2)*H20/1000</f>
        <v>-25200</v>
      </c>
      <c r="L20" s="159"/>
      <c r="M20" s="140" t="s">
        <v>244</v>
      </c>
      <c r="N20" s="613">
        <v>2</v>
      </c>
      <c r="O20" s="164"/>
      <c r="P20" s="165"/>
    </row>
    <row r="21" spans="2:16" x14ac:dyDescent="0.25">
      <c r="B21" s="157"/>
      <c r="C21" s="164"/>
      <c r="D21" s="159"/>
      <c r="E21" s="625"/>
      <c r="F21" s="159"/>
      <c r="G21" s="433" t="s">
        <v>223</v>
      </c>
      <c r="H21" s="434"/>
      <c r="I21" s="449">
        <f>INDEX(EnergieträgerMatrix,MATCH($G21,Energieträger,0),3)*H21/1000</f>
        <v>0</v>
      </c>
      <c r="J21" s="160"/>
      <c r="K21" s="447">
        <f>INDEX(EnergieträgerMatrix,MATCH($G21,Energieträger,0),2)*H21/1000</f>
        <v>0</v>
      </c>
      <c r="L21" s="159"/>
      <c r="M21" s="140" t="s">
        <v>245</v>
      </c>
      <c r="N21" s="613">
        <v>2</v>
      </c>
      <c r="O21" s="164"/>
      <c r="P21" s="165"/>
    </row>
    <row r="22" spans="2:16" x14ac:dyDescent="0.25">
      <c r="B22" s="157"/>
      <c r="C22" s="164"/>
      <c r="D22" s="159"/>
      <c r="E22" s="625"/>
      <c r="F22" s="159"/>
      <c r="G22" s="433" t="s">
        <v>223</v>
      </c>
      <c r="H22" s="434"/>
      <c r="I22" s="449">
        <f>INDEX(EnergieträgerMatrix,MATCH($G22,Energieträger,0),3)*H22/1000</f>
        <v>0</v>
      </c>
      <c r="J22" s="160"/>
      <c r="K22" s="447">
        <f>INDEX(EnergieträgerMatrix,MATCH($G22,Energieträger,0),2)*H22/1000</f>
        <v>0</v>
      </c>
      <c r="L22" s="159"/>
      <c r="M22" s="140"/>
      <c r="N22" s="613"/>
      <c r="O22" s="164"/>
      <c r="P22" s="165"/>
    </row>
    <row r="23" spans="2:16" ht="13.8" thickBot="1" x14ac:dyDescent="0.3">
      <c r="B23" s="157"/>
      <c r="C23" s="164"/>
      <c r="D23" s="159"/>
      <c r="E23" s="625"/>
      <c r="F23" s="159"/>
      <c r="G23" s="604" t="s">
        <v>582</v>
      </c>
      <c r="H23" s="160"/>
      <c r="I23" s="435">
        <v>0</v>
      </c>
      <c r="J23" s="160"/>
      <c r="K23" s="436">
        <v>0</v>
      </c>
      <c r="L23" s="159"/>
      <c r="M23" s="140"/>
      <c r="N23" s="613"/>
      <c r="O23" s="164"/>
      <c r="P23" s="165"/>
    </row>
    <row r="24" spans="2:16" x14ac:dyDescent="0.25">
      <c r="B24" s="429">
        <v>4</v>
      </c>
      <c r="C24" s="430" t="s">
        <v>511</v>
      </c>
      <c r="D24" s="431">
        <v>50000</v>
      </c>
      <c r="E24" s="626">
        <v>1</v>
      </c>
      <c r="F24" s="448">
        <f>D24*E24/100</f>
        <v>500</v>
      </c>
      <c r="G24" s="156"/>
      <c r="H24" s="442">
        <f>SUM(H25:H28)</f>
        <v>111200</v>
      </c>
      <c r="I24" s="444">
        <f>SUM(I25:I29)</f>
        <v>29.507142399999996</v>
      </c>
      <c r="J24" s="445">
        <f>I24/$J$2</f>
        <v>3.1763674422623497E-2</v>
      </c>
      <c r="K24" s="444">
        <f>SUM(K25:K29)</f>
        <v>7784</v>
      </c>
      <c r="L24" s="610">
        <f>F24/K24</f>
        <v>6.4234326824254881E-2</v>
      </c>
      <c r="M24" s="156"/>
      <c r="N24" s="611">
        <v>2</v>
      </c>
      <c r="O24" s="577" t="s">
        <v>512</v>
      </c>
      <c r="P24" s="437" t="s">
        <v>449</v>
      </c>
    </row>
    <row r="25" spans="2:16" x14ac:dyDescent="0.25">
      <c r="B25" s="157"/>
      <c r="C25" s="398" t="s">
        <v>513</v>
      </c>
      <c r="D25" s="159"/>
      <c r="E25" s="623"/>
      <c r="F25" s="159"/>
      <c r="G25" s="433" t="s">
        <v>5</v>
      </c>
      <c r="H25" s="434">
        <v>111200</v>
      </c>
      <c r="I25" s="449">
        <f>INDEX(EnergieträgerMatrix,MATCH($G25,Energieträger,0),3)*H25/1000</f>
        <v>29.507142399999996</v>
      </c>
      <c r="J25" s="160"/>
      <c r="K25" s="447">
        <f>INDEX(EnergieträgerMatrix,MATCH($G25,Energieträger,0),2)*H25/1000</f>
        <v>7784</v>
      </c>
      <c r="L25" s="159"/>
      <c r="M25" s="161" t="s">
        <v>246</v>
      </c>
      <c r="N25" s="612">
        <v>2</v>
      </c>
      <c r="O25" s="162"/>
      <c r="P25" s="163"/>
    </row>
    <row r="26" spans="2:16" x14ac:dyDescent="0.25">
      <c r="B26" s="157"/>
      <c r="C26" s="164"/>
      <c r="D26" s="159"/>
      <c r="E26" s="623"/>
      <c r="F26" s="159"/>
      <c r="G26" s="433" t="s">
        <v>223</v>
      </c>
      <c r="H26" s="434"/>
      <c r="I26" s="449">
        <f>INDEX(EnergieträgerMatrix,MATCH($G26,Energieträger,0),3)*H26/1000</f>
        <v>0</v>
      </c>
      <c r="J26" s="160"/>
      <c r="K26" s="447">
        <f>INDEX(EnergieträgerMatrix,MATCH($G26,Energieträger,0),2)*H26/1000</f>
        <v>0</v>
      </c>
      <c r="L26" s="159"/>
      <c r="M26" s="140" t="s">
        <v>244</v>
      </c>
      <c r="N26" s="613">
        <v>2</v>
      </c>
      <c r="O26" s="164"/>
      <c r="P26" s="165"/>
    </row>
    <row r="27" spans="2:16" x14ac:dyDescent="0.25">
      <c r="B27" s="157"/>
      <c r="C27" s="164"/>
      <c r="D27" s="159"/>
      <c r="E27" s="623"/>
      <c r="F27" s="159"/>
      <c r="G27" s="433" t="s">
        <v>223</v>
      </c>
      <c r="H27" s="434"/>
      <c r="I27" s="449">
        <f>INDEX(EnergieträgerMatrix,MATCH($G27,Energieträger,0),3)*H27/1000</f>
        <v>0</v>
      </c>
      <c r="J27" s="160"/>
      <c r="K27" s="447">
        <f>INDEX(EnergieträgerMatrix,MATCH($G27,Energieträger,0),2)*H27/1000</f>
        <v>0</v>
      </c>
      <c r="L27" s="159"/>
      <c r="M27" s="140" t="s">
        <v>245</v>
      </c>
      <c r="N27" s="613">
        <v>2</v>
      </c>
      <c r="O27" s="164"/>
      <c r="P27" s="165"/>
    </row>
    <row r="28" spans="2:16" x14ac:dyDescent="0.25">
      <c r="B28" s="157"/>
      <c r="C28" s="164"/>
      <c r="D28" s="159"/>
      <c r="E28" s="623"/>
      <c r="F28" s="159"/>
      <c r="G28" s="433" t="s">
        <v>223</v>
      </c>
      <c r="H28" s="434"/>
      <c r="I28" s="449">
        <f>INDEX(EnergieträgerMatrix,MATCH($G28,Energieträger,0),3)*H28/1000</f>
        <v>0</v>
      </c>
      <c r="J28" s="160"/>
      <c r="K28" s="447">
        <f>INDEX(EnergieträgerMatrix,MATCH($G28,Energieträger,0),2)*H28/1000</f>
        <v>0</v>
      </c>
      <c r="L28" s="159"/>
      <c r="M28" s="140"/>
      <c r="N28" s="613"/>
      <c r="O28" s="164"/>
      <c r="P28" s="165"/>
    </row>
    <row r="29" spans="2:16" ht="13.8" thickBot="1" x14ac:dyDescent="0.3">
      <c r="B29" s="157"/>
      <c r="C29" s="164"/>
      <c r="D29" s="159"/>
      <c r="E29" s="625"/>
      <c r="F29" s="159"/>
      <c r="G29" s="604" t="s">
        <v>582</v>
      </c>
      <c r="H29" s="160"/>
      <c r="I29" s="435">
        <v>0</v>
      </c>
      <c r="J29" s="160"/>
      <c r="K29" s="436">
        <v>0</v>
      </c>
      <c r="L29" s="159"/>
      <c r="M29" s="140"/>
      <c r="N29" s="613"/>
      <c r="O29" s="164"/>
      <c r="P29" s="165"/>
    </row>
    <row r="30" spans="2:16" x14ac:dyDescent="0.25">
      <c r="B30" s="429">
        <v>5</v>
      </c>
      <c r="C30" s="430"/>
      <c r="D30" s="431"/>
      <c r="E30" s="626"/>
      <c r="F30" s="448"/>
      <c r="G30" s="156"/>
      <c r="H30" s="442">
        <f>SUM(H31:H34)</f>
        <v>0</v>
      </c>
      <c r="I30" s="444">
        <f>SUM(I31:I35)</f>
        <v>0</v>
      </c>
      <c r="J30" s="445">
        <f>I30/$J$2</f>
        <v>0</v>
      </c>
      <c r="K30" s="444">
        <f>SUM(K31:K35)</f>
        <v>0</v>
      </c>
      <c r="L30" s="610" t="e">
        <f>F30/K30</f>
        <v>#DIV/0!</v>
      </c>
      <c r="M30" s="156"/>
      <c r="N30" s="611"/>
      <c r="O30" s="577"/>
      <c r="P30" s="437"/>
    </row>
    <row r="31" spans="2:16" x14ac:dyDescent="0.25">
      <c r="B31" s="157"/>
      <c r="C31" s="398"/>
      <c r="D31" s="159"/>
      <c r="E31" s="623"/>
      <c r="F31" s="159"/>
      <c r="G31" s="433" t="s">
        <v>223</v>
      </c>
      <c r="H31" s="434"/>
      <c r="I31" s="449">
        <f>INDEX(EnergieträgerMatrix,MATCH($G31,Energieträger,0),3)*H31/1000</f>
        <v>0</v>
      </c>
      <c r="J31" s="160"/>
      <c r="K31" s="447">
        <f>INDEX(EnergieträgerMatrix,MATCH($G31,Energieträger,0),2)*H31/1000</f>
        <v>0</v>
      </c>
      <c r="L31" s="159"/>
      <c r="M31" s="161" t="s">
        <v>246</v>
      </c>
      <c r="N31" s="612"/>
      <c r="O31" s="162"/>
      <c r="P31" s="163"/>
    </row>
    <row r="32" spans="2:16" x14ac:dyDescent="0.25">
      <c r="B32" s="157"/>
      <c r="C32" s="164"/>
      <c r="D32" s="159"/>
      <c r="E32" s="623"/>
      <c r="F32" s="159"/>
      <c r="G32" s="433" t="s">
        <v>223</v>
      </c>
      <c r="H32" s="434"/>
      <c r="I32" s="449">
        <f>INDEX(EnergieträgerMatrix,MATCH($G32,Energieträger,0),3)*H32/1000</f>
        <v>0</v>
      </c>
      <c r="J32" s="160"/>
      <c r="K32" s="447">
        <f>INDEX(EnergieträgerMatrix,MATCH($G32,Energieträger,0),2)*H32/1000</f>
        <v>0</v>
      </c>
      <c r="L32" s="159"/>
      <c r="M32" s="140" t="s">
        <v>244</v>
      </c>
      <c r="N32" s="613"/>
      <c r="O32" s="164"/>
      <c r="P32" s="165"/>
    </row>
    <row r="33" spans="2:16" x14ac:dyDescent="0.25">
      <c r="B33" s="157"/>
      <c r="C33" s="164"/>
      <c r="D33" s="159"/>
      <c r="E33" s="623"/>
      <c r="F33" s="159"/>
      <c r="G33" s="433" t="s">
        <v>223</v>
      </c>
      <c r="H33" s="434"/>
      <c r="I33" s="449">
        <f>INDEX(EnergieträgerMatrix,MATCH($G33,Energieträger,0),3)*H33/1000</f>
        <v>0</v>
      </c>
      <c r="J33" s="160"/>
      <c r="K33" s="447">
        <f>INDEX(EnergieträgerMatrix,MATCH($G33,Energieträger,0),2)*H33/1000</f>
        <v>0</v>
      </c>
      <c r="L33" s="159"/>
      <c r="M33" s="140" t="s">
        <v>245</v>
      </c>
      <c r="N33" s="613"/>
      <c r="O33" s="164"/>
      <c r="P33" s="165"/>
    </row>
    <row r="34" spans="2:16" x14ac:dyDescent="0.25">
      <c r="B34" s="157"/>
      <c r="C34" s="164"/>
      <c r="D34" s="159"/>
      <c r="E34" s="623"/>
      <c r="F34" s="159"/>
      <c r="G34" s="433" t="s">
        <v>223</v>
      </c>
      <c r="H34" s="434"/>
      <c r="I34" s="449">
        <f>INDEX(EnergieträgerMatrix,MATCH($G34,Energieträger,0),3)*H34/1000</f>
        <v>0</v>
      </c>
      <c r="J34" s="160"/>
      <c r="K34" s="447">
        <f>INDEX(EnergieträgerMatrix,MATCH($G34,Energieträger,0),2)*H34/1000</f>
        <v>0</v>
      </c>
      <c r="L34" s="159"/>
      <c r="M34" s="140"/>
      <c r="N34" s="613"/>
      <c r="O34" s="164"/>
      <c r="P34" s="165"/>
    </row>
    <row r="35" spans="2:16" ht="13.8" thickBot="1" x14ac:dyDescent="0.3">
      <c r="B35" s="157"/>
      <c r="C35" s="164"/>
      <c r="D35" s="159"/>
      <c r="E35" s="623"/>
      <c r="F35" s="159"/>
      <c r="G35" s="604" t="s">
        <v>582</v>
      </c>
      <c r="H35" s="160"/>
      <c r="I35" s="435">
        <v>0</v>
      </c>
      <c r="J35" s="160"/>
      <c r="K35" s="436">
        <v>0</v>
      </c>
      <c r="L35" s="159"/>
      <c r="M35" s="140"/>
      <c r="N35" s="613"/>
      <c r="O35" s="164"/>
      <c r="P35" s="165"/>
    </row>
    <row r="36" spans="2:16" x14ac:dyDescent="0.25">
      <c r="B36" s="429">
        <v>6</v>
      </c>
      <c r="C36" s="430"/>
      <c r="D36" s="431"/>
      <c r="E36" s="626"/>
      <c r="F36" s="448"/>
      <c r="G36" s="156"/>
      <c r="H36" s="442">
        <f>SUM(H37:H40)</f>
        <v>0</v>
      </c>
      <c r="I36" s="444">
        <f>SUM(I37:I41)</f>
        <v>0</v>
      </c>
      <c r="J36" s="445">
        <f>I36/$J$2</f>
        <v>0</v>
      </c>
      <c r="K36" s="444">
        <f>SUM(K37:K41)</f>
        <v>0</v>
      </c>
      <c r="L36" s="610" t="e">
        <f>F36/K36</f>
        <v>#DIV/0!</v>
      </c>
      <c r="M36" s="156"/>
      <c r="N36" s="611"/>
      <c r="O36" s="577"/>
      <c r="P36" s="437"/>
    </row>
    <row r="37" spans="2:16" x14ac:dyDescent="0.25">
      <c r="B37" s="157"/>
      <c r="C37" s="398"/>
      <c r="D37" s="159"/>
      <c r="E37" s="623"/>
      <c r="F37" s="159"/>
      <c r="G37" s="433" t="s">
        <v>223</v>
      </c>
      <c r="H37" s="434"/>
      <c r="I37" s="449">
        <f>INDEX(EnergieträgerMatrix,MATCH($G37,Energieträger,0),3)*H37/1000</f>
        <v>0</v>
      </c>
      <c r="J37" s="160"/>
      <c r="K37" s="447">
        <f>INDEX(EnergieträgerMatrix,MATCH($G37,Energieträger,0),2)*H37/1000</f>
        <v>0</v>
      </c>
      <c r="L37" s="159"/>
      <c r="M37" s="161" t="s">
        <v>246</v>
      </c>
      <c r="N37" s="612"/>
      <c r="O37" s="162"/>
      <c r="P37" s="163"/>
    </row>
    <row r="38" spans="2:16" x14ac:dyDescent="0.25">
      <c r="B38" s="157"/>
      <c r="C38" s="164"/>
      <c r="D38" s="159"/>
      <c r="E38" s="623"/>
      <c r="F38" s="159"/>
      <c r="G38" s="433" t="s">
        <v>223</v>
      </c>
      <c r="H38" s="434"/>
      <c r="I38" s="449">
        <f>INDEX(EnergieträgerMatrix,MATCH($G38,Energieträger,0),3)*H38/1000</f>
        <v>0</v>
      </c>
      <c r="J38" s="160"/>
      <c r="K38" s="447">
        <f>INDEX(EnergieträgerMatrix,MATCH($G38,Energieträger,0),2)*H38/1000</f>
        <v>0</v>
      </c>
      <c r="L38" s="159"/>
      <c r="M38" s="140" t="s">
        <v>244</v>
      </c>
      <c r="N38" s="613"/>
      <c r="O38" s="164"/>
      <c r="P38" s="165"/>
    </row>
    <row r="39" spans="2:16" x14ac:dyDescent="0.25">
      <c r="B39" s="157"/>
      <c r="C39" s="164"/>
      <c r="D39" s="159"/>
      <c r="E39" s="623"/>
      <c r="F39" s="159"/>
      <c r="G39" s="433" t="s">
        <v>223</v>
      </c>
      <c r="H39" s="434"/>
      <c r="I39" s="449">
        <f>INDEX(EnergieträgerMatrix,MATCH($G39,Energieträger,0),3)*H39/1000</f>
        <v>0</v>
      </c>
      <c r="J39" s="160"/>
      <c r="K39" s="447">
        <f>INDEX(EnergieträgerMatrix,MATCH($G39,Energieträger,0),2)*H39/1000</f>
        <v>0</v>
      </c>
      <c r="L39" s="159"/>
      <c r="M39" s="140" t="s">
        <v>245</v>
      </c>
      <c r="N39" s="613"/>
      <c r="O39" s="164"/>
      <c r="P39" s="165"/>
    </row>
    <row r="40" spans="2:16" x14ac:dyDescent="0.25">
      <c r="B40" s="157"/>
      <c r="C40" s="164"/>
      <c r="D40" s="159"/>
      <c r="E40" s="623"/>
      <c r="F40" s="159"/>
      <c r="G40" s="433" t="s">
        <v>223</v>
      </c>
      <c r="H40" s="434"/>
      <c r="I40" s="449">
        <f>INDEX(EnergieträgerMatrix,MATCH($G40,Energieträger,0),3)*H40/1000</f>
        <v>0</v>
      </c>
      <c r="J40" s="160"/>
      <c r="K40" s="447">
        <f>INDEX(EnergieträgerMatrix,MATCH($G40,Energieträger,0),2)*H40/1000</f>
        <v>0</v>
      </c>
      <c r="L40" s="159"/>
      <c r="M40" s="140"/>
      <c r="N40" s="613"/>
      <c r="O40" s="164"/>
      <c r="P40" s="165"/>
    </row>
    <row r="41" spans="2:16" ht="13.8" thickBot="1" x14ac:dyDescent="0.3">
      <c r="B41" s="157"/>
      <c r="C41" s="164"/>
      <c r="D41" s="159"/>
      <c r="E41" s="623"/>
      <c r="F41" s="159"/>
      <c r="G41" s="604" t="s">
        <v>582</v>
      </c>
      <c r="H41" s="160"/>
      <c r="I41" s="438"/>
      <c r="J41" s="160"/>
      <c r="K41" s="436"/>
      <c r="L41" s="159"/>
      <c r="M41" s="140"/>
      <c r="N41" s="613"/>
      <c r="O41" s="164"/>
      <c r="P41" s="165"/>
    </row>
    <row r="42" spans="2:16" x14ac:dyDescent="0.25">
      <c r="B42" s="429">
        <v>7</v>
      </c>
      <c r="C42" s="430"/>
      <c r="D42" s="431"/>
      <c r="E42" s="626"/>
      <c r="F42" s="448"/>
      <c r="G42" s="156"/>
      <c r="H42" s="442">
        <f>SUM(H43:H46)</f>
        <v>0</v>
      </c>
      <c r="I42" s="444">
        <f>SUM(I43:I47)</f>
        <v>0</v>
      </c>
      <c r="J42" s="445">
        <f>I42/$J$2</f>
        <v>0</v>
      </c>
      <c r="K42" s="444">
        <f>SUM(K43:K47)</f>
        <v>0</v>
      </c>
      <c r="L42" s="610" t="e">
        <f>F42/K42</f>
        <v>#DIV/0!</v>
      </c>
      <c r="M42" s="156"/>
      <c r="N42" s="611"/>
      <c r="O42" s="577"/>
      <c r="P42" s="437"/>
    </row>
    <row r="43" spans="2:16" x14ac:dyDescent="0.25">
      <c r="B43" s="157"/>
      <c r="C43" s="398"/>
      <c r="D43" s="159"/>
      <c r="E43" s="623"/>
      <c r="F43" s="159"/>
      <c r="G43" s="433" t="s">
        <v>223</v>
      </c>
      <c r="H43" s="434"/>
      <c r="I43" s="449">
        <f>INDEX(EnergieträgerMatrix,MATCH($G43,Energieträger,0),3)*H43/1000</f>
        <v>0</v>
      </c>
      <c r="J43" s="160"/>
      <c r="K43" s="447">
        <f>INDEX(EnergieträgerMatrix,MATCH($G43,Energieträger,0),2)*H43/1000</f>
        <v>0</v>
      </c>
      <c r="L43" s="159"/>
      <c r="M43" s="161" t="s">
        <v>246</v>
      </c>
      <c r="N43" s="612"/>
      <c r="O43" s="162"/>
      <c r="P43" s="163"/>
    </row>
    <row r="44" spans="2:16" x14ac:dyDescent="0.25">
      <c r="B44" s="157"/>
      <c r="C44" s="164"/>
      <c r="D44" s="159"/>
      <c r="E44" s="623"/>
      <c r="F44" s="159"/>
      <c r="G44" s="433" t="s">
        <v>223</v>
      </c>
      <c r="H44" s="434"/>
      <c r="I44" s="449">
        <f>INDEX(EnergieträgerMatrix,MATCH($G44,Energieträger,0),3)*H44/1000</f>
        <v>0</v>
      </c>
      <c r="J44" s="160"/>
      <c r="K44" s="447">
        <f>INDEX(EnergieträgerMatrix,MATCH($G44,Energieträger,0),2)*H44/1000</f>
        <v>0</v>
      </c>
      <c r="L44" s="159"/>
      <c r="M44" s="140" t="s">
        <v>244</v>
      </c>
      <c r="N44" s="613"/>
      <c r="O44" s="164"/>
      <c r="P44" s="165"/>
    </row>
    <row r="45" spans="2:16" x14ac:dyDescent="0.25">
      <c r="B45" s="157"/>
      <c r="C45" s="164"/>
      <c r="D45" s="159"/>
      <c r="E45" s="623"/>
      <c r="F45" s="159"/>
      <c r="G45" s="433" t="s">
        <v>223</v>
      </c>
      <c r="H45" s="434"/>
      <c r="I45" s="449">
        <f>INDEX(EnergieträgerMatrix,MATCH($G45,Energieträger,0),3)*H45/1000</f>
        <v>0</v>
      </c>
      <c r="J45" s="160"/>
      <c r="K45" s="447">
        <f>INDEX(EnergieträgerMatrix,MATCH($G45,Energieträger,0),2)*H45/1000</f>
        <v>0</v>
      </c>
      <c r="L45" s="159"/>
      <c r="M45" s="140" t="s">
        <v>245</v>
      </c>
      <c r="N45" s="613"/>
      <c r="O45" s="164"/>
      <c r="P45" s="165"/>
    </row>
    <row r="46" spans="2:16" x14ac:dyDescent="0.25">
      <c r="B46" s="157"/>
      <c r="C46" s="164"/>
      <c r="D46" s="159"/>
      <c r="E46" s="623"/>
      <c r="F46" s="159"/>
      <c r="G46" s="433" t="s">
        <v>223</v>
      </c>
      <c r="H46" s="434"/>
      <c r="I46" s="449">
        <f>INDEX(EnergieträgerMatrix,MATCH($G46,Energieträger,0),3)*H46/1000</f>
        <v>0</v>
      </c>
      <c r="J46" s="160"/>
      <c r="K46" s="447">
        <f>INDEX(EnergieträgerMatrix,MATCH($G46,Energieträger,0),2)*H46/1000</f>
        <v>0</v>
      </c>
      <c r="L46" s="159"/>
      <c r="M46" s="140"/>
      <c r="N46" s="613"/>
      <c r="O46" s="164"/>
      <c r="P46" s="165"/>
    </row>
    <row r="47" spans="2:16" ht="13.8" thickBot="1" x14ac:dyDescent="0.3">
      <c r="B47" s="157"/>
      <c r="C47" s="164"/>
      <c r="D47" s="159"/>
      <c r="E47" s="623"/>
      <c r="F47" s="159"/>
      <c r="G47" s="604" t="s">
        <v>582</v>
      </c>
      <c r="H47" s="160"/>
      <c r="I47" s="435">
        <v>0</v>
      </c>
      <c r="J47" s="160"/>
      <c r="K47" s="436">
        <v>0</v>
      </c>
      <c r="L47" s="159"/>
      <c r="M47" s="140"/>
      <c r="N47" s="613"/>
      <c r="O47" s="164"/>
      <c r="P47" s="165"/>
    </row>
    <row r="48" spans="2:16" x14ac:dyDescent="0.25">
      <c r="B48" s="429">
        <v>8</v>
      </c>
      <c r="C48" s="430"/>
      <c r="D48" s="431"/>
      <c r="E48" s="626"/>
      <c r="F48" s="448"/>
      <c r="G48" s="156"/>
      <c r="H48" s="442">
        <f>SUM(H49:H52)</f>
        <v>0</v>
      </c>
      <c r="I48" s="444">
        <f>SUM(I49:I53)</f>
        <v>0</v>
      </c>
      <c r="J48" s="445">
        <f>I48/$J$2</f>
        <v>0</v>
      </c>
      <c r="K48" s="444">
        <f>SUM(K49:K53)</f>
        <v>0</v>
      </c>
      <c r="L48" s="610" t="e">
        <f>F48/K48</f>
        <v>#DIV/0!</v>
      </c>
      <c r="M48" s="156"/>
      <c r="N48" s="611"/>
      <c r="O48" s="577"/>
      <c r="P48" s="437"/>
    </row>
    <row r="49" spans="2:16" x14ac:dyDescent="0.25">
      <c r="B49" s="157"/>
      <c r="C49" s="398"/>
      <c r="D49" s="159"/>
      <c r="E49" s="623"/>
      <c r="F49" s="159"/>
      <c r="G49" s="433" t="s">
        <v>223</v>
      </c>
      <c r="H49" s="434"/>
      <c r="I49" s="449">
        <f>INDEX(EnergieträgerMatrix,MATCH($G49,Energieträger,0),3)*H49/1000</f>
        <v>0</v>
      </c>
      <c r="J49" s="160"/>
      <c r="K49" s="447">
        <f>INDEX(EnergieträgerMatrix,MATCH($G49,Energieträger,0),2)*H49/1000</f>
        <v>0</v>
      </c>
      <c r="L49" s="159"/>
      <c r="M49" s="161" t="s">
        <v>246</v>
      </c>
      <c r="N49" s="612"/>
      <c r="O49" s="162"/>
      <c r="P49" s="163"/>
    </row>
    <row r="50" spans="2:16" x14ac:dyDescent="0.25">
      <c r="B50" s="157"/>
      <c r="C50" s="164"/>
      <c r="D50" s="159"/>
      <c r="E50" s="623"/>
      <c r="F50" s="159"/>
      <c r="G50" s="433" t="s">
        <v>223</v>
      </c>
      <c r="H50" s="434"/>
      <c r="I50" s="449">
        <f>INDEX(EnergieträgerMatrix,MATCH($G50,Energieträger,0),3)*H50/1000</f>
        <v>0</v>
      </c>
      <c r="J50" s="160"/>
      <c r="K50" s="447">
        <f>INDEX(EnergieträgerMatrix,MATCH($G50,Energieträger,0),2)*H50/1000</f>
        <v>0</v>
      </c>
      <c r="L50" s="159"/>
      <c r="M50" s="140" t="s">
        <v>244</v>
      </c>
      <c r="N50" s="613"/>
      <c r="O50" s="164"/>
      <c r="P50" s="165"/>
    </row>
    <row r="51" spans="2:16" x14ac:dyDescent="0.25">
      <c r="B51" s="157"/>
      <c r="C51" s="164"/>
      <c r="D51" s="159"/>
      <c r="E51" s="623"/>
      <c r="F51" s="159"/>
      <c r="G51" s="433" t="s">
        <v>223</v>
      </c>
      <c r="H51" s="434"/>
      <c r="I51" s="449">
        <f>INDEX(EnergieträgerMatrix,MATCH($G51,Energieträger,0),3)*H51/1000</f>
        <v>0</v>
      </c>
      <c r="J51" s="160"/>
      <c r="K51" s="447">
        <f>INDEX(EnergieträgerMatrix,MATCH($G51,Energieträger,0),2)*H51/1000</f>
        <v>0</v>
      </c>
      <c r="L51" s="159"/>
      <c r="M51" s="140" t="s">
        <v>245</v>
      </c>
      <c r="N51" s="613"/>
      <c r="O51" s="164"/>
      <c r="P51" s="165"/>
    </row>
    <row r="52" spans="2:16" x14ac:dyDescent="0.25">
      <c r="B52" s="157"/>
      <c r="C52" s="164"/>
      <c r="D52" s="159"/>
      <c r="E52" s="623"/>
      <c r="F52" s="159"/>
      <c r="G52" s="433" t="s">
        <v>223</v>
      </c>
      <c r="H52" s="434"/>
      <c r="I52" s="449">
        <f>INDEX(EnergieträgerMatrix,MATCH($G52,Energieträger,0),3)*H52/1000</f>
        <v>0</v>
      </c>
      <c r="J52" s="160"/>
      <c r="K52" s="447">
        <f>INDEX(EnergieträgerMatrix,MATCH($G52,Energieträger,0),2)*H52/1000</f>
        <v>0</v>
      </c>
      <c r="L52" s="159"/>
      <c r="M52" s="140"/>
      <c r="N52" s="613"/>
      <c r="O52" s="164"/>
      <c r="P52" s="165"/>
    </row>
    <row r="53" spans="2:16" ht="13.8" thickBot="1" x14ac:dyDescent="0.3">
      <c r="B53" s="157"/>
      <c r="C53" s="164"/>
      <c r="D53" s="159"/>
      <c r="E53" s="623"/>
      <c r="F53" s="159"/>
      <c r="G53" s="604" t="s">
        <v>582</v>
      </c>
      <c r="H53" s="160"/>
      <c r="I53" s="435">
        <v>0</v>
      </c>
      <c r="J53" s="160"/>
      <c r="K53" s="436">
        <v>0</v>
      </c>
      <c r="L53" s="159"/>
      <c r="M53" s="140"/>
      <c r="N53" s="613"/>
      <c r="O53" s="164"/>
      <c r="P53" s="165"/>
    </row>
    <row r="54" spans="2:16" x14ac:dyDescent="0.25">
      <c r="B54" s="429">
        <v>9</v>
      </c>
      <c r="C54" s="430"/>
      <c r="D54" s="431"/>
      <c r="E54" s="626"/>
      <c r="F54" s="448"/>
      <c r="G54" s="156"/>
      <c r="H54" s="442">
        <f>SUM(H55:H58)</f>
        <v>0</v>
      </c>
      <c r="I54" s="444">
        <f>SUM(I55:I59)</f>
        <v>0</v>
      </c>
      <c r="J54" s="445">
        <f>I54/$J$2</f>
        <v>0</v>
      </c>
      <c r="K54" s="444">
        <f>SUM(K55:K59)</f>
        <v>0</v>
      </c>
      <c r="L54" s="610" t="e">
        <f>F54/K54</f>
        <v>#DIV/0!</v>
      </c>
      <c r="M54" s="156"/>
      <c r="N54" s="611"/>
      <c r="O54" s="577"/>
      <c r="P54" s="437"/>
    </row>
    <row r="55" spans="2:16" x14ac:dyDescent="0.25">
      <c r="B55" s="157"/>
      <c r="C55" s="398"/>
      <c r="D55" s="159"/>
      <c r="E55" s="623"/>
      <c r="F55" s="159"/>
      <c r="G55" s="433" t="s">
        <v>223</v>
      </c>
      <c r="H55" s="434"/>
      <c r="I55" s="449">
        <f>INDEX(EnergieträgerMatrix,MATCH($G55,Energieträger,0),3)*H55/1000</f>
        <v>0</v>
      </c>
      <c r="J55" s="160"/>
      <c r="K55" s="447">
        <f>INDEX(EnergieträgerMatrix,MATCH($G55,Energieträger,0),2)*H55/1000</f>
        <v>0</v>
      </c>
      <c r="L55" s="159"/>
      <c r="M55" s="161" t="s">
        <v>246</v>
      </c>
      <c r="N55" s="612"/>
      <c r="O55" s="162"/>
      <c r="P55" s="163"/>
    </row>
    <row r="56" spans="2:16" x14ac:dyDescent="0.25">
      <c r="B56" s="157"/>
      <c r="C56" s="164"/>
      <c r="D56" s="159"/>
      <c r="E56" s="623"/>
      <c r="F56" s="159"/>
      <c r="G56" s="433" t="s">
        <v>223</v>
      </c>
      <c r="H56" s="434"/>
      <c r="I56" s="449">
        <f>INDEX(EnergieträgerMatrix,MATCH($G56,Energieträger,0),3)*H56/1000</f>
        <v>0</v>
      </c>
      <c r="J56" s="160"/>
      <c r="K56" s="447">
        <f>INDEX(EnergieträgerMatrix,MATCH($G56,Energieträger,0),2)*H56/1000</f>
        <v>0</v>
      </c>
      <c r="L56" s="159"/>
      <c r="M56" s="140" t="s">
        <v>244</v>
      </c>
      <c r="N56" s="613"/>
      <c r="O56" s="164"/>
      <c r="P56" s="165"/>
    </row>
    <row r="57" spans="2:16" x14ac:dyDescent="0.25">
      <c r="B57" s="157"/>
      <c r="C57" s="164"/>
      <c r="D57" s="159"/>
      <c r="E57" s="623"/>
      <c r="F57" s="159"/>
      <c r="G57" s="433" t="s">
        <v>223</v>
      </c>
      <c r="H57" s="434"/>
      <c r="I57" s="449">
        <f>INDEX(EnergieträgerMatrix,MATCH($G57,Energieträger,0),3)*H57/1000</f>
        <v>0</v>
      </c>
      <c r="J57" s="160"/>
      <c r="K57" s="447">
        <f>INDEX(EnergieträgerMatrix,MATCH($G57,Energieträger,0),2)*H57/1000</f>
        <v>0</v>
      </c>
      <c r="L57" s="159"/>
      <c r="M57" s="140" t="s">
        <v>245</v>
      </c>
      <c r="N57" s="613"/>
      <c r="O57" s="164"/>
      <c r="P57" s="165"/>
    </row>
    <row r="58" spans="2:16" x14ac:dyDescent="0.25">
      <c r="B58" s="157"/>
      <c r="C58" s="164"/>
      <c r="D58" s="159"/>
      <c r="E58" s="623"/>
      <c r="F58" s="159"/>
      <c r="G58" s="433" t="s">
        <v>223</v>
      </c>
      <c r="H58" s="434"/>
      <c r="I58" s="449">
        <f>INDEX(EnergieträgerMatrix,MATCH($G58,Energieträger,0),3)*H58/1000</f>
        <v>0</v>
      </c>
      <c r="J58" s="160"/>
      <c r="K58" s="447">
        <f>INDEX(EnergieträgerMatrix,MATCH($G58,Energieträger,0),2)*H58/1000</f>
        <v>0</v>
      </c>
      <c r="L58" s="159"/>
      <c r="M58" s="140"/>
      <c r="N58" s="613"/>
      <c r="O58" s="164"/>
      <c r="P58" s="165"/>
    </row>
    <row r="59" spans="2:16" ht="13.8" thickBot="1" x14ac:dyDescent="0.3">
      <c r="B59" s="157"/>
      <c r="C59" s="164"/>
      <c r="D59" s="159"/>
      <c r="E59" s="623"/>
      <c r="F59" s="159"/>
      <c r="G59" s="604" t="s">
        <v>582</v>
      </c>
      <c r="H59" s="160"/>
      <c r="I59" s="435">
        <v>0</v>
      </c>
      <c r="J59" s="160"/>
      <c r="K59" s="436">
        <v>0</v>
      </c>
      <c r="L59" s="159"/>
      <c r="M59" s="140"/>
      <c r="N59" s="613"/>
      <c r="O59" s="164"/>
      <c r="P59" s="165"/>
    </row>
    <row r="60" spans="2:16" x14ac:dyDescent="0.25">
      <c r="B60" s="429">
        <v>10</v>
      </c>
      <c r="C60" s="430"/>
      <c r="D60" s="431"/>
      <c r="E60" s="626"/>
      <c r="F60" s="448"/>
      <c r="G60" s="156"/>
      <c r="H60" s="442">
        <f>SUM(H61:H64)</f>
        <v>0</v>
      </c>
      <c r="I60" s="444">
        <f>SUM(I61:I65)</f>
        <v>0</v>
      </c>
      <c r="J60" s="445">
        <f>I60/$J$2</f>
        <v>0</v>
      </c>
      <c r="K60" s="444">
        <f>SUM(K61:K65)</f>
        <v>0</v>
      </c>
      <c r="L60" s="610" t="e">
        <f>F60/K60</f>
        <v>#DIV/0!</v>
      </c>
      <c r="M60" s="156"/>
      <c r="N60" s="611"/>
      <c r="O60" s="437"/>
      <c r="P60" s="437"/>
    </row>
    <row r="61" spans="2:16" x14ac:dyDescent="0.25">
      <c r="B61" s="157"/>
      <c r="C61" s="398"/>
      <c r="D61" s="159"/>
      <c r="E61" s="623"/>
      <c r="F61" s="159"/>
      <c r="G61" s="433" t="s">
        <v>223</v>
      </c>
      <c r="H61" s="434"/>
      <c r="I61" s="449">
        <f>INDEX(EnergieträgerMatrix,MATCH($G61,Energieträger,0),3)*H61/1000</f>
        <v>0</v>
      </c>
      <c r="J61" s="160"/>
      <c r="K61" s="447">
        <f>INDEX(EnergieträgerMatrix,MATCH($G61,Energieträger,0),2)*H61/1000</f>
        <v>0</v>
      </c>
      <c r="L61" s="159"/>
      <c r="M61" s="161" t="s">
        <v>246</v>
      </c>
      <c r="N61" s="612"/>
      <c r="O61" s="163"/>
      <c r="P61" s="176"/>
    </row>
    <row r="62" spans="2:16" x14ac:dyDescent="0.25">
      <c r="B62" s="157"/>
      <c r="C62" s="164"/>
      <c r="D62" s="159" t="str">
        <f>"Heizwärmebedarf " &amp;BefrJahr1</f>
        <v>Heizwärmebedarf 2012</v>
      </c>
      <c r="E62" s="623"/>
      <c r="F62" s="159"/>
      <c r="G62" s="433" t="s">
        <v>223</v>
      </c>
      <c r="H62" s="434"/>
      <c r="I62" s="449">
        <f>INDEX(EnergieträgerMatrix,MATCH($G62,Energieträger,0),3)*H62/1000</f>
        <v>0</v>
      </c>
      <c r="J62" s="160"/>
      <c r="K62" s="447">
        <f>INDEX(EnergieträgerMatrix,MATCH($G62,Energieträger,0),2)*H62/1000</f>
        <v>0</v>
      </c>
      <c r="L62" s="159"/>
      <c r="M62" s="140" t="s">
        <v>244</v>
      </c>
      <c r="N62" s="613"/>
      <c r="O62" s="165"/>
      <c r="P62" s="177"/>
    </row>
    <row r="63" spans="2:16" x14ac:dyDescent="0.25">
      <c r="B63" s="157"/>
      <c r="C63" s="164"/>
      <c r="D63" s="159" t="str">
        <f>"Heizwärmebedarf " &amp;BefrJahr2</f>
        <v>Heizwärmebedarf 2013</v>
      </c>
      <c r="E63" s="623"/>
      <c r="F63" s="159"/>
      <c r="G63" s="433" t="s">
        <v>223</v>
      </c>
      <c r="H63" s="434"/>
      <c r="I63" s="449">
        <f>INDEX(EnergieträgerMatrix,MATCH($G63,Energieträger,0),3)*H63/1000</f>
        <v>0</v>
      </c>
      <c r="J63" s="160"/>
      <c r="K63" s="447">
        <f>INDEX(EnergieträgerMatrix,MATCH($G63,Energieträger,0),2)*H63/1000</f>
        <v>0</v>
      </c>
      <c r="L63" s="159"/>
      <c r="M63" s="140" t="s">
        <v>245</v>
      </c>
      <c r="N63" s="613"/>
      <c r="O63" s="165"/>
      <c r="P63" s="177"/>
    </row>
    <row r="64" spans="2:16" x14ac:dyDescent="0.25">
      <c r="B64" s="157"/>
      <c r="C64" s="164"/>
      <c r="D64" s="159"/>
      <c r="E64" s="623"/>
      <c r="F64" s="159"/>
      <c r="G64" s="433" t="s">
        <v>223</v>
      </c>
      <c r="H64" s="434"/>
      <c r="I64" s="449">
        <f>INDEX(EnergieträgerMatrix,MATCH($G64,Energieträger,0),3)*H64/1000</f>
        <v>0</v>
      </c>
      <c r="J64" s="160"/>
      <c r="K64" s="447">
        <f>INDEX(EnergieträgerMatrix,MATCH($G64,Energieträger,0),2)*H64/1000</f>
        <v>0</v>
      </c>
      <c r="L64" s="159"/>
      <c r="M64" s="336"/>
      <c r="N64" s="614"/>
      <c r="O64" s="165"/>
      <c r="P64" s="177"/>
    </row>
    <row r="65" spans="2:16" ht="13.8" thickBot="1" x14ac:dyDescent="0.3">
      <c r="B65" s="166"/>
      <c r="C65" s="167"/>
      <c r="D65" s="168"/>
      <c r="E65" s="624"/>
      <c r="F65" s="168"/>
      <c r="G65" s="604" t="s">
        <v>582</v>
      </c>
      <c r="H65" s="160"/>
      <c r="I65" s="435">
        <v>0</v>
      </c>
      <c r="J65" s="160"/>
      <c r="K65" s="436">
        <v>0</v>
      </c>
      <c r="L65" s="159"/>
      <c r="M65" s="170"/>
      <c r="N65" s="615"/>
      <c r="O65" s="171"/>
      <c r="P65" s="178"/>
    </row>
    <row r="68" spans="2:16" x14ac:dyDescent="0.25">
      <c r="B68" s="261" t="s">
        <v>250</v>
      </c>
      <c r="C68" s="249"/>
      <c r="D68" s="249"/>
      <c r="E68" s="249"/>
      <c r="F68" s="249"/>
      <c r="G68" s="249"/>
    </row>
    <row r="69" spans="2:16" x14ac:dyDescent="0.25">
      <c r="B69" s="341" t="s">
        <v>246</v>
      </c>
      <c r="C69" s="249"/>
      <c r="D69" s="249" t="s">
        <v>599</v>
      </c>
      <c r="E69" s="249"/>
      <c r="F69" s="249"/>
      <c r="G69" s="249"/>
    </row>
    <row r="70" spans="2:16" x14ac:dyDescent="0.25">
      <c r="B70" s="260" t="s">
        <v>587</v>
      </c>
      <c r="C70" s="249"/>
      <c r="D70" s="249" t="s">
        <v>588</v>
      </c>
      <c r="E70" s="249"/>
      <c r="F70" s="249"/>
      <c r="G70" s="249"/>
    </row>
    <row r="71" spans="2:16" x14ac:dyDescent="0.25">
      <c r="B71" s="260" t="s">
        <v>245</v>
      </c>
      <c r="C71" s="249"/>
      <c r="D71" s="249" t="s">
        <v>589</v>
      </c>
      <c r="E71" s="249"/>
      <c r="F71" s="249"/>
      <c r="G71" s="249"/>
    </row>
    <row r="72" spans="2:16" x14ac:dyDescent="0.25">
      <c r="B72" s="144"/>
      <c r="C72" s="259"/>
    </row>
    <row r="73" spans="2:16" x14ac:dyDescent="0.25">
      <c r="B73" s="262" t="s">
        <v>250</v>
      </c>
      <c r="C73" s="249"/>
      <c r="D73" s="249"/>
      <c r="E73" s="249"/>
      <c r="F73" s="249"/>
    </row>
    <row r="74" spans="2:16" x14ac:dyDescent="0.25">
      <c r="B74" s="260">
        <v>1</v>
      </c>
      <c r="C74" s="249" t="s">
        <v>450</v>
      </c>
      <c r="D74" s="249"/>
      <c r="E74" s="249"/>
      <c r="F74" s="249"/>
    </row>
    <row r="75" spans="2:16" x14ac:dyDescent="0.25">
      <c r="B75" s="260">
        <v>2</v>
      </c>
      <c r="C75" s="249" t="s">
        <v>451</v>
      </c>
      <c r="D75" s="249"/>
      <c r="E75" s="249"/>
      <c r="F75" s="249"/>
    </row>
    <row r="76" spans="2:16" x14ac:dyDescent="0.25">
      <c r="B76" s="260">
        <v>3</v>
      </c>
      <c r="C76" s="249" t="s">
        <v>452</v>
      </c>
      <c r="D76" s="249"/>
      <c r="E76" s="249"/>
      <c r="F76" s="249"/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mergeCells count="2">
    <mergeCell ref="G4:K4"/>
    <mergeCell ref="O4:P4"/>
  </mergeCells>
  <dataValidations count="3">
    <dataValidation type="list" allowBlank="1" showInputMessage="1" showErrorMessage="1" sqref="G7:G10 G13:G16 G19:G22 G25:G28 G55:G58 G31:G34 G43:G46 G49:G52 G61:G64 G37:G40">
      <formula1>Energieträger</formula1>
    </dataValidation>
    <dataValidation type="list" allowBlank="1" showInputMessage="1" showErrorMessage="1" sqref="N7:N11 N13:N17 N19:N23 N25:N29 N31:N35 N37:N41 N43:N47 N49:N53 N55:N59 N61:N65">
      <formula1>Prio.Massnahmen</formula1>
    </dataValidation>
    <dataValidation type="list" errorStyle="warning" allowBlank="1" showInputMessage="1" showErrorMessage="1" errorTitle="Ungültiger Wert" error="Der Kostenanteil Energie muss in 25% Schritte angegeben werden. Werte kleiner als 25% können in 1er Schritte erfasst werden. " sqref="E6:E60">
      <formula1>KostenanteilEnergie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headerFooter>
    <oddHeader>&amp;L&amp;G&amp;R6.2 Massnahmenliste</oddHeader>
    <oddFooter>&amp;R&amp;P / &amp;N</oddFooter>
  </headerFooter>
  <legacy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B1:N125"/>
  <sheetViews>
    <sheetView view="pageLayout" zoomScale="70" zoomScaleNormal="100" zoomScalePageLayoutView="70" workbookViewId="0">
      <selection activeCell="V4" sqref="V4"/>
    </sheetView>
  </sheetViews>
  <sheetFormatPr baseColWidth="10" defaultColWidth="11.44140625" defaultRowHeight="13.2" x14ac:dyDescent="0.25"/>
  <cols>
    <col min="1" max="1" width="11.44140625" style="14"/>
    <col min="2" max="2" width="23" style="14" customWidth="1"/>
    <col min="3" max="3" width="11.44140625" style="14"/>
    <col min="4" max="4" width="27.88671875" style="14" customWidth="1"/>
    <col min="5" max="5" width="2.109375" style="14" customWidth="1"/>
    <col min="6" max="6" width="14.88671875" style="14" customWidth="1"/>
    <col min="7" max="8" width="11.44140625" style="14"/>
    <col min="9" max="9" width="21.44140625" style="14" customWidth="1"/>
    <col min="10" max="16384" width="11.44140625" style="14"/>
  </cols>
  <sheetData>
    <row r="1" spans="2:14" x14ac:dyDescent="0.25">
      <c r="B1" s="62" t="s">
        <v>455</v>
      </c>
      <c r="D1" s="62" t="s">
        <v>456</v>
      </c>
      <c r="F1" s="69" t="s">
        <v>457</v>
      </c>
      <c r="G1" s="214"/>
    </row>
    <row r="2" spans="2:14" x14ac:dyDescent="0.25">
      <c r="G2" s="349"/>
      <c r="H2" s="349"/>
      <c r="I2" s="349"/>
      <c r="J2" s="349"/>
      <c r="K2" s="349"/>
      <c r="L2" s="349"/>
      <c r="M2" s="349"/>
      <c r="N2" s="349"/>
    </row>
    <row r="3" spans="2:14" x14ac:dyDescent="0.25">
      <c r="G3" s="606"/>
      <c r="H3" s="606" t="s">
        <v>126</v>
      </c>
      <c r="I3" s="349"/>
      <c r="J3" s="349"/>
      <c r="K3" s="349"/>
      <c r="L3" s="349" t="s">
        <v>127</v>
      </c>
      <c r="M3" s="349"/>
      <c r="N3" s="349"/>
    </row>
    <row r="4" spans="2:14" x14ac:dyDescent="0.25">
      <c r="B4" s="62" t="s">
        <v>360</v>
      </c>
      <c r="D4" s="62" t="s">
        <v>2</v>
      </c>
      <c r="F4" s="14" t="s">
        <v>458</v>
      </c>
      <c r="G4" s="41" t="s">
        <v>2</v>
      </c>
      <c r="H4" s="41" t="s">
        <v>119</v>
      </c>
      <c r="I4" s="41" t="s">
        <v>124</v>
      </c>
      <c r="J4" s="41" t="s">
        <v>120</v>
      </c>
      <c r="K4" s="41" t="s">
        <v>121</v>
      </c>
      <c r="L4" s="41" t="s">
        <v>122</v>
      </c>
      <c r="M4" s="41" t="s">
        <v>123</v>
      </c>
    </row>
    <row r="5" spans="2:14" x14ac:dyDescent="0.25">
      <c r="B5" s="172" t="s">
        <v>223</v>
      </c>
      <c r="D5" s="172" t="str">
        <f>'3'!C5</f>
        <v>-Auswahl-</v>
      </c>
      <c r="G5" s="267" t="s">
        <v>460</v>
      </c>
      <c r="H5" s="44"/>
      <c r="I5" s="45"/>
      <c r="J5" s="44"/>
      <c r="K5" s="44"/>
      <c r="L5" s="46"/>
      <c r="M5" s="46"/>
    </row>
    <row r="6" spans="2:14" x14ac:dyDescent="0.25">
      <c r="B6" s="172" t="s">
        <v>15</v>
      </c>
      <c r="D6" s="172" t="str">
        <f>'3'!C6</f>
        <v>Strombezug vom Netz</v>
      </c>
      <c r="G6" s="43" t="str">
        <f>'3'!C6</f>
        <v>Strombezug vom Netz</v>
      </c>
      <c r="H6" s="44">
        <f t="shared" ref="H6:H17" si="0">I6/1000</f>
        <v>0</v>
      </c>
      <c r="I6" s="45">
        <f>'3'!F6</f>
        <v>0</v>
      </c>
      <c r="J6" s="44">
        <v>1</v>
      </c>
      <c r="K6" s="44">
        <v>1000</v>
      </c>
      <c r="L6" s="46">
        <f>'3'!H6</f>
        <v>0</v>
      </c>
      <c r="M6" s="46">
        <f t="shared" ref="M6:M17" si="1">L6/1000</f>
        <v>0</v>
      </c>
    </row>
    <row r="7" spans="2:14" x14ac:dyDescent="0.25">
      <c r="B7" s="172" t="s">
        <v>16</v>
      </c>
      <c r="D7" s="172" t="str">
        <f>'3'!C7</f>
        <v>Heizöl extra leicht</v>
      </c>
      <c r="G7" s="43" t="str">
        <f>'3'!C7</f>
        <v>Heizöl extra leicht</v>
      </c>
      <c r="H7" s="44">
        <f t="shared" si="0"/>
        <v>0.83916999999999997</v>
      </c>
      <c r="I7" s="45">
        <f>'3'!F7</f>
        <v>839.17</v>
      </c>
      <c r="J7" s="44">
        <v>1</v>
      </c>
      <c r="K7" s="44">
        <v>1000</v>
      </c>
      <c r="L7" s="46">
        <f>'3'!H7</f>
        <v>11.833333333333334</v>
      </c>
      <c r="M7" s="46">
        <f t="shared" si="1"/>
        <v>1.1833333333333335E-2</v>
      </c>
    </row>
    <row r="8" spans="2:14" x14ac:dyDescent="0.25">
      <c r="D8" s="172" t="str">
        <f>'3'!C8</f>
        <v>Heizöl mittel/schwer</v>
      </c>
      <c r="G8" s="43" t="str">
        <f>'3'!C8</f>
        <v>Heizöl mittel/schwer</v>
      </c>
      <c r="H8" s="44">
        <f t="shared" si="0"/>
        <v>0.99904999999999999</v>
      </c>
      <c r="I8" s="45">
        <f>'3'!F8</f>
        <v>999.05</v>
      </c>
      <c r="J8" s="44">
        <v>1</v>
      </c>
      <c r="K8" s="44">
        <v>1000</v>
      </c>
      <c r="L8" s="46">
        <f>'3'!H8</f>
        <v>11.444444444444445</v>
      </c>
      <c r="M8" s="46">
        <f t="shared" si="1"/>
        <v>1.1444444444444445E-2</v>
      </c>
    </row>
    <row r="9" spans="2:14" x14ac:dyDescent="0.25">
      <c r="B9" s="62" t="s">
        <v>361</v>
      </c>
      <c r="D9" s="172" t="str">
        <f>'3'!C9</f>
        <v>Erdgas</v>
      </c>
      <c r="G9" s="43" t="str">
        <f>'3'!C9</f>
        <v>Erdgas</v>
      </c>
      <c r="H9" s="44">
        <f t="shared" si="0"/>
        <v>7.9000000000000001E-4</v>
      </c>
      <c r="I9" s="45">
        <f>'3'!F9</f>
        <v>0.79</v>
      </c>
      <c r="J9" s="44">
        <v>1</v>
      </c>
      <c r="K9" s="44">
        <v>1000</v>
      </c>
      <c r="L9" s="46">
        <f>'3'!H9</f>
        <v>13.333333333333332</v>
      </c>
      <c r="M9" s="46">
        <f t="shared" si="1"/>
        <v>1.3333333333333332E-2</v>
      </c>
    </row>
    <row r="10" spans="2:14" x14ac:dyDescent="0.25">
      <c r="B10" s="173" t="s">
        <v>11</v>
      </c>
      <c r="D10" s="172" t="str">
        <f>'3'!C10</f>
        <v>Butan</v>
      </c>
      <c r="G10" s="43" t="str">
        <f>'3'!C10</f>
        <v>Butan</v>
      </c>
      <c r="H10" s="44">
        <f t="shared" si="0"/>
        <v>0.57799999999999996</v>
      </c>
      <c r="I10" s="45">
        <f>'3'!F10</f>
        <v>578</v>
      </c>
      <c r="J10" s="44">
        <v>1</v>
      </c>
      <c r="K10" s="44">
        <v>1000</v>
      </c>
      <c r="L10" s="46">
        <f>'3'!H10</f>
        <v>12.699722222222222</v>
      </c>
      <c r="M10" s="46">
        <f t="shared" si="1"/>
        <v>1.2699722222222222E-2</v>
      </c>
    </row>
    <row r="11" spans="2:14" x14ac:dyDescent="0.25">
      <c r="D11" s="172" t="str">
        <f>'3'!C11</f>
        <v>Propan</v>
      </c>
      <c r="G11" s="43" t="str">
        <f>'3'!C11</f>
        <v>Propan</v>
      </c>
      <c r="H11" s="44">
        <f t="shared" si="0"/>
        <v>0.50600000000000001</v>
      </c>
      <c r="I11" s="45">
        <f>'3'!F11</f>
        <v>506</v>
      </c>
      <c r="J11" s="44">
        <v>1</v>
      </c>
      <c r="K11" s="44">
        <v>1000</v>
      </c>
      <c r="L11" s="46">
        <f>'3'!H11</f>
        <v>12.875555555555554</v>
      </c>
      <c r="M11" s="46">
        <f t="shared" si="1"/>
        <v>1.2875555555555553E-2</v>
      </c>
    </row>
    <row r="12" spans="2:14" x14ac:dyDescent="0.25">
      <c r="B12" s="62" t="s">
        <v>34</v>
      </c>
      <c r="D12" s="172" t="str">
        <f>'3'!C12</f>
        <v>Biogas (roh, Durchschnittswert)</v>
      </c>
      <c r="G12" s="43" t="str">
        <f>'3'!C12</f>
        <v>Biogas (roh, Durchschnittswert)</v>
      </c>
      <c r="H12" s="44">
        <f t="shared" si="0"/>
        <v>1.121E-3</v>
      </c>
      <c r="I12" s="45">
        <f>'3'!F12</f>
        <v>1.121</v>
      </c>
      <c r="J12" s="44">
        <v>1</v>
      </c>
      <c r="K12" s="44">
        <v>1000</v>
      </c>
      <c r="L12" s="46">
        <f>'3'!H12</f>
        <v>5.9444444444444438</v>
      </c>
      <c r="M12" s="46">
        <f t="shared" si="1"/>
        <v>5.944444444444444E-3</v>
      </c>
    </row>
    <row r="13" spans="2:14" x14ac:dyDescent="0.25">
      <c r="B13" s="172" t="s">
        <v>223</v>
      </c>
      <c r="D13" s="172" t="str">
        <f>'3'!C13</f>
        <v>Fernwärme</v>
      </c>
      <c r="G13" s="43" t="str">
        <f>'3'!C13</f>
        <v>Fernwärme</v>
      </c>
      <c r="H13" s="44">
        <f t="shared" si="0"/>
        <v>0</v>
      </c>
      <c r="I13" s="45">
        <f>'3'!F13</f>
        <v>0</v>
      </c>
      <c r="J13" s="44">
        <v>1</v>
      </c>
      <c r="K13" s="44">
        <v>1000</v>
      </c>
      <c r="L13" s="46">
        <f>'3'!H13</f>
        <v>0</v>
      </c>
      <c r="M13" s="46">
        <f t="shared" si="1"/>
        <v>0</v>
      </c>
    </row>
    <row r="14" spans="2:14" x14ac:dyDescent="0.25">
      <c r="B14" s="172" t="s">
        <v>35</v>
      </c>
      <c r="D14" s="172" t="str">
        <f>'3'!C14</f>
        <v>Steinkohle</v>
      </c>
      <c r="G14" s="43" t="str">
        <f>'3'!C14</f>
        <v>Steinkohle</v>
      </c>
      <c r="H14" s="44">
        <f t="shared" si="0"/>
        <v>0</v>
      </c>
      <c r="I14" s="45">
        <f>'3'!F14</f>
        <v>0</v>
      </c>
      <c r="J14" s="44">
        <v>1</v>
      </c>
      <c r="K14" s="44">
        <v>1000</v>
      </c>
      <c r="L14" s="46">
        <f>'3'!H14</f>
        <v>7.072222222222222</v>
      </c>
      <c r="M14" s="46">
        <f t="shared" si="1"/>
        <v>7.0722222222222219E-3</v>
      </c>
    </row>
    <row r="15" spans="2:14" x14ac:dyDescent="0.25">
      <c r="B15" s="172" t="s">
        <v>84</v>
      </c>
      <c r="D15" s="172" t="str">
        <f>'3'!C15</f>
        <v>Braunkohle</v>
      </c>
      <c r="G15" s="43" t="str">
        <f>'3'!C15</f>
        <v>Braunkohle</v>
      </c>
      <c r="H15" s="44">
        <f t="shared" si="0"/>
        <v>0</v>
      </c>
      <c r="I15" s="45">
        <f>'3'!F15</f>
        <v>0</v>
      </c>
      <c r="J15" s="44">
        <v>1</v>
      </c>
      <c r="K15" s="44">
        <v>1000</v>
      </c>
      <c r="L15" s="46">
        <f>'3'!H15</f>
        <v>6.5444444444444443</v>
      </c>
      <c r="M15" s="46">
        <f t="shared" si="1"/>
        <v>6.5444444444444439E-3</v>
      </c>
    </row>
    <row r="16" spans="2:14" x14ac:dyDescent="0.25">
      <c r="B16" s="174" t="s">
        <v>73</v>
      </c>
      <c r="D16" s="172" t="str">
        <f>'3'!C16</f>
        <v>Naturbelassenes Holz, Restholz</v>
      </c>
      <c r="G16" s="43" t="str">
        <f>'3'!C16</f>
        <v>Naturbelassenes Holz, Restholz</v>
      </c>
      <c r="H16" s="44">
        <f t="shared" si="0"/>
        <v>0</v>
      </c>
      <c r="I16" s="45">
        <f>'3'!F16</f>
        <v>0</v>
      </c>
      <c r="J16" s="44">
        <v>1</v>
      </c>
      <c r="K16" s="44">
        <v>1000</v>
      </c>
      <c r="L16" s="46">
        <f>'3'!H16</f>
        <v>3.6944444444444446</v>
      </c>
      <c r="M16" s="46">
        <f t="shared" si="1"/>
        <v>3.6944444444444446E-3</v>
      </c>
    </row>
    <row r="17" spans="2:13" x14ac:dyDescent="0.25">
      <c r="B17" s="174" t="s">
        <v>37</v>
      </c>
      <c r="D17" s="172" t="str">
        <f>'3'!C17</f>
        <v>Altholz und Holzabfälle</v>
      </c>
      <c r="G17" s="43" t="str">
        <f>'3'!C17</f>
        <v>Altholz und Holzabfälle</v>
      </c>
      <c r="H17" s="44">
        <f t="shared" si="0"/>
        <v>0</v>
      </c>
      <c r="I17" s="45">
        <f>'3'!F17</f>
        <v>0</v>
      </c>
      <c r="J17" s="44">
        <v>1</v>
      </c>
      <c r="K17" s="44">
        <v>1000</v>
      </c>
      <c r="L17" s="46">
        <f>'3'!H17</f>
        <v>4.166666666666667</v>
      </c>
      <c r="M17" s="46">
        <f t="shared" si="1"/>
        <v>4.1666666666666666E-3</v>
      </c>
    </row>
    <row r="18" spans="2:13" x14ac:dyDescent="0.25">
      <c r="D18" s="172" t="str">
        <f>'3'!C18</f>
        <v>Koks</v>
      </c>
      <c r="G18" s="43" t="str">
        <f>'3'!C18</f>
        <v>Koks</v>
      </c>
      <c r="H18" s="44">
        <f t="shared" ref="H18:H28" si="2">I18/1000</f>
        <v>0</v>
      </c>
      <c r="I18" s="45">
        <f>'3'!F18</f>
        <v>0</v>
      </c>
      <c r="J18" s="44">
        <v>1</v>
      </c>
      <c r="K18" s="44">
        <v>1000</v>
      </c>
      <c r="L18" s="46">
        <f>'3'!H18</f>
        <v>7.5</v>
      </c>
      <c r="M18" s="46">
        <f t="shared" ref="M18:M28" si="3">L18/1000</f>
        <v>7.4999999999999997E-3</v>
      </c>
    </row>
    <row r="19" spans="2:13" x14ac:dyDescent="0.25">
      <c r="B19" s="62" t="s">
        <v>359</v>
      </c>
      <c r="D19" s="172" t="str">
        <f>'3'!C19</f>
        <v>Petrolkoks</v>
      </c>
      <c r="G19" s="43" t="str">
        <f>'3'!C19</f>
        <v>Petrolkoks</v>
      </c>
      <c r="H19" s="44">
        <f t="shared" si="2"/>
        <v>0</v>
      </c>
      <c r="I19" s="45">
        <f>'3'!F19</f>
        <v>0</v>
      </c>
      <c r="J19" s="44">
        <v>1</v>
      </c>
      <c r="K19" s="44">
        <v>1000</v>
      </c>
      <c r="L19" s="46">
        <f>'3'!H19</f>
        <v>8.8277777777777775</v>
      </c>
      <c r="M19" s="46">
        <f t="shared" si="3"/>
        <v>8.8277777777777781E-3</v>
      </c>
    </row>
    <row r="20" spans="2:13" x14ac:dyDescent="0.25">
      <c r="B20" s="172" t="s">
        <v>223</v>
      </c>
      <c r="D20" s="172" t="str">
        <f>'3'!C20</f>
        <v>Acetylen</v>
      </c>
      <c r="G20" s="43" t="str">
        <f>'3'!C20</f>
        <v>Acetylen</v>
      </c>
      <c r="H20" s="44">
        <f t="shared" si="2"/>
        <v>0</v>
      </c>
      <c r="I20" s="45">
        <f>'3'!F20</f>
        <v>0</v>
      </c>
      <c r="J20" s="44">
        <v>1</v>
      </c>
      <c r="K20" s="44">
        <v>1000</v>
      </c>
      <c r="L20" s="46">
        <f>'3'!H20</f>
        <v>13.401666666666667</v>
      </c>
      <c r="M20" s="46">
        <f t="shared" si="3"/>
        <v>1.3401666666666668E-2</v>
      </c>
    </row>
    <row r="21" spans="2:13" x14ac:dyDescent="0.25">
      <c r="B21" s="172" t="s">
        <v>348</v>
      </c>
      <c r="D21" s="172" t="str">
        <f>'3'!C21</f>
        <v>Altöl (fossiler Anteil 100 %)</v>
      </c>
      <c r="G21" s="43" t="str">
        <f>'3'!C21</f>
        <v>Altöl (fossiler Anteil 100 %)</v>
      </c>
      <c r="H21" s="44">
        <f t="shared" si="2"/>
        <v>0</v>
      </c>
      <c r="I21" s="45">
        <f>'3'!F21</f>
        <v>0</v>
      </c>
      <c r="J21" s="44">
        <v>1</v>
      </c>
      <c r="K21" s="44">
        <v>1000</v>
      </c>
      <c r="L21" s="46">
        <f>'3'!H21</f>
        <v>9.0277777777777768</v>
      </c>
      <c r="M21" s="46">
        <f t="shared" si="3"/>
        <v>9.0277777777777769E-3</v>
      </c>
    </row>
    <row r="22" spans="2:13" x14ac:dyDescent="0.25">
      <c r="B22" s="172" t="s">
        <v>349</v>
      </c>
      <c r="D22" s="172" t="str">
        <f>'3'!C22</f>
        <v>Altpneu (fossiler Anteil 73 %)</v>
      </c>
      <c r="G22" s="43" t="str">
        <f>'3'!C22</f>
        <v>Altpneu (fossiler Anteil 73 %)</v>
      </c>
      <c r="H22" s="44">
        <f t="shared" si="2"/>
        <v>0</v>
      </c>
      <c r="I22" s="45">
        <f>'3'!F22</f>
        <v>0</v>
      </c>
      <c r="J22" s="44">
        <v>1</v>
      </c>
      <c r="K22" s="44">
        <v>1000</v>
      </c>
      <c r="L22" s="46">
        <f>'3'!H22</f>
        <v>7.333333333333333</v>
      </c>
      <c r="M22" s="46">
        <f t="shared" si="3"/>
        <v>7.3333333333333332E-3</v>
      </c>
    </row>
    <row r="23" spans="2:13" x14ac:dyDescent="0.25">
      <c r="B23" s="172" t="s">
        <v>350</v>
      </c>
      <c r="D23" s="172" t="str">
        <f>'3'!C23</f>
        <v>Kunststoffe (fossiler Anteil 72 %)</v>
      </c>
      <c r="G23" s="43" t="str">
        <f>'3'!C23</f>
        <v>Kunststoffe (fossiler Anteil 72 %)</v>
      </c>
      <c r="H23" s="44">
        <f t="shared" si="2"/>
        <v>0</v>
      </c>
      <c r="I23" s="45">
        <f>'3'!F23</f>
        <v>0</v>
      </c>
      <c r="J23" s="44">
        <v>1</v>
      </c>
      <c r="K23" s="44">
        <v>1000</v>
      </c>
      <c r="L23" s="46">
        <f>'3'!H23</f>
        <v>7</v>
      </c>
      <c r="M23" s="46">
        <f t="shared" si="3"/>
        <v>7.0000000000000001E-3</v>
      </c>
    </row>
    <row r="24" spans="2:13" x14ac:dyDescent="0.25">
      <c r="B24" s="172" t="s">
        <v>313</v>
      </c>
      <c r="D24" s="172" t="str">
        <f>'3'!C24</f>
        <v>Lösungsmittel (fossiler Anteil 99 %)</v>
      </c>
      <c r="G24" s="43" t="str">
        <f>'3'!C24</f>
        <v>Lösungsmittel (fossiler Anteil 99 %)</v>
      </c>
      <c r="H24" s="44">
        <f t="shared" si="2"/>
        <v>0</v>
      </c>
      <c r="I24" s="45">
        <f>'3'!F24</f>
        <v>0</v>
      </c>
      <c r="J24" s="44">
        <v>1</v>
      </c>
      <c r="K24" s="44">
        <v>1000</v>
      </c>
      <c r="L24" s="46">
        <f>'3'!H24</f>
        <v>6.5555555555555554</v>
      </c>
      <c r="M24" s="46">
        <f t="shared" si="3"/>
        <v>6.5555555555555558E-3</v>
      </c>
    </row>
    <row r="25" spans="2:13" x14ac:dyDescent="0.25">
      <c r="B25" s="265"/>
      <c r="D25" s="172" t="str">
        <f>'3'!C25</f>
        <v>Imprägniertes Sägemehl (fossiler Anteil 22 %)</v>
      </c>
      <c r="G25" s="43" t="str">
        <f>'3'!C25</f>
        <v>Imprägniertes Sägemehl (fossiler Anteil 22 %)</v>
      </c>
      <c r="H25" s="44">
        <f t="shared" si="2"/>
        <v>0</v>
      </c>
      <c r="I25" s="45">
        <f>'3'!F25</f>
        <v>0</v>
      </c>
      <c r="J25" s="44">
        <v>1</v>
      </c>
      <c r="K25" s="44">
        <v>1000</v>
      </c>
      <c r="L25" s="46">
        <f>'3'!H25</f>
        <v>2.5555555555555554</v>
      </c>
      <c r="M25" s="46">
        <f t="shared" si="3"/>
        <v>2.5555555555555553E-3</v>
      </c>
    </row>
    <row r="26" spans="2:13" x14ac:dyDescent="0.25">
      <c r="B26" s="62" t="s">
        <v>362</v>
      </c>
      <c r="D26" s="172" t="str">
        <f>'3'!C26</f>
        <v>Benutzerdefiniert 1</v>
      </c>
      <c r="G26" s="43" t="str">
        <f>'3'!C26</f>
        <v>Benutzerdefiniert 1</v>
      </c>
      <c r="H26" s="44">
        <f t="shared" si="2"/>
        <v>0</v>
      </c>
      <c r="I26" s="45">
        <f>'3'!F26</f>
        <v>0</v>
      </c>
      <c r="J26" s="44">
        <v>1</v>
      </c>
      <c r="K26" s="44">
        <v>1000</v>
      </c>
      <c r="L26" s="46">
        <f>'3'!H26</f>
        <v>0</v>
      </c>
      <c r="M26" s="46">
        <f t="shared" si="3"/>
        <v>0</v>
      </c>
    </row>
    <row r="27" spans="2:13" ht="14.25" customHeight="1" x14ac:dyDescent="0.25">
      <c r="B27" s="172" t="s">
        <v>223</v>
      </c>
      <c r="D27" s="172" t="str">
        <f>'3'!C27</f>
        <v>Benutzerdefiniert 2</v>
      </c>
      <c r="G27" s="43" t="str">
        <f>'3'!C27</f>
        <v>Benutzerdefiniert 2</v>
      </c>
      <c r="H27" s="44">
        <f t="shared" si="2"/>
        <v>0</v>
      </c>
      <c r="I27" s="45">
        <f>'3'!F27</f>
        <v>0</v>
      </c>
      <c r="J27" s="44">
        <v>1</v>
      </c>
      <c r="K27" s="44">
        <v>1000</v>
      </c>
      <c r="L27" s="46">
        <f>'3'!H27</f>
        <v>0</v>
      </c>
      <c r="M27" s="46">
        <f t="shared" si="3"/>
        <v>0</v>
      </c>
    </row>
    <row r="28" spans="2:13" x14ac:dyDescent="0.25">
      <c r="B28" s="172" t="s">
        <v>345</v>
      </c>
      <c r="D28" s="172" t="str">
        <f>'3'!C28</f>
        <v>Benutzerdefiniert 3</v>
      </c>
      <c r="G28" s="43" t="str">
        <f>'3'!C28</f>
        <v>Benutzerdefiniert 3</v>
      </c>
      <c r="H28" s="44">
        <f t="shared" si="2"/>
        <v>0</v>
      </c>
      <c r="I28" s="45">
        <f>'3'!F28</f>
        <v>0</v>
      </c>
      <c r="J28" s="44">
        <v>1</v>
      </c>
      <c r="K28" s="44">
        <v>1000</v>
      </c>
      <c r="L28" s="46">
        <f>'3'!H28</f>
        <v>0</v>
      </c>
      <c r="M28" s="46">
        <f t="shared" si="3"/>
        <v>0</v>
      </c>
    </row>
    <row r="29" spans="2:13" x14ac:dyDescent="0.25">
      <c r="B29" s="172" t="s">
        <v>328</v>
      </c>
      <c r="D29" s="206"/>
    </row>
    <row r="30" spans="2:13" x14ac:dyDescent="0.25">
      <c r="D30" s="62" t="s">
        <v>444</v>
      </c>
      <c r="F30" s="14" t="s">
        <v>459</v>
      </c>
    </row>
    <row r="31" spans="2:13" x14ac:dyDescent="0.25">
      <c r="B31" s="62" t="s">
        <v>39</v>
      </c>
      <c r="D31" s="172" t="s">
        <v>223</v>
      </c>
    </row>
    <row r="32" spans="2:13" x14ac:dyDescent="0.25">
      <c r="B32" s="172" t="s">
        <v>223</v>
      </c>
      <c r="D32" s="172" t="str">
        <f t="array" ref="D32:D41">TRANSPOSE('4.3'!C4:L4)</f>
        <v>Verarbeitete Milchmenge</v>
      </c>
    </row>
    <row r="33" spans="2:6" x14ac:dyDescent="0.25">
      <c r="B33" s="172" t="s">
        <v>60</v>
      </c>
      <c r="D33" s="172" t="str">
        <v>Past-Milch</v>
      </c>
    </row>
    <row r="34" spans="2:6" x14ac:dyDescent="0.25">
      <c r="B34" s="172" t="s">
        <v>73</v>
      </c>
      <c r="D34" s="172" t="str">
        <v>UHT-Milch</v>
      </c>
    </row>
    <row r="35" spans="2:6" x14ac:dyDescent="0.25">
      <c r="B35" s="172" t="s">
        <v>61</v>
      </c>
      <c r="D35" s="172" t="str">
        <v>Käse</v>
      </c>
    </row>
    <row r="36" spans="2:6" x14ac:dyDescent="0.25">
      <c r="B36" s="174" t="s">
        <v>62</v>
      </c>
      <c r="D36" s="172" t="str">
        <v>Rahm</v>
      </c>
    </row>
    <row r="37" spans="2:6" x14ac:dyDescent="0.25">
      <c r="B37" s="174" t="s">
        <v>230</v>
      </c>
      <c r="D37" s="172">
        <v>0</v>
      </c>
    </row>
    <row r="38" spans="2:6" x14ac:dyDescent="0.25">
      <c r="D38" s="172">
        <v>0</v>
      </c>
    </row>
    <row r="39" spans="2:6" x14ac:dyDescent="0.25">
      <c r="B39" s="62" t="s">
        <v>399</v>
      </c>
      <c r="D39" s="172">
        <v>0</v>
      </c>
    </row>
    <row r="40" spans="2:6" x14ac:dyDescent="0.25">
      <c r="B40" s="172" t="s">
        <v>223</v>
      </c>
      <c r="D40" s="172">
        <v>0</v>
      </c>
    </row>
    <row r="41" spans="2:6" x14ac:dyDescent="0.25">
      <c r="B41" s="172" t="s">
        <v>355</v>
      </c>
      <c r="D41" s="172">
        <v>0</v>
      </c>
    </row>
    <row r="42" spans="2:6" x14ac:dyDescent="0.25">
      <c r="B42" s="172" t="s">
        <v>356</v>
      </c>
    </row>
    <row r="43" spans="2:6" x14ac:dyDescent="0.25">
      <c r="B43" s="172" t="s">
        <v>357</v>
      </c>
      <c r="D43" s="62" t="s">
        <v>135</v>
      </c>
      <c r="F43" s="14" t="s">
        <v>459</v>
      </c>
    </row>
    <row r="44" spans="2:6" x14ac:dyDescent="0.25">
      <c r="B44" s="172" t="s">
        <v>583</v>
      </c>
      <c r="D44" s="172" t="s">
        <v>223</v>
      </c>
    </row>
    <row r="45" spans="2:6" x14ac:dyDescent="0.25">
      <c r="B45" s="172" t="s">
        <v>584</v>
      </c>
      <c r="D45" s="172" t="str">
        <f t="array" ref="D45:D49">TRANSPOSE('4.3'!C4:G4)</f>
        <v>Verarbeitete Milchmenge</v>
      </c>
    </row>
    <row r="46" spans="2:6" x14ac:dyDescent="0.25">
      <c r="B46" s="172" t="s">
        <v>585</v>
      </c>
      <c r="D46" s="172" t="str">
        <v>Past-Milch</v>
      </c>
    </row>
    <row r="47" spans="2:6" x14ac:dyDescent="0.25">
      <c r="B47" s="172" t="s">
        <v>21</v>
      </c>
      <c r="D47" s="172" t="str">
        <v>UHT-Milch</v>
      </c>
    </row>
    <row r="48" spans="2:6" x14ac:dyDescent="0.25">
      <c r="D48" s="172" t="str">
        <v>Käse</v>
      </c>
    </row>
    <row r="49" spans="2:4" x14ac:dyDescent="0.25">
      <c r="B49" s="62" t="s">
        <v>76</v>
      </c>
      <c r="D49" s="172" t="str">
        <v>Rahm</v>
      </c>
    </row>
    <row r="50" spans="2:4" x14ac:dyDescent="0.25">
      <c r="B50" s="172" t="s">
        <v>223</v>
      </c>
    </row>
    <row r="51" spans="2:4" x14ac:dyDescent="0.25">
      <c r="B51" s="172" t="s">
        <v>4</v>
      </c>
    </row>
    <row r="52" spans="2:4" x14ac:dyDescent="0.25">
      <c r="B52" s="172" t="s">
        <v>77</v>
      </c>
    </row>
    <row r="53" spans="2:4" x14ac:dyDescent="0.25">
      <c r="B53" s="174" t="s">
        <v>78</v>
      </c>
    </row>
    <row r="54" spans="2:4" x14ac:dyDescent="0.25">
      <c r="B54" s="174" t="s">
        <v>37</v>
      </c>
    </row>
    <row r="56" spans="2:4" x14ac:dyDescent="0.25">
      <c r="B56" s="62" t="s">
        <v>117</v>
      </c>
    </row>
    <row r="57" spans="2:4" x14ac:dyDescent="0.25">
      <c r="B57" s="172" t="s">
        <v>223</v>
      </c>
    </row>
    <row r="58" spans="2:4" x14ac:dyDescent="0.25">
      <c r="B58" s="172" t="s">
        <v>119</v>
      </c>
    </row>
    <row r="59" spans="2:4" x14ac:dyDescent="0.25">
      <c r="B59" s="172" t="s">
        <v>124</v>
      </c>
    </row>
    <row r="60" spans="2:4" x14ac:dyDescent="0.25">
      <c r="B60" s="172" t="s">
        <v>120</v>
      </c>
    </row>
    <row r="61" spans="2:4" x14ac:dyDescent="0.25">
      <c r="B61" s="172" t="s">
        <v>121</v>
      </c>
    </row>
    <row r="62" spans="2:4" x14ac:dyDescent="0.25">
      <c r="D62" s="14" t="str">
        <f>"Heizwärmebedarf " &amp;BefrJahr1</f>
        <v>Heizwärmebedarf 2012</v>
      </c>
    </row>
    <row r="63" spans="2:4" x14ac:dyDescent="0.25">
      <c r="B63" s="62" t="s">
        <v>118</v>
      </c>
      <c r="D63" s="14" t="str">
        <f>"Heizwärmebedarf " &amp;BefrJahr2</f>
        <v>Heizwärmebedarf 2013</v>
      </c>
    </row>
    <row r="64" spans="2:4" x14ac:dyDescent="0.25">
      <c r="B64" s="172" t="s">
        <v>223</v>
      </c>
    </row>
    <row r="65" spans="2:2" x14ac:dyDescent="0.25">
      <c r="B65" s="172" t="s">
        <v>122</v>
      </c>
    </row>
    <row r="66" spans="2:2" x14ac:dyDescent="0.25">
      <c r="B66" s="172" t="s">
        <v>123</v>
      </c>
    </row>
    <row r="68" spans="2:2" x14ac:dyDescent="0.25">
      <c r="B68" s="62" t="s">
        <v>129</v>
      </c>
    </row>
    <row r="69" spans="2:2" x14ac:dyDescent="0.25">
      <c r="B69" s="172" t="s">
        <v>223</v>
      </c>
    </row>
    <row r="70" spans="2:2" x14ac:dyDescent="0.25">
      <c r="B70" s="172" t="s">
        <v>130</v>
      </c>
    </row>
    <row r="71" spans="2:2" x14ac:dyDescent="0.25">
      <c r="B71" s="172" t="s">
        <v>131</v>
      </c>
    </row>
    <row r="72" spans="2:2" x14ac:dyDescent="0.25">
      <c r="B72" s="172" t="s">
        <v>132</v>
      </c>
    </row>
    <row r="74" spans="2:2" x14ac:dyDescent="0.25">
      <c r="B74" s="62" t="s">
        <v>214</v>
      </c>
    </row>
    <row r="75" spans="2:2" x14ac:dyDescent="0.25">
      <c r="B75" s="172" t="s">
        <v>223</v>
      </c>
    </row>
    <row r="76" spans="2:2" x14ac:dyDescent="0.25">
      <c r="B76" s="172" t="s">
        <v>215</v>
      </c>
    </row>
    <row r="77" spans="2:2" x14ac:dyDescent="0.25">
      <c r="B77" s="172" t="s">
        <v>216</v>
      </c>
    </row>
    <row r="78" spans="2:2" x14ac:dyDescent="0.25">
      <c r="B78" s="172" t="s">
        <v>217</v>
      </c>
    </row>
    <row r="79" spans="2:2" x14ac:dyDescent="0.25">
      <c r="B79" s="172" t="s">
        <v>218</v>
      </c>
    </row>
    <row r="80" spans="2:2" x14ac:dyDescent="0.25">
      <c r="B80" s="172" t="s">
        <v>219</v>
      </c>
    </row>
    <row r="81" spans="2:2" x14ac:dyDescent="0.25">
      <c r="B81" s="172" t="s">
        <v>220</v>
      </c>
    </row>
    <row r="82" spans="2:2" x14ac:dyDescent="0.25">
      <c r="B82" s="172" t="s">
        <v>213</v>
      </c>
    </row>
    <row r="84" spans="2:2" x14ac:dyDescent="0.25">
      <c r="B84" s="62" t="s">
        <v>247</v>
      </c>
    </row>
    <row r="85" spans="2:2" x14ac:dyDescent="0.25">
      <c r="B85" s="175" t="s">
        <v>223</v>
      </c>
    </row>
    <row r="86" spans="2:2" x14ac:dyDescent="0.25">
      <c r="B86" s="175">
        <v>1</v>
      </c>
    </row>
    <row r="87" spans="2:2" x14ac:dyDescent="0.25">
      <c r="B87" s="175">
        <v>2</v>
      </c>
    </row>
    <row r="88" spans="2:2" x14ac:dyDescent="0.25">
      <c r="B88" s="175">
        <v>3</v>
      </c>
    </row>
    <row r="90" spans="2:2" x14ac:dyDescent="0.25">
      <c r="B90" s="62" t="s">
        <v>471</v>
      </c>
    </row>
    <row r="91" spans="2:2" x14ac:dyDescent="0.25">
      <c r="B91" s="175" t="s">
        <v>223</v>
      </c>
    </row>
    <row r="92" spans="2:2" x14ac:dyDescent="0.25">
      <c r="B92" s="175" t="s">
        <v>472</v>
      </c>
    </row>
    <row r="93" spans="2:2" x14ac:dyDescent="0.25">
      <c r="B93" s="175">
        <f>BefrJahr1</f>
        <v>2012</v>
      </c>
    </row>
    <row r="94" spans="2:2" x14ac:dyDescent="0.25">
      <c r="B94" s="175">
        <f>BefrJahr2</f>
        <v>2013</v>
      </c>
    </row>
    <row r="96" spans="2:2" x14ac:dyDescent="0.25">
      <c r="B96" s="62" t="s">
        <v>601</v>
      </c>
    </row>
    <row r="97" spans="2:2" x14ac:dyDescent="0.25">
      <c r="B97" s="175">
        <v>0</v>
      </c>
    </row>
    <row r="98" spans="2:2" x14ac:dyDescent="0.25">
      <c r="B98" s="175">
        <v>0.01</v>
      </c>
    </row>
    <row r="99" spans="2:2" x14ac:dyDescent="0.25">
      <c r="B99" s="175">
        <v>0.02</v>
      </c>
    </row>
    <row r="100" spans="2:2" x14ac:dyDescent="0.25">
      <c r="B100" s="175">
        <v>0.03</v>
      </c>
    </row>
    <row r="101" spans="2:2" x14ac:dyDescent="0.25">
      <c r="B101" s="175">
        <v>0.04</v>
      </c>
    </row>
    <row r="102" spans="2:2" x14ac:dyDescent="0.25">
      <c r="B102" s="175">
        <v>0.05</v>
      </c>
    </row>
    <row r="103" spans="2:2" x14ac:dyDescent="0.25">
      <c r="B103" s="175">
        <v>0.06</v>
      </c>
    </row>
    <row r="104" spans="2:2" x14ac:dyDescent="0.25">
      <c r="B104" s="175">
        <v>7.0000000000000007E-2</v>
      </c>
    </row>
    <row r="105" spans="2:2" x14ac:dyDescent="0.25">
      <c r="B105" s="175">
        <v>0.08</v>
      </c>
    </row>
    <row r="106" spans="2:2" x14ac:dyDescent="0.25">
      <c r="B106" s="175">
        <v>0.09</v>
      </c>
    </row>
    <row r="107" spans="2:2" x14ac:dyDescent="0.25">
      <c r="B107" s="175">
        <v>0.1</v>
      </c>
    </row>
    <row r="108" spans="2:2" x14ac:dyDescent="0.25">
      <c r="B108" s="175">
        <v>0.11</v>
      </c>
    </row>
    <row r="109" spans="2:2" x14ac:dyDescent="0.25">
      <c r="B109" s="175">
        <v>0.12</v>
      </c>
    </row>
    <row r="110" spans="2:2" x14ac:dyDescent="0.25">
      <c r="B110" s="175">
        <v>0.13</v>
      </c>
    </row>
    <row r="111" spans="2:2" x14ac:dyDescent="0.25">
      <c r="B111" s="175">
        <v>0.14000000000000001</v>
      </c>
    </row>
    <row r="112" spans="2:2" x14ac:dyDescent="0.25">
      <c r="B112" s="175">
        <v>0.15</v>
      </c>
    </row>
    <row r="113" spans="2:2" x14ac:dyDescent="0.25">
      <c r="B113" s="175">
        <v>0.16</v>
      </c>
    </row>
    <row r="114" spans="2:2" x14ac:dyDescent="0.25">
      <c r="B114" s="175">
        <v>0.17</v>
      </c>
    </row>
    <row r="115" spans="2:2" x14ac:dyDescent="0.25">
      <c r="B115" s="175">
        <v>0.18</v>
      </c>
    </row>
    <row r="116" spans="2:2" x14ac:dyDescent="0.25">
      <c r="B116" s="175">
        <v>0.19</v>
      </c>
    </row>
    <row r="117" spans="2:2" x14ac:dyDescent="0.25">
      <c r="B117" s="175">
        <v>0.2</v>
      </c>
    </row>
    <row r="118" spans="2:2" x14ac:dyDescent="0.25">
      <c r="B118" s="175">
        <v>0.21</v>
      </c>
    </row>
    <row r="119" spans="2:2" x14ac:dyDescent="0.25">
      <c r="B119" s="175">
        <v>0.22</v>
      </c>
    </row>
    <row r="120" spans="2:2" x14ac:dyDescent="0.25">
      <c r="B120" s="175">
        <v>0.23</v>
      </c>
    </row>
    <row r="121" spans="2:2" x14ac:dyDescent="0.25">
      <c r="B121" s="175">
        <v>0.24</v>
      </c>
    </row>
    <row r="122" spans="2:2" x14ac:dyDescent="0.25">
      <c r="B122" s="175">
        <v>0.25</v>
      </c>
    </row>
    <row r="123" spans="2:2" x14ac:dyDescent="0.25">
      <c r="B123" s="175">
        <v>0.5</v>
      </c>
    </row>
    <row r="124" spans="2:2" x14ac:dyDescent="0.25">
      <c r="B124" s="175">
        <v>0.75</v>
      </c>
    </row>
    <row r="125" spans="2:2" x14ac:dyDescent="0.25">
      <c r="B125" s="175">
        <v>1</v>
      </c>
    </row>
  </sheetData>
  <pageMargins left="0.70866141732283472" right="0.70866141732283472" top="0.78740157480314965" bottom="0.78740157480314965" header="0.31496062992125984" footer="0.31496062992125984"/>
  <pageSetup paperSize="9" scale="46" orientation="portrait" r:id="rId1"/>
  <headerFooter>
    <oddHeader>&amp;RListen, Umrechnungen (hide)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B3:D94"/>
  <sheetViews>
    <sheetView showGridLines="0" view="pageLayout" zoomScale="90" zoomScaleNormal="100" zoomScalePageLayoutView="90" workbookViewId="0">
      <selection activeCell="V4" sqref="V4"/>
    </sheetView>
  </sheetViews>
  <sheetFormatPr baseColWidth="10" defaultColWidth="9.109375" defaultRowHeight="15" x14ac:dyDescent="0.25"/>
  <cols>
    <col min="1" max="1" width="9.109375" style="1" customWidth="1"/>
    <col min="2" max="2" width="20.88671875" style="2" customWidth="1"/>
    <col min="3" max="3" width="9.109375" style="1" customWidth="1"/>
    <col min="4" max="16384" width="9.109375" style="1"/>
  </cols>
  <sheetData>
    <row r="3" spans="2:3" x14ac:dyDescent="0.25">
      <c r="B3" s="367" t="s">
        <v>672</v>
      </c>
      <c r="C3" s="180" t="s">
        <v>206</v>
      </c>
    </row>
    <row r="4" spans="2:3" ht="2.25" customHeight="1" x14ac:dyDescent="0.25"/>
    <row r="5" spans="2:3" x14ac:dyDescent="0.25">
      <c r="B5" s="368" t="s">
        <v>142</v>
      </c>
      <c r="C5" s="180" t="s">
        <v>207</v>
      </c>
    </row>
    <row r="6" spans="2:3" ht="2.25" customHeight="1" x14ac:dyDescent="0.25"/>
    <row r="7" spans="2:3" x14ac:dyDescent="0.25">
      <c r="B7" s="369" t="s">
        <v>203</v>
      </c>
      <c r="C7" s="180" t="s">
        <v>208</v>
      </c>
    </row>
    <row r="8" spans="2:3" ht="2.25" customHeight="1" x14ac:dyDescent="0.25"/>
    <row r="9" spans="2:3" x14ac:dyDescent="0.25">
      <c r="B9" s="181" t="s">
        <v>204</v>
      </c>
      <c r="C9" s="180" t="s">
        <v>209</v>
      </c>
    </row>
    <row r="10" spans="2:3" ht="2.25" customHeight="1" x14ac:dyDescent="0.25"/>
    <row r="11" spans="2:3" x14ac:dyDescent="0.25">
      <c r="B11" s="182" t="s">
        <v>205</v>
      </c>
      <c r="C11" s="183" t="s">
        <v>210</v>
      </c>
    </row>
    <row r="12" spans="2:3" ht="2.25" customHeight="1" x14ac:dyDescent="0.25"/>
    <row r="13" spans="2:3" x14ac:dyDescent="0.25">
      <c r="B13" s="184" t="s">
        <v>211</v>
      </c>
      <c r="C13" s="183" t="s">
        <v>212</v>
      </c>
    </row>
    <row r="62" spans="4:4" x14ac:dyDescent="0.25">
      <c r="D62" s="1" t="str">
        <f>"Heizwärmebedarf " &amp;BefrJahr1</f>
        <v>Heizwärmebedarf 2012</v>
      </c>
    </row>
    <row r="63" spans="4:4" x14ac:dyDescent="0.25">
      <c r="D63" s="1" t="str">
        <f>"Heizwärmebedarf " &amp;BefrJahr2</f>
        <v>Heizwärmebedarf 2013</v>
      </c>
    </row>
    <row r="93" spans="2:2" x14ac:dyDescent="0.25">
      <c r="B93" s="2">
        <f>BefrJahr1</f>
        <v>2012</v>
      </c>
    </row>
    <row r="94" spans="2:2" x14ac:dyDescent="0.25">
      <c r="B94" s="2">
        <f>BefrJahr2</f>
        <v>2013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Header>&amp;L&amp;G&amp;RFarbgebung</oddHeader>
    <oddFooter>&amp;R&amp;P / &amp;N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tabColor rgb="FFCC3300"/>
    <pageSetUpPr fitToPage="1"/>
  </sheetPr>
  <dimension ref="A1:Z94"/>
  <sheetViews>
    <sheetView showGridLines="0" view="pageLayout" zoomScale="55" zoomScaleNormal="70" zoomScaleSheetLayoutView="100" zoomScalePageLayoutView="55" workbookViewId="0">
      <selection activeCell="V4" sqref="V4"/>
    </sheetView>
  </sheetViews>
  <sheetFormatPr baseColWidth="10" defaultColWidth="9.109375" defaultRowHeight="13.2" x14ac:dyDescent="0.25"/>
  <cols>
    <col min="1" max="1" width="4" style="14" customWidth="1"/>
    <col min="2" max="2" width="34.88671875" style="14" customWidth="1"/>
    <col min="3" max="3" width="4.6640625" style="14" customWidth="1"/>
    <col min="4" max="4" width="9.88671875" style="14" customWidth="1"/>
    <col min="5" max="5" width="8" style="14" customWidth="1"/>
    <col min="6" max="6" width="32.109375" style="14" customWidth="1"/>
    <col min="7" max="7" width="5.6640625" style="14" customWidth="1"/>
    <col min="8" max="8" width="11" style="14" customWidth="1"/>
    <col min="9" max="9" width="8.88671875" style="14" customWidth="1"/>
    <col min="10" max="10" width="32.44140625" style="14" customWidth="1"/>
    <col min="11" max="11" width="10" style="14" customWidth="1"/>
    <col min="12" max="14" width="9.109375" style="14" customWidth="1"/>
    <col min="15" max="15" width="6.33203125" style="14" customWidth="1"/>
    <col min="16" max="16" width="22.88671875" style="14" customWidth="1"/>
    <col min="17" max="17" width="12.33203125" style="14" customWidth="1"/>
    <col min="18" max="18" width="11" style="14" customWidth="1"/>
    <col min="19" max="19" width="6.6640625" style="14" customWidth="1"/>
    <col min="20" max="20" width="8.44140625" style="14" customWidth="1"/>
    <col min="21" max="21" width="9.109375" style="14" customWidth="1"/>
    <col min="22" max="22" width="6.5546875" style="14" customWidth="1"/>
    <col min="23" max="23" width="1.44140625" style="14" customWidth="1"/>
    <col min="24" max="24" width="45.88671875" style="14" customWidth="1"/>
    <col min="25" max="25" width="15.44140625" style="14" customWidth="1"/>
    <col min="26" max="26" width="14.5546875" style="14" customWidth="1"/>
    <col min="27" max="49" width="9.109375" style="14" customWidth="1"/>
    <col min="50" max="16384" width="9.109375" style="14"/>
  </cols>
  <sheetData>
    <row r="1" spans="1:24" ht="17.25" customHeight="1" x14ac:dyDescent="0.25">
      <c r="A1" s="18" t="s">
        <v>572</v>
      </c>
      <c r="B1" s="18"/>
    </row>
    <row r="2" spans="1:24" x14ac:dyDescent="0.25">
      <c r="A2" s="214" t="s">
        <v>521</v>
      </c>
    </row>
    <row r="3" spans="1:24" x14ac:dyDescent="0.25">
      <c r="C3" s="97"/>
      <c r="D3" s="97"/>
      <c r="E3" s="98"/>
      <c r="F3" s="99" t="s">
        <v>160</v>
      </c>
      <c r="G3" s="97"/>
      <c r="K3" s="97"/>
    </row>
    <row r="4" spans="1:24" s="100" customFormat="1" ht="18.75" customHeight="1" x14ac:dyDescent="0.25">
      <c r="C4" s="101"/>
      <c r="D4" s="101"/>
      <c r="E4" s="102"/>
      <c r="F4" s="103"/>
      <c r="G4" s="101"/>
      <c r="H4" s="104" t="s">
        <v>164</v>
      </c>
      <c r="I4" s="105"/>
      <c r="J4" s="106"/>
      <c r="K4" s="101"/>
      <c r="P4" s="107" t="s">
        <v>161</v>
      </c>
      <c r="Q4" s="108"/>
    </row>
    <row r="5" spans="1:24" s="100" customFormat="1" ht="18.75" customHeight="1" x14ac:dyDescent="0.25">
      <c r="C5" s="101"/>
      <c r="D5" s="101"/>
      <c r="E5" s="102"/>
      <c r="F5" s="103"/>
      <c r="G5" s="101"/>
      <c r="H5" s="581">
        <v>2000</v>
      </c>
      <c r="I5" s="109" t="s">
        <v>51</v>
      </c>
      <c r="J5" s="110" t="s">
        <v>102</v>
      </c>
      <c r="K5" s="101"/>
      <c r="P5" s="111" t="s">
        <v>285</v>
      </c>
      <c r="Q5" s="112"/>
    </row>
    <row r="6" spans="1:24" s="100" customFormat="1" ht="18.75" customHeight="1" x14ac:dyDescent="0.25">
      <c r="C6" s="101"/>
      <c r="D6" s="101"/>
      <c r="E6" s="113"/>
      <c r="F6" s="101"/>
      <c r="G6" s="101"/>
      <c r="H6" s="587">
        <f>H5*D18</f>
        <v>167200</v>
      </c>
      <c r="I6" s="114" t="s">
        <v>57</v>
      </c>
      <c r="J6" s="115" t="s">
        <v>165</v>
      </c>
      <c r="K6" s="101"/>
      <c r="P6" s="116" t="s">
        <v>54</v>
      </c>
      <c r="Q6" s="117">
        <v>4.2</v>
      </c>
    </row>
    <row r="7" spans="1:24" s="100" customFormat="1" ht="18.75" customHeight="1" x14ac:dyDescent="0.25">
      <c r="C7" s="101"/>
      <c r="D7" s="101"/>
      <c r="E7" s="118"/>
      <c r="F7" s="101"/>
      <c r="G7" s="101"/>
      <c r="H7" s="587">
        <f>H5*H31</f>
        <v>167200</v>
      </c>
      <c r="I7" s="114" t="s">
        <v>57</v>
      </c>
      <c r="J7" s="115" t="s">
        <v>198</v>
      </c>
      <c r="K7" s="101"/>
      <c r="P7" s="119" t="s">
        <v>62</v>
      </c>
      <c r="Q7" s="120">
        <v>2.5</v>
      </c>
    </row>
    <row r="8" spans="1:24" s="100" customFormat="1" ht="18.75" customHeight="1" x14ac:dyDescent="0.25">
      <c r="C8" s="101"/>
      <c r="D8" s="101"/>
      <c r="H8" s="588">
        <f>H6-H7</f>
        <v>0</v>
      </c>
      <c r="I8" s="121" t="s">
        <v>57</v>
      </c>
      <c r="J8" s="122" t="s">
        <v>166</v>
      </c>
      <c r="P8" s="119" t="s">
        <v>167</v>
      </c>
      <c r="Q8" s="120">
        <v>3.3</v>
      </c>
    </row>
    <row r="9" spans="1:24" s="100" customFormat="1" ht="18.75" customHeight="1" x14ac:dyDescent="0.25">
      <c r="C9" s="101"/>
      <c r="D9" s="101"/>
      <c r="P9" s="119" t="s">
        <v>12</v>
      </c>
      <c r="Q9" s="582">
        <v>1</v>
      </c>
    </row>
    <row r="10" spans="1:24" s="100" customFormat="1" ht="18.75" customHeight="1" x14ac:dyDescent="0.25">
      <c r="D10" s="101"/>
      <c r="P10" s="123" t="s">
        <v>13</v>
      </c>
      <c r="Q10" s="583">
        <v>1</v>
      </c>
    </row>
    <row r="11" spans="1:24" s="100" customFormat="1" ht="18.75" customHeight="1" x14ac:dyDescent="0.25">
      <c r="D11" s="101"/>
      <c r="X11" s="343" t="s">
        <v>593</v>
      </c>
    </row>
    <row r="12" spans="1:24" s="100" customFormat="1" ht="18.75" customHeight="1" x14ac:dyDescent="0.25">
      <c r="C12" s="107" t="s">
        <v>200</v>
      </c>
      <c r="D12" s="124"/>
      <c r="E12" s="124"/>
      <c r="F12" s="125"/>
      <c r="Q12" s="584"/>
      <c r="R12" s="3" t="s">
        <v>201</v>
      </c>
      <c r="S12" s="3"/>
      <c r="T12" s="4"/>
      <c r="X12" s="343" t="s">
        <v>98</v>
      </c>
    </row>
    <row r="13" spans="1:24" s="100" customFormat="1" ht="18.75" customHeight="1" x14ac:dyDescent="0.25">
      <c r="C13" s="126" t="s">
        <v>286</v>
      </c>
      <c r="D13" s="578">
        <v>4.18</v>
      </c>
      <c r="E13" s="109" t="s">
        <v>100</v>
      </c>
      <c r="F13" s="110" t="s">
        <v>161</v>
      </c>
      <c r="Q13" s="616"/>
      <c r="R13" s="5" t="s">
        <v>202</v>
      </c>
      <c r="S13" s="5"/>
      <c r="T13" s="6"/>
      <c r="X13" s="343" t="s">
        <v>594</v>
      </c>
    </row>
    <row r="14" spans="1:24" s="100" customFormat="1" ht="18.75" customHeight="1" x14ac:dyDescent="0.25">
      <c r="C14" s="119" t="s">
        <v>287</v>
      </c>
      <c r="D14" s="579">
        <v>60</v>
      </c>
      <c r="E14" s="114" t="s">
        <v>53</v>
      </c>
      <c r="F14" s="115" t="s">
        <v>194</v>
      </c>
      <c r="Q14" s="589"/>
      <c r="R14" s="5" t="s">
        <v>203</v>
      </c>
      <c r="S14" s="5"/>
      <c r="T14" s="6"/>
    </row>
    <row r="15" spans="1:24" s="100" customFormat="1" ht="18.75" customHeight="1" x14ac:dyDescent="0.25">
      <c r="C15" s="119" t="s">
        <v>288</v>
      </c>
      <c r="D15" s="579">
        <v>80</v>
      </c>
      <c r="E15" s="114" t="s">
        <v>53</v>
      </c>
      <c r="F15" s="115" t="s">
        <v>195</v>
      </c>
      <c r="Q15" s="7"/>
      <c r="R15" s="5" t="s">
        <v>204</v>
      </c>
      <c r="S15" s="5"/>
      <c r="T15" s="6"/>
    </row>
    <row r="16" spans="1:24" s="100" customFormat="1" ht="18.75" customHeight="1" x14ac:dyDescent="0.25">
      <c r="C16" s="119" t="s">
        <v>163</v>
      </c>
      <c r="D16" s="580">
        <v>3600</v>
      </c>
      <c r="E16" s="114" t="s">
        <v>162</v>
      </c>
      <c r="F16" s="115" t="s">
        <v>233</v>
      </c>
      <c r="Q16" s="8"/>
      <c r="R16" s="9" t="s">
        <v>205</v>
      </c>
      <c r="S16" s="9"/>
      <c r="T16" s="10"/>
    </row>
    <row r="17" spans="3:26" s="100" customFormat="1" ht="18.75" customHeight="1" x14ac:dyDescent="0.25">
      <c r="C17" s="119" t="s">
        <v>163</v>
      </c>
      <c r="D17" s="585">
        <f>D16*H5/1000</f>
        <v>7200</v>
      </c>
      <c r="E17" s="114" t="s">
        <v>224</v>
      </c>
      <c r="F17" s="115" t="s">
        <v>232</v>
      </c>
    </row>
    <row r="18" spans="3:26" s="100" customFormat="1" ht="18.75" customHeight="1" x14ac:dyDescent="0.25">
      <c r="C18" s="123" t="s">
        <v>191</v>
      </c>
      <c r="D18" s="586">
        <f>D16/3600*D13*(D15-D14)</f>
        <v>83.6</v>
      </c>
      <c r="E18" s="121" t="s">
        <v>64</v>
      </c>
      <c r="F18" s="122" t="s">
        <v>192</v>
      </c>
    </row>
    <row r="19" spans="3:26" s="100" customFormat="1" ht="18.75" customHeight="1" x14ac:dyDescent="0.25"/>
    <row r="20" spans="3:26" s="100" customFormat="1" ht="18.75" customHeight="1" x14ac:dyDescent="0.25">
      <c r="X20" s="69" t="s">
        <v>161</v>
      </c>
    </row>
    <row r="21" spans="3:26" s="100" customFormat="1" ht="18.75" customHeight="1" x14ac:dyDescent="0.25">
      <c r="X21" s="127" t="s">
        <v>187</v>
      </c>
    </row>
    <row r="22" spans="3:26" s="100" customFormat="1" ht="18.75" customHeight="1" x14ac:dyDescent="0.25">
      <c r="X22" s="144"/>
      <c r="Y22" s="345"/>
      <c r="Z22" s="144"/>
    </row>
    <row r="23" spans="3:26" s="100" customFormat="1" ht="18.75" customHeight="1" x14ac:dyDescent="0.25">
      <c r="X23" s="346"/>
      <c r="Y23" s="671" t="s">
        <v>595</v>
      </c>
      <c r="Z23" s="673" t="s">
        <v>596</v>
      </c>
    </row>
    <row r="24" spans="3:26" s="100" customFormat="1" ht="18.75" customHeight="1" x14ac:dyDescent="0.25">
      <c r="X24" s="344" t="s">
        <v>55</v>
      </c>
      <c r="Y24" s="672"/>
      <c r="Z24" s="674"/>
    </row>
    <row r="25" spans="3:26" s="100" customFormat="1" ht="18.75" customHeight="1" x14ac:dyDescent="0.25">
      <c r="G25" s="107" t="s">
        <v>197</v>
      </c>
      <c r="H25" s="124"/>
      <c r="I25" s="124"/>
      <c r="J25" s="125"/>
      <c r="X25" s="128" t="s">
        <v>168</v>
      </c>
      <c r="Y25" s="342">
        <v>2.16</v>
      </c>
      <c r="Z25" s="129" t="s">
        <v>289</v>
      </c>
    </row>
    <row r="26" spans="3:26" s="100" customFormat="1" ht="18.75" customHeight="1" x14ac:dyDescent="0.25">
      <c r="G26" s="126" t="s">
        <v>286</v>
      </c>
      <c r="H26" s="578">
        <v>4.18</v>
      </c>
      <c r="I26" s="109" t="s">
        <v>100</v>
      </c>
      <c r="J26" s="110" t="s">
        <v>161</v>
      </c>
      <c r="X26" s="128" t="s">
        <v>169</v>
      </c>
      <c r="Y26" s="342">
        <v>1.738</v>
      </c>
      <c r="Z26" s="129" t="s">
        <v>290</v>
      </c>
    </row>
    <row r="27" spans="3:26" s="100" customFormat="1" ht="18.75" customHeight="1" x14ac:dyDescent="0.25">
      <c r="G27" s="119" t="s">
        <v>287</v>
      </c>
      <c r="H27" s="579">
        <v>120</v>
      </c>
      <c r="I27" s="114" t="s">
        <v>53</v>
      </c>
      <c r="J27" s="115" t="s">
        <v>194</v>
      </c>
      <c r="X27" s="128" t="s">
        <v>170</v>
      </c>
      <c r="Y27" s="342">
        <v>0.26600000000000001</v>
      </c>
      <c r="Z27" s="129"/>
    </row>
    <row r="28" spans="3:26" s="100" customFormat="1" ht="18.75" customHeight="1" x14ac:dyDescent="0.25">
      <c r="G28" s="119" t="s">
        <v>288</v>
      </c>
      <c r="H28" s="579">
        <v>70</v>
      </c>
      <c r="I28" s="114" t="s">
        <v>53</v>
      </c>
      <c r="J28" s="115" t="s">
        <v>195</v>
      </c>
      <c r="X28" s="128" t="s">
        <v>171</v>
      </c>
      <c r="Y28" s="342">
        <v>2.0310000000000001</v>
      </c>
      <c r="Z28" s="129" t="s">
        <v>291</v>
      </c>
    </row>
    <row r="29" spans="3:26" s="100" customFormat="1" ht="18.75" customHeight="1" x14ac:dyDescent="0.25">
      <c r="G29" s="119" t="s">
        <v>163</v>
      </c>
      <c r="H29" s="580">
        <v>1440</v>
      </c>
      <c r="I29" s="114" t="s">
        <v>162</v>
      </c>
      <c r="J29" s="115" t="s">
        <v>233</v>
      </c>
      <c r="X29" s="128" t="s">
        <v>172</v>
      </c>
      <c r="Y29" s="342">
        <v>2.4279999999999999</v>
      </c>
      <c r="Z29" s="129" t="s">
        <v>292</v>
      </c>
    </row>
    <row r="30" spans="3:26" s="100" customFormat="1" ht="18.75" customHeight="1" x14ac:dyDescent="0.25">
      <c r="G30" s="119" t="s">
        <v>163</v>
      </c>
      <c r="H30" s="585">
        <f>H29*H5/1000</f>
        <v>2880</v>
      </c>
      <c r="I30" s="114" t="s">
        <v>224</v>
      </c>
      <c r="J30" s="115" t="s">
        <v>234</v>
      </c>
      <c r="X30" s="128" t="s">
        <v>173</v>
      </c>
      <c r="Y30" s="342">
        <v>2.4279999999999999</v>
      </c>
      <c r="Z30" s="129" t="s">
        <v>293</v>
      </c>
    </row>
    <row r="31" spans="3:26" s="100" customFormat="1" ht="18.75" customHeight="1" x14ac:dyDescent="0.25">
      <c r="G31" s="123" t="s">
        <v>191</v>
      </c>
      <c r="H31" s="586">
        <f>H29/3600*H26*(H27-H28)</f>
        <v>83.6</v>
      </c>
      <c r="I31" s="121" t="s">
        <v>64</v>
      </c>
      <c r="J31" s="122" t="s">
        <v>193</v>
      </c>
      <c r="X31" t="s">
        <v>174</v>
      </c>
      <c r="Y31" s="342">
        <v>1.675</v>
      </c>
      <c r="Z31" s="129" t="s">
        <v>63</v>
      </c>
    </row>
    <row r="32" spans="3:26" s="100" customFormat="1" ht="18.75" customHeight="1" x14ac:dyDescent="0.25">
      <c r="X32" s="128" t="s">
        <v>175</v>
      </c>
      <c r="Y32" s="342">
        <v>2.4700000000000002</v>
      </c>
      <c r="Z32" s="129" t="s">
        <v>294</v>
      </c>
    </row>
    <row r="33" spans="3:26" s="100" customFormat="1" ht="18.75" customHeight="1" x14ac:dyDescent="0.25">
      <c r="C33" s="101"/>
      <c r="D33" s="101"/>
      <c r="E33" s="101"/>
      <c r="F33" s="101"/>
      <c r="G33" s="101"/>
      <c r="H33" s="101"/>
      <c r="I33" s="101"/>
      <c r="J33" s="101"/>
      <c r="K33" s="101"/>
      <c r="X33" s="128" t="s">
        <v>176</v>
      </c>
      <c r="Y33" s="342">
        <v>1.5069999999999999</v>
      </c>
      <c r="Z33" s="129" t="s">
        <v>295</v>
      </c>
    </row>
    <row r="34" spans="3:26" s="100" customFormat="1" ht="18.75" customHeight="1" x14ac:dyDescent="0.25">
      <c r="C34" s="101"/>
      <c r="D34" s="101"/>
      <c r="E34" s="101"/>
      <c r="F34" s="101"/>
      <c r="G34" s="101"/>
      <c r="H34" s="101"/>
      <c r="I34" s="101"/>
      <c r="J34" s="101"/>
      <c r="K34" s="101"/>
      <c r="X34" s="128" t="s">
        <v>177</v>
      </c>
      <c r="Y34" s="342">
        <v>0.13900000000000001</v>
      </c>
      <c r="Z34" s="129" t="s">
        <v>178</v>
      </c>
    </row>
    <row r="35" spans="3:26" s="100" customFormat="1" ht="18.75" customHeight="1" x14ac:dyDescent="0.25">
      <c r="C35" s="101"/>
      <c r="D35" s="101"/>
      <c r="E35" s="101"/>
      <c r="F35" s="101"/>
      <c r="G35" s="101"/>
      <c r="H35" s="101"/>
      <c r="I35" s="101"/>
      <c r="J35" s="101"/>
      <c r="K35" s="101"/>
      <c r="X35" s="128" t="s">
        <v>179</v>
      </c>
      <c r="Y35" s="342">
        <v>1.7170000000000001</v>
      </c>
      <c r="Z35" s="129" t="s">
        <v>180</v>
      </c>
    </row>
    <row r="36" spans="3:26" s="100" customFormat="1" ht="18.75" customHeight="1" x14ac:dyDescent="0.25">
      <c r="C36" s="101"/>
      <c r="D36" s="101"/>
      <c r="E36" s="101"/>
      <c r="F36" s="101"/>
      <c r="G36" s="101"/>
      <c r="H36" s="101"/>
      <c r="I36" s="101"/>
      <c r="J36" s="101"/>
      <c r="K36" s="101"/>
      <c r="X36" s="128" t="s">
        <v>181</v>
      </c>
      <c r="Y36" s="342">
        <v>1.3859999999999999</v>
      </c>
      <c r="Z36" s="129" t="s">
        <v>296</v>
      </c>
    </row>
    <row r="37" spans="3:26" s="100" customFormat="1" ht="18.75" customHeight="1" x14ac:dyDescent="0.25">
      <c r="E37" s="101"/>
      <c r="F37" s="101"/>
      <c r="G37" s="101"/>
      <c r="H37" s="101"/>
      <c r="I37" s="101"/>
      <c r="J37" s="101"/>
      <c r="K37" s="101"/>
      <c r="X37" s="128" t="s">
        <v>182</v>
      </c>
      <c r="Y37" s="342">
        <v>1.8</v>
      </c>
      <c r="Z37" s="129" t="s">
        <v>297</v>
      </c>
    </row>
    <row r="38" spans="3:26" s="100" customFormat="1" ht="18.75" customHeight="1" x14ac:dyDescent="0.25">
      <c r="E38" s="101"/>
      <c r="F38" s="101"/>
      <c r="G38" s="101"/>
      <c r="H38" s="101"/>
      <c r="I38" s="101"/>
      <c r="J38" s="101"/>
      <c r="K38" s="101"/>
      <c r="X38" s="128" t="s">
        <v>183</v>
      </c>
      <c r="Y38" s="342">
        <v>0.95</v>
      </c>
      <c r="Z38" s="129" t="s">
        <v>184</v>
      </c>
    </row>
    <row r="39" spans="3:26" s="100" customFormat="1" ht="18.75" customHeight="1" x14ac:dyDescent="0.25">
      <c r="E39" s="101"/>
      <c r="F39" s="101"/>
      <c r="G39" s="101"/>
      <c r="H39" s="101"/>
      <c r="I39" s="101"/>
      <c r="J39" s="101"/>
      <c r="K39" s="101"/>
      <c r="X39" s="129" t="s">
        <v>185</v>
      </c>
      <c r="Y39" s="342">
        <v>3.33</v>
      </c>
      <c r="Z39" s="129" t="s">
        <v>63</v>
      </c>
    </row>
    <row r="40" spans="3:26" s="100" customFormat="1" ht="18.75" customHeight="1" x14ac:dyDescent="0.25">
      <c r="C40" s="101"/>
      <c r="D40" s="101"/>
      <c r="E40" s="101"/>
      <c r="F40" s="101"/>
      <c r="G40" s="101"/>
      <c r="H40" s="101"/>
      <c r="I40" s="101"/>
      <c r="J40" s="101"/>
      <c r="K40" s="101"/>
      <c r="X40" s="129" t="s">
        <v>186</v>
      </c>
      <c r="Y40" s="342">
        <v>4.1829999999999998</v>
      </c>
      <c r="Z40" s="129" t="s">
        <v>298</v>
      </c>
    </row>
    <row r="41" spans="3:26" s="100" customFormat="1" ht="18.75" customHeight="1" x14ac:dyDescent="0.25">
      <c r="H41" s="101"/>
      <c r="I41" s="101"/>
      <c r="J41" s="101"/>
      <c r="K41" s="101"/>
      <c r="X41" s="129" t="s">
        <v>188</v>
      </c>
      <c r="Y41" s="342">
        <v>2.5</v>
      </c>
      <c r="Z41" s="129"/>
    </row>
    <row r="42" spans="3:26" s="100" customFormat="1" ht="18.75" customHeight="1" x14ac:dyDescent="0.25">
      <c r="H42" s="101"/>
      <c r="I42" s="101"/>
      <c r="J42" s="101"/>
      <c r="K42" s="101"/>
      <c r="X42" s="347" t="s">
        <v>189</v>
      </c>
      <c r="Y42" s="129"/>
      <c r="Z42" s="129"/>
    </row>
    <row r="43" spans="3:26" s="100" customFormat="1" ht="18.75" customHeight="1" x14ac:dyDescent="0.25">
      <c r="H43" s="101"/>
      <c r="I43" s="101"/>
      <c r="J43" s="101"/>
      <c r="K43" s="101"/>
    </row>
    <row r="44" spans="3:26" s="100" customFormat="1" ht="18.75" customHeight="1" x14ac:dyDescent="0.25">
      <c r="C44" s="101"/>
      <c r="H44" s="101"/>
      <c r="I44" s="101"/>
      <c r="J44" s="101"/>
      <c r="K44" s="101"/>
    </row>
    <row r="45" spans="3:26" s="100" customFormat="1" ht="18.75" customHeight="1" x14ac:dyDescent="0.25">
      <c r="C45" s="101"/>
      <c r="H45" s="101"/>
      <c r="I45" s="101"/>
      <c r="J45" s="101"/>
      <c r="K45" s="101"/>
      <c r="P45" s="130" t="s">
        <v>190</v>
      </c>
      <c r="Q45" s="131" t="s">
        <v>299</v>
      </c>
      <c r="R45" s="132" t="s">
        <v>300</v>
      </c>
      <c r="S45" s="669" t="s">
        <v>196</v>
      </c>
      <c r="T45" s="670"/>
    </row>
    <row r="46" spans="3:26" s="100" customFormat="1" ht="18.75" customHeight="1" x14ac:dyDescent="0.25">
      <c r="C46" s="101"/>
      <c r="D46" s="101"/>
      <c r="E46" s="101"/>
      <c r="F46" s="101"/>
      <c r="P46" s="133" t="s">
        <v>88</v>
      </c>
      <c r="Q46" s="590">
        <f>D14</f>
        <v>60</v>
      </c>
      <c r="R46" s="591">
        <f>D15</f>
        <v>80</v>
      </c>
      <c r="S46" s="592">
        <v>0</v>
      </c>
      <c r="T46" s="593">
        <f>D18</f>
        <v>83.6</v>
      </c>
    </row>
    <row r="47" spans="3:26" s="100" customFormat="1" ht="18.75" customHeight="1" x14ac:dyDescent="0.25">
      <c r="C47" s="101"/>
      <c r="D47" s="101"/>
      <c r="E47" s="101"/>
      <c r="F47" s="101"/>
      <c r="P47" s="134" t="s">
        <v>199</v>
      </c>
      <c r="Q47" s="594">
        <f>H28</f>
        <v>70</v>
      </c>
      <c r="R47" s="595">
        <f>H27</f>
        <v>120</v>
      </c>
      <c r="S47" s="596">
        <v>0</v>
      </c>
      <c r="T47" s="597">
        <f>H31</f>
        <v>83.6</v>
      </c>
    </row>
    <row r="48" spans="3:26" s="100" customFormat="1" ht="18.75" customHeight="1" x14ac:dyDescent="0.25">
      <c r="C48" s="101"/>
      <c r="D48" s="101"/>
      <c r="E48" s="101"/>
      <c r="F48" s="101"/>
    </row>
    <row r="49" spans="3:11" s="100" customFormat="1" ht="18.75" customHeight="1" x14ac:dyDescent="0.25">
      <c r="C49" s="101"/>
      <c r="D49" s="101"/>
      <c r="E49" s="101"/>
      <c r="F49" s="101"/>
      <c r="G49" s="101"/>
      <c r="H49" s="101"/>
      <c r="I49" s="101"/>
      <c r="J49" s="101"/>
      <c r="K49" s="101"/>
    </row>
    <row r="50" spans="3:11" s="100" customFormat="1" ht="18.75" customHeight="1" x14ac:dyDescent="0.25">
      <c r="C50" s="101"/>
      <c r="D50" s="101"/>
      <c r="E50" s="101"/>
      <c r="F50" s="101"/>
      <c r="G50" s="101"/>
      <c r="H50" s="101"/>
      <c r="I50" s="101"/>
      <c r="J50" s="101"/>
      <c r="K50" s="101"/>
    </row>
    <row r="51" spans="3:11" ht="18.75" customHeight="1" x14ac:dyDescent="0.25">
      <c r="C51" s="97"/>
      <c r="D51" s="97"/>
      <c r="E51" s="97"/>
      <c r="F51" s="97"/>
      <c r="K51" s="97"/>
    </row>
    <row r="52" spans="3:11" ht="18.75" customHeight="1" x14ac:dyDescent="0.25">
      <c r="C52" s="97"/>
      <c r="D52" s="97"/>
      <c r="E52" s="135"/>
      <c r="F52" s="97"/>
      <c r="K52" s="97"/>
    </row>
    <row r="53" spans="3:11" ht="18.75" customHeight="1" x14ac:dyDescent="0.25">
      <c r="C53" s="97"/>
      <c r="D53" s="97"/>
      <c r="E53" s="136"/>
      <c r="F53" s="136"/>
      <c r="K53" s="97"/>
    </row>
    <row r="54" spans="3:11" ht="18.75" customHeight="1" x14ac:dyDescent="0.25"/>
    <row r="55" spans="3:11" ht="18.75" customHeight="1" x14ac:dyDescent="0.25"/>
    <row r="56" spans="3:11" ht="18.75" customHeight="1" x14ac:dyDescent="0.25"/>
    <row r="57" spans="3:11" ht="18.75" customHeight="1" x14ac:dyDescent="0.25"/>
    <row r="58" spans="3:11" ht="18.75" customHeight="1" x14ac:dyDescent="0.25"/>
    <row r="59" spans="3:11" ht="18.75" customHeight="1" x14ac:dyDescent="0.25"/>
    <row r="60" spans="3:11" ht="18.75" customHeight="1" x14ac:dyDescent="0.25"/>
    <row r="62" spans="3:11" x14ac:dyDescent="0.25">
      <c r="D62" s="14" t="str">
        <f>"Heizwärmebedarf " &amp;BefrJahr1</f>
        <v>Heizwärmebedarf 2012</v>
      </c>
    </row>
    <row r="63" spans="3:11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mergeCells count="3">
    <mergeCell ref="S45:T45"/>
    <mergeCell ref="Y23:Y24"/>
    <mergeCell ref="Z23:Z24"/>
  </mergeCells>
  <hyperlinks>
    <hyperlink ref="X25" r:id="rId1" tooltip="w:Aceton" display="http://de.wikipedia.org/wiki/Aceton"/>
    <hyperlink ref="X26" r:id="rId2" tooltip="w:Benzol" display="http://de.wikipedia.org/wiki/Benzol"/>
    <hyperlink ref="X27" r:id="rId3" tooltip="w:Brom" display="http://de.wikipedia.org/wiki/Brom"/>
    <hyperlink ref="X28" r:id="rId4" tooltip="w:Essigsäure" display="http://de.wikipedia.org/wiki/Essigs%C3%A4ure"/>
    <hyperlink ref="X29" r:id="rId5" tooltip="w:Ethanol" display="http://de.wikipedia.org/wiki/Ethanol"/>
    <hyperlink ref="X30" r:id="rId6" tooltip="w:Glyzerin" display="http://de.wikipedia.org/wiki/Glyzerin"/>
    <hyperlink ref="X32" r:id="rId7" tooltip="w:Methanol" display="http://de.wikipedia.org/wiki/Methanol"/>
    <hyperlink ref="X33" r:id="rId8" tooltip="w:Nitrobenzol" display="http://de.wikipedia.org/wiki/Nitrobenzol"/>
    <hyperlink ref="X34" r:id="rId9" tooltip="w:Quecksilber" display="http://de.wikipedia.org/wiki/Quecksilber"/>
    <hyperlink ref="X35" r:id="rId10" tooltip="w:Salpetersäure" display="http://de.wikipedia.org/wiki/Salpeters%C3%A4ure"/>
    <hyperlink ref="X36" r:id="rId11" tooltip="w:Schwefelsäure" display="http://de.wikipedia.org/wiki/Schwefels%C3%A4ure"/>
    <hyperlink ref="X37" r:id="rId12" tooltip="w:Terpentinöl" display="http://de.wikipedia.org/wiki/Terpentin%C3%B6l"/>
    <hyperlink ref="X38" r:id="rId13" tooltip="w:Trichlormethan" display="http://de.wikipedia.org/wiki/Trichlormethan"/>
    <hyperlink ref="X21" r:id="rId14"/>
    <hyperlink ref="X42" r:id="rId15"/>
  </hyperlinks>
  <pageMargins left="0.70866141732283472" right="0.70866141732283472" top="0.74803149606299213" bottom="0.74803149606299213" header="0.31496062992125984" footer="0.31496062992125984"/>
  <pageSetup paperSize="8" scale="49" orientation="landscape" r:id="rId16"/>
  <headerFooter>
    <oddHeader>&amp;L&amp;G&amp;R5.3.1_WT: Hilfestellung zur Energiebilanzierung um einen einzelnen Verbraucher</oddHeader>
    <oddFooter>&amp;R&amp;P / &amp;N</oddFooter>
  </headerFooter>
  <rowBreaks count="1" manualBreakCount="1">
    <brk id="96" max="16383" man="1"/>
  </rowBreaks>
  <drawing r:id="rId17"/>
  <legacyDrawingHF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E94"/>
  <sheetViews>
    <sheetView showGridLines="0" view="pageLayout" zoomScale="145" zoomScaleNormal="100" zoomScaleSheetLayoutView="100" zoomScalePageLayoutView="145" workbookViewId="0">
      <selection activeCell="V4" sqref="V4"/>
    </sheetView>
  </sheetViews>
  <sheetFormatPr baseColWidth="10" defaultColWidth="9.109375" defaultRowHeight="13.2" x14ac:dyDescent="0.25"/>
  <cols>
    <col min="1" max="1" width="4.44140625" style="19" customWidth="1"/>
    <col min="2" max="2" width="3.33203125" style="19" customWidth="1"/>
    <col min="3" max="3" width="83.109375" style="19" customWidth="1"/>
    <col min="4" max="4" width="7.44140625" style="19" customWidth="1"/>
    <col min="5" max="5" width="26.109375" style="19" customWidth="1"/>
    <col min="6" max="7" width="6.109375" style="19" customWidth="1"/>
    <col min="8" max="16384" width="9.109375" style="19"/>
  </cols>
  <sheetData>
    <row r="1" spans="1:5" ht="24.75" customHeight="1" x14ac:dyDescent="0.25">
      <c r="A1" s="18" t="s">
        <v>391</v>
      </c>
    </row>
    <row r="2" spans="1:5" s="21" customFormat="1" x14ac:dyDescent="0.25">
      <c r="B2" s="20"/>
    </row>
    <row r="3" spans="1:5" ht="14.25" customHeight="1" x14ac:dyDescent="0.25">
      <c r="B3" s="632" t="s">
        <v>3</v>
      </c>
      <c r="C3" s="35" t="s">
        <v>1</v>
      </c>
      <c r="D3" s="35" t="s">
        <v>0</v>
      </c>
      <c r="E3" s="36" t="s">
        <v>105</v>
      </c>
    </row>
    <row r="4" spans="1:5" x14ac:dyDescent="0.25">
      <c r="B4" s="37">
        <v>1</v>
      </c>
      <c r="C4" s="384" t="s">
        <v>226</v>
      </c>
      <c r="D4" s="385">
        <v>2014</v>
      </c>
      <c r="E4" s="386"/>
    </row>
    <row r="5" spans="1:5" x14ac:dyDescent="0.25">
      <c r="B5" s="37">
        <v>2</v>
      </c>
      <c r="C5" s="384" t="s">
        <v>227</v>
      </c>
      <c r="D5" s="385">
        <v>2014</v>
      </c>
      <c r="E5" s="386"/>
    </row>
    <row r="6" spans="1:5" x14ac:dyDescent="0.25">
      <c r="B6" s="37">
        <v>3</v>
      </c>
      <c r="C6" s="384" t="s">
        <v>109</v>
      </c>
      <c r="D6" s="385">
        <v>2014</v>
      </c>
      <c r="E6" s="386"/>
    </row>
    <row r="7" spans="1:5" x14ac:dyDescent="0.25">
      <c r="B7" s="37">
        <v>4</v>
      </c>
      <c r="C7" s="384" t="s">
        <v>228</v>
      </c>
      <c r="D7" s="385">
        <v>2015</v>
      </c>
      <c r="E7" s="386"/>
    </row>
    <row r="8" spans="1:5" x14ac:dyDescent="0.25">
      <c r="B8" s="37">
        <v>5</v>
      </c>
      <c r="C8" s="384"/>
      <c r="D8" s="385"/>
      <c r="E8" s="386"/>
    </row>
    <row r="9" spans="1:5" x14ac:dyDescent="0.25">
      <c r="B9" s="37">
        <v>6</v>
      </c>
      <c r="C9" s="384"/>
      <c r="D9" s="385"/>
      <c r="E9" s="386"/>
    </row>
    <row r="10" spans="1:5" x14ac:dyDescent="0.25">
      <c r="B10" s="37">
        <v>7</v>
      </c>
      <c r="C10" s="384"/>
      <c r="D10" s="385"/>
      <c r="E10" s="386"/>
    </row>
    <row r="11" spans="1:5" x14ac:dyDescent="0.25">
      <c r="B11" s="37">
        <v>8</v>
      </c>
      <c r="C11" s="384"/>
      <c r="D11" s="385"/>
      <c r="E11" s="386"/>
    </row>
    <row r="12" spans="1:5" x14ac:dyDescent="0.25">
      <c r="B12" s="37">
        <v>9</v>
      </c>
      <c r="C12" s="384"/>
      <c r="D12" s="385"/>
      <c r="E12" s="386"/>
    </row>
    <row r="13" spans="1:5" x14ac:dyDescent="0.25">
      <c r="B13" s="37">
        <v>10</v>
      </c>
      <c r="C13" s="384"/>
      <c r="D13" s="385"/>
      <c r="E13" s="386"/>
    </row>
    <row r="62" spans="4:4" x14ac:dyDescent="0.25">
      <c r="D62" s="19" t="str">
        <f>"Heizwärmebedarf " &amp;BefrJahr1</f>
        <v>Heizwärmebedarf 2012</v>
      </c>
    </row>
    <row r="63" spans="4:4" x14ac:dyDescent="0.25">
      <c r="D63" s="19" t="str">
        <f>"Heizwärmebedarf " &amp;BefrJahr2</f>
        <v>Heizwärmebedarf 2013</v>
      </c>
    </row>
    <row r="93" spans="2:2" x14ac:dyDescent="0.25">
      <c r="B93" s="19">
        <f>BefrJahr1</f>
        <v>2012</v>
      </c>
    </row>
    <row r="94" spans="2:2" x14ac:dyDescent="0.25">
      <c r="B94" s="19">
        <f>BefrJahr2</f>
        <v>2013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Header>&amp;L&amp;G&amp;R2.3 Geplante Prozessänderunge, Umbauprojekte, Kapazitätsänderungen</oddHeader>
    <oddFooter>&amp;R&amp;P /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AG94"/>
  <sheetViews>
    <sheetView showGridLines="0" view="pageLayout" topLeftCell="A22" zoomScale="85" zoomScaleNormal="100" zoomScalePageLayoutView="85" workbookViewId="0">
      <selection activeCell="V4" sqref="V4"/>
    </sheetView>
  </sheetViews>
  <sheetFormatPr baseColWidth="10" defaultColWidth="9.109375" defaultRowHeight="13.2" x14ac:dyDescent="0.25"/>
  <cols>
    <col min="1" max="2" width="3.5546875" style="14" customWidth="1"/>
    <col min="3" max="3" width="29.33203125" style="14" customWidth="1"/>
    <col min="4" max="4" width="13" style="14" customWidth="1"/>
    <col min="5" max="5" width="15" style="14" customWidth="1"/>
    <col min="6" max="6" width="9.5546875" style="14" customWidth="1"/>
    <col min="7" max="7" width="9.33203125" style="14" customWidth="1"/>
    <col min="8" max="11" width="9.109375" style="14"/>
    <col min="12" max="12" width="20.6640625" style="14" customWidth="1"/>
    <col min="13" max="13" width="22.109375" style="14" customWidth="1"/>
    <col min="14" max="16" width="9.109375" style="14"/>
    <col min="17" max="18" width="18.33203125" style="14" customWidth="1"/>
    <col min="19" max="19" width="32.109375" style="14" customWidth="1"/>
    <col min="20" max="25" width="25.109375" style="14" customWidth="1"/>
    <col min="26" max="26" width="20.5546875" style="14" customWidth="1"/>
    <col min="27" max="16384" width="9.109375" style="14"/>
  </cols>
  <sheetData>
    <row r="1" spans="1:33" ht="22.5" customHeight="1" x14ac:dyDescent="0.25">
      <c r="A1" s="185" t="s">
        <v>306</v>
      </c>
      <c r="B1" s="185"/>
      <c r="AE1" s="39"/>
      <c r="AF1" s="39"/>
      <c r="AG1" s="39"/>
    </row>
    <row r="3" spans="1:33" ht="13.5" customHeight="1" x14ac:dyDescent="0.25">
      <c r="B3" s="311"/>
      <c r="C3" s="312" t="s">
        <v>2</v>
      </c>
      <c r="D3" s="190" t="s">
        <v>116</v>
      </c>
      <c r="E3" s="351" t="s">
        <v>20</v>
      </c>
      <c r="F3" s="193" t="s">
        <v>19</v>
      </c>
      <c r="G3" s="634" t="s">
        <v>18</v>
      </c>
      <c r="H3" s="635"/>
      <c r="I3" s="193" t="s">
        <v>105</v>
      </c>
      <c r="J3" s="193" t="s">
        <v>105</v>
      </c>
      <c r="K3" s="40"/>
      <c r="L3" s="69" t="s">
        <v>665</v>
      </c>
      <c r="N3" s="40"/>
      <c r="O3" s="40"/>
      <c r="P3" s="40"/>
    </row>
    <row r="4" spans="1:33" ht="15.75" customHeight="1" x14ac:dyDescent="0.25">
      <c r="B4" s="313"/>
      <c r="C4" s="192"/>
      <c r="D4" s="191" t="s">
        <v>17</v>
      </c>
      <c r="E4" s="350" t="s">
        <v>637</v>
      </c>
      <c r="F4" s="194" t="s">
        <v>325</v>
      </c>
      <c r="G4" s="350" t="s">
        <v>7</v>
      </c>
      <c r="H4" s="192" t="s">
        <v>91</v>
      </c>
      <c r="I4" s="194" t="s">
        <v>307</v>
      </c>
      <c r="J4" s="194" t="s">
        <v>324</v>
      </c>
      <c r="L4" s="42" t="s">
        <v>669</v>
      </c>
      <c r="M4" s="631">
        <v>2012</v>
      </c>
    </row>
    <row r="5" spans="1:33" x14ac:dyDescent="0.25">
      <c r="B5" s="310" t="s">
        <v>3</v>
      </c>
      <c r="C5" s="187" t="s">
        <v>223</v>
      </c>
      <c r="D5" s="186"/>
      <c r="E5" s="186"/>
      <c r="F5" s="186"/>
      <c r="G5" s="186"/>
      <c r="H5" s="186"/>
      <c r="I5" s="186"/>
      <c r="J5" s="186"/>
      <c r="L5" s="42" t="s">
        <v>670</v>
      </c>
      <c r="M5" s="629">
        <f>BefrJahr1+1</f>
        <v>2013</v>
      </c>
    </row>
    <row r="6" spans="1:33" ht="12.75" customHeight="1" x14ac:dyDescent="0.25">
      <c r="B6" s="37">
        <v>1</v>
      </c>
      <c r="C6" s="188" t="s">
        <v>514</v>
      </c>
      <c r="D6" s="387">
        <v>120</v>
      </c>
      <c r="E6" s="46"/>
      <c r="F6" s="45"/>
      <c r="G6" s="46"/>
      <c r="H6" s="46">
        <f>G6/3.6</f>
        <v>0</v>
      </c>
      <c r="I6" s="396"/>
      <c r="J6" s="44"/>
      <c r="L6" s="42" t="s">
        <v>666</v>
      </c>
      <c r="M6" s="630" t="str">
        <f>"1. Januar "&amp;BefrJahr1+3</f>
        <v>1. Januar 2015</v>
      </c>
    </row>
    <row r="7" spans="1:33" x14ac:dyDescent="0.25">
      <c r="B7" s="37">
        <v>2</v>
      </c>
      <c r="C7" s="188" t="s">
        <v>5</v>
      </c>
      <c r="D7" s="387">
        <v>70</v>
      </c>
      <c r="E7" s="354">
        <v>0.26535199999999998</v>
      </c>
      <c r="F7" s="355">
        <v>839.17</v>
      </c>
      <c r="G7" s="356">
        <v>42.6</v>
      </c>
      <c r="H7" s="46">
        <f t="shared" ref="H7:H28" si="0">G7/3.6</f>
        <v>11.833333333333334</v>
      </c>
      <c r="I7" s="396"/>
      <c r="J7" s="44"/>
    </row>
    <row r="8" spans="1:33" x14ac:dyDescent="0.25">
      <c r="B8" s="37">
        <v>3</v>
      </c>
      <c r="C8" s="188" t="s">
        <v>6</v>
      </c>
      <c r="D8" s="387">
        <v>70</v>
      </c>
      <c r="E8" s="354">
        <v>0.2772</v>
      </c>
      <c r="F8" s="355">
        <v>999.05</v>
      </c>
      <c r="G8" s="356">
        <v>41.2</v>
      </c>
      <c r="H8" s="46">
        <f t="shared" si="0"/>
        <v>11.444444444444445</v>
      </c>
      <c r="I8" s="396"/>
      <c r="J8" s="44"/>
    </row>
    <row r="9" spans="1:33" x14ac:dyDescent="0.25">
      <c r="B9" s="37">
        <v>4</v>
      </c>
      <c r="C9" s="188" t="s">
        <v>8</v>
      </c>
      <c r="D9" s="387">
        <v>70</v>
      </c>
      <c r="E9" s="354">
        <v>0.20196</v>
      </c>
      <c r="F9" s="356">
        <v>0.79</v>
      </c>
      <c r="G9" s="356">
        <v>48</v>
      </c>
      <c r="H9" s="46">
        <f t="shared" si="0"/>
        <v>13.333333333333332</v>
      </c>
      <c r="I9" s="396"/>
      <c r="J9" s="44"/>
      <c r="L9" s="20" t="s">
        <v>150</v>
      </c>
      <c r="M9" s="40"/>
    </row>
    <row r="10" spans="1:33" x14ac:dyDescent="0.25">
      <c r="B10" s="37">
        <v>5</v>
      </c>
      <c r="C10" s="188" t="s">
        <v>389</v>
      </c>
      <c r="D10" s="387">
        <v>70</v>
      </c>
      <c r="E10" s="354">
        <v>0.23832</v>
      </c>
      <c r="F10" s="355">
        <v>578</v>
      </c>
      <c r="G10" s="356">
        <v>45.719000000000001</v>
      </c>
      <c r="H10" s="46">
        <f t="shared" si="0"/>
        <v>12.699722222222222</v>
      </c>
      <c r="I10" s="396"/>
      <c r="J10" s="44"/>
      <c r="L10" s="42" t="s">
        <v>2</v>
      </c>
      <c r="M10" s="394" t="s">
        <v>389</v>
      </c>
    </row>
    <row r="11" spans="1:33" x14ac:dyDescent="0.25">
      <c r="B11" s="37">
        <v>6</v>
      </c>
      <c r="C11" s="188" t="s">
        <v>388</v>
      </c>
      <c r="D11" s="387">
        <v>70</v>
      </c>
      <c r="E11" s="354">
        <v>0.23253399999999999</v>
      </c>
      <c r="F11" s="355">
        <v>506</v>
      </c>
      <c r="G11" s="356">
        <v>46.351999999999997</v>
      </c>
      <c r="H11" s="46">
        <f>G11/3.6</f>
        <v>12.875555555555554</v>
      </c>
      <c r="I11" s="396"/>
      <c r="J11" s="44"/>
      <c r="L11" s="42" t="s">
        <v>117</v>
      </c>
      <c r="M11" s="394" t="s">
        <v>121</v>
      </c>
    </row>
    <row r="12" spans="1:33" x14ac:dyDescent="0.25">
      <c r="B12" s="37">
        <v>7</v>
      </c>
      <c r="C12" s="188" t="s">
        <v>615</v>
      </c>
      <c r="D12" s="387">
        <v>70</v>
      </c>
      <c r="E12" s="354"/>
      <c r="F12" s="356">
        <v>1.121</v>
      </c>
      <c r="G12" s="356">
        <v>21.4</v>
      </c>
      <c r="H12" s="46">
        <f t="shared" si="0"/>
        <v>5.9444444444444438</v>
      </c>
      <c r="I12" s="396"/>
      <c r="J12" s="44"/>
      <c r="L12" s="42" t="s">
        <v>125</v>
      </c>
      <c r="M12" s="395">
        <v>100</v>
      </c>
    </row>
    <row r="13" spans="1:33" x14ac:dyDescent="0.25">
      <c r="B13" s="37">
        <v>8</v>
      </c>
      <c r="C13" s="188" t="s">
        <v>21</v>
      </c>
      <c r="D13" s="387">
        <v>70</v>
      </c>
      <c r="E13" s="354"/>
      <c r="F13" s="355"/>
      <c r="G13" s="356"/>
      <c r="H13" s="46">
        <f t="shared" si="0"/>
        <v>0</v>
      </c>
      <c r="I13" s="396"/>
      <c r="J13" s="44"/>
      <c r="L13" s="42" t="s">
        <v>118</v>
      </c>
      <c r="M13" s="394" t="s">
        <v>122</v>
      </c>
    </row>
    <row r="14" spans="1:33" x14ac:dyDescent="0.25">
      <c r="B14" s="37">
        <v>9</v>
      </c>
      <c r="C14" s="188" t="s">
        <v>608</v>
      </c>
      <c r="D14" s="387">
        <v>70</v>
      </c>
      <c r="E14" s="354">
        <v>0.333648</v>
      </c>
      <c r="F14" s="355"/>
      <c r="G14" s="356">
        <v>25.46</v>
      </c>
      <c r="H14" s="46">
        <f>G14/3.6</f>
        <v>7.072222222222222</v>
      </c>
      <c r="I14" s="396"/>
      <c r="J14" s="44"/>
      <c r="L14" s="42" t="s">
        <v>125</v>
      </c>
      <c r="M14" s="393">
        <f>INDEX(UmrechnungsMatrix,MATCH(M10,'Listen_Umrechnungen (hide)'!G5:G20,0),MATCH(M13,'Listen_Umrechnungen (hide)'!G4:M4,0))*INDEX(UmrechnungsMatrix,MATCH(M10,'Listen_Umrechnungen (hide)'!G5:G20,0),MATCH(M11,'Listen_Umrechnungen (hide)'!G4:M4,0))*M12</f>
        <v>1269972.2222222222</v>
      </c>
    </row>
    <row r="15" spans="1:33" x14ac:dyDescent="0.25">
      <c r="B15" s="37">
        <v>10</v>
      </c>
      <c r="C15" s="188" t="s">
        <v>609</v>
      </c>
      <c r="D15" s="387">
        <v>70</v>
      </c>
      <c r="E15" s="354">
        <v>0.34595999999999999</v>
      </c>
      <c r="F15" s="355"/>
      <c r="G15" s="356">
        <v>23.56</v>
      </c>
      <c r="H15" s="46">
        <f t="shared" si="0"/>
        <v>6.5444444444444443</v>
      </c>
      <c r="I15" s="396"/>
      <c r="J15" s="44"/>
    </row>
    <row r="16" spans="1:33" x14ac:dyDescent="0.25">
      <c r="B16" s="37">
        <v>11</v>
      </c>
      <c r="C16" s="188" t="s">
        <v>9</v>
      </c>
      <c r="D16" s="387">
        <v>70</v>
      </c>
      <c r="E16" s="354"/>
      <c r="F16" s="355"/>
      <c r="G16" s="356">
        <v>13.3</v>
      </c>
      <c r="H16" s="46">
        <f t="shared" si="0"/>
        <v>3.6944444444444446</v>
      </c>
      <c r="I16" s="396"/>
      <c r="J16" s="44"/>
    </row>
    <row r="17" spans="2:13" x14ac:dyDescent="0.25">
      <c r="B17" s="37">
        <v>12</v>
      </c>
      <c r="C17" s="188" t="s">
        <v>10</v>
      </c>
      <c r="D17" s="387">
        <v>70</v>
      </c>
      <c r="E17" s="354"/>
      <c r="F17" s="355"/>
      <c r="G17" s="356">
        <v>15</v>
      </c>
      <c r="H17" s="46">
        <f t="shared" si="0"/>
        <v>4.166666666666667</v>
      </c>
      <c r="I17" s="396"/>
      <c r="J17" s="44"/>
    </row>
    <row r="18" spans="2:13" x14ac:dyDescent="0.25">
      <c r="B18" s="37">
        <v>13</v>
      </c>
      <c r="C18" s="188" t="s">
        <v>610</v>
      </c>
      <c r="D18" s="387">
        <v>70</v>
      </c>
      <c r="E18" s="354">
        <v>0.378</v>
      </c>
      <c r="F18" s="355"/>
      <c r="G18" s="356">
        <v>27</v>
      </c>
      <c r="H18" s="46">
        <f t="shared" si="0"/>
        <v>7.5</v>
      </c>
      <c r="I18" s="396"/>
      <c r="J18" s="44"/>
    </row>
    <row r="19" spans="2:13" x14ac:dyDescent="0.25">
      <c r="B19" s="37">
        <v>14</v>
      </c>
      <c r="C19" s="188" t="s">
        <v>611</v>
      </c>
      <c r="D19" s="387">
        <v>70</v>
      </c>
      <c r="E19" s="354">
        <v>0.32889600000000002</v>
      </c>
      <c r="F19" s="355"/>
      <c r="G19" s="356">
        <v>31.78</v>
      </c>
      <c r="H19" s="46">
        <f t="shared" si="0"/>
        <v>8.8277777777777775</v>
      </c>
      <c r="I19" s="396"/>
      <c r="J19" s="44"/>
    </row>
    <row r="20" spans="2:13" x14ac:dyDescent="0.25">
      <c r="B20" s="37">
        <v>15</v>
      </c>
      <c r="C20" s="188" t="s">
        <v>602</v>
      </c>
      <c r="D20" s="387">
        <v>70</v>
      </c>
      <c r="E20" s="354">
        <v>0.25220700000000001</v>
      </c>
      <c r="F20" s="355"/>
      <c r="G20" s="356">
        <v>48.246000000000002</v>
      </c>
      <c r="H20" s="46">
        <f t="shared" si="0"/>
        <v>13.401666666666667</v>
      </c>
      <c r="I20" s="396"/>
      <c r="J20" s="44"/>
    </row>
    <row r="21" spans="2:13" x14ac:dyDescent="0.25">
      <c r="B21" s="37">
        <v>16</v>
      </c>
      <c r="C21" s="188" t="s">
        <v>603</v>
      </c>
      <c r="D21" s="387">
        <v>70</v>
      </c>
      <c r="E21" s="354">
        <v>0.26694727514399641</v>
      </c>
      <c r="F21" s="355"/>
      <c r="G21" s="356">
        <v>32.5</v>
      </c>
      <c r="H21" s="46">
        <f t="shared" si="0"/>
        <v>9.0277777777777768</v>
      </c>
      <c r="I21" s="396"/>
      <c r="J21" s="44"/>
    </row>
    <row r="22" spans="2:13" ht="12.75" customHeight="1" x14ac:dyDescent="0.25">
      <c r="B22" s="37">
        <v>17</v>
      </c>
      <c r="C22" s="188" t="s">
        <v>604</v>
      </c>
      <c r="D22" s="387">
        <v>70</v>
      </c>
      <c r="E22" s="354">
        <v>0.30274103368334926</v>
      </c>
      <c r="F22" s="355"/>
      <c r="G22" s="356">
        <v>26.4</v>
      </c>
      <c r="H22" s="46">
        <f t="shared" si="0"/>
        <v>7.333333333333333</v>
      </c>
      <c r="I22" s="396"/>
      <c r="J22" s="44"/>
    </row>
    <row r="23" spans="2:13" ht="13.5" customHeight="1" x14ac:dyDescent="0.25">
      <c r="B23" s="37">
        <v>18</v>
      </c>
      <c r="C23" s="188" t="s">
        <v>605</v>
      </c>
      <c r="D23" s="387">
        <v>70</v>
      </c>
      <c r="E23" s="354">
        <v>0.30571428571428572</v>
      </c>
      <c r="F23" s="355"/>
      <c r="G23" s="356">
        <v>25.2</v>
      </c>
      <c r="H23" s="46">
        <f t="shared" si="0"/>
        <v>7</v>
      </c>
      <c r="I23" s="396"/>
      <c r="J23" s="44"/>
    </row>
    <row r="24" spans="2:13" ht="12.75" customHeight="1" x14ac:dyDescent="0.25">
      <c r="B24" s="37">
        <v>19</v>
      </c>
      <c r="C24" s="188" t="s">
        <v>606</v>
      </c>
      <c r="D24" s="387">
        <v>70</v>
      </c>
      <c r="E24" s="354">
        <v>0.26693105552165958</v>
      </c>
      <c r="F24" s="355"/>
      <c r="G24" s="356">
        <v>23.6</v>
      </c>
      <c r="H24" s="46">
        <f t="shared" si="0"/>
        <v>6.5555555555555554</v>
      </c>
      <c r="I24" s="396"/>
      <c r="J24" s="44"/>
    </row>
    <row r="25" spans="2:13" ht="26.4" x14ac:dyDescent="0.25">
      <c r="B25" s="37">
        <v>20</v>
      </c>
      <c r="C25" s="353" t="s">
        <v>607</v>
      </c>
      <c r="D25" s="387">
        <v>70</v>
      </c>
      <c r="E25" s="357">
        <v>0.36776212832550864</v>
      </c>
      <c r="F25" s="358"/>
      <c r="G25" s="359">
        <v>9.1999999999999993</v>
      </c>
      <c r="H25" s="352">
        <f t="shared" si="0"/>
        <v>2.5555555555555554</v>
      </c>
      <c r="I25" s="396"/>
      <c r="J25" s="44"/>
    </row>
    <row r="26" spans="2:13" x14ac:dyDescent="0.25">
      <c r="B26" s="37">
        <v>21</v>
      </c>
      <c r="C26" s="389" t="s">
        <v>12</v>
      </c>
      <c r="D26" s="388"/>
      <c r="E26" s="390"/>
      <c r="F26" s="391"/>
      <c r="G26" s="391"/>
      <c r="H26" s="46">
        <f t="shared" si="0"/>
        <v>0</v>
      </c>
      <c r="I26" s="396"/>
      <c r="J26" s="396"/>
    </row>
    <row r="27" spans="2:13" ht="12.75" customHeight="1" x14ac:dyDescent="0.25">
      <c r="B27" s="37">
        <v>22</v>
      </c>
      <c r="C27" s="389" t="s">
        <v>13</v>
      </c>
      <c r="D27" s="388"/>
      <c r="E27" s="390"/>
      <c r="F27" s="391"/>
      <c r="G27" s="391"/>
      <c r="H27" s="46">
        <f t="shared" si="0"/>
        <v>0</v>
      </c>
      <c r="I27" s="396"/>
      <c r="J27" s="396"/>
    </row>
    <row r="28" spans="2:13" ht="13.5" customHeight="1" x14ac:dyDescent="0.25">
      <c r="B28" s="37">
        <v>23</v>
      </c>
      <c r="C28" s="389" t="s">
        <v>14</v>
      </c>
      <c r="D28" s="388"/>
      <c r="E28" s="388"/>
      <c r="F28" s="391"/>
      <c r="G28" s="391"/>
      <c r="H28" s="46">
        <f t="shared" si="0"/>
        <v>0</v>
      </c>
      <c r="I28" s="396"/>
      <c r="J28" s="396"/>
    </row>
    <row r="32" spans="2:13" x14ac:dyDescent="0.25">
      <c r="C32" s="41" t="s">
        <v>81</v>
      </c>
      <c r="D32" s="43"/>
      <c r="E32" s="43"/>
      <c r="G32" s="47" t="s">
        <v>510</v>
      </c>
      <c r="L32" s="622"/>
      <c r="M32" s="622"/>
    </row>
    <row r="33" spans="3:12" x14ac:dyDescent="0.25">
      <c r="C33" s="188" t="s">
        <v>79</v>
      </c>
      <c r="D33" s="49">
        <v>4</v>
      </c>
      <c r="E33" s="188" t="s">
        <v>82</v>
      </c>
      <c r="G33" s="622" t="s">
        <v>221</v>
      </c>
      <c r="H33" s="622"/>
      <c r="I33" s="622"/>
      <c r="J33" s="622"/>
      <c r="K33" s="622"/>
    </row>
    <row r="34" spans="3:12" x14ac:dyDescent="0.25">
      <c r="C34" s="188" t="s">
        <v>80</v>
      </c>
      <c r="D34" s="49">
        <v>8</v>
      </c>
      <c r="E34" s="188" t="s">
        <v>82</v>
      </c>
      <c r="G34" s="14" t="s">
        <v>151</v>
      </c>
      <c r="L34" s="621"/>
    </row>
    <row r="35" spans="3:12" x14ac:dyDescent="0.25">
      <c r="C35" s="188" t="s">
        <v>508</v>
      </c>
      <c r="D35" s="392">
        <v>2</v>
      </c>
      <c r="E35" s="189" t="s">
        <v>83</v>
      </c>
      <c r="G35" s="621" t="s">
        <v>152</v>
      </c>
      <c r="H35" s="621"/>
      <c r="I35" s="621"/>
      <c r="J35" s="621"/>
      <c r="K35" s="621"/>
    </row>
    <row r="36" spans="3:12" x14ac:dyDescent="0.25">
      <c r="C36" s="188" t="s">
        <v>509</v>
      </c>
      <c r="D36" s="392">
        <v>2.5</v>
      </c>
      <c r="E36" s="189" t="s">
        <v>83</v>
      </c>
    </row>
    <row r="39" spans="3:12" x14ac:dyDescent="0.25">
      <c r="C39" s="14" t="s">
        <v>352</v>
      </c>
    </row>
    <row r="40" spans="3:12" x14ac:dyDescent="0.25">
      <c r="C40" s="14" t="s">
        <v>526</v>
      </c>
    </row>
    <row r="41" spans="3:12" x14ac:dyDescent="0.25">
      <c r="C41" s="14" t="s">
        <v>527</v>
      </c>
    </row>
    <row r="62" spans="4:4" x14ac:dyDescent="0.25">
      <c r="D62" s="14" t="str">
        <f>"Heizwärmebedarf " &amp;BefrJahr1</f>
        <v>Heizwärmebedarf 2012</v>
      </c>
    </row>
    <row r="63" spans="4:4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mergeCells count="1">
    <mergeCell ref="G3:H3"/>
  </mergeCells>
  <dataValidations count="3">
    <dataValidation type="list" allowBlank="1" showInputMessage="1" showErrorMessage="1" sqref="M10">
      <formula1>Energieträger</formula1>
    </dataValidation>
    <dataValidation type="list" allowBlank="1" showInputMessage="1" showErrorMessage="1" sqref="M13">
      <formula1>endeinheit</formula1>
    </dataValidation>
    <dataValidation type="list" allowBlank="1" showInputMessage="1" showErrorMessage="1" sqref="M11">
      <formula1>Ausgangseinheit</formula1>
    </dataValidation>
  </dataValidations>
  <hyperlinks>
    <hyperlink ref="G35" r:id="rId1"/>
    <hyperlink ref="G33" r:id="rId2"/>
  </hyperlinks>
  <pageMargins left="0.70866141732283472" right="0.70866141732283472" top="0.74803149606299213" bottom="0.74803149606299213" header="0.31496062992125984" footer="0.31496062992125984"/>
  <pageSetup paperSize="9" scale="54" orientation="portrait" r:id="rId3"/>
  <headerFooter>
    <oddHeader>&amp;L&amp;G&amp;R3 Grundlagen Wirtschaftlichkeit und Energie(-Kosten)</oddHeader>
  </headerFooter>
  <colBreaks count="1" manualBreakCount="1">
    <brk id="17" max="1048575" man="1"/>
  </colBreaks>
  <drawing r:id="rId4"/>
  <legacyDrawing r:id="rId5"/>
  <legacyDrawingHF r:id="rId6"/>
  <oleObjects>
    <mc:AlternateContent xmlns:mc="http://schemas.openxmlformats.org/markup-compatibility/2006">
      <mc:Choice Requires="x14">
        <oleObject progId="Visio.Drawing.11" shapeId="159745" r:id="rId7">
          <objectPr defaultSize="0" autoPict="0" r:id="rId8">
            <anchor moveWithCells="1">
              <from>
                <xdr:col>2</xdr:col>
                <xdr:colOff>68580</xdr:colOff>
                <xdr:row>41</xdr:row>
                <xdr:rowOff>106680</xdr:rowOff>
              </from>
              <to>
                <xdr:col>8</xdr:col>
                <xdr:colOff>518160</xdr:colOff>
                <xdr:row>69</xdr:row>
                <xdr:rowOff>99060</xdr:rowOff>
              </to>
            </anchor>
          </objectPr>
        </oleObject>
      </mc:Choice>
      <mc:Fallback>
        <oleObject progId="Visio.Drawing.11" shapeId="159745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Z94"/>
  <sheetViews>
    <sheetView showGridLines="0" view="pageLayout" zoomScale="85" zoomScaleNormal="40" zoomScalePageLayoutView="85" workbookViewId="0">
      <selection activeCell="V4" sqref="V4"/>
    </sheetView>
  </sheetViews>
  <sheetFormatPr baseColWidth="10" defaultColWidth="9.109375" defaultRowHeight="13.2" x14ac:dyDescent="0.25"/>
  <cols>
    <col min="1" max="1" width="3.33203125" style="14" customWidth="1"/>
    <col min="2" max="2" width="10.33203125" style="14" customWidth="1"/>
    <col min="3" max="9" width="12.5546875" style="14" customWidth="1"/>
    <col min="10" max="10" width="4.109375" style="14" customWidth="1"/>
    <col min="11" max="15" width="12.5546875" style="14" customWidth="1"/>
    <col min="16" max="16" width="2.33203125" style="14" customWidth="1"/>
    <col min="17" max="20" width="12.5546875" style="14" customWidth="1"/>
    <col min="21" max="21" width="6.33203125" style="14" customWidth="1"/>
    <col min="22" max="22" width="8.109375" style="14" customWidth="1"/>
    <col min="23" max="43" width="10.33203125" style="14" customWidth="1"/>
    <col min="44" max="45" width="10" style="14" customWidth="1"/>
    <col min="46" max="48" width="9.109375" style="14"/>
    <col min="49" max="49" width="3.6640625" style="14" customWidth="1"/>
    <col min="50" max="16384" width="9.109375" style="14"/>
  </cols>
  <sheetData>
    <row r="1" spans="1:52" ht="24.75" customHeight="1" x14ac:dyDescent="0.25">
      <c r="A1" s="69" t="s">
        <v>667</v>
      </c>
      <c r="F1"/>
      <c r="K1" s="627"/>
      <c r="O1"/>
    </row>
    <row r="2" spans="1:52" s="40" customFormat="1" x14ac:dyDescent="0.25">
      <c r="A2" s="628" t="s">
        <v>160</v>
      </c>
      <c r="C2" s="14"/>
      <c r="D2" s="14"/>
      <c r="E2" s="14"/>
      <c r="F2" s="14"/>
      <c r="G2" s="14"/>
      <c r="H2" s="14"/>
      <c r="I2" s="14"/>
      <c r="J2" s="14"/>
      <c r="K2" s="50" t="s">
        <v>351</v>
      </c>
      <c r="L2" s="14"/>
      <c r="M2" s="14"/>
      <c r="N2" s="14"/>
      <c r="O2" s="14"/>
      <c r="Q2" s="50" t="s">
        <v>344</v>
      </c>
      <c r="R2" s="14"/>
      <c r="S2" s="14"/>
      <c r="T2" s="14"/>
    </row>
    <row r="3" spans="1:52" s="40" customFormat="1" x14ac:dyDescent="0.25">
      <c r="B3" s="20" t="str">
        <f xml:space="preserve"> "Erhebung der Endenergieträger und der thermischen genutzten internen Abfälle für das Jahr " &amp; BefrJahr1</f>
        <v>Erhebung der Endenergieträger und der thermischen genutzten internen Abfälle für das Jahr 2012</v>
      </c>
      <c r="C3" s="14"/>
      <c r="D3" s="14"/>
      <c r="E3" s="14"/>
      <c r="F3" s="14"/>
      <c r="G3" s="14"/>
      <c r="H3" s="14"/>
      <c r="I3" s="14"/>
      <c r="J3" s="14"/>
      <c r="K3" s="69" t="str">
        <f xml:space="preserve"> "Solar, Wasser, Wind " &amp; BefrJahr1</f>
        <v>Solar, Wasser, Wind 2012</v>
      </c>
      <c r="L3" s="14"/>
      <c r="N3" s="14"/>
      <c r="O3" s="14"/>
      <c r="Q3" s="69" t="str">
        <f xml:space="preserve"> "Abgabe an Dritte " &amp; BefrJahr1</f>
        <v>Abgabe an Dritte 2012</v>
      </c>
      <c r="R3" s="14"/>
      <c r="S3" s="14"/>
      <c r="T3" s="14"/>
    </row>
    <row r="4" spans="1:52" ht="26.4" x14ac:dyDescent="0.25">
      <c r="B4" s="53" t="s">
        <v>222</v>
      </c>
      <c r="C4" s="433" t="s">
        <v>5</v>
      </c>
      <c r="D4" s="433" t="s">
        <v>514</v>
      </c>
      <c r="E4" s="433" t="s">
        <v>602</v>
      </c>
      <c r="F4" s="433" t="s">
        <v>223</v>
      </c>
      <c r="G4" s="433" t="s">
        <v>223</v>
      </c>
      <c r="H4" s="433" t="s">
        <v>223</v>
      </c>
      <c r="I4" s="433" t="s">
        <v>223</v>
      </c>
      <c r="L4" s="314" t="s">
        <v>348</v>
      </c>
      <c r="M4" s="314" t="s">
        <v>349</v>
      </c>
      <c r="N4" s="314" t="s">
        <v>350</v>
      </c>
      <c r="O4" s="314" t="s">
        <v>313</v>
      </c>
      <c r="R4" s="315" t="s">
        <v>345</v>
      </c>
      <c r="S4" s="315" t="s">
        <v>328</v>
      </c>
    </row>
    <row r="5" spans="1:52" ht="15" customHeight="1" x14ac:dyDescent="0.25">
      <c r="C5" s="54"/>
      <c r="D5" s="54"/>
      <c r="E5" s="54"/>
      <c r="F5" s="54"/>
      <c r="G5" s="54"/>
      <c r="H5" s="54"/>
      <c r="I5" s="54"/>
    </row>
    <row r="6" spans="1:52" ht="26.4" x14ac:dyDescent="0.25">
      <c r="C6" s="55" t="s">
        <v>128</v>
      </c>
      <c r="D6" s="55" t="s">
        <v>128</v>
      </c>
      <c r="E6" s="55" t="s">
        <v>128</v>
      </c>
      <c r="F6" s="55" t="s">
        <v>128</v>
      </c>
      <c r="G6" s="55" t="s">
        <v>128</v>
      </c>
      <c r="H6" s="55" t="s">
        <v>128</v>
      </c>
      <c r="I6" s="55" t="s">
        <v>128</v>
      </c>
      <c r="L6" s="55" t="s">
        <v>347</v>
      </c>
      <c r="M6" s="55" t="s">
        <v>347</v>
      </c>
      <c r="N6" s="55" t="s">
        <v>347</v>
      </c>
      <c r="O6" s="55" t="s">
        <v>347</v>
      </c>
      <c r="R6" s="55" t="s">
        <v>346</v>
      </c>
      <c r="S6" s="55" t="s">
        <v>346</v>
      </c>
      <c r="U6" s="40"/>
      <c r="V6" s="51"/>
      <c r="W6" s="210" t="s">
        <v>327</v>
      </c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/>
      <c r="AL6" s="207"/>
      <c r="AM6" s="207"/>
      <c r="AN6" s="207"/>
      <c r="AO6" s="207"/>
      <c r="AP6" s="207"/>
      <c r="AQ6" s="210" t="s">
        <v>363</v>
      </c>
      <c r="AR6" s="207"/>
      <c r="AS6" s="207"/>
      <c r="AT6" s="208"/>
      <c r="AU6" s="210" t="s">
        <v>364</v>
      </c>
      <c r="AV6" s="208"/>
      <c r="AX6" s="210" t="s">
        <v>365</v>
      </c>
      <c r="AY6" s="263" t="s">
        <v>365</v>
      </c>
      <c r="AZ6" s="264" t="s">
        <v>365</v>
      </c>
    </row>
    <row r="7" spans="1:52" ht="12" customHeight="1" x14ac:dyDescent="0.25">
      <c r="B7" s="43" t="s">
        <v>22</v>
      </c>
      <c r="C7" s="617">
        <v>365518.67366666667</v>
      </c>
      <c r="D7" s="617">
        <v>202510</v>
      </c>
      <c r="E7" s="617"/>
      <c r="F7" s="617"/>
      <c r="G7" s="617"/>
      <c r="H7" s="617"/>
      <c r="I7" s="617"/>
      <c r="K7" s="43" t="s">
        <v>22</v>
      </c>
      <c r="L7" s="397"/>
      <c r="M7" s="397"/>
      <c r="N7" s="397"/>
      <c r="O7" s="397"/>
      <c r="Q7" s="43" t="s">
        <v>22</v>
      </c>
      <c r="R7" s="617"/>
      <c r="S7" s="397"/>
      <c r="U7" s="40"/>
      <c r="V7" s="51"/>
      <c r="W7" s="48" t="str">
        <f t="array" ref="W7:AK7">TRANSPOSE('3'!C6:C28)</f>
        <v>Strombezug vom Netz</v>
      </c>
      <c r="X7" s="48" t="str">
        <v>Heizöl extra leicht</v>
      </c>
      <c r="Y7" s="48" t="str">
        <v>Heizöl mittel/schwer</v>
      </c>
      <c r="Z7" s="48" t="str">
        <v>Erdgas</v>
      </c>
      <c r="AA7" s="48" t="str">
        <v>Butan</v>
      </c>
      <c r="AB7" s="48" t="str">
        <v>Propan</v>
      </c>
      <c r="AC7" s="48" t="str">
        <v>Biogas (roh, Durchschnittswert)</v>
      </c>
      <c r="AD7" s="48" t="str">
        <v>Fernwärme</v>
      </c>
      <c r="AE7" s="48" t="str">
        <v>Steinkohle</v>
      </c>
      <c r="AF7" s="48" t="str">
        <v>Braunkohle</v>
      </c>
      <c r="AG7" s="48" t="str">
        <v>Naturbelassenes Holz, Restholz</v>
      </c>
      <c r="AH7" s="48" t="str">
        <v>Altholz und Holzabfälle</v>
      </c>
      <c r="AI7" s="48" t="str">
        <v>Koks</v>
      </c>
      <c r="AJ7" s="48" t="str">
        <v>Petrolkoks</v>
      </c>
      <c r="AK7" s="48" t="str">
        <v>Acetylen</v>
      </c>
      <c r="AL7" s="188" t="s">
        <v>603</v>
      </c>
      <c r="AM7" s="188" t="s">
        <v>604</v>
      </c>
      <c r="AN7" s="188" t="s">
        <v>605</v>
      </c>
      <c r="AO7" s="188" t="s">
        <v>606</v>
      </c>
      <c r="AP7" s="353" t="s">
        <v>607</v>
      </c>
      <c r="AQ7" s="48" t="s">
        <v>348</v>
      </c>
      <c r="AR7" s="48" t="s">
        <v>349</v>
      </c>
      <c r="AS7" s="48" t="s">
        <v>350</v>
      </c>
      <c r="AT7" s="48" t="s">
        <v>313</v>
      </c>
      <c r="AU7" s="209" t="s">
        <v>345</v>
      </c>
      <c r="AV7" s="209" t="s">
        <v>328</v>
      </c>
      <c r="AX7" s="209" t="s">
        <v>366</v>
      </c>
      <c r="AY7" s="209" t="s">
        <v>367</v>
      </c>
      <c r="AZ7" s="209" t="s">
        <v>36</v>
      </c>
    </row>
    <row r="8" spans="1:52" x14ac:dyDescent="0.25">
      <c r="B8" s="43" t="s">
        <v>23</v>
      </c>
      <c r="C8" s="617">
        <v>294503.33293333329</v>
      </c>
      <c r="D8" s="617">
        <v>166975</v>
      </c>
      <c r="E8" s="617"/>
      <c r="F8" s="617"/>
      <c r="G8" s="617"/>
      <c r="H8" s="617"/>
      <c r="I8" s="617"/>
      <c r="K8" s="43" t="s">
        <v>23</v>
      </c>
      <c r="L8" s="397"/>
      <c r="M8" s="397"/>
      <c r="N8" s="397"/>
      <c r="O8" s="397"/>
      <c r="Q8" s="43" t="s">
        <v>23</v>
      </c>
      <c r="R8" s="617"/>
      <c r="S8" s="397"/>
      <c r="U8" s="40">
        <f>BefrJahr1</f>
        <v>2012</v>
      </c>
      <c r="V8" s="43" t="s">
        <v>22</v>
      </c>
      <c r="W8" s="400">
        <f>SUMIF($C$4:$I$4,W$7,$C7:$I7)</f>
        <v>202510</v>
      </c>
      <c r="X8" s="400">
        <f t="shared" ref="X8:AD8" si="0">SUMIF($C$4:$I$4,X$7,$C7:$I7)</f>
        <v>365518.67366666667</v>
      </c>
      <c r="Y8" s="400">
        <f t="shared" si="0"/>
        <v>0</v>
      </c>
      <c r="Z8" s="400">
        <f t="shared" si="0"/>
        <v>0</v>
      </c>
      <c r="AA8" s="400">
        <f t="shared" si="0"/>
        <v>0</v>
      </c>
      <c r="AB8" s="400">
        <f t="shared" ref="AB8" si="1">SUMIF($C$4:$I$4,AB$7,$C7:$I7)</f>
        <v>0</v>
      </c>
      <c r="AC8" s="400">
        <f t="shared" si="0"/>
        <v>0</v>
      </c>
      <c r="AD8" s="400">
        <f t="shared" si="0"/>
        <v>0</v>
      </c>
      <c r="AE8" s="400">
        <f t="shared" ref="AE8:AK8" si="2">SUMIF($C$4:$I$4,AE$7,$C7:$I7)</f>
        <v>0</v>
      </c>
      <c r="AF8" s="400">
        <f t="shared" si="2"/>
        <v>0</v>
      </c>
      <c r="AG8" s="400">
        <f t="shared" si="2"/>
        <v>0</v>
      </c>
      <c r="AH8" s="400">
        <f t="shared" si="2"/>
        <v>0</v>
      </c>
      <c r="AI8" s="400">
        <f t="shared" si="2"/>
        <v>0</v>
      </c>
      <c r="AJ8" s="400">
        <f t="shared" si="2"/>
        <v>0</v>
      </c>
      <c r="AK8" s="400">
        <f t="shared" si="2"/>
        <v>0</v>
      </c>
      <c r="AL8" s="400">
        <f t="shared" ref="AL8:AP8" si="3">SUMIF($C$4:$I$4,AL$7,$C7:$I7)</f>
        <v>0</v>
      </c>
      <c r="AM8" s="400">
        <f t="shared" si="3"/>
        <v>0</v>
      </c>
      <c r="AN8" s="400">
        <f t="shared" si="3"/>
        <v>0</v>
      </c>
      <c r="AO8" s="400">
        <f t="shared" si="3"/>
        <v>0</v>
      </c>
      <c r="AP8" s="400">
        <f t="shared" si="3"/>
        <v>0</v>
      </c>
      <c r="AQ8" s="400">
        <f>SUMIF($L$4:$O$4,AQ$7,$L7:$O7)</f>
        <v>0</v>
      </c>
      <c r="AR8" s="400">
        <f t="shared" ref="AR8:AT8" si="4">SUMIF($L$4:$O$4,AR$7,$L7:$O7)</f>
        <v>0</v>
      </c>
      <c r="AS8" s="400">
        <f t="shared" si="4"/>
        <v>0</v>
      </c>
      <c r="AT8" s="400">
        <f t="shared" si="4"/>
        <v>0</v>
      </c>
      <c r="AU8" s="400">
        <f>SUMIF($R$4:$S$4,AU$7,$R7:$S7)</f>
        <v>0</v>
      </c>
      <c r="AV8" s="400">
        <f>SUMIF($R$4:$S$4,AV$7,$R7:$S7)</f>
        <v>0</v>
      </c>
      <c r="AX8" s="400">
        <f t="shared" ref="AX8:AX31" si="5">W8+AQ8+AR8+AS8-AU8</f>
        <v>202510</v>
      </c>
      <c r="AY8" s="400">
        <f t="shared" ref="AY8:AY31" si="6">SUM(X8:AK8)+AT8-AV8</f>
        <v>365518.67366666667</v>
      </c>
      <c r="AZ8" s="400">
        <f>AX8+AY8</f>
        <v>568028.67366666673</v>
      </c>
    </row>
    <row r="9" spans="1:52" x14ac:dyDescent="0.25">
      <c r="B9" s="43" t="s">
        <v>24</v>
      </c>
      <c r="C9" s="617">
        <v>303324.31140000001</v>
      </c>
      <c r="D9" s="617">
        <v>228790</v>
      </c>
      <c r="E9" s="617"/>
      <c r="F9" s="617"/>
      <c r="G9" s="617"/>
      <c r="H9" s="617"/>
      <c r="I9" s="617"/>
      <c r="K9" s="43" t="s">
        <v>24</v>
      </c>
      <c r="L9" s="397"/>
      <c r="M9" s="397"/>
      <c r="N9" s="397"/>
      <c r="O9" s="397"/>
      <c r="Q9" s="43" t="s">
        <v>24</v>
      </c>
      <c r="R9" s="617"/>
      <c r="S9" s="397"/>
      <c r="U9" s="40"/>
      <c r="V9" s="43" t="s">
        <v>23</v>
      </c>
      <c r="W9" s="400">
        <f t="shared" ref="W9:W19" si="7">SUMIF($C$4:$I$4,W$7,$C8:$I8)</f>
        <v>166975</v>
      </c>
      <c r="X9" s="400">
        <f t="shared" ref="X9:X19" si="8">SUMIF($C$4:$I$4,X$7,$C8:$I8)</f>
        <v>294503.33293333329</v>
      </c>
      <c r="Y9" s="400">
        <f t="shared" ref="Y9:Y19" si="9">SUMIF($C$4:$I$4,Y$7,$C8:$I8)</f>
        <v>0</v>
      </c>
      <c r="Z9" s="400">
        <f t="shared" ref="Z9:Z19" si="10">SUMIF($C$4:$I$4,Z$7,$C8:$I8)</f>
        <v>0</v>
      </c>
      <c r="AA9" s="400">
        <f t="shared" ref="AA9:AB19" si="11">SUMIF($C$4:$I$4,AA$7,$C8:$I8)</f>
        <v>0</v>
      </c>
      <c r="AB9" s="400">
        <f t="shared" si="11"/>
        <v>0</v>
      </c>
      <c r="AC9" s="400">
        <f t="shared" ref="AC9:AC19" si="12">SUMIF($C$4:$I$4,AC$7,$C8:$I8)</f>
        <v>0</v>
      </c>
      <c r="AD9" s="400">
        <f t="shared" ref="AD9:AD19" si="13">SUMIF($C$4:$I$4,AD$7,$C8:$I8)</f>
        <v>0</v>
      </c>
      <c r="AE9" s="400">
        <f t="shared" ref="AE9:AE19" si="14">SUMIF($C$4:$I$4,AE$7,$C8:$I8)</f>
        <v>0</v>
      </c>
      <c r="AF9" s="400">
        <f t="shared" ref="AF9:AF19" si="15">SUMIF($C$4:$I$4,AF$7,$C8:$I8)</f>
        <v>0</v>
      </c>
      <c r="AG9" s="400">
        <f t="shared" ref="AG9:AG19" si="16">SUMIF($C$4:$I$4,AG$7,$C8:$I8)</f>
        <v>0</v>
      </c>
      <c r="AH9" s="400">
        <f t="shared" ref="AH9:AH19" si="17">SUMIF($C$4:$I$4,AH$7,$C8:$I8)</f>
        <v>0</v>
      </c>
      <c r="AI9" s="400">
        <f t="shared" ref="AI9:AI19" si="18">SUMIF($C$4:$I$4,AI$7,$C8:$I8)</f>
        <v>0</v>
      </c>
      <c r="AJ9" s="400">
        <f t="shared" ref="AJ9:AJ19" si="19">SUMIF($C$4:$I$4,AJ$7,$C8:$I8)</f>
        <v>0</v>
      </c>
      <c r="AK9" s="400">
        <f t="shared" ref="AK9:AP19" si="20">SUMIF($C$4:$I$4,AK$7,$C8:$I8)</f>
        <v>0</v>
      </c>
      <c r="AL9" s="400">
        <f t="shared" si="20"/>
        <v>0</v>
      </c>
      <c r="AM9" s="400">
        <f t="shared" si="20"/>
        <v>0</v>
      </c>
      <c r="AN9" s="400">
        <f t="shared" si="20"/>
        <v>0</v>
      </c>
      <c r="AO9" s="400">
        <f t="shared" si="20"/>
        <v>0</v>
      </c>
      <c r="AP9" s="400">
        <f t="shared" si="20"/>
        <v>0</v>
      </c>
      <c r="AQ9" s="400">
        <f t="shared" ref="AQ9:AQ19" si="21">SUMIF($L$4:$O$4,AQ$7,$L8:$O8)</f>
        <v>0</v>
      </c>
      <c r="AR9" s="400">
        <f t="shared" ref="AR9:AR19" si="22">SUMIF($L$4:$O$4,AR$7,$L8:$O8)</f>
        <v>0</v>
      </c>
      <c r="AS9" s="400">
        <f t="shared" ref="AS9:AS19" si="23">SUMIF($L$4:$O$4,AS$7,$L8:$O8)</f>
        <v>0</v>
      </c>
      <c r="AT9" s="400">
        <f t="shared" ref="AT9:AT19" si="24">SUMIF($L$4:$O$4,AT$7,$L8:$O8)</f>
        <v>0</v>
      </c>
      <c r="AU9" s="400">
        <f t="shared" ref="AU9:AU19" si="25">SUMIF($R$4:$S$4,AU$7,$R8:$S8)</f>
        <v>0</v>
      </c>
      <c r="AV9" s="400">
        <f t="shared" ref="AV9:AV19" si="26">SUMIF($R$4:$S$4,AV$7,$R8:$S8)</f>
        <v>0</v>
      </c>
      <c r="AX9" s="400">
        <f t="shared" si="5"/>
        <v>166975</v>
      </c>
      <c r="AY9" s="400">
        <f t="shared" si="6"/>
        <v>294503.33293333329</v>
      </c>
      <c r="AZ9" s="400">
        <f t="shared" ref="AZ9:AZ31" si="27">AX9+AY9</f>
        <v>461478.33293333329</v>
      </c>
    </row>
    <row r="10" spans="1:52" x14ac:dyDescent="0.25">
      <c r="B10" s="43" t="s">
        <v>25</v>
      </c>
      <c r="C10" s="617">
        <v>263923.2779333333</v>
      </c>
      <c r="D10" s="617">
        <v>190275</v>
      </c>
      <c r="E10" s="617"/>
      <c r="F10" s="617"/>
      <c r="G10" s="617"/>
      <c r="H10" s="617"/>
      <c r="I10" s="617"/>
      <c r="K10" s="43" t="s">
        <v>25</v>
      </c>
      <c r="L10" s="397"/>
      <c r="M10" s="397"/>
      <c r="N10" s="397"/>
      <c r="O10" s="397"/>
      <c r="Q10" s="43" t="s">
        <v>25</v>
      </c>
      <c r="R10" s="617"/>
      <c r="S10" s="397"/>
      <c r="U10" s="40"/>
      <c r="V10" s="43" t="s">
        <v>24</v>
      </c>
      <c r="W10" s="400">
        <f t="shared" si="7"/>
        <v>228790</v>
      </c>
      <c r="X10" s="400">
        <f t="shared" si="8"/>
        <v>303324.31140000001</v>
      </c>
      <c r="Y10" s="400">
        <f t="shared" si="9"/>
        <v>0</v>
      </c>
      <c r="Z10" s="400">
        <f t="shared" si="10"/>
        <v>0</v>
      </c>
      <c r="AA10" s="400">
        <f t="shared" si="11"/>
        <v>0</v>
      </c>
      <c r="AB10" s="400">
        <f t="shared" si="11"/>
        <v>0</v>
      </c>
      <c r="AC10" s="400">
        <f t="shared" si="12"/>
        <v>0</v>
      </c>
      <c r="AD10" s="400">
        <f t="shared" si="13"/>
        <v>0</v>
      </c>
      <c r="AE10" s="400">
        <f t="shared" si="14"/>
        <v>0</v>
      </c>
      <c r="AF10" s="400">
        <f t="shared" si="15"/>
        <v>0</v>
      </c>
      <c r="AG10" s="400">
        <f t="shared" si="16"/>
        <v>0</v>
      </c>
      <c r="AH10" s="400">
        <f t="shared" si="17"/>
        <v>0</v>
      </c>
      <c r="AI10" s="400">
        <f t="shared" si="18"/>
        <v>0</v>
      </c>
      <c r="AJ10" s="400">
        <f t="shared" si="19"/>
        <v>0</v>
      </c>
      <c r="AK10" s="400">
        <f t="shared" si="20"/>
        <v>0</v>
      </c>
      <c r="AL10" s="400">
        <f t="shared" si="20"/>
        <v>0</v>
      </c>
      <c r="AM10" s="400">
        <f t="shared" si="20"/>
        <v>0</v>
      </c>
      <c r="AN10" s="400">
        <f t="shared" si="20"/>
        <v>0</v>
      </c>
      <c r="AO10" s="400">
        <f t="shared" si="20"/>
        <v>0</v>
      </c>
      <c r="AP10" s="400">
        <f t="shared" si="20"/>
        <v>0</v>
      </c>
      <c r="AQ10" s="400">
        <f t="shared" si="21"/>
        <v>0</v>
      </c>
      <c r="AR10" s="400">
        <f t="shared" si="22"/>
        <v>0</v>
      </c>
      <c r="AS10" s="400">
        <f t="shared" si="23"/>
        <v>0</v>
      </c>
      <c r="AT10" s="400">
        <f t="shared" si="24"/>
        <v>0</v>
      </c>
      <c r="AU10" s="400">
        <f t="shared" si="25"/>
        <v>0</v>
      </c>
      <c r="AV10" s="400">
        <f t="shared" si="26"/>
        <v>0</v>
      </c>
      <c r="AX10" s="400">
        <f t="shared" si="5"/>
        <v>228790</v>
      </c>
      <c r="AY10" s="400">
        <f t="shared" si="6"/>
        <v>303324.31140000001</v>
      </c>
      <c r="AZ10" s="400">
        <f t="shared" si="27"/>
        <v>532114.31140000001</v>
      </c>
    </row>
    <row r="11" spans="1:52" x14ac:dyDescent="0.25">
      <c r="B11" s="43" t="s">
        <v>26</v>
      </c>
      <c r="C11" s="617">
        <v>265713.32993333333</v>
      </c>
      <c r="D11" s="617">
        <v>208915</v>
      </c>
      <c r="E11" s="617"/>
      <c r="F11" s="617"/>
      <c r="G11" s="617"/>
      <c r="H11" s="617"/>
      <c r="I11" s="617"/>
      <c r="K11" s="43" t="s">
        <v>26</v>
      </c>
      <c r="L11" s="397"/>
      <c r="M11" s="397"/>
      <c r="N11" s="397"/>
      <c r="O11" s="397"/>
      <c r="Q11" s="43" t="s">
        <v>26</v>
      </c>
      <c r="R11" s="617"/>
      <c r="S11" s="397"/>
      <c r="U11" s="40"/>
      <c r="V11" s="43" t="s">
        <v>25</v>
      </c>
      <c r="W11" s="400">
        <f t="shared" si="7"/>
        <v>190275</v>
      </c>
      <c r="X11" s="400">
        <f t="shared" si="8"/>
        <v>263923.2779333333</v>
      </c>
      <c r="Y11" s="400">
        <f t="shared" si="9"/>
        <v>0</v>
      </c>
      <c r="Z11" s="400">
        <f t="shared" si="10"/>
        <v>0</v>
      </c>
      <c r="AA11" s="400">
        <f t="shared" si="11"/>
        <v>0</v>
      </c>
      <c r="AB11" s="400">
        <f t="shared" si="11"/>
        <v>0</v>
      </c>
      <c r="AC11" s="400">
        <f t="shared" si="12"/>
        <v>0</v>
      </c>
      <c r="AD11" s="400">
        <f t="shared" si="13"/>
        <v>0</v>
      </c>
      <c r="AE11" s="400">
        <f t="shared" si="14"/>
        <v>0</v>
      </c>
      <c r="AF11" s="400">
        <f t="shared" si="15"/>
        <v>0</v>
      </c>
      <c r="AG11" s="400">
        <f t="shared" si="16"/>
        <v>0</v>
      </c>
      <c r="AH11" s="400">
        <f t="shared" si="17"/>
        <v>0</v>
      </c>
      <c r="AI11" s="400">
        <f t="shared" si="18"/>
        <v>0</v>
      </c>
      <c r="AJ11" s="400">
        <f t="shared" si="19"/>
        <v>0</v>
      </c>
      <c r="AK11" s="400">
        <f t="shared" si="20"/>
        <v>0</v>
      </c>
      <c r="AL11" s="400">
        <f t="shared" si="20"/>
        <v>0</v>
      </c>
      <c r="AM11" s="400">
        <f t="shared" si="20"/>
        <v>0</v>
      </c>
      <c r="AN11" s="400">
        <f t="shared" si="20"/>
        <v>0</v>
      </c>
      <c r="AO11" s="400">
        <f t="shared" si="20"/>
        <v>0</v>
      </c>
      <c r="AP11" s="400">
        <f t="shared" si="20"/>
        <v>0</v>
      </c>
      <c r="AQ11" s="400">
        <f t="shared" si="21"/>
        <v>0</v>
      </c>
      <c r="AR11" s="400">
        <f t="shared" si="22"/>
        <v>0</v>
      </c>
      <c r="AS11" s="400">
        <f t="shared" si="23"/>
        <v>0</v>
      </c>
      <c r="AT11" s="400">
        <f t="shared" si="24"/>
        <v>0</v>
      </c>
      <c r="AU11" s="400">
        <f t="shared" si="25"/>
        <v>0</v>
      </c>
      <c r="AV11" s="400">
        <f t="shared" si="26"/>
        <v>0</v>
      </c>
      <c r="AX11" s="400">
        <f t="shared" si="5"/>
        <v>190275</v>
      </c>
      <c r="AY11" s="400">
        <f t="shared" si="6"/>
        <v>263923.2779333333</v>
      </c>
      <c r="AZ11" s="400">
        <f t="shared" si="27"/>
        <v>454198.2779333333</v>
      </c>
    </row>
    <row r="12" spans="1:52" x14ac:dyDescent="0.25">
      <c r="B12" s="43" t="s">
        <v>27</v>
      </c>
      <c r="C12" s="617">
        <v>254485.726</v>
      </c>
      <c r="D12" s="617">
        <v>269545</v>
      </c>
      <c r="E12" s="617"/>
      <c r="F12" s="617"/>
      <c r="G12" s="617"/>
      <c r="H12" s="617"/>
      <c r="I12" s="617"/>
      <c r="K12" s="43" t="s">
        <v>27</v>
      </c>
      <c r="L12" s="397"/>
      <c r="M12" s="397"/>
      <c r="N12" s="397"/>
      <c r="O12" s="397"/>
      <c r="Q12" s="43" t="s">
        <v>27</v>
      </c>
      <c r="R12" s="617"/>
      <c r="S12" s="397"/>
      <c r="U12" s="40"/>
      <c r="V12" s="43" t="s">
        <v>26</v>
      </c>
      <c r="W12" s="400">
        <f t="shared" si="7"/>
        <v>208915</v>
      </c>
      <c r="X12" s="400">
        <f t="shared" si="8"/>
        <v>265713.32993333333</v>
      </c>
      <c r="Y12" s="400">
        <f t="shared" si="9"/>
        <v>0</v>
      </c>
      <c r="Z12" s="400">
        <f t="shared" si="10"/>
        <v>0</v>
      </c>
      <c r="AA12" s="400">
        <f t="shared" si="11"/>
        <v>0</v>
      </c>
      <c r="AB12" s="400">
        <f t="shared" si="11"/>
        <v>0</v>
      </c>
      <c r="AC12" s="400">
        <f t="shared" si="12"/>
        <v>0</v>
      </c>
      <c r="AD12" s="400">
        <f t="shared" si="13"/>
        <v>0</v>
      </c>
      <c r="AE12" s="400">
        <f t="shared" si="14"/>
        <v>0</v>
      </c>
      <c r="AF12" s="400">
        <f t="shared" si="15"/>
        <v>0</v>
      </c>
      <c r="AG12" s="400">
        <f t="shared" si="16"/>
        <v>0</v>
      </c>
      <c r="AH12" s="400">
        <f t="shared" si="17"/>
        <v>0</v>
      </c>
      <c r="AI12" s="400">
        <f t="shared" si="18"/>
        <v>0</v>
      </c>
      <c r="AJ12" s="400">
        <f t="shared" si="19"/>
        <v>0</v>
      </c>
      <c r="AK12" s="400">
        <f t="shared" si="20"/>
        <v>0</v>
      </c>
      <c r="AL12" s="400">
        <f t="shared" si="20"/>
        <v>0</v>
      </c>
      <c r="AM12" s="400">
        <f t="shared" si="20"/>
        <v>0</v>
      </c>
      <c r="AN12" s="400">
        <f t="shared" si="20"/>
        <v>0</v>
      </c>
      <c r="AO12" s="400">
        <f t="shared" si="20"/>
        <v>0</v>
      </c>
      <c r="AP12" s="400">
        <f t="shared" si="20"/>
        <v>0</v>
      </c>
      <c r="AQ12" s="400">
        <f t="shared" si="21"/>
        <v>0</v>
      </c>
      <c r="AR12" s="400">
        <f t="shared" si="22"/>
        <v>0</v>
      </c>
      <c r="AS12" s="400">
        <f t="shared" si="23"/>
        <v>0</v>
      </c>
      <c r="AT12" s="400">
        <f t="shared" si="24"/>
        <v>0</v>
      </c>
      <c r="AU12" s="400">
        <f t="shared" si="25"/>
        <v>0</v>
      </c>
      <c r="AV12" s="400">
        <f t="shared" si="26"/>
        <v>0</v>
      </c>
      <c r="AX12" s="400">
        <f t="shared" si="5"/>
        <v>208915</v>
      </c>
      <c r="AY12" s="400">
        <f t="shared" si="6"/>
        <v>265713.32993333333</v>
      </c>
      <c r="AZ12" s="400">
        <f t="shared" si="27"/>
        <v>474628.32993333333</v>
      </c>
    </row>
    <row r="13" spans="1:52" x14ac:dyDescent="0.25">
      <c r="B13" s="43" t="s">
        <v>28</v>
      </c>
      <c r="C13" s="617">
        <v>275439.27913333336</v>
      </c>
      <c r="D13" s="617">
        <v>270750</v>
      </c>
      <c r="E13" s="617"/>
      <c r="F13" s="617"/>
      <c r="G13" s="617"/>
      <c r="H13" s="617"/>
      <c r="I13" s="617"/>
      <c r="K13" s="43" t="s">
        <v>28</v>
      </c>
      <c r="L13" s="397"/>
      <c r="M13" s="397"/>
      <c r="N13" s="397"/>
      <c r="O13" s="397"/>
      <c r="Q13" s="43" t="s">
        <v>28</v>
      </c>
      <c r="R13" s="617"/>
      <c r="S13" s="397"/>
      <c r="U13" s="40"/>
      <c r="V13" s="43" t="s">
        <v>27</v>
      </c>
      <c r="W13" s="400">
        <f t="shared" si="7"/>
        <v>269545</v>
      </c>
      <c r="X13" s="400">
        <f t="shared" si="8"/>
        <v>254485.726</v>
      </c>
      <c r="Y13" s="400">
        <f t="shared" si="9"/>
        <v>0</v>
      </c>
      <c r="Z13" s="400">
        <f t="shared" si="10"/>
        <v>0</v>
      </c>
      <c r="AA13" s="400">
        <f t="shared" si="11"/>
        <v>0</v>
      </c>
      <c r="AB13" s="400">
        <f t="shared" si="11"/>
        <v>0</v>
      </c>
      <c r="AC13" s="400">
        <f t="shared" si="12"/>
        <v>0</v>
      </c>
      <c r="AD13" s="400">
        <f t="shared" si="13"/>
        <v>0</v>
      </c>
      <c r="AE13" s="400">
        <f t="shared" si="14"/>
        <v>0</v>
      </c>
      <c r="AF13" s="400">
        <f t="shared" si="15"/>
        <v>0</v>
      </c>
      <c r="AG13" s="400">
        <f t="shared" si="16"/>
        <v>0</v>
      </c>
      <c r="AH13" s="400">
        <f t="shared" si="17"/>
        <v>0</v>
      </c>
      <c r="AI13" s="400">
        <f t="shared" si="18"/>
        <v>0</v>
      </c>
      <c r="AJ13" s="400">
        <f t="shared" si="19"/>
        <v>0</v>
      </c>
      <c r="AK13" s="400">
        <f t="shared" si="20"/>
        <v>0</v>
      </c>
      <c r="AL13" s="400">
        <f t="shared" si="20"/>
        <v>0</v>
      </c>
      <c r="AM13" s="400">
        <f t="shared" si="20"/>
        <v>0</v>
      </c>
      <c r="AN13" s="400">
        <f t="shared" si="20"/>
        <v>0</v>
      </c>
      <c r="AO13" s="400">
        <f t="shared" si="20"/>
        <v>0</v>
      </c>
      <c r="AP13" s="400">
        <f t="shared" si="20"/>
        <v>0</v>
      </c>
      <c r="AQ13" s="400">
        <f t="shared" si="21"/>
        <v>0</v>
      </c>
      <c r="AR13" s="400">
        <f t="shared" si="22"/>
        <v>0</v>
      </c>
      <c r="AS13" s="400">
        <f t="shared" si="23"/>
        <v>0</v>
      </c>
      <c r="AT13" s="400">
        <f t="shared" si="24"/>
        <v>0</v>
      </c>
      <c r="AU13" s="400">
        <f t="shared" si="25"/>
        <v>0</v>
      </c>
      <c r="AV13" s="400">
        <f t="shared" si="26"/>
        <v>0</v>
      </c>
      <c r="AX13" s="400">
        <f t="shared" si="5"/>
        <v>269545</v>
      </c>
      <c r="AY13" s="400">
        <f t="shared" si="6"/>
        <v>254485.726</v>
      </c>
      <c r="AZ13" s="400">
        <f t="shared" si="27"/>
        <v>524030.72600000002</v>
      </c>
    </row>
    <row r="14" spans="1:52" x14ac:dyDescent="0.25">
      <c r="B14" s="43" t="s">
        <v>29</v>
      </c>
      <c r="C14" s="617">
        <v>273301.16146666667</v>
      </c>
      <c r="D14" s="617">
        <v>238285</v>
      </c>
      <c r="E14" s="617"/>
      <c r="F14" s="617"/>
      <c r="G14" s="617"/>
      <c r="H14" s="617"/>
      <c r="I14" s="617"/>
      <c r="K14" s="43" t="s">
        <v>29</v>
      </c>
      <c r="L14" s="397"/>
      <c r="M14" s="397"/>
      <c r="N14" s="397"/>
      <c r="O14" s="397"/>
      <c r="Q14" s="43" t="s">
        <v>29</v>
      </c>
      <c r="R14" s="617"/>
      <c r="S14" s="397"/>
      <c r="U14" s="40"/>
      <c r="V14" s="43" t="s">
        <v>28</v>
      </c>
      <c r="W14" s="400">
        <f t="shared" si="7"/>
        <v>270750</v>
      </c>
      <c r="X14" s="400">
        <f t="shared" si="8"/>
        <v>275439.27913333336</v>
      </c>
      <c r="Y14" s="400">
        <f t="shared" si="9"/>
        <v>0</v>
      </c>
      <c r="Z14" s="400">
        <f t="shared" si="10"/>
        <v>0</v>
      </c>
      <c r="AA14" s="400">
        <f t="shared" si="11"/>
        <v>0</v>
      </c>
      <c r="AB14" s="400">
        <f t="shared" si="11"/>
        <v>0</v>
      </c>
      <c r="AC14" s="400">
        <f t="shared" si="12"/>
        <v>0</v>
      </c>
      <c r="AD14" s="400">
        <f t="shared" si="13"/>
        <v>0</v>
      </c>
      <c r="AE14" s="400">
        <f t="shared" si="14"/>
        <v>0</v>
      </c>
      <c r="AF14" s="400">
        <f t="shared" si="15"/>
        <v>0</v>
      </c>
      <c r="AG14" s="400">
        <f t="shared" si="16"/>
        <v>0</v>
      </c>
      <c r="AH14" s="400">
        <f t="shared" si="17"/>
        <v>0</v>
      </c>
      <c r="AI14" s="400">
        <f t="shared" si="18"/>
        <v>0</v>
      </c>
      <c r="AJ14" s="400">
        <f t="shared" si="19"/>
        <v>0</v>
      </c>
      <c r="AK14" s="400">
        <f t="shared" si="20"/>
        <v>0</v>
      </c>
      <c r="AL14" s="400">
        <f t="shared" si="20"/>
        <v>0</v>
      </c>
      <c r="AM14" s="400">
        <f t="shared" si="20"/>
        <v>0</v>
      </c>
      <c r="AN14" s="400">
        <f t="shared" si="20"/>
        <v>0</v>
      </c>
      <c r="AO14" s="400">
        <f t="shared" si="20"/>
        <v>0</v>
      </c>
      <c r="AP14" s="400">
        <f t="shared" si="20"/>
        <v>0</v>
      </c>
      <c r="AQ14" s="400">
        <f t="shared" si="21"/>
        <v>0</v>
      </c>
      <c r="AR14" s="400">
        <f t="shared" si="22"/>
        <v>0</v>
      </c>
      <c r="AS14" s="400">
        <f t="shared" si="23"/>
        <v>0</v>
      </c>
      <c r="AT14" s="400">
        <f t="shared" si="24"/>
        <v>0</v>
      </c>
      <c r="AU14" s="400">
        <f t="shared" si="25"/>
        <v>0</v>
      </c>
      <c r="AV14" s="400">
        <f t="shared" si="26"/>
        <v>0</v>
      </c>
      <c r="AX14" s="400">
        <f t="shared" si="5"/>
        <v>270750</v>
      </c>
      <c r="AY14" s="400">
        <f t="shared" si="6"/>
        <v>275439.27913333336</v>
      </c>
      <c r="AZ14" s="400">
        <f t="shared" si="27"/>
        <v>546189.27913333336</v>
      </c>
    </row>
    <row r="15" spans="1:52" x14ac:dyDescent="0.25">
      <c r="B15" s="43" t="s">
        <v>30</v>
      </c>
      <c r="C15" s="617">
        <v>258592.90086666669</v>
      </c>
      <c r="D15" s="617">
        <v>210380</v>
      </c>
      <c r="E15" s="617"/>
      <c r="F15" s="617"/>
      <c r="G15" s="617"/>
      <c r="H15" s="617"/>
      <c r="I15" s="617"/>
      <c r="K15" s="43" t="s">
        <v>30</v>
      </c>
      <c r="L15" s="397"/>
      <c r="M15" s="397"/>
      <c r="N15" s="397"/>
      <c r="O15" s="397"/>
      <c r="Q15" s="43" t="s">
        <v>30</v>
      </c>
      <c r="R15" s="617"/>
      <c r="S15" s="397"/>
      <c r="U15" s="40"/>
      <c r="V15" s="43" t="s">
        <v>29</v>
      </c>
      <c r="W15" s="400">
        <f t="shared" si="7"/>
        <v>238285</v>
      </c>
      <c r="X15" s="400">
        <f t="shared" si="8"/>
        <v>273301.16146666667</v>
      </c>
      <c r="Y15" s="400">
        <f t="shared" si="9"/>
        <v>0</v>
      </c>
      <c r="Z15" s="400">
        <f t="shared" si="10"/>
        <v>0</v>
      </c>
      <c r="AA15" s="400">
        <f t="shared" si="11"/>
        <v>0</v>
      </c>
      <c r="AB15" s="400">
        <f t="shared" si="11"/>
        <v>0</v>
      </c>
      <c r="AC15" s="400">
        <f t="shared" si="12"/>
        <v>0</v>
      </c>
      <c r="AD15" s="400">
        <f t="shared" si="13"/>
        <v>0</v>
      </c>
      <c r="AE15" s="400">
        <f t="shared" si="14"/>
        <v>0</v>
      </c>
      <c r="AF15" s="400">
        <f t="shared" si="15"/>
        <v>0</v>
      </c>
      <c r="AG15" s="400">
        <f t="shared" si="16"/>
        <v>0</v>
      </c>
      <c r="AH15" s="400">
        <f t="shared" si="17"/>
        <v>0</v>
      </c>
      <c r="AI15" s="400">
        <f t="shared" si="18"/>
        <v>0</v>
      </c>
      <c r="AJ15" s="400">
        <f t="shared" si="19"/>
        <v>0</v>
      </c>
      <c r="AK15" s="400">
        <f t="shared" si="20"/>
        <v>0</v>
      </c>
      <c r="AL15" s="400">
        <f t="shared" si="20"/>
        <v>0</v>
      </c>
      <c r="AM15" s="400">
        <f t="shared" si="20"/>
        <v>0</v>
      </c>
      <c r="AN15" s="400">
        <f t="shared" si="20"/>
        <v>0</v>
      </c>
      <c r="AO15" s="400">
        <f t="shared" si="20"/>
        <v>0</v>
      </c>
      <c r="AP15" s="400">
        <f t="shared" si="20"/>
        <v>0</v>
      </c>
      <c r="AQ15" s="400">
        <f t="shared" si="21"/>
        <v>0</v>
      </c>
      <c r="AR15" s="400">
        <f t="shared" si="22"/>
        <v>0</v>
      </c>
      <c r="AS15" s="400">
        <f t="shared" si="23"/>
        <v>0</v>
      </c>
      <c r="AT15" s="400">
        <f t="shared" si="24"/>
        <v>0</v>
      </c>
      <c r="AU15" s="400">
        <f t="shared" si="25"/>
        <v>0</v>
      </c>
      <c r="AV15" s="400">
        <f t="shared" si="26"/>
        <v>0</v>
      </c>
      <c r="AX15" s="400">
        <f t="shared" si="5"/>
        <v>238285</v>
      </c>
      <c r="AY15" s="400">
        <f t="shared" si="6"/>
        <v>273301.16146666667</v>
      </c>
      <c r="AZ15" s="400">
        <f t="shared" si="27"/>
        <v>511586.16146666667</v>
      </c>
    </row>
    <row r="16" spans="1:52" x14ac:dyDescent="0.25">
      <c r="B16" s="43" t="s">
        <v>31</v>
      </c>
      <c r="C16" s="617">
        <v>319474.55833333329</v>
      </c>
      <c r="D16" s="617">
        <v>211645</v>
      </c>
      <c r="E16" s="617"/>
      <c r="F16" s="617"/>
      <c r="G16" s="617"/>
      <c r="H16" s="617"/>
      <c r="I16" s="617"/>
      <c r="K16" s="43" t="s">
        <v>31</v>
      </c>
      <c r="L16" s="397"/>
      <c r="M16" s="397"/>
      <c r="N16" s="397"/>
      <c r="O16" s="397"/>
      <c r="Q16" s="43" t="s">
        <v>31</v>
      </c>
      <c r="R16" s="617"/>
      <c r="S16" s="397"/>
      <c r="U16" s="40"/>
      <c r="V16" s="43" t="s">
        <v>30</v>
      </c>
      <c r="W16" s="400">
        <f t="shared" si="7"/>
        <v>210380</v>
      </c>
      <c r="X16" s="400">
        <f t="shared" si="8"/>
        <v>258592.90086666669</v>
      </c>
      <c r="Y16" s="400">
        <f t="shared" si="9"/>
        <v>0</v>
      </c>
      <c r="Z16" s="400">
        <f t="shared" si="10"/>
        <v>0</v>
      </c>
      <c r="AA16" s="400">
        <f t="shared" si="11"/>
        <v>0</v>
      </c>
      <c r="AB16" s="400">
        <f t="shared" si="11"/>
        <v>0</v>
      </c>
      <c r="AC16" s="400">
        <f t="shared" si="12"/>
        <v>0</v>
      </c>
      <c r="AD16" s="400">
        <f t="shared" si="13"/>
        <v>0</v>
      </c>
      <c r="AE16" s="400">
        <f t="shared" si="14"/>
        <v>0</v>
      </c>
      <c r="AF16" s="400">
        <f t="shared" si="15"/>
        <v>0</v>
      </c>
      <c r="AG16" s="400">
        <f t="shared" si="16"/>
        <v>0</v>
      </c>
      <c r="AH16" s="400">
        <f t="shared" si="17"/>
        <v>0</v>
      </c>
      <c r="AI16" s="400">
        <f t="shared" si="18"/>
        <v>0</v>
      </c>
      <c r="AJ16" s="400">
        <f t="shared" si="19"/>
        <v>0</v>
      </c>
      <c r="AK16" s="400">
        <f t="shared" si="20"/>
        <v>0</v>
      </c>
      <c r="AL16" s="400">
        <f t="shared" si="20"/>
        <v>0</v>
      </c>
      <c r="AM16" s="400">
        <f t="shared" si="20"/>
        <v>0</v>
      </c>
      <c r="AN16" s="400">
        <f t="shared" si="20"/>
        <v>0</v>
      </c>
      <c r="AO16" s="400">
        <f t="shared" si="20"/>
        <v>0</v>
      </c>
      <c r="AP16" s="400">
        <f t="shared" si="20"/>
        <v>0</v>
      </c>
      <c r="AQ16" s="400">
        <f t="shared" si="21"/>
        <v>0</v>
      </c>
      <c r="AR16" s="400">
        <f t="shared" si="22"/>
        <v>0</v>
      </c>
      <c r="AS16" s="400">
        <f t="shared" si="23"/>
        <v>0</v>
      </c>
      <c r="AT16" s="400">
        <f t="shared" si="24"/>
        <v>0</v>
      </c>
      <c r="AU16" s="400">
        <f t="shared" si="25"/>
        <v>0</v>
      </c>
      <c r="AV16" s="400">
        <f t="shared" si="26"/>
        <v>0</v>
      </c>
      <c r="AX16" s="400">
        <f t="shared" si="5"/>
        <v>210380</v>
      </c>
      <c r="AY16" s="400">
        <f t="shared" si="6"/>
        <v>258592.90086666669</v>
      </c>
      <c r="AZ16" s="400">
        <f t="shared" si="27"/>
        <v>468972.90086666669</v>
      </c>
    </row>
    <row r="17" spans="1:52" x14ac:dyDescent="0.25">
      <c r="B17" s="43" t="s">
        <v>32</v>
      </c>
      <c r="C17" s="617">
        <v>308296.67806666665</v>
      </c>
      <c r="D17" s="617">
        <v>200150</v>
      </c>
      <c r="E17" s="617"/>
      <c r="F17" s="617"/>
      <c r="G17" s="617"/>
      <c r="H17" s="617"/>
      <c r="I17" s="617"/>
      <c r="K17" s="43" t="s">
        <v>32</v>
      </c>
      <c r="L17" s="397"/>
      <c r="M17" s="397"/>
      <c r="N17" s="397"/>
      <c r="O17" s="397"/>
      <c r="Q17" s="43" t="s">
        <v>32</v>
      </c>
      <c r="R17" s="617"/>
      <c r="S17" s="397"/>
      <c r="U17" s="40"/>
      <c r="V17" s="43" t="s">
        <v>31</v>
      </c>
      <c r="W17" s="400">
        <f t="shared" si="7"/>
        <v>211645</v>
      </c>
      <c r="X17" s="400">
        <f t="shared" si="8"/>
        <v>319474.55833333329</v>
      </c>
      <c r="Y17" s="400">
        <f t="shared" si="9"/>
        <v>0</v>
      </c>
      <c r="Z17" s="400">
        <f t="shared" si="10"/>
        <v>0</v>
      </c>
      <c r="AA17" s="400">
        <f t="shared" si="11"/>
        <v>0</v>
      </c>
      <c r="AB17" s="400">
        <f t="shared" si="11"/>
        <v>0</v>
      </c>
      <c r="AC17" s="400">
        <f t="shared" si="12"/>
        <v>0</v>
      </c>
      <c r="AD17" s="400">
        <f t="shared" si="13"/>
        <v>0</v>
      </c>
      <c r="AE17" s="400">
        <f t="shared" si="14"/>
        <v>0</v>
      </c>
      <c r="AF17" s="400">
        <f t="shared" si="15"/>
        <v>0</v>
      </c>
      <c r="AG17" s="400">
        <f t="shared" si="16"/>
        <v>0</v>
      </c>
      <c r="AH17" s="400">
        <f t="shared" si="17"/>
        <v>0</v>
      </c>
      <c r="AI17" s="400">
        <f t="shared" si="18"/>
        <v>0</v>
      </c>
      <c r="AJ17" s="400">
        <f t="shared" si="19"/>
        <v>0</v>
      </c>
      <c r="AK17" s="400">
        <f t="shared" si="20"/>
        <v>0</v>
      </c>
      <c r="AL17" s="400">
        <f t="shared" si="20"/>
        <v>0</v>
      </c>
      <c r="AM17" s="400">
        <f t="shared" si="20"/>
        <v>0</v>
      </c>
      <c r="AN17" s="400">
        <f t="shared" si="20"/>
        <v>0</v>
      </c>
      <c r="AO17" s="400">
        <f t="shared" si="20"/>
        <v>0</v>
      </c>
      <c r="AP17" s="400">
        <f t="shared" si="20"/>
        <v>0</v>
      </c>
      <c r="AQ17" s="400">
        <f t="shared" si="21"/>
        <v>0</v>
      </c>
      <c r="AR17" s="400">
        <f t="shared" si="22"/>
        <v>0</v>
      </c>
      <c r="AS17" s="400">
        <f t="shared" si="23"/>
        <v>0</v>
      </c>
      <c r="AT17" s="400">
        <f t="shared" si="24"/>
        <v>0</v>
      </c>
      <c r="AU17" s="400">
        <f t="shared" si="25"/>
        <v>0</v>
      </c>
      <c r="AV17" s="400">
        <f t="shared" si="26"/>
        <v>0</v>
      </c>
      <c r="AX17" s="400">
        <f t="shared" si="5"/>
        <v>211645</v>
      </c>
      <c r="AY17" s="400">
        <f t="shared" si="6"/>
        <v>319474.55833333329</v>
      </c>
      <c r="AZ17" s="400">
        <f t="shared" si="27"/>
        <v>531119.55833333335</v>
      </c>
    </row>
    <row r="18" spans="1:52" x14ac:dyDescent="0.25">
      <c r="B18" s="43" t="s">
        <v>33</v>
      </c>
      <c r="C18" s="617">
        <v>373772.80233333335</v>
      </c>
      <c r="D18" s="617">
        <v>224355</v>
      </c>
      <c r="E18" s="617"/>
      <c r="F18" s="617"/>
      <c r="G18" s="617"/>
      <c r="H18" s="617"/>
      <c r="I18" s="617"/>
      <c r="K18" s="43" t="s">
        <v>33</v>
      </c>
      <c r="L18" s="397"/>
      <c r="M18" s="397"/>
      <c r="N18" s="397"/>
      <c r="O18" s="397"/>
      <c r="Q18" s="43" t="s">
        <v>33</v>
      </c>
      <c r="R18" s="617"/>
      <c r="S18" s="397"/>
      <c r="U18" s="40"/>
      <c r="V18" s="43" t="s">
        <v>32</v>
      </c>
      <c r="W18" s="400">
        <f t="shared" si="7"/>
        <v>200150</v>
      </c>
      <c r="X18" s="400">
        <f t="shared" si="8"/>
        <v>308296.67806666665</v>
      </c>
      <c r="Y18" s="400">
        <f t="shared" si="9"/>
        <v>0</v>
      </c>
      <c r="Z18" s="400">
        <f t="shared" si="10"/>
        <v>0</v>
      </c>
      <c r="AA18" s="400">
        <f t="shared" si="11"/>
        <v>0</v>
      </c>
      <c r="AB18" s="400">
        <f t="shared" si="11"/>
        <v>0</v>
      </c>
      <c r="AC18" s="400">
        <f t="shared" si="12"/>
        <v>0</v>
      </c>
      <c r="AD18" s="400">
        <f t="shared" si="13"/>
        <v>0</v>
      </c>
      <c r="AE18" s="400">
        <f t="shared" si="14"/>
        <v>0</v>
      </c>
      <c r="AF18" s="400">
        <f t="shared" si="15"/>
        <v>0</v>
      </c>
      <c r="AG18" s="400">
        <f t="shared" si="16"/>
        <v>0</v>
      </c>
      <c r="AH18" s="400">
        <f t="shared" si="17"/>
        <v>0</v>
      </c>
      <c r="AI18" s="400">
        <f t="shared" si="18"/>
        <v>0</v>
      </c>
      <c r="AJ18" s="400">
        <f t="shared" si="19"/>
        <v>0</v>
      </c>
      <c r="AK18" s="400">
        <f t="shared" si="20"/>
        <v>0</v>
      </c>
      <c r="AL18" s="400">
        <f t="shared" si="20"/>
        <v>0</v>
      </c>
      <c r="AM18" s="400">
        <f t="shared" si="20"/>
        <v>0</v>
      </c>
      <c r="AN18" s="400">
        <f t="shared" si="20"/>
        <v>0</v>
      </c>
      <c r="AO18" s="400">
        <f t="shared" si="20"/>
        <v>0</v>
      </c>
      <c r="AP18" s="400">
        <f t="shared" si="20"/>
        <v>0</v>
      </c>
      <c r="AQ18" s="400">
        <f t="shared" si="21"/>
        <v>0</v>
      </c>
      <c r="AR18" s="400">
        <f t="shared" si="22"/>
        <v>0</v>
      </c>
      <c r="AS18" s="400">
        <f t="shared" si="23"/>
        <v>0</v>
      </c>
      <c r="AT18" s="400">
        <f t="shared" si="24"/>
        <v>0</v>
      </c>
      <c r="AU18" s="400">
        <f t="shared" si="25"/>
        <v>0</v>
      </c>
      <c r="AV18" s="400">
        <f t="shared" si="26"/>
        <v>0</v>
      </c>
      <c r="AX18" s="400">
        <f t="shared" si="5"/>
        <v>200150</v>
      </c>
      <c r="AY18" s="400">
        <f t="shared" si="6"/>
        <v>308296.67806666665</v>
      </c>
      <c r="AZ18" s="400">
        <f t="shared" si="27"/>
        <v>508446.67806666665</v>
      </c>
    </row>
    <row r="19" spans="1:52" x14ac:dyDescent="0.25">
      <c r="B19" s="43" t="s">
        <v>36</v>
      </c>
      <c r="C19" s="399">
        <f>SUM(C7:C18)</f>
        <v>3556346.032066667</v>
      </c>
      <c r="D19" s="399">
        <f t="shared" ref="D19:F19" si="28">SUM(D7:D18)</f>
        <v>2622575</v>
      </c>
      <c r="E19" s="399">
        <f t="shared" si="28"/>
        <v>0</v>
      </c>
      <c r="F19" s="399">
        <f t="shared" si="28"/>
        <v>0</v>
      </c>
      <c r="G19" s="399">
        <f t="shared" ref="G19:I19" si="29">SUM(G7:G18)</f>
        <v>0</v>
      </c>
      <c r="H19" s="399">
        <f t="shared" si="29"/>
        <v>0</v>
      </c>
      <c r="I19" s="399">
        <f t="shared" si="29"/>
        <v>0</v>
      </c>
      <c r="K19" s="43" t="s">
        <v>36</v>
      </c>
      <c r="L19" s="399">
        <f>SUM(L7:L18)</f>
        <v>0</v>
      </c>
      <c r="M19" s="399">
        <f>SUM(M7:M18)</f>
        <v>0</v>
      </c>
      <c r="N19" s="399">
        <f t="shared" ref="N19:O19" si="30">SUM(N7:N18)</f>
        <v>0</v>
      </c>
      <c r="O19" s="399">
        <f t="shared" si="30"/>
        <v>0</v>
      </c>
      <c r="Q19" s="43" t="s">
        <v>36</v>
      </c>
      <c r="R19" s="399">
        <f>SUM(R7:R18)</f>
        <v>0</v>
      </c>
      <c r="S19" s="399">
        <f>SUM(S7:S18)</f>
        <v>0</v>
      </c>
      <c r="U19" s="40"/>
      <c r="V19" s="43" t="s">
        <v>33</v>
      </c>
      <c r="W19" s="400">
        <f t="shared" si="7"/>
        <v>224355</v>
      </c>
      <c r="X19" s="400">
        <f t="shared" si="8"/>
        <v>373772.80233333335</v>
      </c>
      <c r="Y19" s="400">
        <f t="shared" si="9"/>
        <v>0</v>
      </c>
      <c r="Z19" s="400">
        <f t="shared" si="10"/>
        <v>0</v>
      </c>
      <c r="AA19" s="400">
        <f t="shared" si="11"/>
        <v>0</v>
      </c>
      <c r="AB19" s="400">
        <f t="shared" si="11"/>
        <v>0</v>
      </c>
      <c r="AC19" s="400">
        <f t="shared" si="12"/>
        <v>0</v>
      </c>
      <c r="AD19" s="400">
        <f t="shared" si="13"/>
        <v>0</v>
      </c>
      <c r="AE19" s="400">
        <f t="shared" si="14"/>
        <v>0</v>
      </c>
      <c r="AF19" s="400">
        <f t="shared" si="15"/>
        <v>0</v>
      </c>
      <c r="AG19" s="400">
        <f t="shared" si="16"/>
        <v>0</v>
      </c>
      <c r="AH19" s="400">
        <f t="shared" si="17"/>
        <v>0</v>
      </c>
      <c r="AI19" s="400">
        <f t="shared" si="18"/>
        <v>0</v>
      </c>
      <c r="AJ19" s="400">
        <f t="shared" si="19"/>
        <v>0</v>
      </c>
      <c r="AK19" s="400">
        <f t="shared" si="20"/>
        <v>0</v>
      </c>
      <c r="AL19" s="400">
        <f t="shared" si="20"/>
        <v>0</v>
      </c>
      <c r="AM19" s="400">
        <f t="shared" si="20"/>
        <v>0</v>
      </c>
      <c r="AN19" s="400">
        <f t="shared" si="20"/>
        <v>0</v>
      </c>
      <c r="AO19" s="400">
        <f t="shared" si="20"/>
        <v>0</v>
      </c>
      <c r="AP19" s="400">
        <f t="shared" si="20"/>
        <v>0</v>
      </c>
      <c r="AQ19" s="400">
        <f t="shared" si="21"/>
        <v>0</v>
      </c>
      <c r="AR19" s="400">
        <f t="shared" si="22"/>
        <v>0</v>
      </c>
      <c r="AS19" s="400">
        <f t="shared" si="23"/>
        <v>0</v>
      </c>
      <c r="AT19" s="400">
        <f t="shared" si="24"/>
        <v>0</v>
      </c>
      <c r="AU19" s="400">
        <f t="shared" si="25"/>
        <v>0</v>
      </c>
      <c r="AV19" s="400">
        <f t="shared" si="26"/>
        <v>0</v>
      </c>
      <c r="AX19" s="400">
        <f t="shared" si="5"/>
        <v>224355</v>
      </c>
      <c r="AY19" s="400">
        <f t="shared" si="6"/>
        <v>373772.80233333335</v>
      </c>
      <c r="AZ19" s="400">
        <f t="shared" si="27"/>
        <v>598127.8023333333</v>
      </c>
    </row>
    <row r="20" spans="1:52" x14ac:dyDescent="0.25">
      <c r="U20" s="40">
        <f>BefrJahr2</f>
        <v>2013</v>
      </c>
      <c r="V20" s="43" t="s">
        <v>22</v>
      </c>
      <c r="W20" s="400">
        <f t="shared" ref="W20:AK20" si="31">SUMIF($C$29:$I$29,W$7,$C32:$I32)</f>
        <v>204005</v>
      </c>
      <c r="X20" s="400">
        <f t="shared" si="31"/>
        <v>387884.37893333327</v>
      </c>
      <c r="Y20" s="400">
        <f t="shared" si="31"/>
        <v>0</v>
      </c>
      <c r="Z20" s="400">
        <f t="shared" si="31"/>
        <v>0</v>
      </c>
      <c r="AA20" s="400">
        <f t="shared" si="31"/>
        <v>0</v>
      </c>
      <c r="AB20" s="400">
        <f t="shared" si="31"/>
        <v>0</v>
      </c>
      <c r="AC20" s="400">
        <f t="shared" si="31"/>
        <v>0</v>
      </c>
      <c r="AD20" s="400">
        <f t="shared" si="31"/>
        <v>0</v>
      </c>
      <c r="AE20" s="400">
        <f t="shared" si="31"/>
        <v>0</v>
      </c>
      <c r="AF20" s="400">
        <f t="shared" si="31"/>
        <v>0</v>
      </c>
      <c r="AG20" s="400">
        <f t="shared" si="31"/>
        <v>0</v>
      </c>
      <c r="AH20" s="400">
        <f t="shared" si="31"/>
        <v>0</v>
      </c>
      <c r="AI20" s="400">
        <f t="shared" si="31"/>
        <v>0</v>
      </c>
      <c r="AJ20" s="400">
        <f t="shared" si="31"/>
        <v>0</v>
      </c>
      <c r="AK20" s="400">
        <f t="shared" si="31"/>
        <v>0</v>
      </c>
      <c r="AL20" s="400">
        <f t="shared" ref="AL20:AP20" si="32">SUMIF($C$29:$I$29,AL$7,$C32:$I32)</f>
        <v>0</v>
      </c>
      <c r="AM20" s="400">
        <f t="shared" si="32"/>
        <v>0</v>
      </c>
      <c r="AN20" s="400">
        <f t="shared" si="32"/>
        <v>0</v>
      </c>
      <c r="AO20" s="400">
        <f t="shared" si="32"/>
        <v>0</v>
      </c>
      <c r="AP20" s="400">
        <f t="shared" si="32"/>
        <v>0</v>
      </c>
      <c r="AQ20" s="400">
        <f t="shared" ref="AQ20:AT31" si="33">SUMIF($L$29:$O$29,AQ$7,$L32:$O32)</f>
        <v>0</v>
      </c>
      <c r="AR20" s="400">
        <f t="shared" si="33"/>
        <v>0</v>
      </c>
      <c r="AS20" s="400">
        <f t="shared" si="33"/>
        <v>0</v>
      </c>
      <c r="AT20" s="400">
        <f t="shared" si="33"/>
        <v>0</v>
      </c>
      <c r="AU20" s="400">
        <f t="shared" ref="AU20:AU31" si="34">SUMIF($R$29:$S$29,AU$7,$R32:$S32)</f>
        <v>0</v>
      </c>
      <c r="AV20" s="400">
        <f t="shared" ref="AV20:AV31" si="35">SUMIF($R$4:$S$4,AV$7,$R32:$S32)</f>
        <v>0</v>
      </c>
      <c r="AX20" s="400">
        <f t="shared" si="5"/>
        <v>204005</v>
      </c>
      <c r="AY20" s="400">
        <f t="shared" si="6"/>
        <v>387884.37893333327</v>
      </c>
      <c r="AZ20" s="400">
        <f t="shared" si="27"/>
        <v>591889.37893333333</v>
      </c>
    </row>
    <row r="21" spans="1:52" x14ac:dyDescent="0.25">
      <c r="B21" s="43" t="s">
        <v>105</v>
      </c>
      <c r="C21" s="198" t="s">
        <v>311</v>
      </c>
      <c r="D21" s="198" t="s">
        <v>308</v>
      </c>
      <c r="E21" s="198"/>
      <c r="F21" s="198"/>
      <c r="G21" s="198"/>
      <c r="H21" s="198"/>
      <c r="I21" s="198"/>
      <c r="K21" s="43" t="s">
        <v>105</v>
      </c>
      <c r="L21" s="397"/>
      <c r="M21" s="397"/>
      <c r="N21" s="397"/>
      <c r="O21" s="397"/>
      <c r="Q21" s="43" t="s">
        <v>105</v>
      </c>
      <c r="R21" s="397"/>
      <c r="S21" s="397"/>
      <c r="U21" s="40"/>
      <c r="V21" s="43" t="s">
        <v>23</v>
      </c>
      <c r="W21" s="400">
        <f t="shared" ref="W21:AK21" si="36">SUMIF($C$29:$I$29,W$7,$C33:$I33)</f>
        <v>193160</v>
      </c>
      <c r="X21" s="400">
        <f t="shared" si="36"/>
        <v>319723.17666666664</v>
      </c>
      <c r="Y21" s="400">
        <f t="shared" si="36"/>
        <v>0</v>
      </c>
      <c r="Z21" s="400">
        <f t="shared" si="36"/>
        <v>0</v>
      </c>
      <c r="AA21" s="400">
        <f t="shared" si="36"/>
        <v>0</v>
      </c>
      <c r="AB21" s="400">
        <f t="shared" si="36"/>
        <v>0</v>
      </c>
      <c r="AC21" s="400">
        <f t="shared" si="36"/>
        <v>0</v>
      </c>
      <c r="AD21" s="400">
        <f t="shared" si="36"/>
        <v>0</v>
      </c>
      <c r="AE21" s="400">
        <f t="shared" si="36"/>
        <v>0</v>
      </c>
      <c r="AF21" s="400">
        <f t="shared" si="36"/>
        <v>0</v>
      </c>
      <c r="AG21" s="400">
        <f t="shared" si="36"/>
        <v>0</v>
      </c>
      <c r="AH21" s="400">
        <f t="shared" si="36"/>
        <v>0</v>
      </c>
      <c r="AI21" s="400">
        <f t="shared" si="36"/>
        <v>0</v>
      </c>
      <c r="AJ21" s="400">
        <f t="shared" si="36"/>
        <v>0</v>
      </c>
      <c r="AK21" s="400">
        <f t="shared" si="36"/>
        <v>0</v>
      </c>
      <c r="AL21" s="400">
        <f t="shared" ref="AL21:AP21" si="37">SUMIF($C$29:$I$29,AL$7,$C33:$I33)</f>
        <v>0</v>
      </c>
      <c r="AM21" s="400">
        <f t="shared" si="37"/>
        <v>0</v>
      </c>
      <c r="AN21" s="400">
        <f t="shared" si="37"/>
        <v>0</v>
      </c>
      <c r="AO21" s="400">
        <f t="shared" si="37"/>
        <v>0</v>
      </c>
      <c r="AP21" s="400">
        <f t="shared" si="37"/>
        <v>0</v>
      </c>
      <c r="AQ21" s="400">
        <f t="shared" si="33"/>
        <v>0</v>
      </c>
      <c r="AR21" s="400">
        <f t="shared" si="33"/>
        <v>0</v>
      </c>
      <c r="AS21" s="400">
        <f t="shared" si="33"/>
        <v>0</v>
      </c>
      <c r="AT21" s="400">
        <f t="shared" si="33"/>
        <v>0</v>
      </c>
      <c r="AU21" s="400">
        <f t="shared" si="34"/>
        <v>0</v>
      </c>
      <c r="AV21" s="400">
        <f t="shared" si="35"/>
        <v>0</v>
      </c>
      <c r="AX21" s="400">
        <f t="shared" si="5"/>
        <v>193160</v>
      </c>
      <c r="AY21" s="400">
        <f t="shared" si="6"/>
        <v>319723.17666666664</v>
      </c>
      <c r="AZ21" s="400">
        <f t="shared" si="27"/>
        <v>512883.17666666664</v>
      </c>
    </row>
    <row r="22" spans="1:52" x14ac:dyDescent="0.25">
      <c r="B22" s="43" t="str">
        <f xml:space="preserve"> "WBH* " &amp;BefrJahr1</f>
        <v>WBH* 2012</v>
      </c>
      <c r="C22" s="158"/>
      <c r="K22" s="43" t="str">
        <f xml:space="preserve"> "WBH* " &amp;BefrJahr1</f>
        <v>WBH* 2012</v>
      </c>
      <c r="L22" s="398"/>
      <c r="Q22" s="43" t="str">
        <f xml:space="preserve"> "WBH* " &amp;BefrJahr1</f>
        <v>WBH* 2012</v>
      </c>
      <c r="R22" s="398"/>
      <c r="U22" s="40"/>
      <c r="V22" s="43" t="s">
        <v>24</v>
      </c>
      <c r="W22" s="400">
        <f t="shared" ref="W22:AK22" si="38">SUMIF($C$29:$I$29,W$7,$C34:$I34)</f>
        <v>231245</v>
      </c>
      <c r="X22" s="400">
        <f t="shared" si="38"/>
        <v>323422.61746666668</v>
      </c>
      <c r="Y22" s="400">
        <f t="shared" si="38"/>
        <v>0</v>
      </c>
      <c r="Z22" s="400">
        <f t="shared" si="38"/>
        <v>0</v>
      </c>
      <c r="AA22" s="400">
        <f t="shared" si="38"/>
        <v>0</v>
      </c>
      <c r="AB22" s="400">
        <f t="shared" si="38"/>
        <v>0</v>
      </c>
      <c r="AC22" s="400">
        <f t="shared" si="38"/>
        <v>0</v>
      </c>
      <c r="AD22" s="400">
        <f t="shared" si="38"/>
        <v>0</v>
      </c>
      <c r="AE22" s="400">
        <f t="shared" si="38"/>
        <v>0</v>
      </c>
      <c r="AF22" s="400">
        <f t="shared" si="38"/>
        <v>0</v>
      </c>
      <c r="AG22" s="400">
        <f t="shared" si="38"/>
        <v>0</v>
      </c>
      <c r="AH22" s="400">
        <f t="shared" si="38"/>
        <v>0</v>
      </c>
      <c r="AI22" s="400">
        <f t="shared" si="38"/>
        <v>0</v>
      </c>
      <c r="AJ22" s="400">
        <f t="shared" si="38"/>
        <v>0</v>
      </c>
      <c r="AK22" s="400">
        <f t="shared" si="38"/>
        <v>0</v>
      </c>
      <c r="AL22" s="400">
        <f t="shared" ref="AL22:AP22" si="39">SUMIF($C$29:$I$29,AL$7,$C34:$I34)</f>
        <v>0</v>
      </c>
      <c r="AM22" s="400">
        <f t="shared" si="39"/>
        <v>0</v>
      </c>
      <c r="AN22" s="400">
        <f t="shared" si="39"/>
        <v>0</v>
      </c>
      <c r="AO22" s="400">
        <f t="shared" si="39"/>
        <v>0</v>
      </c>
      <c r="AP22" s="400">
        <f t="shared" si="39"/>
        <v>0</v>
      </c>
      <c r="AQ22" s="400">
        <f t="shared" si="33"/>
        <v>0</v>
      </c>
      <c r="AR22" s="400">
        <f t="shared" si="33"/>
        <v>0</v>
      </c>
      <c r="AS22" s="400">
        <f t="shared" si="33"/>
        <v>0</v>
      </c>
      <c r="AT22" s="400">
        <f t="shared" si="33"/>
        <v>0</v>
      </c>
      <c r="AU22" s="400">
        <f t="shared" si="34"/>
        <v>0</v>
      </c>
      <c r="AV22" s="400">
        <f t="shared" si="35"/>
        <v>0</v>
      </c>
      <c r="AX22" s="400">
        <f t="shared" si="5"/>
        <v>231245</v>
      </c>
      <c r="AY22" s="400">
        <f t="shared" si="6"/>
        <v>323422.61746666668</v>
      </c>
      <c r="AZ22" s="400">
        <f t="shared" si="27"/>
        <v>554667.61746666674</v>
      </c>
    </row>
    <row r="23" spans="1:52" x14ac:dyDescent="0.25">
      <c r="B23" s="47" t="s">
        <v>310</v>
      </c>
      <c r="K23" s="47" t="s">
        <v>310</v>
      </c>
      <c r="Q23" s="47" t="s">
        <v>310</v>
      </c>
      <c r="U23" s="51"/>
      <c r="V23" s="43" t="s">
        <v>25</v>
      </c>
      <c r="W23" s="400">
        <f t="shared" ref="W23:AK23" si="40">SUMIF($C$29:$I$29,W$7,$C35:$I35)</f>
        <v>216670</v>
      </c>
      <c r="X23" s="400">
        <f t="shared" si="40"/>
        <v>244908.94780000002</v>
      </c>
      <c r="Y23" s="400">
        <f t="shared" si="40"/>
        <v>0</v>
      </c>
      <c r="Z23" s="400">
        <f t="shared" si="40"/>
        <v>0</v>
      </c>
      <c r="AA23" s="400">
        <f t="shared" si="40"/>
        <v>0</v>
      </c>
      <c r="AB23" s="400">
        <f t="shared" si="40"/>
        <v>0</v>
      </c>
      <c r="AC23" s="400">
        <f t="shared" si="40"/>
        <v>0</v>
      </c>
      <c r="AD23" s="400">
        <f t="shared" si="40"/>
        <v>0</v>
      </c>
      <c r="AE23" s="400">
        <f t="shared" si="40"/>
        <v>0</v>
      </c>
      <c r="AF23" s="400">
        <f t="shared" si="40"/>
        <v>0</v>
      </c>
      <c r="AG23" s="400">
        <f t="shared" si="40"/>
        <v>0</v>
      </c>
      <c r="AH23" s="400">
        <f t="shared" si="40"/>
        <v>0</v>
      </c>
      <c r="AI23" s="400">
        <f t="shared" si="40"/>
        <v>0</v>
      </c>
      <c r="AJ23" s="400">
        <f t="shared" si="40"/>
        <v>0</v>
      </c>
      <c r="AK23" s="400">
        <f t="shared" si="40"/>
        <v>0</v>
      </c>
      <c r="AL23" s="400">
        <f t="shared" ref="AL23:AP23" si="41">SUMIF($C$29:$I$29,AL$7,$C35:$I35)</f>
        <v>0</v>
      </c>
      <c r="AM23" s="400">
        <f t="shared" si="41"/>
        <v>0</v>
      </c>
      <c r="AN23" s="400">
        <f t="shared" si="41"/>
        <v>0</v>
      </c>
      <c r="AO23" s="400">
        <f t="shared" si="41"/>
        <v>0</v>
      </c>
      <c r="AP23" s="400">
        <f t="shared" si="41"/>
        <v>0</v>
      </c>
      <c r="AQ23" s="400">
        <f t="shared" si="33"/>
        <v>0</v>
      </c>
      <c r="AR23" s="400">
        <f t="shared" si="33"/>
        <v>0</v>
      </c>
      <c r="AS23" s="400">
        <f t="shared" si="33"/>
        <v>0</v>
      </c>
      <c r="AT23" s="400">
        <f t="shared" si="33"/>
        <v>0</v>
      </c>
      <c r="AU23" s="400">
        <f t="shared" si="34"/>
        <v>0</v>
      </c>
      <c r="AV23" s="400">
        <f t="shared" si="35"/>
        <v>0</v>
      </c>
      <c r="AX23" s="400">
        <f t="shared" si="5"/>
        <v>216670</v>
      </c>
      <c r="AY23" s="400">
        <f t="shared" si="6"/>
        <v>244908.94780000002</v>
      </c>
      <c r="AZ23" s="400">
        <f t="shared" si="27"/>
        <v>461578.94780000002</v>
      </c>
    </row>
    <row r="24" spans="1:52" x14ac:dyDescent="0.25">
      <c r="U24" s="51"/>
      <c r="V24" s="43" t="s">
        <v>26</v>
      </c>
      <c r="W24" s="400">
        <f t="shared" ref="W24:AK24" si="42">SUMIF($C$29:$I$29,W$7,$C36:$I36)</f>
        <v>234720</v>
      </c>
      <c r="X24" s="400">
        <f t="shared" si="42"/>
        <v>284747.54953333334</v>
      </c>
      <c r="Y24" s="400">
        <f t="shared" si="42"/>
        <v>0</v>
      </c>
      <c r="Z24" s="400">
        <f t="shared" si="42"/>
        <v>0</v>
      </c>
      <c r="AA24" s="400">
        <f t="shared" si="42"/>
        <v>0</v>
      </c>
      <c r="AB24" s="400">
        <f t="shared" si="42"/>
        <v>0</v>
      </c>
      <c r="AC24" s="400">
        <f t="shared" si="42"/>
        <v>0</v>
      </c>
      <c r="AD24" s="400">
        <f t="shared" si="42"/>
        <v>0</v>
      </c>
      <c r="AE24" s="400">
        <f t="shared" si="42"/>
        <v>0</v>
      </c>
      <c r="AF24" s="400">
        <f t="shared" si="42"/>
        <v>0</v>
      </c>
      <c r="AG24" s="400">
        <f t="shared" si="42"/>
        <v>0</v>
      </c>
      <c r="AH24" s="400">
        <f t="shared" si="42"/>
        <v>0</v>
      </c>
      <c r="AI24" s="400">
        <f t="shared" si="42"/>
        <v>0</v>
      </c>
      <c r="AJ24" s="400">
        <f t="shared" si="42"/>
        <v>0</v>
      </c>
      <c r="AK24" s="400">
        <f t="shared" si="42"/>
        <v>0</v>
      </c>
      <c r="AL24" s="400">
        <f t="shared" ref="AL24:AP24" si="43">SUMIF($C$29:$I$29,AL$7,$C36:$I36)</f>
        <v>0</v>
      </c>
      <c r="AM24" s="400">
        <f t="shared" si="43"/>
        <v>0</v>
      </c>
      <c r="AN24" s="400">
        <f t="shared" si="43"/>
        <v>0</v>
      </c>
      <c r="AO24" s="400">
        <f t="shared" si="43"/>
        <v>0</v>
      </c>
      <c r="AP24" s="400">
        <f t="shared" si="43"/>
        <v>0</v>
      </c>
      <c r="AQ24" s="400">
        <f t="shared" si="33"/>
        <v>0</v>
      </c>
      <c r="AR24" s="400">
        <f t="shared" si="33"/>
        <v>0</v>
      </c>
      <c r="AS24" s="400">
        <f t="shared" si="33"/>
        <v>0</v>
      </c>
      <c r="AT24" s="400">
        <f t="shared" si="33"/>
        <v>0</v>
      </c>
      <c r="AU24" s="400">
        <f t="shared" si="34"/>
        <v>0</v>
      </c>
      <c r="AV24" s="400">
        <f t="shared" si="35"/>
        <v>0</v>
      </c>
      <c r="AX24" s="400">
        <f t="shared" si="5"/>
        <v>234720</v>
      </c>
      <c r="AY24" s="400">
        <f t="shared" si="6"/>
        <v>284747.54953333334</v>
      </c>
      <c r="AZ24" s="400">
        <f t="shared" si="27"/>
        <v>519467.54953333334</v>
      </c>
    </row>
    <row r="25" spans="1:52" x14ac:dyDescent="0.25">
      <c r="A25" s="61"/>
      <c r="U25" s="51"/>
      <c r="V25" s="43" t="s">
        <v>27</v>
      </c>
      <c r="W25" s="400">
        <f t="shared" ref="W25:AK25" si="44">SUMIF($C$29:$I$29,W$7,$C37:$I37)</f>
        <v>260490</v>
      </c>
      <c r="X25" s="400">
        <f t="shared" si="44"/>
        <v>243258.12206666663</v>
      </c>
      <c r="Y25" s="400">
        <f t="shared" si="44"/>
        <v>0</v>
      </c>
      <c r="Z25" s="400">
        <f t="shared" si="44"/>
        <v>0</v>
      </c>
      <c r="AA25" s="400">
        <f t="shared" si="44"/>
        <v>0</v>
      </c>
      <c r="AB25" s="400">
        <f t="shared" si="44"/>
        <v>0</v>
      </c>
      <c r="AC25" s="400">
        <f t="shared" si="44"/>
        <v>0</v>
      </c>
      <c r="AD25" s="400">
        <f t="shared" si="44"/>
        <v>0</v>
      </c>
      <c r="AE25" s="400">
        <f t="shared" si="44"/>
        <v>0</v>
      </c>
      <c r="AF25" s="400">
        <f t="shared" si="44"/>
        <v>0</v>
      </c>
      <c r="AG25" s="400">
        <f t="shared" si="44"/>
        <v>0</v>
      </c>
      <c r="AH25" s="400">
        <f t="shared" si="44"/>
        <v>0</v>
      </c>
      <c r="AI25" s="400">
        <f t="shared" si="44"/>
        <v>0</v>
      </c>
      <c r="AJ25" s="400">
        <f t="shared" si="44"/>
        <v>0</v>
      </c>
      <c r="AK25" s="400">
        <f t="shared" si="44"/>
        <v>0</v>
      </c>
      <c r="AL25" s="400">
        <f t="shared" ref="AL25:AP25" si="45">SUMIF($C$29:$I$29,AL$7,$C37:$I37)</f>
        <v>0</v>
      </c>
      <c r="AM25" s="400">
        <f t="shared" si="45"/>
        <v>0</v>
      </c>
      <c r="AN25" s="400">
        <f t="shared" si="45"/>
        <v>0</v>
      </c>
      <c r="AO25" s="400">
        <f t="shared" si="45"/>
        <v>0</v>
      </c>
      <c r="AP25" s="400">
        <f t="shared" si="45"/>
        <v>0</v>
      </c>
      <c r="AQ25" s="400">
        <f t="shared" si="33"/>
        <v>0</v>
      </c>
      <c r="AR25" s="400">
        <f t="shared" si="33"/>
        <v>0</v>
      </c>
      <c r="AS25" s="400">
        <f t="shared" si="33"/>
        <v>0</v>
      </c>
      <c r="AT25" s="400">
        <f t="shared" si="33"/>
        <v>0</v>
      </c>
      <c r="AU25" s="400">
        <f t="shared" si="34"/>
        <v>0</v>
      </c>
      <c r="AV25" s="400">
        <f t="shared" si="35"/>
        <v>0</v>
      </c>
      <c r="AX25" s="400">
        <f t="shared" si="5"/>
        <v>260490</v>
      </c>
      <c r="AY25" s="400">
        <f t="shared" si="6"/>
        <v>243258.12206666663</v>
      </c>
      <c r="AZ25" s="400">
        <f t="shared" si="27"/>
        <v>503748.1220666666</v>
      </c>
    </row>
    <row r="26" spans="1:52" x14ac:dyDescent="0.25">
      <c r="U26" s="51"/>
      <c r="V26" s="43" t="s">
        <v>28</v>
      </c>
      <c r="W26" s="400">
        <f t="shared" ref="W26:AK26" si="46">SUMIF($C$29:$I$29,W$7,$C38:$I38)</f>
        <v>258015</v>
      </c>
      <c r="X26" s="400">
        <f t="shared" si="46"/>
        <v>230320.024</v>
      </c>
      <c r="Y26" s="400">
        <f t="shared" si="46"/>
        <v>0</v>
      </c>
      <c r="Z26" s="400">
        <f t="shared" si="46"/>
        <v>0</v>
      </c>
      <c r="AA26" s="400">
        <f t="shared" si="46"/>
        <v>0</v>
      </c>
      <c r="AB26" s="400">
        <f t="shared" si="46"/>
        <v>0</v>
      </c>
      <c r="AC26" s="400">
        <f t="shared" si="46"/>
        <v>0</v>
      </c>
      <c r="AD26" s="400">
        <f t="shared" si="46"/>
        <v>0</v>
      </c>
      <c r="AE26" s="400">
        <f t="shared" si="46"/>
        <v>0</v>
      </c>
      <c r="AF26" s="400">
        <f t="shared" si="46"/>
        <v>0</v>
      </c>
      <c r="AG26" s="400">
        <f t="shared" si="46"/>
        <v>0</v>
      </c>
      <c r="AH26" s="400">
        <f t="shared" si="46"/>
        <v>0</v>
      </c>
      <c r="AI26" s="400">
        <f t="shared" si="46"/>
        <v>0</v>
      </c>
      <c r="AJ26" s="400">
        <f t="shared" si="46"/>
        <v>0</v>
      </c>
      <c r="AK26" s="400">
        <f t="shared" si="46"/>
        <v>0</v>
      </c>
      <c r="AL26" s="400">
        <f t="shared" ref="AL26:AP26" si="47">SUMIF($C$29:$I$29,AL$7,$C38:$I38)</f>
        <v>0</v>
      </c>
      <c r="AM26" s="400">
        <f t="shared" si="47"/>
        <v>0</v>
      </c>
      <c r="AN26" s="400">
        <f t="shared" si="47"/>
        <v>0</v>
      </c>
      <c r="AO26" s="400">
        <f t="shared" si="47"/>
        <v>0</v>
      </c>
      <c r="AP26" s="400">
        <f t="shared" si="47"/>
        <v>0</v>
      </c>
      <c r="AQ26" s="400">
        <f t="shared" si="33"/>
        <v>0</v>
      </c>
      <c r="AR26" s="400">
        <f t="shared" si="33"/>
        <v>0</v>
      </c>
      <c r="AS26" s="400">
        <f t="shared" si="33"/>
        <v>0</v>
      </c>
      <c r="AT26" s="400">
        <f t="shared" si="33"/>
        <v>0</v>
      </c>
      <c r="AU26" s="400">
        <f t="shared" si="34"/>
        <v>0</v>
      </c>
      <c r="AV26" s="400">
        <f t="shared" si="35"/>
        <v>0</v>
      </c>
      <c r="AX26" s="400">
        <f t="shared" si="5"/>
        <v>258015</v>
      </c>
      <c r="AY26" s="400">
        <f t="shared" si="6"/>
        <v>230320.024</v>
      </c>
      <c r="AZ26" s="400">
        <f t="shared" si="27"/>
        <v>488335.02399999998</v>
      </c>
    </row>
    <row r="27" spans="1:52" x14ac:dyDescent="0.25">
      <c r="B27" s="52"/>
      <c r="C27" s="52"/>
      <c r="D27" s="52"/>
      <c r="E27" s="52"/>
      <c r="F27" s="52"/>
      <c r="K27" s="50" t="s">
        <v>351</v>
      </c>
      <c r="Q27" s="50" t="s">
        <v>344</v>
      </c>
      <c r="V27" s="43" t="s">
        <v>29</v>
      </c>
      <c r="W27" s="400">
        <f t="shared" ref="W27:AK27" si="48">SUMIF($C$29:$I$29,W$7,$C39:$I39)</f>
        <v>259675</v>
      </c>
      <c r="X27" s="400">
        <f t="shared" si="48"/>
        <v>254973.01793333332</v>
      </c>
      <c r="Y27" s="400">
        <f t="shared" si="48"/>
        <v>0</v>
      </c>
      <c r="Z27" s="400">
        <f t="shared" si="48"/>
        <v>0</v>
      </c>
      <c r="AA27" s="400">
        <f t="shared" si="48"/>
        <v>0</v>
      </c>
      <c r="AB27" s="400">
        <f t="shared" si="48"/>
        <v>0</v>
      </c>
      <c r="AC27" s="400">
        <f t="shared" si="48"/>
        <v>0</v>
      </c>
      <c r="AD27" s="400">
        <f t="shared" si="48"/>
        <v>0</v>
      </c>
      <c r="AE27" s="400">
        <f t="shared" si="48"/>
        <v>0</v>
      </c>
      <c r="AF27" s="400">
        <f t="shared" si="48"/>
        <v>0</v>
      </c>
      <c r="AG27" s="400">
        <f t="shared" si="48"/>
        <v>0</v>
      </c>
      <c r="AH27" s="400">
        <f t="shared" si="48"/>
        <v>0</v>
      </c>
      <c r="AI27" s="400">
        <f t="shared" si="48"/>
        <v>0</v>
      </c>
      <c r="AJ27" s="400">
        <f t="shared" si="48"/>
        <v>0</v>
      </c>
      <c r="AK27" s="400">
        <f t="shared" si="48"/>
        <v>0</v>
      </c>
      <c r="AL27" s="400">
        <f t="shared" ref="AL27:AP27" si="49">SUMIF($C$29:$I$29,AL$7,$C39:$I39)</f>
        <v>0</v>
      </c>
      <c r="AM27" s="400">
        <f t="shared" si="49"/>
        <v>0</v>
      </c>
      <c r="AN27" s="400">
        <f t="shared" si="49"/>
        <v>0</v>
      </c>
      <c r="AO27" s="400">
        <f t="shared" si="49"/>
        <v>0</v>
      </c>
      <c r="AP27" s="400">
        <f t="shared" si="49"/>
        <v>0</v>
      </c>
      <c r="AQ27" s="400">
        <f t="shared" si="33"/>
        <v>0</v>
      </c>
      <c r="AR27" s="400">
        <f t="shared" si="33"/>
        <v>0</v>
      </c>
      <c r="AS27" s="400">
        <f t="shared" si="33"/>
        <v>0</v>
      </c>
      <c r="AT27" s="400">
        <f t="shared" si="33"/>
        <v>0</v>
      </c>
      <c r="AU27" s="400">
        <f t="shared" si="34"/>
        <v>0</v>
      </c>
      <c r="AV27" s="400">
        <f t="shared" si="35"/>
        <v>0</v>
      </c>
      <c r="AX27" s="400">
        <f t="shared" si="5"/>
        <v>259675</v>
      </c>
      <c r="AY27" s="400">
        <f t="shared" si="6"/>
        <v>254973.01793333332</v>
      </c>
      <c r="AZ27" s="400">
        <f t="shared" si="27"/>
        <v>514648.01793333329</v>
      </c>
    </row>
    <row r="28" spans="1:52" x14ac:dyDescent="0.25">
      <c r="B28" s="20" t="str">
        <f xml:space="preserve"> "Erhebung der Endenergieträger und der thermischen genutzten internen Abfälle für das Jahr " &amp; BefrJahr2</f>
        <v>Erhebung der Endenergieträger und der thermischen genutzten internen Abfälle für das Jahr 2013</v>
      </c>
      <c r="K28" s="69" t="str">
        <f xml:space="preserve"> "Solar, Wasser, Wind " &amp; BefrJahr2</f>
        <v>Solar, Wasser, Wind 2013</v>
      </c>
      <c r="Q28" s="69" t="str">
        <f xml:space="preserve"> "Abgabe an Dritte " &amp; BefrJahr2</f>
        <v>Abgabe an Dritte 2013</v>
      </c>
      <c r="V28" s="43" t="s">
        <v>30</v>
      </c>
      <c r="W28" s="400">
        <f t="shared" ref="W28:AK28" si="50">SUMIF($C$29:$I$29,W$7,$C40:$I40)</f>
        <v>224080</v>
      </c>
      <c r="X28" s="400">
        <f t="shared" si="50"/>
        <v>241816.13573333333</v>
      </c>
      <c r="Y28" s="400">
        <f t="shared" si="50"/>
        <v>0</v>
      </c>
      <c r="Z28" s="400">
        <f t="shared" si="50"/>
        <v>0</v>
      </c>
      <c r="AA28" s="400">
        <f t="shared" si="50"/>
        <v>0</v>
      </c>
      <c r="AB28" s="400">
        <f t="shared" si="50"/>
        <v>0</v>
      </c>
      <c r="AC28" s="400">
        <f t="shared" si="50"/>
        <v>0</v>
      </c>
      <c r="AD28" s="400">
        <f t="shared" si="50"/>
        <v>0</v>
      </c>
      <c r="AE28" s="400">
        <f t="shared" si="50"/>
        <v>0</v>
      </c>
      <c r="AF28" s="400">
        <f t="shared" si="50"/>
        <v>0</v>
      </c>
      <c r="AG28" s="400">
        <f t="shared" si="50"/>
        <v>0</v>
      </c>
      <c r="AH28" s="400">
        <f t="shared" si="50"/>
        <v>0</v>
      </c>
      <c r="AI28" s="400">
        <f t="shared" si="50"/>
        <v>0</v>
      </c>
      <c r="AJ28" s="400">
        <f t="shared" si="50"/>
        <v>0</v>
      </c>
      <c r="AK28" s="400">
        <f t="shared" si="50"/>
        <v>0</v>
      </c>
      <c r="AL28" s="400">
        <f t="shared" ref="AL28:AP28" si="51">SUMIF($C$29:$I$29,AL$7,$C40:$I40)</f>
        <v>0</v>
      </c>
      <c r="AM28" s="400">
        <f t="shared" si="51"/>
        <v>0</v>
      </c>
      <c r="AN28" s="400">
        <f t="shared" si="51"/>
        <v>0</v>
      </c>
      <c r="AO28" s="400">
        <f t="shared" si="51"/>
        <v>0</v>
      </c>
      <c r="AP28" s="400">
        <f t="shared" si="51"/>
        <v>0</v>
      </c>
      <c r="AQ28" s="400">
        <f t="shared" si="33"/>
        <v>0</v>
      </c>
      <c r="AR28" s="400">
        <f t="shared" si="33"/>
        <v>0</v>
      </c>
      <c r="AS28" s="400">
        <f t="shared" si="33"/>
        <v>0</v>
      </c>
      <c r="AT28" s="400">
        <f t="shared" si="33"/>
        <v>0</v>
      </c>
      <c r="AU28" s="400">
        <f t="shared" si="34"/>
        <v>0</v>
      </c>
      <c r="AV28" s="400">
        <f t="shared" si="35"/>
        <v>0</v>
      </c>
      <c r="AX28" s="400">
        <f t="shared" si="5"/>
        <v>224080</v>
      </c>
      <c r="AY28" s="400">
        <f t="shared" si="6"/>
        <v>241816.13573333333</v>
      </c>
      <c r="AZ28" s="400">
        <f t="shared" si="27"/>
        <v>465896.1357333333</v>
      </c>
    </row>
    <row r="29" spans="1:52" ht="26.4" x14ac:dyDescent="0.25">
      <c r="B29" s="53" t="s">
        <v>222</v>
      </c>
      <c r="C29" s="433" t="s">
        <v>5</v>
      </c>
      <c r="D29" s="433" t="s">
        <v>514</v>
      </c>
      <c r="E29" s="433" t="s">
        <v>388</v>
      </c>
      <c r="F29" s="433" t="s">
        <v>223</v>
      </c>
      <c r="G29" s="433" t="s">
        <v>223</v>
      </c>
      <c r="H29" s="433" t="s">
        <v>223</v>
      </c>
      <c r="I29" s="433" t="s">
        <v>223</v>
      </c>
      <c r="L29" s="314" t="s">
        <v>348</v>
      </c>
      <c r="M29" s="314" t="s">
        <v>349</v>
      </c>
      <c r="N29" s="314" t="s">
        <v>350</v>
      </c>
      <c r="O29" s="314" t="s">
        <v>313</v>
      </c>
      <c r="R29" s="315" t="s">
        <v>345</v>
      </c>
      <c r="S29" s="315" t="s">
        <v>328</v>
      </c>
      <c r="V29" s="43" t="s">
        <v>31</v>
      </c>
      <c r="W29" s="400">
        <f t="shared" ref="W29:AK29" si="52">SUMIF($C$29:$I$29,W$7,$C41:$I41)</f>
        <v>260150</v>
      </c>
      <c r="X29" s="400">
        <f t="shared" si="52"/>
        <v>275200.60553333332</v>
      </c>
      <c r="Y29" s="400">
        <f t="shared" si="52"/>
        <v>0</v>
      </c>
      <c r="Z29" s="400">
        <f t="shared" si="52"/>
        <v>0</v>
      </c>
      <c r="AA29" s="400">
        <f t="shared" si="52"/>
        <v>0</v>
      </c>
      <c r="AB29" s="400">
        <f t="shared" si="52"/>
        <v>0</v>
      </c>
      <c r="AC29" s="400">
        <f t="shared" si="52"/>
        <v>0</v>
      </c>
      <c r="AD29" s="400">
        <f t="shared" si="52"/>
        <v>0</v>
      </c>
      <c r="AE29" s="400">
        <f t="shared" si="52"/>
        <v>0</v>
      </c>
      <c r="AF29" s="400">
        <f t="shared" si="52"/>
        <v>0</v>
      </c>
      <c r="AG29" s="400">
        <f t="shared" si="52"/>
        <v>0</v>
      </c>
      <c r="AH29" s="400">
        <f t="shared" si="52"/>
        <v>0</v>
      </c>
      <c r="AI29" s="400">
        <f t="shared" si="52"/>
        <v>0</v>
      </c>
      <c r="AJ29" s="400">
        <f t="shared" si="52"/>
        <v>0</v>
      </c>
      <c r="AK29" s="400">
        <f t="shared" si="52"/>
        <v>0</v>
      </c>
      <c r="AL29" s="400">
        <f t="shared" ref="AL29:AP29" si="53">SUMIF($C$29:$I$29,AL$7,$C41:$I41)</f>
        <v>0</v>
      </c>
      <c r="AM29" s="400">
        <f t="shared" si="53"/>
        <v>0</v>
      </c>
      <c r="AN29" s="400">
        <f t="shared" si="53"/>
        <v>0</v>
      </c>
      <c r="AO29" s="400">
        <f t="shared" si="53"/>
        <v>0</v>
      </c>
      <c r="AP29" s="400">
        <f t="shared" si="53"/>
        <v>0</v>
      </c>
      <c r="AQ29" s="400">
        <f t="shared" si="33"/>
        <v>0</v>
      </c>
      <c r="AR29" s="400">
        <f t="shared" si="33"/>
        <v>0</v>
      </c>
      <c r="AS29" s="400">
        <f t="shared" si="33"/>
        <v>0</v>
      </c>
      <c r="AT29" s="400">
        <f t="shared" si="33"/>
        <v>0</v>
      </c>
      <c r="AU29" s="400">
        <f t="shared" si="34"/>
        <v>0</v>
      </c>
      <c r="AV29" s="400">
        <f t="shared" si="35"/>
        <v>0</v>
      </c>
      <c r="AX29" s="400">
        <f t="shared" si="5"/>
        <v>260150</v>
      </c>
      <c r="AY29" s="400">
        <f t="shared" si="6"/>
        <v>275200.60553333332</v>
      </c>
      <c r="AZ29" s="400">
        <f t="shared" si="27"/>
        <v>535350.60553333326</v>
      </c>
    </row>
    <row r="30" spans="1:52" x14ac:dyDescent="0.25">
      <c r="C30" s="54"/>
      <c r="D30" s="54"/>
      <c r="E30" s="54"/>
      <c r="F30" s="54"/>
      <c r="V30" s="43" t="s">
        <v>32</v>
      </c>
      <c r="W30" s="400">
        <f t="shared" ref="W30:AK30" si="54">SUMIF($C$29:$I$29,W$7,$C42:$I42)</f>
        <v>203865</v>
      </c>
      <c r="X30" s="400">
        <f t="shared" si="54"/>
        <v>293827.0910666667</v>
      </c>
      <c r="Y30" s="400">
        <f t="shared" si="54"/>
        <v>0</v>
      </c>
      <c r="Z30" s="400">
        <f t="shared" si="54"/>
        <v>0</v>
      </c>
      <c r="AA30" s="400">
        <f t="shared" si="54"/>
        <v>0</v>
      </c>
      <c r="AB30" s="400">
        <f t="shared" si="54"/>
        <v>0</v>
      </c>
      <c r="AC30" s="400">
        <f t="shared" si="54"/>
        <v>0</v>
      </c>
      <c r="AD30" s="400">
        <f t="shared" si="54"/>
        <v>0</v>
      </c>
      <c r="AE30" s="400">
        <f t="shared" si="54"/>
        <v>0</v>
      </c>
      <c r="AF30" s="400">
        <f t="shared" si="54"/>
        <v>0</v>
      </c>
      <c r="AG30" s="400">
        <f t="shared" si="54"/>
        <v>0</v>
      </c>
      <c r="AH30" s="400">
        <f t="shared" si="54"/>
        <v>0</v>
      </c>
      <c r="AI30" s="400">
        <f t="shared" si="54"/>
        <v>0</v>
      </c>
      <c r="AJ30" s="400">
        <f t="shared" si="54"/>
        <v>0</v>
      </c>
      <c r="AK30" s="400">
        <f t="shared" si="54"/>
        <v>0</v>
      </c>
      <c r="AL30" s="400">
        <f t="shared" ref="AL30:AP30" si="55">SUMIF($C$29:$I$29,AL$7,$C42:$I42)</f>
        <v>0</v>
      </c>
      <c r="AM30" s="400">
        <f t="shared" si="55"/>
        <v>0</v>
      </c>
      <c r="AN30" s="400">
        <f t="shared" si="55"/>
        <v>0</v>
      </c>
      <c r="AO30" s="400">
        <f t="shared" si="55"/>
        <v>0</v>
      </c>
      <c r="AP30" s="400">
        <f t="shared" si="55"/>
        <v>0</v>
      </c>
      <c r="AQ30" s="400">
        <f t="shared" si="33"/>
        <v>0</v>
      </c>
      <c r="AR30" s="400">
        <f t="shared" si="33"/>
        <v>0</v>
      </c>
      <c r="AS30" s="400">
        <f t="shared" si="33"/>
        <v>0</v>
      </c>
      <c r="AT30" s="400">
        <f t="shared" si="33"/>
        <v>0</v>
      </c>
      <c r="AU30" s="400">
        <f t="shared" si="34"/>
        <v>0</v>
      </c>
      <c r="AV30" s="400">
        <f t="shared" si="35"/>
        <v>0</v>
      </c>
      <c r="AX30" s="400">
        <f t="shared" si="5"/>
        <v>203865</v>
      </c>
      <c r="AY30" s="400">
        <f t="shared" si="6"/>
        <v>293827.0910666667</v>
      </c>
      <c r="AZ30" s="400">
        <f t="shared" si="27"/>
        <v>497692.0910666667</v>
      </c>
    </row>
    <row r="31" spans="1:52" ht="26.4" x14ac:dyDescent="0.25">
      <c r="C31" s="55" t="s">
        <v>128</v>
      </c>
      <c r="D31" s="55" t="s">
        <v>128</v>
      </c>
      <c r="E31" s="55" t="s">
        <v>128</v>
      </c>
      <c r="F31" s="55" t="s">
        <v>128</v>
      </c>
      <c r="G31" s="55" t="s">
        <v>128</v>
      </c>
      <c r="H31" s="55" t="s">
        <v>128</v>
      </c>
      <c r="I31" s="55" t="s">
        <v>128</v>
      </c>
      <c r="L31" s="55" t="s">
        <v>347</v>
      </c>
      <c r="M31" s="55" t="s">
        <v>347</v>
      </c>
      <c r="N31" s="55" t="s">
        <v>347</v>
      </c>
      <c r="O31" s="55" t="s">
        <v>347</v>
      </c>
      <c r="R31" s="55" t="s">
        <v>346</v>
      </c>
      <c r="S31" s="55" t="s">
        <v>346</v>
      </c>
      <c r="V31" s="43" t="s">
        <v>33</v>
      </c>
      <c r="W31" s="400">
        <f t="shared" ref="W31:AK31" si="56">SUMIF($C$29:$I$29,W$7,$C43:$I43)</f>
        <v>253260</v>
      </c>
      <c r="X31" s="400">
        <f t="shared" si="56"/>
        <v>345281.14133333333</v>
      </c>
      <c r="Y31" s="400">
        <f t="shared" si="56"/>
        <v>0</v>
      </c>
      <c r="Z31" s="400">
        <f t="shared" si="56"/>
        <v>0</v>
      </c>
      <c r="AA31" s="400">
        <f t="shared" si="56"/>
        <v>0</v>
      </c>
      <c r="AB31" s="400">
        <f t="shared" si="56"/>
        <v>0</v>
      </c>
      <c r="AC31" s="400">
        <f t="shared" si="56"/>
        <v>0</v>
      </c>
      <c r="AD31" s="400">
        <f t="shared" si="56"/>
        <v>0</v>
      </c>
      <c r="AE31" s="400">
        <f t="shared" si="56"/>
        <v>0</v>
      </c>
      <c r="AF31" s="400">
        <f t="shared" si="56"/>
        <v>0</v>
      </c>
      <c r="AG31" s="400">
        <f t="shared" si="56"/>
        <v>0</v>
      </c>
      <c r="AH31" s="400">
        <f t="shared" si="56"/>
        <v>0</v>
      </c>
      <c r="AI31" s="400">
        <f t="shared" si="56"/>
        <v>0</v>
      </c>
      <c r="AJ31" s="400">
        <f t="shared" si="56"/>
        <v>0</v>
      </c>
      <c r="AK31" s="400">
        <f t="shared" si="56"/>
        <v>0</v>
      </c>
      <c r="AL31" s="400">
        <f t="shared" ref="AL31:AP31" si="57">SUMIF($C$29:$I$29,AL$7,$C43:$I43)</f>
        <v>0</v>
      </c>
      <c r="AM31" s="400">
        <f t="shared" si="57"/>
        <v>0</v>
      </c>
      <c r="AN31" s="400">
        <f t="shared" si="57"/>
        <v>0</v>
      </c>
      <c r="AO31" s="400">
        <f t="shared" si="57"/>
        <v>0</v>
      </c>
      <c r="AP31" s="400">
        <f t="shared" si="57"/>
        <v>0</v>
      </c>
      <c r="AQ31" s="400">
        <f t="shared" si="33"/>
        <v>0</v>
      </c>
      <c r="AR31" s="400">
        <f t="shared" si="33"/>
        <v>0</v>
      </c>
      <c r="AS31" s="400">
        <f t="shared" si="33"/>
        <v>0</v>
      </c>
      <c r="AT31" s="400">
        <f t="shared" si="33"/>
        <v>0</v>
      </c>
      <c r="AU31" s="400">
        <f t="shared" si="34"/>
        <v>0</v>
      </c>
      <c r="AV31" s="400">
        <f t="shared" si="35"/>
        <v>0</v>
      </c>
      <c r="AX31" s="400">
        <f t="shared" si="5"/>
        <v>253260</v>
      </c>
      <c r="AY31" s="400">
        <f t="shared" si="6"/>
        <v>345281.14133333333</v>
      </c>
      <c r="AZ31" s="400">
        <f t="shared" si="27"/>
        <v>598541.14133333333</v>
      </c>
    </row>
    <row r="32" spans="1:52" x14ac:dyDescent="0.25">
      <c r="B32" s="43" t="s">
        <v>22</v>
      </c>
      <c r="C32" s="617">
        <v>387884.37893333327</v>
      </c>
      <c r="D32" s="617">
        <v>204005</v>
      </c>
      <c r="E32" s="617"/>
      <c r="F32" s="617"/>
      <c r="G32" s="617"/>
      <c r="H32" s="617"/>
      <c r="I32" s="617"/>
      <c r="K32" s="43" t="s">
        <v>22</v>
      </c>
      <c r="L32" s="397"/>
      <c r="M32" s="397"/>
      <c r="N32" s="397"/>
      <c r="O32" s="397"/>
      <c r="Q32" s="43" t="s">
        <v>22</v>
      </c>
      <c r="R32" s="617"/>
      <c r="S32" s="397"/>
    </row>
    <row r="33" spans="2:52" x14ac:dyDescent="0.25">
      <c r="B33" s="43" t="s">
        <v>23</v>
      </c>
      <c r="C33" s="617">
        <v>319723.17666666664</v>
      </c>
      <c r="D33" s="617">
        <v>193160</v>
      </c>
      <c r="E33" s="617"/>
      <c r="F33" s="617"/>
      <c r="G33" s="617"/>
      <c r="H33" s="617"/>
      <c r="I33" s="617"/>
      <c r="K33" s="43" t="s">
        <v>23</v>
      </c>
      <c r="L33" s="397"/>
      <c r="M33" s="397"/>
      <c r="N33" s="397"/>
      <c r="O33" s="397"/>
      <c r="Q33" s="43" t="s">
        <v>23</v>
      </c>
      <c r="R33" s="617"/>
      <c r="S33" s="397"/>
      <c r="U33" s="14">
        <f>BefrJahr1</f>
        <v>2012</v>
      </c>
      <c r="V33" s="43" t="s">
        <v>36</v>
      </c>
      <c r="W33" s="400">
        <f t="shared" ref="W33:AV33" si="58">SUM(W8:W19)</f>
        <v>2622575</v>
      </c>
      <c r="X33" s="400">
        <f t="shared" si="58"/>
        <v>3556346.032066667</v>
      </c>
      <c r="Y33" s="400">
        <f t="shared" si="58"/>
        <v>0</v>
      </c>
      <c r="Z33" s="400">
        <f t="shared" si="58"/>
        <v>0</v>
      </c>
      <c r="AA33" s="400">
        <f t="shared" si="58"/>
        <v>0</v>
      </c>
      <c r="AB33" s="400">
        <f t="shared" si="58"/>
        <v>0</v>
      </c>
      <c r="AC33" s="400">
        <f t="shared" si="58"/>
        <v>0</v>
      </c>
      <c r="AD33" s="400">
        <f t="shared" si="58"/>
        <v>0</v>
      </c>
      <c r="AE33" s="400">
        <f t="shared" si="58"/>
        <v>0</v>
      </c>
      <c r="AF33" s="400">
        <f t="shared" si="58"/>
        <v>0</v>
      </c>
      <c r="AG33" s="400">
        <f t="shared" si="58"/>
        <v>0</v>
      </c>
      <c r="AH33" s="400">
        <f t="shared" si="58"/>
        <v>0</v>
      </c>
      <c r="AI33" s="400">
        <f t="shared" si="58"/>
        <v>0</v>
      </c>
      <c r="AJ33" s="400">
        <f t="shared" si="58"/>
        <v>0</v>
      </c>
      <c r="AK33" s="400">
        <f t="shared" si="58"/>
        <v>0</v>
      </c>
      <c r="AL33" s="400">
        <f t="shared" ref="AL33:AP33" si="59">SUM(AL8:AL19)</f>
        <v>0</v>
      </c>
      <c r="AM33" s="400">
        <f t="shared" si="59"/>
        <v>0</v>
      </c>
      <c r="AN33" s="400">
        <f t="shared" si="59"/>
        <v>0</v>
      </c>
      <c r="AO33" s="400">
        <f t="shared" si="59"/>
        <v>0</v>
      </c>
      <c r="AP33" s="400">
        <f t="shared" si="59"/>
        <v>0</v>
      </c>
      <c r="AQ33" s="400">
        <f t="shared" si="58"/>
        <v>0</v>
      </c>
      <c r="AR33" s="400">
        <f t="shared" si="58"/>
        <v>0</v>
      </c>
      <c r="AS33" s="400">
        <f t="shared" si="58"/>
        <v>0</v>
      </c>
      <c r="AT33" s="400">
        <f t="shared" si="58"/>
        <v>0</v>
      </c>
      <c r="AU33" s="400">
        <f t="shared" si="58"/>
        <v>0</v>
      </c>
      <c r="AV33" s="400">
        <f t="shared" si="58"/>
        <v>0</v>
      </c>
      <c r="AX33" s="400">
        <f>SUM(AX8:AX19)</f>
        <v>2622575</v>
      </c>
      <c r="AY33" s="400">
        <f>SUM(AY8:AY19)</f>
        <v>3556346.032066667</v>
      </c>
      <c r="AZ33" s="400">
        <f>SUM(AZ8:AZ19)</f>
        <v>6178921.0320666665</v>
      </c>
    </row>
    <row r="34" spans="2:52" x14ac:dyDescent="0.25">
      <c r="B34" s="43" t="s">
        <v>24</v>
      </c>
      <c r="C34" s="617">
        <v>323422.61746666668</v>
      </c>
      <c r="D34" s="617">
        <v>231245</v>
      </c>
      <c r="E34" s="617"/>
      <c r="F34" s="617"/>
      <c r="G34" s="617"/>
      <c r="H34" s="617"/>
      <c r="I34" s="617"/>
      <c r="K34" s="43" t="s">
        <v>24</v>
      </c>
      <c r="L34" s="397"/>
      <c r="M34" s="397"/>
      <c r="N34" s="397"/>
      <c r="O34" s="397"/>
      <c r="Q34" s="43" t="s">
        <v>24</v>
      </c>
      <c r="R34" s="617"/>
      <c r="S34" s="397"/>
      <c r="U34" s="14">
        <f>BefrJahr2</f>
        <v>2013</v>
      </c>
      <c r="V34" s="43" t="s">
        <v>36</v>
      </c>
      <c r="W34" s="400">
        <f t="shared" ref="W34:AV34" si="60">SUM(W20:W31)</f>
        <v>2799335</v>
      </c>
      <c r="X34" s="400">
        <f t="shared" si="60"/>
        <v>3445362.8080666671</v>
      </c>
      <c r="Y34" s="400">
        <f t="shared" si="60"/>
        <v>0</v>
      </c>
      <c r="Z34" s="400">
        <f t="shared" si="60"/>
        <v>0</v>
      </c>
      <c r="AA34" s="400">
        <f t="shared" si="60"/>
        <v>0</v>
      </c>
      <c r="AB34" s="400">
        <f t="shared" si="60"/>
        <v>0</v>
      </c>
      <c r="AC34" s="400">
        <f t="shared" si="60"/>
        <v>0</v>
      </c>
      <c r="AD34" s="400">
        <f t="shared" si="60"/>
        <v>0</v>
      </c>
      <c r="AE34" s="400">
        <f t="shared" si="60"/>
        <v>0</v>
      </c>
      <c r="AF34" s="400">
        <f t="shared" si="60"/>
        <v>0</v>
      </c>
      <c r="AG34" s="400">
        <f t="shared" si="60"/>
        <v>0</v>
      </c>
      <c r="AH34" s="400">
        <f t="shared" si="60"/>
        <v>0</v>
      </c>
      <c r="AI34" s="400">
        <f t="shared" si="60"/>
        <v>0</v>
      </c>
      <c r="AJ34" s="400">
        <f t="shared" si="60"/>
        <v>0</v>
      </c>
      <c r="AK34" s="400">
        <f t="shared" si="60"/>
        <v>0</v>
      </c>
      <c r="AL34" s="400">
        <f t="shared" ref="AL34:AP34" si="61">SUM(AL20:AL31)</f>
        <v>0</v>
      </c>
      <c r="AM34" s="400">
        <f t="shared" si="61"/>
        <v>0</v>
      </c>
      <c r="AN34" s="400">
        <f t="shared" si="61"/>
        <v>0</v>
      </c>
      <c r="AO34" s="400">
        <f t="shared" si="61"/>
        <v>0</v>
      </c>
      <c r="AP34" s="400">
        <f t="shared" si="61"/>
        <v>0</v>
      </c>
      <c r="AQ34" s="400">
        <f t="shared" si="60"/>
        <v>0</v>
      </c>
      <c r="AR34" s="400">
        <f t="shared" si="60"/>
        <v>0</v>
      </c>
      <c r="AS34" s="400">
        <f t="shared" si="60"/>
        <v>0</v>
      </c>
      <c r="AT34" s="400">
        <f t="shared" si="60"/>
        <v>0</v>
      </c>
      <c r="AU34" s="400">
        <f t="shared" si="60"/>
        <v>0</v>
      </c>
      <c r="AV34" s="400">
        <f t="shared" si="60"/>
        <v>0</v>
      </c>
      <c r="AX34" s="400">
        <f>SUM(AX20:AX31)</f>
        <v>2799335</v>
      </c>
      <c r="AY34" s="400">
        <f>SUM(AY20:AY31)</f>
        <v>3445362.8080666671</v>
      </c>
      <c r="AZ34" s="400">
        <f>SUM(AZ20:AZ31)</f>
        <v>6244697.8080666671</v>
      </c>
    </row>
    <row r="35" spans="2:52" x14ac:dyDescent="0.25">
      <c r="B35" s="43" t="s">
        <v>25</v>
      </c>
      <c r="C35" s="617">
        <v>244908.94780000002</v>
      </c>
      <c r="D35" s="617">
        <v>216670</v>
      </c>
      <c r="E35" s="617"/>
      <c r="F35" s="617"/>
      <c r="G35" s="617"/>
      <c r="H35" s="617"/>
      <c r="I35" s="617"/>
      <c r="K35" s="43" t="s">
        <v>25</v>
      </c>
      <c r="L35" s="397"/>
      <c r="M35" s="397"/>
      <c r="N35" s="397"/>
      <c r="O35" s="397"/>
      <c r="Q35" s="43" t="s">
        <v>25</v>
      </c>
      <c r="R35" s="617"/>
      <c r="S35" s="397"/>
    </row>
    <row r="36" spans="2:52" x14ac:dyDescent="0.25">
      <c r="B36" s="43" t="s">
        <v>26</v>
      </c>
      <c r="C36" s="617">
        <v>284747.54953333334</v>
      </c>
      <c r="D36" s="617">
        <v>234720</v>
      </c>
      <c r="E36" s="617"/>
      <c r="F36" s="617"/>
      <c r="G36" s="617"/>
      <c r="H36" s="617"/>
      <c r="I36" s="617"/>
      <c r="K36" s="43" t="s">
        <v>26</v>
      </c>
      <c r="L36" s="397"/>
      <c r="M36" s="397"/>
      <c r="N36" s="397"/>
      <c r="O36" s="397"/>
      <c r="Q36" s="43" t="s">
        <v>26</v>
      </c>
      <c r="R36" s="617"/>
      <c r="S36" s="397"/>
    </row>
    <row r="37" spans="2:52" x14ac:dyDescent="0.25">
      <c r="B37" s="43" t="s">
        <v>27</v>
      </c>
      <c r="C37" s="617">
        <v>243258.12206666663</v>
      </c>
      <c r="D37" s="617">
        <v>260490</v>
      </c>
      <c r="E37" s="617"/>
      <c r="F37" s="617"/>
      <c r="G37" s="617"/>
      <c r="H37" s="617"/>
      <c r="I37" s="617"/>
      <c r="K37" s="43" t="s">
        <v>27</v>
      </c>
      <c r="L37" s="397"/>
      <c r="M37" s="397"/>
      <c r="N37" s="397"/>
      <c r="O37" s="397"/>
      <c r="Q37" s="43" t="s">
        <v>27</v>
      </c>
      <c r="R37" s="617"/>
      <c r="S37" s="397"/>
    </row>
    <row r="38" spans="2:52" x14ac:dyDescent="0.25">
      <c r="B38" s="43" t="s">
        <v>28</v>
      </c>
      <c r="C38" s="617">
        <v>230320.024</v>
      </c>
      <c r="D38" s="617">
        <v>258015</v>
      </c>
      <c r="E38" s="617"/>
      <c r="F38" s="617"/>
      <c r="G38" s="617"/>
      <c r="H38" s="617"/>
      <c r="I38" s="617"/>
      <c r="K38" s="43" t="s">
        <v>28</v>
      </c>
      <c r="L38" s="397"/>
      <c r="M38" s="397"/>
      <c r="N38" s="397"/>
      <c r="O38" s="397"/>
      <c r="Q38" s="43" t="s">
        <v>28</v>
      </c>
      <c r="R38" s="617"/>
      <c r="S38" s="397"/>
    </row>
    <row r="39" spans="2:52" x14ac:dyDescent="0.25">
      <c r="B39" s="43" t="s">
        <v>29</v>
      </c>
      <c r="C39" s="617">
        <v>254973.01793333332</v>
      </c>
      <c r="D39" s="617">
        <v>259675</v>
      </c>
      <c r="E39" s="617"/>
      <c r="F39" s="617"/>
      <c r="G39" s="617"/>
      <c r="H39" s="617"/>
      <c r="I39" s="617"/>
      <c r="K39" s="43" t="s">
        <v>29</v>
      </c>
      <c r="L39" s="397"/>
      <c r="M39" s="397"/>
      <c r="N39" s="397"/>
      <c r="O39" s="397"/>
      <c r="Q39" s="43" t="s">
        <v>29</v>
      </c>
      <c r="R39" s="617"/>
      <c r="S39" s="397"/>
    </row>
    <row r="40" spans="2:52" x14ac:dyDescent="0.25">
      <c r="B40" s="43" t="s">
        <v>30</v>
      </c>
      <c r="C40" s="617">
        <v>241816.13573333333</v>
      </c>
      <c r="D40" s="617">
        <v>224080</v>
      </c>
      <c r="E40" s="617"/>
      <c r="F40" s="617"/>
      <c r="G40" s="617"/>
      <c r="H40" s="617"/>
      <c r="I40" s="617"/>
      <c r="K40" s="43" t="s">
        <v>30</v>
      </c>
      <c r="L40" s="397"/>
      <c r="M40" s="397"/>
      <c r="N40" s="397"/>
      <c r="O40" s="397"/>
      <c r="Q40" s="43" t="s">
        <v>30</v>
      </c>
      <c r="R40" s="617"/>
      <c r="S40" s="397"/>
    </row>
    <row r="41" spans="2:52" x14ac:dyDescent="0.25">
      <c r="B41" s="43" t="s">
        <v>31</v>
      </c>
      <c r="C41" s="617">
        <v>275200.60553333332</v>
      </c>
      <c r="D41" s="617">
        <v>260150</v>
      </c>
      <c r="E41" s="617"/>
      <c r="F41" s="617"/>
      <c r="G41" s="617"/>
      <c r="H41" s="617"/>
      <c r="I41" s="617"/>
      <c r="K41" s="43" t="s">
        <v>31</v>
      </c>
      <c r="L41" s="397"/>
      <c r="M41" s="397"/>
      <c r="N41" s="397"/>
      <c r="O41" s="397"/>
      <c r="Q41" s="43" t="s">
        <v>31</v>
      </c>
      <c r="R41" s="617"/>
      <c r="S41" s="397"/>
    </row>
    <row r="42" spans="2:52" x14ac:dyDescent="0.25">
      <c r="B42" s="43" t="s">
        <v>32</v>
      </c>
      <c r="C42" s="617">
        <v>293827.0910666667</v>
      </c>
      <c r="D42" s="617">
        <v>203865</v>
      </c>
      <c r="E42" s="617"/>
      <c r="F42" s="617"/>
      <c r="G42" s="617"/>
      <c r="H42" s="617"/>
      <c r="I42" s="617"/>
      <c r="K42" s="43" t="s">
        <v>32</v>
      </c>
      <c r="L42" s="397"/>
      <c r="M42" s="397"/>
      <c r="N42" s="397"/>
      <c r="O42" s="397"/>
      <c r="Q42" s="43" t="s">
        <v>32</v>
      </c>
      <c r="R42" s="617"/>
      <c r="S42" s="397"/>
    </row>
    <row r="43" spans="2:52" x14ac:dyDescent="0.25">
      <c r="B43" s="43" t="s">
        <v>33</v>
      </c>
      <c r="C43" s="617">
        <v>345281.14133333333</v>
      </c>
      <c r="D43" s="617">
        <v>253260</v>
      </c>
      <c r="E43" s="617"/>
      <c r="F43" s="617"/>
      <c r="G43" s="617"/>
      <c r="H43" s="617"/>
      <c r="I43" s="617"/>
      <c r="K43" s="43" t="s">
        <v>33</v>
      </c>
      <c r="L43" s="397"/>
      <c r="M43" s="397"/>
      <c r="N43" s="397"/>
      <c r="O43" s="397"/>
      <c r="Q43" s="43" t="s">
        <v>33</v>
      </c>
      <c r="R43" s="617"/>
      <c r="S43" s="397"/>
    </row>
    <row r="44" spans="2:52" x14ac:dyDescent="0.25">
      <c r="B44" s="43" t="s">
        <v>36</v>
      </c>
      <c r="C44" s="399">
        <f>SUM(C32:C43)</f>
        <v>3445362.8080666671</v>
      </c>
      <c r="D44" s="399">
        <f t="shared" ref="D44:F44" si="62">SUM(D32:D43)</f>
        <v>2799335</v>
      </c>
      <c r="E44" s="399">
        <f t="shared" si="62"/>
        <v>0</v>
      </c>
      <c r="F44" s="399">
        <f t="shared" si="62"/>
        <v>0</v>
      </c>
      <c r="G44" s="399">
        <f t="shared" ref="G44:I44" si="63">SUM(G32:G43)</f>
        <v>0</v>
      </c>
      <c r="H44" s="399">
        <f t="shared" si="63"/>
        <v>0</v>
      </c>
      <c r="I44" s="399">
        <f t="shared" si="63"/>
        <v>0</v>
      </c>
      <c r="K44" s="43" t="s">
        <v>36</v>
      </c>
      <c r="L44" s="399">
        <f>SUM(L32:L43)</f>
        <v>0</v>
      </c>
      <c r="M44" s="399">
        <f>SUM(M32:M43)</f>
        <v>0</v>
      </c>
      <c r="N44" s="399">
        <f t="shared" ref="N44:O44" si="64">SUM(N32:N43)</f>
        <v>0</v>
      </c>
      <c r="O44" s="399">
        <f t="shared" si="64"/>
        <v>0</v>
      </c>
      <c r="Q44" s="43" t="s">
        <v>36</v>
      </c>
      <c r="R44" s="399">
        <f>SUM(R32:R43)</f>
        <v>0</v>
      </c>
      <c r="S44" s="399">
        <f>SUM(S32:S43)</f>
        <v>0</v>
      </c>
    </row>
    <row r="46" spans="2:52" x14ac:dyDescent="0.25">
      <c r="B46" s="43" t="s">
        <v>105</v>
      </c>
      <c r="C46" s="397" t="s">
        <v>312</v>
      </c>
      <c r="D46" s="397" t="s">
        <v>309</v>
      </c>
      <c r="E46" s="397"/>
      <c r="F46" s="397"/>
      <c r="G46" s="397"/>
      <c r="H46" s="397"/>
      <c r="I46" s="397"/>
      <c r="K46" s="43" t="s">
        <v>105</v>
      </c>
      <c r="L46" s="397"/>
      <c r="M46" s="397"/>
      <c r="N46" s="397"/>
      <c r="O46" s="397"/>
      <c r="Q46" s="43" t="s">
        <v>105</v>
      </c>
      <c r="R46" s="397"/>
      <c r="S46" s="397"/>
    </row>
    <row r="47" spans="2:52" x14ac:dyDescent="0.25">
      <c r="B47" s="43" t="str">
        <f xml:space="preserve"> "WBH* " &amp;BefrJahr2</f>
        <v>WBH* 2013</v>
      </c>
      <c r="C47" s="158"/>
      <c r="K47" s="43" t="str">
        <f xml:space="preserve"> "WBH* " &amp;BefrJahr2</f>
        <v>WBH* 2013</v>
      </c>
      <c r="L47" s="398"/>
      <c r="Q47" s="43" t="str">
        <f xml:space="preserve"> "WBH* " &amp;BefrJahr2</f>
        <v>WBH* 2013</v>
      </c>
      <c r="R47" s="398"/>
    </row>
    <row r="48" spans="2:52" x14ac:dyDescent="0.25">
      <c r="B48" s="47" t="s">
        <v>310</v>
      </c>
      <c r="K48" s="47" t="s">
        <v>310</v>
      </c>
      <c r="Q48" s="47" t="s">
        <v>310</v>
      </c>
    </row>
    <row r="54" spans="1:4" x14ac:dyDescent="0.25">
      <c r="A54" s="50"/>
    </row>
    <row r="62" spans="1:4" x14ac:dyDescent="0.25">
      <c r="D62" s="14" t="str">
        <f>"Heizwärmebedarf " &amp;BefrJahr1</f>
        <v>Heizwärmebedarf 2012</v>
      </c>
    </row>
    <row r="63" spans="1:4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dataValidations disablePrompts="1" count="1">
    <dataValidation type="list" allowBlank="1" showInputMessage="1" showErrorMessage="1" sqref="C4:I4 C29:I29">
      <formula1>Energieträger</formula1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landscape" r:id="rId1"/>
  <headerFooter>
    <oddHeader>&amp;L&amp;G&amp;R4.1 Endenergieverbrauch der vergangenen zwei Jahre</oddHeader>
    <oddFooter>&amp;R&amp;P / &amp;N</oddFooter>
  </headerFooter>
  <colBreaks count="1" manualBreakCount="1">
    <brk id="19" max="1048575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U94"/>
  <sheetViews>
    <sheetView showGridLines="0" view="pageLayout" zoomScaleNormal="100" zoomScaleSheetLayoutView="85" workbookViewId="0">
      <selection activeCell="V4" sqref="V4"/>
    </sheetView>
  </sheetViews>
  <sheetFormatPr baseColWidth="10" defaultColWidth="9.109375" defaultRowHeight="13.2" x14ac:dyDescent="0.25"/>
  <cols>
    <col min="1" max="1" width="5" style="65" customWidth="1"/>
    <col min="2" max="2" width="32.5546875" style="65" customWidth="1"/>
    <col min="3" max="5" width="11.109375" style="65" customWidth="1"/>
    <col min="6" max="6" width="2.88671875" style="65" customWidth="1"/>
    <col min="7" max="9" width="11.109375" style="65" customWidth="1"/>
    <col min="10" max="10" width="6.109375" style="65" customWidth="1"/>
    <col min="11" max="11" width="16.88671875" style="65" customWidth="1"/>
    <col min="12" max="21" width="6.109375" style="65" customWidth="1"/>
    <col min="22" max="22" width="16.109375" style="65" customWidth="1"/>
    <col min="23" max="23" width="15.6640625" style="65" customWidth="1"/>
    <col min="24" max="24" width="6.109375" style="65" customWidth="1"/>
    <col min="25" max="16384" width="9.109375" style="65"/>
  </cols>
  <sheetData>
    <row r="1" spans="1:9" ht="18" customHeight="1" x14ac:dyDescent="0.25">
      <c r="A1" s="293" t="s">
        <v>529</v>
      </c>
    </row>
    <row r="2" spans="1:9" x14ac:dyDescent="0.25">
      <c r="B2" s="14"/>
      <c r="C2" s="14"/>
      <c r="D2" s="14"/>
      <c r="E2" s="14"/>
      <c r="F2" s="14"/>
      <c r="G2" s="14"/>
      <c r="H2" s="14"/>
      <c r="I2" s="14"/>
    </row>
    <row r="3" spans="1:9" x14ac:dyDescent="0.25">
      <c r="B3" s="69" t="s">
        <v>327</v>
      </c>
      <c r="C3" s="14"/>
      <c r="D3" s="14"/>
      <c r="E3" s="14"/>
      <c r="F3" s="14"/>
      <c r="G3" s="14"/>
      <c r="H3" s="14"/>
      <c r="I3" s="14"/>
    </row>
    <row r="4" spans="1:9" x14ac:dyDescent="0.25">
      <c r="B4" s="51"/>
      <c r="C4" s="56" t="s">
        <v>326</v>
      </c>
      <c r="D4" s="57"/>
      <c r="E4" s="58"/>
      <c r="F4" s="51"/>
      <c r="G4" s="56" t="s">
        <v>636</v>
      </c>
      <c r="H4" s="57"/>
      <c r="I4" s="58"/>
    </row>
    <row r="5" spans="1:9" x14ac:dyDescent="0.25">
      <c r="B5" s="51"/>
      <c r="C5" s="48">
        <f>BefrJahr1</f>
        <v>2012</v>
      </c>
      <c r="D5" s="48">
        <f>BefrJahr2</f>
        <v>2013</v>
      </c>
      <c r="E5" s="48" t="s">
        <v>36</v>
      </c>
      <c r="F5" s="51"/>
      <c r="G5" s="48">
        <f>BefrJahr1</f>
        <v>2012</v>
      </c>
      <c r="H5" s="48">
        <f>BefrJahr2</f>
        <v>2013</v>
      </c>
      <c r="I5" s="48" t="s">
        <v>36</v>
      </c>
    </row>
    <row r="6" spans="1:9" x14ac:dyDescent="0.25">
      <c r="B6" s="48" t="str">
        <f>'3'!C6</f>
        <v>Strombezug vom Netz</v>
      </c>
      <c r="C6" s="400">
        <f>SUMIF('4.1'!$C$4:$I$4,B6,'4.1'!$C$19:$I$19)</f>
        <v>2622575</v>
      </c>
      <c r="D6" s="400">
        <f>SUMIF('4.1'!$C$29:$I$29,B6,'4.1'!$C$44:$I$44)</f>
        <v>2799335</v>
      </c>
      <c r="E6" s="400">
        <f>SUM(C6:D6)</f>
        <v>5421910</v>
      </c>
      <c r="F6" s="51"/>
      <c r="G6" s="400">
        <f t="shared" ref="G6:G28" si="0">INDEX(EnergieträgerMatrix,MATCH($B6,Energieträger,0),3)*C6/1000</f>
        <v>0</v>
      </c>
      <c r="H6" s="400">
        <f t="shared" ref="H6:H28" si="1">INDEX(EnergieträgerMatrix,MATCH($B6,Energieträger,0),3)*D6/1000</f>
        <v>0</v>
      </c>
      <c r="I6" s="400">
        <f>SUM(G6:H6)</f>
        <v>0</v>
      </c>
    </row>
    <row r="7" spans="1:9" x14ac:dyDescent="0.25">
      <c r="B7" s="48" t="str">
        <f>'3'!C7</f>
        <v>Heizöl extra leicht</v>
      </c>
      <c r="C7" s="400">
        <f>SUMIF('4.1'!$C$4:$I$4,B7,'4.1'!$C$19:$I$19)</f>
        <v>3556346.032066667</v>
      </c>
      <c r="D7" s="400">
        <f>SUMIF('4.1'!$C$29:$I$29,B7,'4.1'!$C$44:$I$44)</f>
        <v>3445362.8080666671</v>
      </c>
      <c r="E7" s="400">
        <f t="shared" ref="E7:E33" si="2">SUM(C7:D7)</f>
        <v>7001708.8401333336</v>
      </c>
      <c r="F7" s="51"/>
      <c r="G7" s="400">
        <f t="shared" si="0"/>
        <v>943.68353230095408</v>
      </c>
      <c r="H7" s="400">
        <f t="shared" si="1"/>
        <v>914.23391184610614</v>
      </c>
      <c r="I7" s="400">
        <f t="shared" ref="I7:I11" si="3">SUM(G7:H7)</f>
        <v>1857.9174441470602</v>
      </c>
    </row>
    <row r="8" spans="1:9" x14ac:dyDescent="0.25">
      <c r="B8" s="48" t="str">
        <f>'3'!C8</f>
        <v>Heizöl mittel/schwer</v>
      </c>
      <c r="C8" s="400">
        <f>SUMIF('4.1'!$C$4:$I$4,B8,'4.1'!$C$19:$I$19)</f>
        <v>0</v>
      </c>
      <c r="D8" s="400">
        <f>SUMIF('4.1'!$C$29:$I$29,B8,'4.1'!$C$44:$I$44)</f>
        <v>0</v>
      </c>
      <c r="E8" s="400">
        <f t="shared" si="2"/>
        <v>0</v>
      </c>
      <c r="F8" s="59"/>
      <c r="G8" s="400">
        <f t="shared" si="0"/>
        <v>0</v>
      </c>
      <c r="H8" s="400">
        <f t="shared" si="1"/>
        <v>0</v>
      </c>
      <c r="I8" s="400">
        <f t="shared" si="3"/>
        <v>0</v>
      </c>
    </row>
    <row r="9" spans="1:9" x14ac:dyDescent="0.25">
      <c r="B9" s="48" t="str">
        <f>'3'!C9</f>
        <v>Erdgas</v>
      </c>
      <c r="C9" s="400">
        <f>SUMIF('4.1'!$C$4:$I$4,B9,'4.1'!$C$19:$I$19)</f>
        <v>0</v>
      </c>
      <c r="D9" s="400">
        <f>SUMIF('4.1'!$C$29:$I$29,B9,'4.1'!$C$44:$I$44)</f>
        <v>0</v>
      </c>
      <c r="E9" s="400">
        <f t="shared" si="2"/>
        <v>0</v>
      </c>
      <c r="F9" s="51"/>
      <c r="G9" s="400">
        <f t="shared" si="0"/>
        <v>0</v>
      </c>
      <c r="H9" s="400">
        <f t="shared" si="1"/>
        <v>0</v>
      </c>
      <c r="I9" s="400">
        <f t="shared" si="3"/>
        <v>0</v>
      </c>
    </row>
    <row r="10" spans="1:9" x14ac:dyDescent="0.25">
      <c r="B10" s="48" t="str">
        <f>'3'!C10</f>
        <v>Butan</v>
      </c>
      <c r="C10" s="400">
        <f>SUMIF('4.1'!$C$4:$I$4,B10,'4.1'!$C$19:$I$19)</f>
        <v>0</v>
      </c>
      <c r="D10" s="400">
        <f>SUMIF('4.1'!$C$29:$I$29,B10,'4.1'!$C$44:$I$44)</f>
        <v>0</v>
      </c>
      <c r="E10" s="400">
        <f t="shared" si="2"/>
        <v>0</v>
      </c>
      <c r="F10" s="51"/>
      <c r="G10" s="400">
        <f t="shared" si="0"/>
        <v>0</v>
      </c>
      <c r="H10" s="400">
        <f t="shared" si="1"/>
        <v>0</v>
      </c>
      <c r="I10" s="400">
        <f t="shared" si="3"/>
        <v>0</v>
      </c>
    </row>
    <row r="11" spans="1:9" x14ac:dyDescent="0.25">
      <c r="B11" s="48" t="str">
        <f>'3'!C11</f>
        <v>Propan</v>
      </c>
      <c r="C11" s="400">
        <f>SUMIF('4.1'!$C$4:$I$4,B11,'4.1'!$C$19:$I$19)</f>
        <v>0</v>
      </c>
      <c r="D11" s="400">
        <f>SUMIF('4.1'!$C$29:$I$29,B11,'4.1'!$C$44:$I$44)</f>
        <v>0</v>
      </c>
      <c r="E11" s="400">
        <f t="shared" si="2"/>
        <v>0</v>
      </c>
      <c r="F11" s="14"/>
      <c r="G11" s="400">
        <f t="shared" si="0"/>
        <v>0</v>
      </c>
      <c r="H11" s="400">
        <f t="shared" si="1"/>
        <v>0</v>
      </c>
      <c r="I11" s="400">
        <f t="shared" si="3"/>
        <v>0</v>
      </c>
    </row>
    <row r="12" spans="1:9" x14ac:dyDescent="0.25">
      <c r="B12" s="48" t="str">
        <f>'3'!C12</f>
        <v>Biogas (roh, Durchschnittswert)</v>
      </c>
      <c r="C12" s="400">
        <f>SUMIF('4.1'!$C$4:$I$4,B12,'4.1'!$C$19:$I$19)</f>
        <v>0</v>
      </c>
      <c r="D12" s="400">
        <f>SUMIF('4.1'!$C$29:$I$29,B12,'4.1'!$C$44:$I$44)</f>
        <v>0</v>
      </c>
      <c r="E12" s="400">
        <f t="shared" si="2"/>
        <v>0</v>
      </c>
      <c r="F12" s="51"/>
      <c r="G12" s="400">
        <f t="shared" si="0"/>
        <v>0</v>
      </c>
      <c r="H12" s="400">
        <f t="shared" si="1"/>
        <v>0</v>
      </c>
      <c r="I12" s="400">
        <f t="shared" ref="I12:I28" si="4">SUM(G12:H12)</f>
        <v>0</v>
      </c>
    </row>
    <row r="13" spans="1:9" x14ac:dyDescent="0.25">
      <c r="B13" s="48" t="str">
        <f>'3'!C13</f>
        <v>Fernwärme</v>
      </c>
      <c r="C13" s="400">
        <f>SUMIF('4.1'!$C$4:$I$4,B13,'4.1'!$C$19:$I$19)</f>
        <v>0</v>
      </c>
      <c r="D13" s="400">
        <f>SUMIF('4.1'!$C$29:$I$29,B13,'4.1'!$C$44:$I$44)</f>
        <v>0</v>
      </c>
      <c r="E13" s="400">
        <f t="shared" si="2"/>
        <v>0</v>
      </c>
      <c r="F13" s="51"/>
      <c r="G13" s="400">
        <f t="shared" si="0"/>
        <v>0</v>
      </c>
      <c r="H13" s="400">
        <f t="shared" si="1"/>
        <v>0</v>
      </c>
      <c r="I13" s="400">
        <f t="shared" si="4"/>
        <v>0</v>
      </c>
    </row>
    <row r="14" spans="1:9" x14ac:dyDescent="0.25">
      <c r="B14" s="48" t="str">
        <f>'3'!C14</f>
        <v>Steinkohle</v>
      </c>
      <c r="C14" s="400">
        <f>SUMIF('4.1'!$C$4:$I$4,B14,'4.1'!$C$19:$I$19)</f>
        <v>0</v>
      </c>
      <c r="D14" s="400">
        <f>SUMIF('4.1'!$C$29:$I$29,B14,'4.1'!$C$44:$I$44)</f>
        <v>0</v>
      </c>
      <c r="E14" s="400">
        <f t="shared" si="2"/>
        <v>0</v>
      </c>
      <c r="F14" s="51"/>
      <c r="G14" s="400">
        <f t="shared" si="0"/>
        <v>0</v>
      </c>
      <c r="H14" s="400">
        <f t="shared" si="1"/>
        <v>0</v>
      </c>
      <c r="I14" s="400">
        <f t="shared" si="4"/>
        <v>0</v>
      </c>
    </row>
    <row r="15" spans="1:9" x14ac:dyDescent="0.25">
      <c r="B15" s="48" t="str">
        <f>'3'!C15</f>
        <v>Braunkohle</v>
      </c>
      <c r="C15" s="400">
        <f>SUMIF('4.1'!$C$4:$I$4,B15,'4.1'!$C$19:$I$19)</f>
        <v>0</v>
      </c>
      <c r="D15" s="400">
        <f>SUMIF('4.1'!$C$29:$I$29,B15,'4.1'!$C$44:$I$44)</f>
        <v>0</v>
      </c>
      <c r="E15" s="400">
        <f t="shared" si="2"/>
        <v>0</v>
      </c>
      <c r="F15" s="51"/>
      <c r="G15" s="400">
        <f t="shared" si="0"/>
        <v>0</v>
      </c>
      <c r="H15" s="400">
        <f t="shared" si="1"/>
        <v>0</v>
      </c>
      <c r="I15" s="400">
        <f t="shared" si="4"/>
        <v>0</v>
      </c>
    </row>
    <row r="16" spans="1:9" x14ac:dyDescent="0.25">
      <c r="B16" s="48" t="str">
        <f>'3'!C16</f>
        <v>Naturbelassenes Holz, Restholz</v>
      </c>
      <c r="C16" s="400">
        <f>SUMIF('4.1'!$C$4:$I$4,B16,'4.1'!$C$19:$I$19)</f>
        <v>0</v>
      </c>
      <c r="D16" s="400">
        <f>SUMIF('4.1'!$C$29:$I$29,B16,'4.1'!$C$44:$I$44)</f>
        <v>0</v>
      </c>
      <c r="E16" s="400">
        <f t="shared" si="2"/>
        <v>0</v>
      </c>
      <c r="F16" s="51"/>
      <c r="G16" s="400">
        <f t="shared" si="0"/>
        <v>0</v>
      </c>
      <c r="H16" s="400">
        <f t="shared" si="1"/>
        <v>0</v>
      </c>
      <c r="I16" s="400">
        <f t="shared" si="4"/>
        <v>0</v>
      </c>
    </row>
    <row r="17" spans="2:9" x14ac:dyDescent="0.25">
      <c r="B17" s="48" t="str">
        <f>'3'!C17</f>
        <v>Altholz und Holzabfälle</v>
      </c>
      <c r="C17" s="400">
        <f>SUMIF('4.1'!$C$4:$I$4,B17,'4.1'!$C$19:$I$19)</f>
        <v>0</v>
      </c>
      <c r="D17" s="400">
        <f>SUMIF('4.1'!$C$29:$I$29,B17,'4.1'!$C$44:$I$44)</f>
        <v>0</v>
      </c>
      <c r="E17" s="400">
        <f t="shared" si="2"/>
        <v>0</v>
      </c>
      <c r="F17" s="51"/>
      <c r="G17" s="400">
        <f t="shared" si="0"/>
        <v>0</v>
      </c>
      <c r="H17" s="400">
        <f t="shared" si="1"/>
        <v>0</v>
      </c>
      <c r="I17" s="400">
        <f t="shared" si="4"/>
        <v>0</v>
      </c>
    </row>
    <row r="18" spans="2:9" x14ac:dyDescent="0.25">
      <c r="B18" s="48" t="str">
        <f>'3'!C18</f>
        <v>Koks</v>
      </c>
      <c r="C18" s="400">
        <f>SUMIF('4.1'!$C$4:$I$4,B18,'4.1'!$C$19:$I$19)</f>
        <v>0</v>
      </c>
      <c r="D18" s="400">
        <f>SUMIF('4.1'!$C$29:$I$29,B18,'4.1'!$C$44:$I$44)</f>
        <v>0</v>
      </c>
      <c r="E18" s="400">
        <f t="shared" ref="E18:E26" si="5">SUM(C18:D18)</f>
        <v>0</v>
      </c>
      <c r="F18" s="51"/>
      <c r="G18" s="400">
        <f t="shared" ref="G18:G26" si="6">INDEX(EnergieträgerMatrix,MATCH($B18,Energieträger,0),3)*C18/1000</f>
        <v>0</v>
      </c>
      <c r="H18" s="400">
        <f t="shared" ref="H18:H26" si="7">INDEX(EnergieträgerMatrix,MATCH($B18,Energieträger,0),3)*D18/1000</f>
        <v>0</v>
      </c>
      <c r="I18" s="400">
        <f t="shared" ref="I18:I26" si="8">SUM(G18:H18)</f>
        <v>0</v>
      </c>
    </row>
    <row r="19" spans="2:9" x14ac:dyDescent="0.25">
      <c r="B19" s="48" t="str">
        <f>'3'!C19</f>
        <v>Petrolkoks</v>
      </c>
      <c r="C19" s="400">
        <f>SUMIF('4.1'!$C$4:$I$4,B19,'4.1'!$C$19:$I$19)</f>
        <v>0</v>
      </c>
      <c r="D19" s="400">
        <f>SUMIF('4.1'!$C$29:$I$29,B19,'4.1'!$C$44:$I$44)</f>
        <v>0</v>
      </c>
      <c r="E19" s="400">
        <f t="shared" si="5"/>
        <v>0</v>
      </c>
      <c r="F19" s="51"/>
      <c r="G19" s="400">
        <f t="shared" si="6"/>
        <v>0</v>
      </c>
      <c r="H19" s="400">
        <f t="shared" si="7"/>
        <v>0</v>
      </c>
      <c r="I19" s="400">
        <f t="shared" si="8"/>
        <v>0</v>
      </c>
    </row>
    <row r="20" spans="2:9" x14ac:dyDescent="0.25">
      <c r="B20" s="48" t="str">
        <f>'3'!C20</f>
        <v>Acetylen</v>
      </c>
      <c r="C20" s="400">
        <f>SUMIF('4.1'!$C$4:$I$4,B20,'4.1'!$C$19:$I$19)</f>
        <v>0</v>
      </c>
      <c r="D20" s="400">
        <f>SUMIF('4.1'!$C$29:$I$29,B20,'4.1'!$C$44:$I$44)</f>
        <v>0</v>
      </c>
      <c r="E20" s="400">
        <f t="shared" si="5"/>
        <v>0</v>
      </c>
      <c r="F20" s="51"/>
      <c r="G20" s="400">
        <f>INDEX(EnergieträgerMatrix,MATCH($B20,Energieträger,0),3)*C20/1000</f>
        <v>0</v>
      </c>
      <c r="H20" s="400">
        <f t="shared" si="7"/>
        <v>0</v>
      </c>
      <c r="I20" s="400">
        <f t="shared" si="8"/>
        <v>0</v>
      </c>
    </row>
    <row r="21" spans="2:9" x14ac:dyDescent="0.25">
      <c r="B21" s="48" t="str">
        <f>'3'!C21</f>
        <v>Altöl (fossiler Anteil 100 %)</v>
      </c>
      <c r="C21" s="400">
        <f>SUMIF('4.1'!$C$4:$I$4,B21,'4.1'!$C$19:$I$19)</f>
        <v>0</v>
      </c>
      <c r="D21" s="400">
        <f>SUMIF('4.1'!$C$29:$I$29,B21,'4.1'!$C$44:$I$44)</f>
        <v>0</v>
      </c>
      <c r="E21" s="400">
        <f t="shared" si="5"/>
        <v>0</v>
      </c>
      <c r="F21" s="51"/>
      <c r="G21" s="400">
        <f t="shared" si="6"/>
        <v>0</v>
      </c>
      <c r="H21" s="400">
        <f t="shared" si="7"/>
        <v>0</v>
      </c>
      <c r="I21" s="400">
        <f t="shared" si="8"/>
        <v>0</v>
      </c>
    </row>
    <row r="22" spans="2:9" x14ac:dyDescent="0.25">
      <c r="B22" s="48" t="str">
        <f>'3'!C22</f>
        <v>Altpneu (fossiler Anteil 73 %)</v>
      </c>
      <c r="C22" s="400">
        <f>SUMIF('4.1'!$C$4:$I$4,B22,'4.1'!$C$19:$I$19)</f>
        <v>0</v>
      </c>
      <c r="D22" s="400">
        <f>SUMIF('4.1'!$C$29:$I$29,B22,'4.1'!$C$44:$I$44)</f>
        <v>0</v>
      </c>
      <c r="E22" s="400">
        <f t="shared" si="5"/>
        <v>0</v>
      </c>
      <c r="F22" s="51"/>
      <c r="G22" s="400">
        <f t="shared" si="6"/>
        <v>0</v>
      </c>
      <c r="H22" s="400">
        <f t="shared" si="7"/>
        <v>0</v>
      </c>
      <c r="I22" s="400">
        <f t="shared" si="8"/>
        <v>0</v>
      </c>
    </row>
    <row r="23" spans="2:9" x14ac:dyDescent="0.25">
      <c r="B23" s="48" t="str">
        <f>'3'!C23</f>
        <v>Kunststoffe (fossiler Anteil 72 %)</v>
      </c>
      <c r="C23" s="400">
        <f>SUMIF('4.1'!$C$4:$I$4,B23,'4.1'!$C$19:$I$19)</f>
        <v>0</v>
      </c>
      <c r="D23" s="400">
        <f>SUMIF('4.1'!$C$29:$I$29,B23,'4.1'!$C$44:$I$44)</f>
        <v>0</v>
      </c>
      <c r="E23" s="400">
        <f t="shared" si="5"/>
        <v>0</v>
      </c>
      <c r="F23" s="51"/>
      <c r="G23" s="400">
        <f t="shared" si="6"/>
        <v>0</v>
      </c>
      <c r="H23" s="400">
        <f t="shared" si="7"/>
        <v>0</v>
      </c>
      <c r="I23" s="400">
        <f t="shared" si="8"/>
        <v>0</v>
      </c>
    </row>
    <row r="24" spans="2:9" x14ac:dyDescent="0.25">
      <c r="B24" s="48" t="str">
        <f>'3'!C24</f>
        <v>Lösungsmittel (fossiler Anteil 99 %)</v>
      </c>
      <c r="C24" s="400">
        <f>SUMIF('4.1'!$C$4:$I$4,B24,'4.1'!$C$19:$I$19)</f>
        <v>0</v>
      </c>
      <c r="D24" s="400">
        <f>SUMIF('4.1'!$C$29:$I$29,B24,'4.1'!$C$44:$I$44)</f>
        <v>0</v>
      </c>
      <c r="E24" s="400">
        <f t="shared" si="5"/>
        <v>0</v>
      </c>
      <c r="F24" s="51"/>
      <c r="G24" s="400">
        <f t="shared" si="6"/>
        <v>0</v>
      </c>
      <c r="H24" s="400">
        <f t="shared" si="7"/>
        <v>0</v>
      </c>
      <c r="I24" s="400">
        <f t="shared" si="8"/>
        <v>0</v>
      </c>
    </row>
    <row r="25" spans="2:9" x14ac:dyDescent="0.25">
      <c r="B25" s="48" t="str">
        <f>'3'!C25</f>
        <v>Imprägniertes Sägemehl (fossiler Anteil 22 %)</v>
      </c>
      <c r="C25" s="400">
        <f>SUMIF('4.1'!$C$4:$I$4,B25,'4.1'!$C$19:$I$19)</f>
        <v>0</v>
      </c>
      <c r="D25" s="400">
        <f>SUMIF('4.1'!$C$29:$I$29,B25,'4.1'!$C$44:$I$44)</f>
        <v>0</v>
      </c>
      <c r="E25" s="400">
        <f t="shared" si="5"/>
        <v>0</v>
      </c>
      <c r="F25" s="51"/>
      <c r="G25" s="400">
        <f t="shared" si="6"/>
        <v>0</v>
      </c>
      <c r="H25" s="400">
        <f t="shared" si="7"/>
        <v>0</v>
      </c>
      <c r="I25" s="400">
        <f t="shared" si="8"/>
        <v>0</v>
      </c>
    </row>
    <row r="26" spans="2:9" x14ac:dyDescent="0.25">
      <c r="B26" s="48" t="str">
        <f>'3'!C26</f>
        <v>Benutzerdefiniert 1</v>
      </c>
      <c r="C26" s="400">
        <f>SUMIF('4.1'!$C$4:$I$4,B26,'4.1'!$C$19:$I$19)</f>
        <v>0</v>
      </c>
      <c r="D26" s="400">
        <f>SUMIF('4.1'!$C$29:$I$29,B26,'4.1'!$C$44:$I$44)</f>
        <v>0</v>
      </c>
      <c r="E26" s="400">
        <f t="shared" si="5"/>
        <v>0</v>
      </c>
      <c r="F26" s="51"/>
      <c r="G26" s="400">
        <f t="shared" si="6"/>
        <v>0</v>
      </c>
      <c r="H26" s="400">
        <f t="shared" si="7"/>
        <v>0</v>
      </c>
      <c r="I26" s="400">
        <f t="shared" si="8"/>
        <v>0</v>
      </c>
    </row>
    <row r="27" spans="2:9" x14ac:dyDescent="0.25">
      <c r="B27" s="48" t="str">
        <f>'3'!C27</f>
        <v>Benutzerdefiniert 2</v>
      </c>
      <c r="C27" s="400">
        <f>SUMIF('4.1'!$C$4:$I$4,B27,'4.1'!$C$19:$I$19)</f>
        <v>0</v>
      </c>
      <c r="D27" s="400">
        <f>SUMIF('4.1'!$C$29:$I$29,B27,'4.1'!$C$44:$I$44)</f>
        <v>0</v>
      </c>
      <c r="E27" s="400">
        <f t="shared" si="2"/>
        <v>0</v>
      </c>
      <c r="F27" s="51"/>
      <c r="G27" s="400">
        <f t="shared" si="0"/>
        <v>0</v>
      </c>
      <c r="H27" s="400">
        <f t="shared" si="1"/>
        <v>0</v>
      </c>
      <c r="I27" s="400">
        <f t="shared" si="4"/>
        <v>0</v>
      </c>
    </row>
    <row r="28" spans="2:9" x14ac:dyDescent="0.25">
      <c r="B28" s="48" t="str">
        <f>'3'!C28</f>
        <v>Benutzerdefiniert 3</v>
      </c>
      <c r="C28" s="400">
        <f>SUMIF('4.1'!$C$4:$I$4,B28,'4.1'!$C$19:$I$19)</f>
        <v>0</v>
      </c>
      <c r="D28" s="400">
        <f>SUMIF('4.1'!$C$29:$I$29,B28,'4.1'!$C$44:$I$44)</f>
        <v>0</v>
      </c>
      <c r="E28" s="400">
        <f t="shared" si="2"/>
        <v>0</v>
      </c>
      <c r="F28" s="51"/>
      <c r="G28" s="400">
        <f t="shared" si="0"/>
        <v>0</v>
      </c>
      <c r="H28" s="400">
        <f t="shared" si="1"/>
        <v>0</v>
      </c>
      <c r="I28" s="400">
        <f t="shared" si="4"/>
        <v>0</v>
      </c>
    </row>
    <row r="29" spans="2:9" x14ac:dyDescent="0.25">
      <c r="B29" s="48" t="s">
        <v>348</v>
      </c>
      <c r="C29" s="400">
        <f>SUMIF('4.1'!$L$4:$O$4,B29,'4.1'!$L$19:$O$19)</f>
        <v>0</v>
      </c>
      <c r="D29" s="400">
        <f>SUMIF('4.1'!$L$29:$O$29,B29,'4.1'!$L$44:$O$44)</f>
        <v>0</v>
      </c>
      <c r="E29" s="400">
        <f t="shared" si="2"/>
        <v>0</v>
      </c>
      <c r="F29" s="14"/>
      <c r="G29" s="607"/>
      <c r="H29" s="607"/>
      <c r="I29" s="607"/>
    </row>
    <row r="30" spans="2:9" x14ac:dyDescent="0.25">
      <c r="B30" s="48" t="s">
        <v>349</v>
      </c>
      <c r="C30" s="400">
        <f>SUMIF('4.1'!$L$4:$O$4,B30,'4.1'!$L$19:$O$19)</f>
        <v>0</v>
      </c>
      <c r="D30" s="400">
        <f>SUMIF('4.1'!$L$29:$O$29,B30,'4.1'!$L$44:$O$44)</f>
        <v>0</v>
      </c>
      <c r="E30" s="400">
        <f t="shared" si="2"/>
        <v>0</v>
      </c>
      <c r="F30" s="14"/>
      <c r="G30" s="608"/>
      <c r="H30" s="608"/>
      <c r="I30" s="608"/>
    </row>
    <row r="31" spans="2:9" x14ac:dyDescent="0.25">
      <c r="B31" s="48" t="s">
        <v>350</v>
      </c>
      <c r="C31" s="400">
        <f>SUMIF('4.1'!$L$4:$O$4,B31,'4.1'!$L$19:$O$19)</f>
        <v>0</v>
      </c>
      <c r="D31" s="400">
        <f>SUMIF('4.1'!$L$29:$O$29,B31,'4.1'!$L$44:$O$44)</f>
        <v>0</v>
      </c>
      <c r="E31" s="400">
        <f t="shared" si="2"/>
        <v>0</v>
      </c>
      <c r="F31" s="14"/>
      <c r="G31" s="607"/>
      <c r="H31" s="607"/>
      <c r="I31" s="607"/>
    </row>
    <row r="32" spans="2:9" x14ac:dyDescent="0.25">
      <c r="B32" s="48" t="s">
        <v>313</v>
      </c>
      <c r="C32" s="400">
        <f>SUMIF('4.1'!$L$4:$O$4,B32,'4.1'!$L$19:$O$19)</f>
        <v>0</v>
      </c>
      <c r="D32" s="400">
        <f>SUMIF('4.1'!$L$29:$O$29,B32,'4.1'!$L$44:$O$44)</f>
        <v>0</v>
      </c>
      <c r="E32" s="400">
        <f t="shared" si="2"/>
        <v>0</v>
      </c>
      <c r="F32" s="14"/>
      <c r="G32" s="608"/>
      <c r="H32" s="608"/>
      <c r="I32" s="608"/>
    </row>
    <row r="33" spans="2:21" x14ac:dyDescent="0.25">
      <c r="B33" s="48" t="s">
        <v>345</v>
      </c>
      <c r="C33" s="400">
        <f>SUMIF('4.1'!$R$4:$S$4,B33,'4.1'!$R$19:$S$19)</f>
        <v>0</v>
      </c>
      <c r="D33" s="400">
        <f>SUMIF('4.1'!$R$29:$S$29,B33,'4.1'!$R$44:$S$44)</f>
        <v>0</v>
      </c>
      <c r="E33" s="400">
        <f t="shared" si="2"/>
        <v>0</v>
      </c>
      <c r="F33" s="51"/>
      <c r="G33" s="607"/>
      <c r="H33" s="607"/>
      <c r="I33" s="607"/>
    </row>
    <row r="34" spans="2:21" x14ac:dyDescent="0.25">
      <c r="B34" s="48" t="s">
        <v>328</v>
      </c>
      <c r="C34" s="400">
        <f>SUMIF('4.1'!$R$4:$S$4,B34,'4.1'!$R$19:$S$19)</f>
        <v>0</v>
      </c>
      <c r="D34" s="400">
        <f>SUMIF('4.1'!$R$29:$S$29,B34,'4.1'!$R$44:$S$44)</f>
        <v>0</v>
      </c>
      <c r="E34" s="400">
        <f>SUM(C34:D34)</f>
        <v>0</v>
      </c>
      <c r="F34" s="51"/>
      <c r="G34" s="608"/>
      <c r="H34" s="608"/>
      <c r="I34" s="608"/>
    </row>
    <row r="35" spans="2:21" ht="3.75" customHeight="1" x14ac:dyDescent="0.25">
      <c r="B35" s="51"/>
      <c r="C35" s="51"/>
      <c r="D35" s="51"/>
      <c r="E35" s="51"/>
      <c r="F35" s="51"/>
      <c r="G35" s="51"/>
      <c r="H35" s="51"/>
      <c r="I35" s="51"/>
    </row>
    <row r="36" spans="2:21" x14ac:dyDescent="0.25">
      <c r="B36" s="224" t="s">
        <v>515</v>
      </c>
      <c r="C36" s="401">
        <f>SUM(C6:C28)-C33-C34</f>
        <v>6178921.0320666675</v>
      </c>
      <c r="D36" s="401">
        <f>SUM(D6:D28)-D33-D34</f>
        <v>6244697.8080666671</v>
      </c>
      <c r="E36" s="401">
        <f>SUM(E6:E28)-E33-E34</f>
        <v>12423618.840133334</v>
      </c>
      <c r="F36" s="225"/>
      <c r="G36" s="401">
        <f>SUM(G6:G28)</f>
        <v>943.68353230095408</v>
      </c>
      <c r="H36" s="401">
        <f>SUM(H6:H28)</f>
        <v>914.23391184610614</v>
      </c>
      <c r="I36" s="401">
        <f>SUM(I6:I28)</f>
        <v>1857.9174441470602</v>
      </c>
    </row>
    <row r="37" spans="2:21" ht="6" customHeight="1" x14ac:dyDescent="0.25"/>
    <row r="38" spans="2:21" x14ac:dyDescent="0.25">
      <c r="B38" s="317" t="s">
        <v>580</v>
      </c>
    </row>
    <row r="39" spans="2:21" ht="26.4" x14ac:dyDescent="0.25">
      <c r="B39" s="67" t="s">
        <v>518</v>
      </c>
      <c r="C39" s="67" t="str">
        <f xml:space="preserve"> "Menge " &amp; BefrJahr1</f>
        <v>Menge 2012</v>
      </c>
      <c r="D39" s="67" t="str">
        <f xml:space="preserve"> "Menge " &amp; BefrJahr2</f>
        <v>Menge 2013</v>
      </c>
      <c r="E39" s="67" t="s">
        <v>20</v>
      </c>
      <c r="G39" s="56" t="s">
        <v>38</v>
      </c>
      <c r="H39" s="57"/>
      <c r="I39" s="58"/>
    </row>
    <row r="40" spans="2:21" ht="12.75" customHeight="1" x14ac:dyDescent="0.25">
      <c r="B40" s="68" t="s">
        <v>63</v>
      </c>
      <c r="C40" s="68" t="s">
        <v>224</v>
      </c>
      <c r="D40" s="68" t="s">
        <v>224</v>
      </c>
      <c r="E40" s="68" t="s">
        <v>225</v>
      </c>
      <c r="G40" s="48">
        <f>BefrJahr1</f>
        <v>2012</v>
      </c>
      <c r="H40" s="48">
        <f>BefrJahr2</f>
        <v>2013</v>
      </c>
      <c r="I40" s="48" t="s">
        <v>36</v>
      </c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</row>
    <row r="41" spans="2:21" x14ac:dyDescent="0.25">
      <c r="B41" s="402"/>
      <c r="C41" s="403">
        <v>0</v>
      </c>
      <c r="D41" s="403">
        <v>0</v>
      </c>
      <c r="E41" s="404">
        <v>0</v>
      </c>
      <c r="G41" s="400">
        <f>C41*E41</f>
        <v>0</v>
      </c>
      <c r="H41" s="400">
        <f>D41*E41</f>
        <v>0</v>
      </c>
      <c r="I41" s="400">
        <f t="shared" ref="I41:I43" si="9">SUM(G41:H41)</f>
        <v>0</v>
      </c>
    </row>
    <row r="42" spans="2:21" x14ac:dyDescent="0.25">
      <c r="B42" s="402"/>
      <c r="C42" s="403"/>
      <c r="D42" s="403"/>
      <c r="E42" s="404"/>
      <c r="G42" s="400">
        <f t="shared" ref="G42:G43" si="10">C42*E42</f>
        <v>0</v>
      </c>
      <c r="H42" s="400">
        <f t="shared" ref="H42:H43" si="11">D42*E42</f>
        <v>0</v>
      </c>
      <c r="I42" s="400">
        <f t="shared" si="9"/>
        <v>0</v>
      </c>
    </row>
    <row r="43" spans="2:21" x14ac:dyDescent="0.25">
      <c r="B43" s="402"/>
      <c r="C43" s="403"/>
      <c r="D43" s="403"/>
      <c r="E43" s="404"/>
      <c r="G43" s="400">
        <f t="shared" si="10"/>
        <v>0</v>
      </c>
      <c r="H43" s="400">
        <f t="shared" si="11"/>
        <v>0</v>
      </c>
      <c r="I43" s="400">
        <f t="shared" si="9"/>
        <v>0</v>
      </c>
    </row>
    <row r="44" spans="2:21" ht="3.75" customHeight="1" x14ac:dyDescent="0.25"/>
    <row r="45" spans="2:21" x14ac:dyDescent="0.25">
      <c r="B45" s="224" t="s">
        <v>581</v>
      </c>
      <c r="C45" s="609"/>
      <c r="D45" s="609"/>
      <c r="E45" s="609"/>
      <c r="F45" s="225"/>
      <c r="G45" s="401">
        <f>SUM(G41:G43)</f>
        <v>0</v>
      </c>
      <c r="H45" s="401">
        <f t="shared" ref="H45:I45" si="12">SUM(H41:H43)</f>
        <v>0</v>
      </c>
      <c r="I45" s="401">
        <f t="shared" si="12"/>
        <v>0</v>
      </c>
    </row>
    <row r="46" spans="2:21" ht="6" customHeight="1" x14ac:dyDescent="0.25"/>
    <row r="47" spans="2:21" x14ac:dyDescent="0.25">
      <c r="B47" s="224" t="s">
        <v>516</v>
      </c>
      <c r="C47" s="609"/>
      <c r="D47" s="609"/>
      <c r="E47" s="609"/>
      <c r="F47" s="225"/>
      <c r="G47" s="401">
        <f>G36+G45</f>
        <v>943.68353230095408</v>
      </c>
      <c r="H47" s="401">
        <f>H36+H45</f>
        <v>914.23391184610614</v>
      </c>
      <c r="I47" s="401">
        <f>I36+I45</f>
        <v>1857.9174441470602</v>
      </c>
    </row>
    <row r="48" spans="2:21" ht="12.75" customHeight="1" x14ac:dyDescent="0.25"/>
    <row r="51" spans="2:10" x14ac:dyDescent="0.25">
      <c r="B51" s="292"/>
      <c r="C51" s="292"/>
      <c r="D51" s="292"/>
    </row>
    <row r="54" spans="2:10" x14ac:dyDescent="0.25">
      <c r="J54" s="291"/>
    </row>
    <row r="62" spans="2:10" x14ac:dyDescent="0.25">
      <c r="D62" s="65" t="str">
        <f>"Heizwärmebedarf " &amp;BefrJahr1</f>
        <v>Heizwärmebedarf 2012</v>
      </c>
    </row>
    <row r="63" spans="2:10" x14ac:dyDescent="0.25">
      <c r="D63" s="65" t="str">
        <f>"Heizwärmebedarf " &amp;BefrJahr2</f>
        <v>Heizwärmebedarf 2013</v>
      </c>
    </row>
    <row r="93" spans="2:2" x14ac:dyDescent="0.25">
      <c r="B93" s="65">
        <f>BefrJahr1</f>
        <v>2012</v>
      </c>
    </row>
    <row r="94" spans="2:2" x14ac:dyDescent="0.25">
      <c r="B94" s="65">
        <f>BefrJahr2</f>
        <v>2013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&amp;L&amp;G&amp;R4.2 Treibhausgasemissionen der vergangenen zwei Jahre</oddHeader>
    <oddFooter>&amp;R&amp;P /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O94"/>
  <sheetViews>
    <sheetView showGridLines="0" view="pageLayout" zoomScale="70" zoomScaleNormal="100" zoomScalePageLayoutView="70" workbookViewId="0">
      <selection activeCell="V4" sqref="V4"/>
    </sheetView>
  </sheetViews>
  <sheetFormatPr baseColWidth="10" defaultColWidth="9.109375" defaultRowHeight="13.2" x14ac:dyDescent="0.25"/>
  <cols>
    <col min="1" max="1" width="4.88671875" style="14" customWidth="1"/>
    <col min="2" max="2" width="19" style="14" customWidth="1"/>
    <col min="3" max="18" width="14.44140625" style="14" customWidth="1"/>
    <col min="19" max="25" width="6.109375" style="14" customWidth="1"/>
    <col min="26" max="16384" width="9.109375" style="14"/>
  </cols>
  <sheetData>
    <row r="1" spans="1:15" ht="18.75" customHeight="1" x14ac:dyDescent="0.25">
      <c r="A1" s="18" t="s">
        <v>528</v>
      </c>
    </row>
    <row r="3" spans="1:15" ht="13.8" thickBot="1" x14ac:dyDescent="0.3">
      <c r="B3" s="69" t="str">
        <f>"Energieverbrauchsindikatoren für das Jahre " &amp; BefrJahr1</f>
        <v>Energieverbrauchsindikatoren für das Jahre 2012</v>
      </c>
    </row>
    <row r="4" spans="1:15" ht="26.4" x14ac:dyDescent="0.25">
      <c r="B4" s="70" t="s">
        <v>55</v>
      </c>
      <c r="C4" s="405" t="s">
        <v>110</v>
      </c>
      <c r="D4" s="406" t="s">
        <v>111</v>
      </c>
      <c r="E4" s="406" t="s">
        <v>112</v>
      </c>
      <c r="F4" s="406" t="s">
        <v>113</v>
      </c>
      <c r="G4" s="406" t="s">
        <v>114</v>
      </c>
      <c r="H4" s="406"/>
      <c r="I4" s="406"/>
      <c r="J4" s="406"/>
      <c r="K4" s="406"/>
      <c r="L4" s="407"/>
    </row>
    <row r="5" spans="1:15" ht="13.8" thickBot="1" x14ac:dyDescent="0.3">
      <c r="B5" s="71" t="s">
        <v>56</v>
      </c>
      <c r="C5" s="408" t="s">
        <v>443</v>
      </c>
      <c r="D5" s="409" t="s">
        <v>443</v>
      </c>
      <c r="E5" s="409" t="s">
        <v>443</v>
      </c>
      <c r="F5" s="409" t="s">
        <v>443</v>
      </c>
      <c r="G5" s="409" t="s">
        <v>443</v>
      </c>
      <c r="H5" s="409"/>
      <c r="I5" s="409"/>
      <c r="J5" s="409"/>
      <c r="K5" s="409"/>
      <c r="L5" s="410"/>
      <c r="N5" s="197"/>
      <c r="O5" s="197"/>
    </row>
    <row r="6" spans="1:15" x14ac:dyDescent="0.25">
      <c r="B6" s="72" t="s">
        <v>22</v>
      </c>
      <c r="C6" s="411">
        <v>752194</v>
      </c>
      <c r="D6" s="412">
        <v>130894</v>
      </c>
      <c r="E6" s="412">
        <v>328836</v>
      </c>
      <c r="F6" s="412">
        <v>263480</v>
      </c>
      <c r="G6" s="412">
        <v>28984</v>
      </c>
      <c r="H6" s="412"/>
      <c r="I6" s="412"/>
      <c r="J6" s="412"/>
      <c r="K6" s="412"/>
      <c r="L6" s="413"/>
      <c r="N6" s="197"/>
      <c r="O6" s="197"/>
    </row>
    <row r="7" spans="1:15" x14ac:dyDescent="0.25">
      <c r="B7" s="73" t="s">
        <v>23</v>
      </c>
      <c r="C7" s="414">
        <v>771784</v>
      </c>
      <c r="D7" s="415">
        <v>137460</v>
      </c>
      <c r="E7" s="415">
        <v>321864</v>
      </c>
      <c r="F7" s="415">
        <v>281974</v>
      </c>
      <c r="G7" s="415">
        <v>30486</v>
      </c>
      <c r="H7" s="415"/>
      <c r="I7" s="415"/>
      <c r="J7" s="415"/>
      <c r="K7" s="415"/>
      <c r="L7" s="416"/>
    </row>
    <row r="8" spans="1:15" x14ac:dyDescent="0.25">
      <c r="B8" s="73" t="s">
        <v>24</v>
      </c>
      <c r="C8" s="414">
        <v>1082029</v>
      </c>
      <c r="D8" s="415">
        <v>178142</v>
      </c>
      <c r="E8" s="415">
        <v>480720</v>
      </c>
      <c r="F8" s="415">
        <v>381482</v>
      </c>
      <c r="G8" s="415">
        <v>41685</v>
      </c>
      <c r="H8" s="415"/>
      <c r="I8" s="415"/>
      <c r="J8" s="415"/>
      <c r="K8" s="415"/>
      <c r="L8" s="416"/>
    </row>
    <row r="9" spans="1:15" x14ac:dyDescent="0.25">
      <c r="B9" s="73" t="s">
        <v>25</v>
      </c>
      <c r="C9" s="414">
        <v>904165</v>
      </c>
      <c r="D9" s="415">
        <v>167274</v>
      </c>
      <c r="E9" s="415">
        <v>352092</v>
      </c>
      <c r="F9" s="415">
        <v>353952</v>
      </c>
      <c r="G9" s="415">
        <v>30847</v>
      </c>
      <c r="H9" s="415"/>
      <c r="I9" s="415"/>
      <c r="J9" s="415"/>
      <c r="K9" s="415"/>
      <c r="L9" s="416"/>
    </row>
    <row r="10" spans="1:15" x14ac:dyDescent="0.25">
      <c r="B10" s="73" t="s">
        <v>26</v>
      </c>
      <c r="C10" s="414">
        <v>970862</v>
      </c>
      <c r="D10" s="415">
        <v>154762</v>
      </c>
      <c r="E10" s="415">
        <v>288804</v>
      </c>
      <c r="F10" s="415">
        <v>485364</v>
      </c>
      <c r="G10" s="415">
        <v>41932</v>
      </c>
      <c r="H10" s="415"/>
      <c r="I10" s="415"/>
      <c r="J10" s="415"/>
      <c r="K10" s="415"/>
      <c r="L10" s="416"/>
    </row>
    <row r="11" spans="1:15" x14ac:dyDescent="0.25">
      <c r="B11" s="73" t="s">
        <v>27</v>
      </c>
      <c r="C11" s="414">
        <v>1333745</v>
      </c>
      <c r="D11" s="415">
        <v>194416</v>
      </c>
      <c r="E11" s="415">
        <v>531780</v>
      </c>
      <c r="F11" s="415">
        <v>563426</v>
      </c>
      <c r="G11" s="415">
        <v>44123</v>
      </c>
      <c r="H11" s="415"/>
      <c r="I11" s="415"/>
      <c r="J11" s="415"/>
      <c r="K11" s="415"/>
      <c r="L11" s="416"/>
    </row>
    <row r="12" spans="1:15" x14ac:dyDescent="0.25">
      <c r="B12" s="73" t="s">
        <v>28</v>
      </c>
      <c r="C12" s="414">
        <v>1043645</v>
      </c>
      <c r="D12" s="415">
        <v>162270</v>
      </c>
      <c r="E12" s="415">
        <v>396828</v>
      </c>
      <c r="F12" s="415">
        <v>444612</v>
      </c>
      <c r="G12" s="415">
        <v>39935</v>
      </c>
      <c r="H12" s="415"/>
      <c r="I12" s="415"/>
      <c r="J12" s="415"/>
      <c r="K12" s="415"/>
      <c r="L12" s="416"/>
    </row>
    <row r="13" spans="1:15" x14ac:dyDescent="0.25">
      <c r="B13" s="73" t="s">
        <v>29</v>
      </c>
      <c r="C13" s="414">
        <v>1269366</v>
      </c>
      <c r="D13" s="415">
        <v>197504</v>
      </c>
      <c r="E13" s="415">
        <v>469380</v>
      </c>
      <c r="F13" s="415">
        <v>548280</v>
      </c>
      <c r="G13" s="415">
        <v>54202</v>
      </c>
      <c r="H13" s="415"/>
      <c r="I13" s="415"/>
      <c r="J13" s="415"/>
      <c r="K13" s="415"/>
      <c r="L13" s="416"/>
    </row>
    <row r="14" spans="1:15" x14ac:dyDescent="0.25">
      <c r="B14" s="73" t="s">
        <v>30</v>
      </c>
      <c r="C14" s="414">
        <v>1103322</v>
      </c>
      <c r="D14" s="415">
        <v>151450</v>
      </c>
      <c r="E14" s="415">
        <v>564792</v>
      </c>
      <c r="F14" s="415">
        <v>347656</v>
      </c>
      <c r="G14" s="415">
        <v>39424</v>
      </c>
      <c r="H14" s="415"/>
      <c r="I14" s="415"/>
      <c r="J14" s="415"/>
      <c r="K14" s="415"/>
      <c r="L14" s="416"/>
    </row>
    <row r="15" spans="1:15" x14ac:dyDescent="0.25">
      <c r="B15" s="73" t="s">
        <v>31</v>
      </c>
      <c r="C15" s="414">
        <v>919062</v>
      </c>
      <c r="D15" s="415">
        <v>148436</v>
      </c>
      <c r="E15" s="415">
        <v>403020</v>
      </c>
      <c r="F15" s="415">
        <v>334410</v>
      </c>
      <c r="G15" s="415">
        <v>33196</v>
      </c>
      <c r="H15" s="415"/>
      <c r="I15" s="415"/>
      <c r="J15" s="415"/>
      <c r="K15" s="415"/>
      <c r="L15" s="416"/>
    </row>
    <row r="16" spans="1:15" x14ac:dyDescent="0.25">
      <c r="B16" s="73" t="s">
        <v>32</v>
      </c>
      <c r="C16" s="414">
        <v>1022829</v>
      </c>
      <c r="D16" s="415">
        <v>163002</v>
      </c>
      <c r="E16" s="415">
        <v>514872</v>
      </c>
      <c r="F16" s="415">
        <v>308822</v>
      </c>
      <c r="G16" s="415">
        <v>36133</v>
      </c>
      <c r="H16" s="415"/>
      <c r="I16" s="415"/>
      <c r="J16" s="415"/>
      <c r="K16" s="415"/>
      <c r="L16" s="416"/>
    </row>
    <row r="17" spans="2:12" ht="13.8" thickBot="1" x14ac:dyDescent="0.3">
      <c r="B17" s="74" t="s">
        <v>33</v>
      </c>
      <c r="C17" s="417">
        <v>958325</v>
      </c>
      <c r="D17" s="418">
        <v>123474</v>
      </c>
      <c r="E17" s="418">
        <v>556260</v>
      </c>
      <c r="F17" s="418">
        <v>248200</v>
      </c>
      <c r="G17" s="418">
        <v>30391</v>
      </c>
      <c r="H17" s="418"/>
      <c r="I17" s="418"/>
      <c r="J17" s="418"/>
      <c r="K17" s="418"/>
      <c r="L17" s="419"/>
    </row>
    <row r="18" spans="2:12" ht="13.8" thickBot="1" x14ac:dyDescent="0.3">
      <c r="B18" s="300" t="s">
        <v>36</v>
      </c>
      <c r="C18" s="420">
        <f t="shared" ref="C18:L18" si="0">SUM(C6:C17)</f>
        <v>12131328</v>
      </c>
      <c r="D18" s="421">
        <f t="shared" si="0"/>
        <v>1909084</v>
      </c>
      <c r="E18" s="421">
        <f t="shared" si="0"/>
        <v>5209248</v>
      </c>
      <c r="F18" s="421">
        <f t="shared" si="0"/>
        <v>4561658</v>
      </c>
      <c r="G18" s="421">
        <f t="shared" si="0"/>
        <v>451338</v>
      </c>
      <c r="H18" s="421">
        <f t="shared" si="0"/>
        <v>0</v>
      </c>
      <c r="I18" s="421">
        <f t="shared" si="0"/>
        <v>0</v>
      </c>
      <c r="J18" s="421">
        <f t="shared" si="0"/>
        <v>0</v>
      </c>
      <c r="K18" s="421">
        <f t="shared" si="0"/>
        <v>0</v>
      </c>
      <c r="L18" s="422">
        <f t="shared" si="0"/>
        <v>0</v>
      </c>
    </row>
    <row r="20" spans="2:12" ht="13.8" thickBot="1" x14ac:dyDescent="0.3">
      <c r="B20" s="69" t="str">
        <f>"Energieverbrauchsindikatoren für das Jahre " &amp; BefrJahr2</f>
        <v>Energieverbrauchsindikatoren für das Jahre 2013</v>
      </c>
    </row>
    <row r="21" spans="2:12" ht="26.4" x14ac:dyDescent="0.25">
      <c r="B21" s="70" t="s">
        <v>55</v>
      </c>
      <c r="C21" s="423" t="str">
        <f t="shared" ref="C21:L22" si="1">C4</f>
        <v>Verarbeitete Milchmenge</v>
      </c>
      <c r="D21" s="424" t="str">
        <f t="shared" si="1"/>
        <v>Past-Milch</v>
      </c>
      <c r="E21" s="424" t="str">
        <f t="shared" si="1"/>
        <v>UHT-Milch</v>
      </c>
      <c r="F21" s="424" t="str">
        <f t="shared" si="1"/>
        <v>Käse</v>
      </c>
      <c r="G21" s="424" t="str">
        <f t="shared" si="1"/>
        <v>Rahm</v>
      </c>
      <c r="H21" s="424">
        <f t="shared" si="1"/>
        <v>0</v>
      </c>
      <c r="I21" s="424">
        <f t="shared" si="1"/>
        <v>0</v>
      </c>
      <c r="J21" s="424">
        <f t="shared" si="1"/>
        <v>0</v>
      </c>
      <c r="K21" s="424">
        <f t="shared" si="1"/>
        <v>0</v>
      </c>
      <c r="L21" s="425">
        <f t="shared" si="1"/>
        <v>0</v>
      </c>
    </row>
    <row r="22" spans="2:12" ht="13.8" thickBot="1" x14ac:dyDescent="0.3">
      <c r="B22" s="71" t="s">
        <v>56</v>
      </c>
      <c r="C22" s="426" t="str">
        <f t="shared" si="1"/>
        <v>l/Monat</v>
      </c>
      <c r="D22" s="427" t="str">
        <f t="shared" si="1"/>
        <v>l/Monat</v>
      </c>
      <c r="E22" s="427" t="str">
        <f t="shared" si="1"/>
        <v>l/Monat</v>
      </c>
      <c r="F22" s="427" t="str">
        <f t="shared" si="1"/>
        <v>l/Monat</v>
      </c>
      <c r="G22" s="427" t="str">
        <f t="shared" si="1"/>
        <v>l/Monat</v>
      </c>
      <c r="H22" s="427">
        <f t="shared" si="1"/>
        <v>0</v>
      </c>
      <c r="I22" s="427">
        <f t="shared" si="1"/>
        <v>0</v>
      </c>
      <c r="J22" s="427">
        <f t="shared" si="1"/>
        <v>0</v>
      </c>
      <c r="K22" s="427">
        <f t="shared" si="1"/>
        <v>0</v>
      </c>
      <c r="L22" s="428">
        <f t="shared" si="1"/>
        <v>0</v>
      </c>
    </row>
    <row r="23" spans="2:12" x14ac:dyDescent="0.25">
      <c r="B23" s="72" t="s">
        <v>22</v>
      </c>
      <c r="C23" s="411">
        <v>786888</v>
      </c>
      <c r="D23" s="412">
        <v>108912</v>
      </c>
      <c r="E23" s="412">
        <v>430644</v>
      </c>
      <c r="F23" s="412">
        <v>221312</v>
      </c>
      <c r="G23" s="412">
        <v>26020</v>
      </c>
      <c r="H23" s="412"/>
      <c r="I23" s="412"/>
      <c r="J23" s="412"/>
      <c r="K23" s="412"/>
      <c r="L23" s="413"/>
    </row>
    <row r="24" spans="2:12" x14ac:dyDescent="0.25">
      <c r="B24" s="73" t="s">
        <v>23</v>
      </c>
      <c r="C24" s="414">
        <v>800718</v>
      </c>
      <c r="D24" s="415">
        <v>118928</v>
      </c>
      <c r="E24" s="415">
        <v>371496</v>
      </c>
      <c r="F24" s="415">
        <v>282440</v>
      </c>
      <c r="G24" s="415">
        <v>27854</v>
      </c>
      <c r="H24" s="415"/>
      <c r="I24" s="415"/>
      <c r="J24" s="415"/>
      <c r="K24" s="415"/>
      <c r="L24" s="416"/>
    </row>
    <row r="25" spans="2:12" x14ac:dyDescent="0.25">
      <c r="B25" s="73" t="s">
        <v>24</v>
      </c>
      <c r="C25" s="414">
        <v>1185000</v>
      </c>
      <c r="D25" s="415">
        <v>166468</v>
      </c>
      <c r="E25" s="415">
        <v>588612</v>
      </c>
      <c r="F25" s="415">
        <v>397512</v>
      </c>
      <c r="G25" s="415">
        <v>32408</v>
      </c>
      <c r="H25" s="415"/>
      <c r="I25" s="415"/>
      <c r="J25" s="415"/>
      <c r="K25" s="415"/>
      <c r="L25" s="416"/>
    </row>
    <row r="26" spans="2:12" x14ac:dyDescent="0.25">
      <c r="B26" s="73" t="s">
        <v>25</v>
      </c>
      <c r="C26" s="414">
        <v>1030796</v>
      </c>
      <c r="D26" s="415">
        <v>151708</v>
      </c>
      <c r="E26" s="415">
        <v>483648</v>
      </c>
      <c r="F26" s="415">
        <v>361202</v>
      </c>
      <c r="G26" s="415">
        <v>34238</v>
      </c>
      <c r="H26" s="415"/>
      <c r="I26" s="415"/>
      <c r="J26" s="415"/>
      <c r="K26" s="415"/>
      <c r="L26" s="416"/>
    </row>
    <row r="27" spans="2:12" x14ac:dyDescent="0.25">
      <c r="B27" s="73" t="s">
        <v>26</v>
      </c>
      <c r="C27" s="414">
        <v>974325</v>
      </c>
      <c r="D27" s="415">
        <v>147464</v>
      </c>
      <c r="E27" s="415">
        <v>402876</v>
      </c>
      <c r="F27" s="415">
        <v>392848</v>
      </c>
      <c r="G27" s="415">
        <v>31137</v>
      </c>
      <c r="H27" s="415"/>
      <c r="I27" s="415"/>
      <c r="J27" s="415"/>
      <c r="K27" s="415"/>
      <c r="L27" s="416"/>
    </row>
    <row r="28" spans="2:12" x14ac:dyDescent="0.25">
      <c r="B28" s="73" t="s">
        <v>27</v>
      </c>
      <c r="C28" s="414">
        <v>1252840</v>
      </c>
      <c r="D28" s="415">
        <v>173510</v>
      </c>
      <c r="E28" s="415">
        <v>475248</v>
      </c>
      <c r="F28" s="415">
        <v>553690</v>
      </c>
      <c r="G28" s="415">
        <v>50392</v>
      </c>
      <c r="H28" s="415"/>
      <c r="I28" s="415"/>
      <c r="J28" s="415"/>
      <c r="K28" s="415"/>
      <c r="L28" s="416"/>
    </row>
    <row r="29" spans="2:12" x14ac:dyDescent="0.25">
      <c r="B29" s="73" t="s">
        <v>28</v>
      </c>
      <c r="C29" s="414">
        <v>1103845</v>
      </c>
      <c r="D29" s="415">
        <v>162718</v>
      </c>
      <c r="E29" s="415">
        <v>525588</v>
      </c>
      <c r="F29" s="415">
        <v>382097</v>
      </c>
      <c r="G29" s="415">
        <v>33442</v>
      </c>
      <c r="H29" s="415"/>
      <c r="I29" s="415"/>
      <c r="J29" s="415"/>
      <c r="K29" s="415"/>
      <c r="L29" s="416"/>
    </row>
    <row r="30" spans="2:12" x14ac:dyDescent="0.25">
      <c r="B30" s="73" t="s">
        <v>29</v>
      </c>
      <c r="C30" s="414">
        <v>1260674</v>
      </c>
      <c r="D30" s="415">
        <v>200806</v>
      </c>
      <c r="E30" s="415">
        <v>553680</v>
      </c>
      <c r="F30" s="415">
        <v>460210</v>
      </c>
      <c r="G30" s="415">
        <v>45978</v>
      </c>
      <c r="H30" s="415"/>
      <c r="I30" s="415"/>
      <c r="J30" s="415"/>
      <c r="K30" s="415"/>
      <c r="L30" s="416"/>
    </row>
    <row r="31" spans="2:12" x14ac:dyDescent="0.25">
      <c r="B31" s="73" t="s">
        <v>30</v>
      </c>
      <c r="C31" s="414">
        <v>1056746</v>
      </c>
      <c r="D31" s="415">
        <v>144910</v>
      </c>
      <c r="E31" s="415">
        <v>513900</v>
      </c>
      <c r="F31" s="415">
        <v>361812</v>
      </c>
      <c r="G31" s="415">
        <v>36124</v>
      </c>
      <c r="H31" s="415"/>
      <c r="I31" s="415"/>
      <c r="J31" s="415"/>
      <c r="K31" s="415"/>
      <c r="L31" s="416"/>
    </row>
    <row r="32" spans="2:12" x14ac:dyDescent="0.25">
      <c r="B32" s="73" t="s">
        <v>31</v>
      </c>
      <c r="C32" s="414">
        <v>1021787</v>
      </c>
      <c r="D32" s="415">
        <v>147036</v>
      </c>
      <c r="E32" s="415">
        <v>502836</v>
      </c>
      <c r="F32" s="415">
        <v>335964</v>
      </c>
      <c r="G32" s="415">
        <v>35951</v>
      </c>
      <c r="H32" s="415"/>
      <c r="I32" s="415"/>
      <c r="J32" s="415"/>
      <c r="K32" s="415"/>
      <c r="L32" s="416"/>
    </row>
    <row r="33" spans="2:12" x14ac:dyDescent="0.25">
      <c r="B33" s="73" t="s">
        <v>32</v>
      </c>
      <c r="C33" s="414">
        <v>1022941</v>
      </c>
      <c r="D33" s="415">
        <v>153292</v>
      </c>
      <c r="E33" s="415">
        <v>525564</v>
      </c>
      <c r="F33" s="415">
        <v>310700</v>
      </c>
      <c r="G33" s="415">
        <v>33385</v>
      </c>
      <c r="H33" s="415"/>
      <c r="I33" s="415"/>
      <c r="J33" s="415"/>
      <c r="K33" s="415"/>
      <c r="L33" s="416"/>
    </row>
    <row r="34" spans="2:12" ht="13.8" thickBot="1" x14ac:dyDescent="0.3">
      <c r="B34" s="74" t="s">
        <v>33</v>
      </c>
      <c r="C34" s="417">
        <v>914563</v>
      </c>
      <c r="D34" s="418">
        <v>127004</v>
      </c>
      <c r="E34" s="418">
        <v>420312</v>
      </c>
      <c r="F34" s="418">
        <v>330150</v>
      </c>
      <c r="G34" s="418">
        <v>37097</v>
      </c>
      <c r="H34" s="418"/>
      <c r="I34" s="418"/>
      <c r="J34" s="418"/>
      <c r="K34" s="418"/>
      <c r="L34" s="419"/>
    </row>
    <row r="35" spans="2:12" ht="13.8" thickBot="1" x14ac:dyDescent="0.3">
      <c r="B35" s="300" t="s">
        <v>36</v>
      </c>
      <c r="C35" s="420">
        <f t="shared" ref="C35:L35" si="2">SUM(C23:C34)</f>
        <v>12411123</v>
      </c>
      <c r="D35" s="421">
        <f t="shared" si="2"/>
        <v>1802756</v>
      </c>
      <c r="E35" s="421">
        <f t="shared" si="2"/>
        <v>5794404</v>
      </c>
      <c r="F35" s="421">
        <f t="shared" si="2"/>
        <v>4389937</v>
      </c>
      <c r="G35" s="421">
        <f t="shared" si="2"/>
        <v>424026</v>
      </c>
      <c r="H35" s="421">
        <f t="shared" si="2"/>
        <v>0</v>
      </c>
      <c r="I35" s="421">
        <f t="shared" si="2"/>
        <v>0</v>
      </c>
      <c r="J35" s="421">
        <f t="shared" si="2"/>
        <v>0</v>
      </c>
      <c r="K35" s="421">
        <f t="shared" si="2"/>
        <v>0</v>
      </c>
      <c r="L35" s="422">
        <f t="shared" si="2"/>
        <v>0</v>
      </c>
    </row>
    <row r="62" spans="4:4" x14ac:dyDescent="0.25">
      <c r="D62" s="14" t="str">
        <f>"Heizwärmebedarf " &amp;BefrJahr1</f>
        <v>Heizwärmebedarf 2012</v>
      </c>
    </row>
    <row r="63" spans="4:4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40" orientation="landscape" r:id="rId1"/>
  <headerFooter>
    <oddHeader>&amp;L&amp;G&amp;R4.3 Energieverbrauchsindikatoren der vergangenen zwei Jahre</oddHeader>
    <oddFooter>&amp;R&amp;P /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showGridLines="0" view="pageLayout" zoomScale="70" zoomScaleNormal="100" zoomScalePageLayoutView="70" workbookViewId="0">
      <selection activeCell="V4" sqref="V4"/>
    </sheetView>
  </sheetViews>
  <sheetFormatPr baseColWidth="10" defaultColWidth="9.109375" defaultRowHeight="13.2" x14ac:dyDescent="0.25"/>
  <cols>
    <col min="1" max="1" width="4.44140625" style="14" customWidth="1"/>
    <col min="2" max="2" width="4.88671875" style="14" customWidth="1"/>
    <col min="3" max="3" width="20.88671875" style="14" customWidth="1"/>
    <col min="4" max="5" width="11.44140625" style="14" customWidth="1"/>
    <col min="6" max="6" width="15" style="14" customWidth="1"/>
    <col min="7" max="7" width="20.44140625" style="14" customWidth="1"/>
    <col min="8" max="8" width="8.88671875" style="14" customWidth="1"/>
    <col min="9" max="11" width="8.6640625" style="14" customWidth="1"/>
    <col min="12" max="12" width="8.44140625" style="14" customWidth="1"/>
    <col min="13" max="13" width="9.33203125" style="14" customWidth="1"/>
    <col min="14" max="18" width="14.44140625" style="14" customWidth="1"/>
    <col min="19" max="25" width="6.109375" style="14" customWidth="1"/>
    <col min="26" max="16384" width="9.109375" style="14"/>
  </cols>
  <sheetData>
    <row r="1" spans="1:13" ht="18.75" customHeight="1" x14ac:dyDescent="0.25">
      <c r="A1" s="18" t="s">
        <v>530</v>
      </c>
    </row>
    <row r="3" spans="1:13" x14ac:dyDescent="0.25">
      <c r="J3" s="443">
        <f>AVERAGE('4.2'!G47:H47)</f>
        <v>928.95872207353011</v>
      </c>
      <c r="K3" s="140" t="s">
        <v>517</v>
      </c>
    </row>
    <row r="4" spans="1:13" ht="13.8" thickBot="1" x14ac:dyDescent="0.3">
      <c r="B4" s="14" t="str">
        <f>"* Mittelwert der CO2-Emissionen durch den Endenergieverbrauch in den Jahren " &amp;BefrJahr1 &amp; " und " &amp;BefrJahr2</f>
        <v>* Mittelwert der CO2-Emissionen durch den Endenergieverbrauch in den Jahren 2012 und 2013</v>
      </c>
    </row>
    <row r="5" spans="1:13" ht="39.6" x14ac:dyDescent="0.25">
      <c r="B5" s="145" t="s">
        <v>157</v>
      </c>
      <c r="C5" s="146" t="s">
        <v>282</v>
      </c>
      <c r="D5" s="147" t="s">
        <v>281</v>
      </c>
      <c r="E5" s="147" t="s">
        <v>638</v>
      </c>
      <c r="F5" s="147" t="s">
        <v>639</v>
      </c>
      <c r="G5" s="636" t="s">
        <v>235</v>
      </c>
      <c r="H5" s="637"/>
      <c r="I5" s="637"/>
      <c r="J5" s="637"/>
      <c r="K5" s="637"/>
      <c r="L5" s="148" t="s">
        <v>115</v>
      </c>
      <c r="M5" s="179" t="s">
        <v>640</v>
      </c>
    </row>
    <row r="6" spans="1:13" ht="13.8" thickBot="1" x14ac:dyDescent="0.3">
      <c r="B6" s="150"/>
      <c r="C6" s="151"/>
      <c r="D6" s="152" t="s">
        <v>239</v>
      </c>
      <c r="E6" s="152" t="s">
        <v>280</v>
      </c>
      <c r="F6" s="152" t="s">
        <v>239</v>
      </c>
      <c r="G6" s="152" t="s">
        <v>2</v>
      </c>
      <c r="H6" s="441" t="s">
        <v>240</v>
      </c>
      <c r="I6" s="152" t="s">
        <v>241</v>
      </c>
      <c r="J6" s="152" t="s">
        <v>242</v>
      </c>
      <c r="K6" s="152" t="s">
        <v>243</v>
      </c>
      <c r="L6" s="153" t="s">
        <v>237</v>
      </c>
      <c r="M6" s="155" t="s">
        <v>248</v>
      </c>
    </row>
    <row r="7" spans="1:13" ht="26.4" x14ac:dyDescent="0.25">
      <c r="B7" s="429">
        <v>1</v>
      </c>
      <c r="C7" s="430" t="s">
        <v>304</v>
      </c>
      <c r="D7" s="431">
        <v>35000</v>
      </c>
      <c r="E7" s="432">
        <v>0.5</v>
      </c>
      <c r="F7" s="448">
        <f>D7*E7</f>
        <v>17500</v>
      </c>
      <c r="G7" s="156"/>
      <c r="H7" s="442">
        <f>SUM(H8:H11)</f>
        <v>240000</v>
      </c>
      <c r="I7" s="444">
        <f>SUM(I8:I12)</f>
        <v>54.809599999999996</v>
      </c>
      <c r="J7" s="445">
        <f>I7/$J$3</f>
        <v>5.9001114578761268E-2</v>
      </c>
      <c r="K7" s="444">
        <f>SUM(K8:K12)</f>
        <v>16800</v>
      </c>
      <c r="L7" s="446">
        <f>F7/K7</f>
        <v>1.0416666666666667</v>
      </c>
      <c r="M7" s="437" t="s">
        <v>301</v>
      </c>
    </row>
    <row r="8" spans="1:13" x14ac:dyDescent="0.25">
      <c r="B8" s="157"/>
      <c r="C8" s="598" t="s">
        <v>453</v>
      </c>
      <c r="D8" s="159"/>
      <c r="E8" s="159"/>
      <c r="F8" s="159"/>
      <c r="G8" s="433" t="s">
        <v>5</v>
      </c>
      <c r="H8" s="434">
        <v>100000</v>
      </c>
      <c r="I8" s="449">
        <f>INDEX(EnergieträgerMatrix,MATCH($G8,Energieträger,0),3)*H8/1000</f>
        <v>26.535199999999996</v>
      </c>
      <c r="J8" s="160"/>
      <c r="K8" s="447">
        <f>INDEX(EnergieträgerMatrix,MATCH($G8,Energieträger,0),2)*H8/1000</f>
        <v>7000</v>
      </c>
      <c r="L8" s="164"/>
      <c r="M8" s="176"/>
    </row>
    <row r="9" spans="1:13" x14ac:dyDescent="0.25">
      <c r="B9" s="157"/>
      <c r="C9" s="599"/>
      <c r="D9" s="159"/>
      <c r="E9" s="159"/>
      <c r="F9" s="159"/>
      <c r="G9" s="433" t="s">
        <v>8</v>
      </c>
      <c r="H9" s="434">
        <v>140000</v>
      </c>
      <c r="I9" s="449">
        <f>INDEX(EnergieträgerMatrix,MATCH($G9,Energieträger,0),3)*H9/1000</f>
        <v>28.2744</v>
      </c>
      <c r="J9" s="160"/>
      <c r="K9" s="447">
        <f>INDEX(EnergieträgerMatrix,MATCH($G9,Energieträger,0),2)*H9/1000</f>
        <v>9800</v>
      </c>
      <c r="L9" s="164"/>
      <c r="M9" s="177"/>
    </row>
    <row r="10" spans="1:13" x14ac:dyDescent="0.25">
      <c r="B10" s="157"/>
      <c r="C10" s="599"/>
      <c r="D10" s="159"/>
      <c r="E10" s="159"/>
      <c r="F10" s="159"/>
      <c r="G10" s="433" t="s">
        <v>223</v>
      </c>
      <c r="H10" s="434"/>
      <c r="I10" s="449">
        <f>INDEX(EnergieträgerMatrix,MATCH($G10,Energieträger,0),3)*H10/1000</f>
        <v>0</v>
      </c>
      <c r="J10" s="160"/>
      <c r="K10" s="447">
        <f>INDEX(EnergieträgerMatrix,MATCH($G10,Energieträger,0),2)*H10/1000</f>
        <v>0</v>
      </c>
      <c r="L10" s="164"/>
      <c r="M10" s="177"/>
    </row>
    <row r="11" spans="1:13" x14ac:dyDescent="0.25">
      <c r="B11" s="157"/>
      <c r="C11" s="599"/>
      <c r="D11" s="159"/>
      <c r="E11" s="159"/>
      <c r="F11" s="159"/>
      <c r="G11" s="433" t="s">
        <v>223</v>
      </c>
      <c r="H11" s="434"/>
      <c r="I11" s="449">
        <f>INDEX(EnergieträgerMatrix,MATCH($G11,Energieträger,0),3)*H11/1000</f>
        <v>0</v>
      </c>
      <c r="J11" s="160"/>
      <c r="K11" s="447">
        <f>INDEX(EnergieträgerMatrix,MATCH($G11,Energieträger,0),2)*H11/1000</f>
        <v>0</v>
      </c>
      <c r="L11" s="164"/>
      <c r="M11" s="177"/>
    </row>
    <row r="12" spans="1:13" ht="27" thickBot="1" x14ac:dyDescent="0.3">
      <c r="B12" s="157"/>
      <c r="C12" s="599"/>
      <c r="D12" s="159"/>
      <c r="E12" s="159"/>
      <c r="F12" s="159"/>
      <c r="G12" s="337" t="s">
        <v>582</v>
      </c>
      <c r="H12" s="160"/>
      <c r="I12" s="435">
        <v>0</v>
      </c>
      <c r="J12" s="160"/>
      <c r="K12" s="436">
        <v>0</v>
      </c>
      <c r="L12" s="159"/>
      <c r="M12" s="177"/>
    </row>
    <row r="13" spans="1:13" x14ac:dyDescent="0.25">
      <c r="B13" s="429">
        <v>2</v>
      </c>
      <c r="C13" s="430" t="s">
        <v>303</v>
      </c>
      <c r="D13" s="431">
        <v>5000</v>
      </c>
      <c r="E13" s="432">
        <v>1</v>
      </c>
      <c r="F13" s="448">
        <f>D13*E13</f>
        <v>5000</v>
      </c>
      <c r="G13" s="156"/>
      <c r="H13" s="442">
        <f>SUM(H14:H17)</f>
        <v>10000</v>
      </c>
      <c r="I13" s="444">
        <f>SUM(I14:I18)</f>
        <v>2.6535199999999999</v>
      </c>
      <c r="J13" s="445">
        <f>I13/$J$3</f>
        <v>2.8564455416028325E-3</v>
      </c>
      <c r="K13" s="444">
        <f>SUM(K14:K18)</f>
        <v>700</v>
      </c>
      <c r="L13" s="446">
        <f>F13/K13</f>
        <v>7.1428571428571432</v>
      </c>
      <c r="M13" s="437" t="s">
        <v>302</v>
      </c>
    </row>
    <row r="14" spans="1:13" x14ac:dyDescent="0.25">
      <c r="B14" s="157"/>
      <c r="C14" s="598" t="s">
        <v>454</v>
      </c>
      <c r="D14" s="159"/>
      <c r="E14" s="159"/>
      <c r="F14" s="159"/>
      <c r="G14" s="433" t="s">
        <v>5</v>
      </c>
      <c r="H14" s="434">
        <v>10000</v>
      </c>
      <c r="I14" s="449">
        <f>INDEX(EnergieträgerMatrix,MATCH($G14,Energieträger,0),3)*H14/1000</f>
        <v>2.6535199999999999</v>
      </c>
      <c r="J14" s="160"/>
      <c r="K14" s="447">
        <f>INDEX(EnergieträgerMatrix,MATCH($G14,Energieträger,0),2)*H14/1000</f>
        <v>700</v>
      </c>
      <c r="L14" s="164"/>
      <c r="M14" s="176"/>
    </row>
    <row r="15" spans="1:13" x14ac:dyDescent="0.25">
      <c r="B15" s="157"/>
      <c r="C15" s="599"/>
      <c r="D15" s="159"/>
      <c r="E15" s="159"/>
      <c r="F15" s="159"/>
      <c r="G15" s="433" t="s">
        <v>223</v>
      </c>
      <c r="H15" s="434"/>
      <c r="I15" s="449">
        <f>INDEX(EnergieträgerMatrix,MATCH($G15,Energieträger,0),3)*H15/1000</f>
        <v>0</v>
      </c>
      <c r="J15" s="160"/>
      <c r="K15" s="447">
        <f>INDEX(EnergieträgerMatrix,MATCH($G15,Energieträger,0),2)*H15/1000</f>
        <v>0</v>
      </c>
      <c r="L15" s="164"/>
      <c r="M15" s="177"/>
    </row>
    <row r="16" spans="1:13" x14ac:dyDescent="0.25">
      <c r="B16" s="157"/>
      <c r="C16" s="599"/>
      <c r="D16" s="159"/>
      <c r="E16" s="159"/>
      <c r="F16" s="159"/>
      <c r="G16" s="433" t="s">
        <v>223</v>
      </c>
      <c r="H16" s="434"/>
      <c r="I16" s="449">
        <f>INDEX(EnergieträgerMatrix,MATCH($G16,Energieträger,0),3)*H16/1000</f>
        <v>0</v>
      </c>
      <c r="J16" s="160"/>
      <c r="K16" s="447">
        <f>INDEX(EnergieträgerMatrix,MATCH($G16,Energieträger,0),2)*H16/1000</f>
        <v>0</v>
      </c>
      <c r="L16" s="164"/>
      <c r="M16" s="177"/>
    </row>
    <row r="17" spans="2:13" x14ac:dyDescent="0.25">
      <c r="B17" s="157"/>
      <c r="C17" s="599"/>
      <c r="D17" s="159"/>
      <c r="E17" s="159"/>
      <c r="F17" s="159"/>
      <c r="G17" s="433" t="s">
        <v>223</v>
      </c>
      <c r="H17" s="434"/>
      <c r="I17" s="449">
        <f>INDEX(EnergieträgerMatrix,MATCH($G17,Energieträger,0),3)*H17/1000</f>
        <v>0</v>
      </c>
      <c r="J17" s="160"/>
      <c r="K17" s="447">
        <f>INDEX(EnergieträgerMatrix,MATCH($G17,Energieträger,0),2)*H17/1000</f>
        <v>0</v>
      </c>
      <c r="L17" s="164"/>
      <c r="M17" s="177"/>
    </row>
    <row r="18" spans="2:13" ht="27" thickBot="1" x14ac:dyDescent="0.3">
      <c r="B18" s="157"/>
      <c r="C18" s="599"/>
      <c r="D18" s="159"/>
      <c r="E18" s="159"/>
      <c r="F18" s="159"/>
      <c r="G18" s="337" t="s">
        <v>582</v>
      </c>
      <c r="H18" s="160"/>
      <c r="I18" s="435">
        <v>0</v>
      </c>
      <c r="J18" s="160"/>
      <c r="K18" s="436">
        <v>0</v>
      </c>
      <c r="L18" s="164"/>
      <c r="M18" s="177"/>
    </row>
    <row r="19" spans="2:13" x14ac:dyDescent="0.25">
      <c r="B19" s="429">
        <v>3</v>
      </c>
      <c r="C19" s="430"/>
      <c r="D19" s="431"/>
      <c r="E19" s="432"/>
      <c r="F19" s="448">
        <f>D19*E19</f>
        <v>0</v>
      </c>
      <c r="G19" s="156"/>
      <c r="H19" s="442">
        <f>SUM(H20:H23)</f>
        <v>0</v>
      </c>
      <c r="I19" s="444">
        <f>SUM(I20:I24)</f>
        <v>0</v>
      </c>
      <c r="J19" s="445">
        <f>I19/$J$3</f>
        <v>0</v>
      </c>
      <c r="K19" s="444">
        <f>SUM(K20:K24)</f>
        <v>0</v>
      </c>
      <c r="L19" s="446" t="e">
        <f>F19/K19</f>
        <v>#DIV/0!</v>
      </c>
      <c r="M19" s="437"/>
    </row>
    <row r="20" spans="2:13" x14ac:dyDescent="0.25">
      <c r="B20" s="157"/>
      <c r="C20" s="598"/>
      <c r="D20" s="159"/>
      <c r="E20" s="159"/>
      <c r="F20" s="159"/>
      <c r="G20" s="433" t="s">
        <v>223</v>
      </c>
      <c r="H20" s="434"/>
      <c r="I20" s="449">
        <f>INDEX(EnergieträgerMatrix,MATCH($G20,Energieträger,0),3)*H20/1000</f>
        <v>0</v>
      </c>
      <c r="J20" s="160"/>
      <c r="K20" s="447">
        <f>INDEX(EnergieträgerMatrix,MATCH($G20,Energieträger,0),2)*H20/1000</f>
        <v>0</v>
      </c>
      <c r="L20" s="164"/>
      <c r="M20" s="176"/>
    </row>
    <row r="21" spans="2:13" x14ac:dyDescent="0.25">
      <c r="B21" s="157"/>
      <c r="C21" s="599"/>
      <c r="D21" s="159"/>
      <c r="E21" s="159"/>
      <c r="F21" s="159"/>
      <c r="G21" s="433" t="s">
        <v>223</v>
      </c>
      <c r="H21" s="434"/>
      <c r="I21" s="449">
        <f>INDEX(EnergieträgerMatrix,MATCH($G21,Energieträger,0),3)*H21/1000</f>
        <v>0</v>
      </c>
      <c r="J21" s="160"/>
      <c r="K21" s="447">
        <f>INDEX(EnergieträgerMatrix,MATCH($G21,Energieträger,0),2)*H21/1000</f>
        <v>0</v>
      </c>
      <c r="L21" s="164"/>
      <c r="M21" s="177"/>
    </row>
    <row r="22" spans="2:13" x14ac:dyDescent="0.25">
      <c r="B22" s="157"/>
      <c r="C22" s="599"/>
      <c r="D22" s="159"/>
      <c r="E22" s="159"/>
      <c r="F22" s="159"/>
      <c r="G22" s="433" t="s">
        <v>223</v>
      </c>
      <c r="H22" s="434"/>
      <c r="I22" s="449">
        <f>INDEX(EnergieträgerMatrix,MATCH($G22,Energieträger,0),3)*H22/1000</f>
        <v>0</v>
      </c>
      <c r="J22" s="160"/>
      <c r="K22" s="447">
        <f>INDEX(EnergieträgerMatrix,MATCH($G22,Energieträger,0),2)*H22/1000</f>
        <v>0</v>
      </c>
      <c r="L22" s="159"/>
      <c r="M22" s="165"/>
    </row>
    <row r="23" spans="2:13" x14ac:dyDescent="0.25">
      <c r="B23" s="157"/>
      <c r="C23" s="599"/>
      <c r="D23" s="159"/>
      <c r="E23" s="159"/>
      <c r="F23" s="159"/>
      <c r="G23" s="433" t="s">
        <v>223</v>
      </c>
      <c r="H23" s="434"/>
      <c r="I23" s="449">
        <f>INDEX(EnergieträgerMatrix,MATCH($G23,Energieträger,0),3)*H23/1000</f>
        <v>0</v>
      </c>
      <c r="J23" s="160"/>
      <c r="K23" s="447">
        <f>INDEX(EnergieträgerMatrix,MATCH($G23,Energieträger,0),2)*H23/1000</f>
        <v>0</v>
      </c>
      <c r="L23" s="164"/>
      <c r="M23" s="177"/>
    </row>
    <row r="24" spans="2:13" ht="27" thickBot="1" x14ac:dyDescent="0.3">
      <c r="B24" s="157"/>
      <c r="C24" s="599"/>
      <c r="D24" s="159"/>
      <c r="E24" s="159"/>
      <c r="F24" s="159"/>
      <c r="G24" s="337" t="s">
        <v>582</v>
      </c>
      <c r="H24" s="160"/>
      <c r="I24" s="435">
        <v>0</v>
      </c>
      <c r="J24" s="160"/>
      <c r="K24" s="436">
        <v>0</v>
      </c>
      <c r="L24" s="164"/>
      <c r="M24" s="177"/>
    </row>
    <row r="25" spans="2:13" x14ac:dyDescent="0.25">
      <c r="B25" s="429">
        <v>4</v>
      </c>
      <c r="C25" s="430"/>
      <c r="D25" s="431"/>
      <c r="E25" s="432"/>
      <c r="F25" s="448">
        <f>D25*E25</f>
        <v>0</v>
      </c>
      <c r="G25" s="156"/>
      <c r="H25" s="442">
        <f>SUM(H26:H29)</f>
        <v>0</v>
      </c>
      <c r="I25" s="444">
        <f>SUM(I26:I30)</f>
        <v>0</v>
      </c>
      <c r="J25" s="445">
        <f>I25/$J$3</f>
        <v>0</v>
      </c>
      <c r="K25" s="444">
        <f>SUM(K26:K30)</f>
        <v>0</v>
      </c>
      <c r="L25" s="446" t="e">
        <f>F25/K25</f>
        <v>#DIV/0!</v>
      </c>
      <c r="M25" s="437"/>
    </row>
    <row r="26" spans="2:13" x14ac:dyDescent="0.25">
      <c r="B26" s="157"/>
      <c r="C26" s="598"/>
      <c r="D26" s="159"/>
      <c r="E26" s="159"/>
      <c r="F26" s="159"/>
      <c r="G26" s="433" t="s">
        <v>223</v>
      </c>
      <c r="H26" s="434"/>
      <c r="I26" s="449">
        <f>INDEX(EnergieträgerMatrix,MATCH($G26,Energieträger,0),3)*H26/1000</f>
        <v>0</v>
      </c>
      <c r="J26" s="160"/>
      <c r="K26" s="447">
        <f>INDEX(EnergieträgerMatrix,MATCH($G26,Energieträger,0),2)*H26/1000</f>
        <v>0</v>
      </c>
      <c r="L26" s="164"/>
      <c r="M26" s="176"/>
    </row>
    <row r="27" spans="2:13" x14ac:dyDescent="0.25">
      <c r="B27" s="157"/>
      <c r="C27" s="599"/>
      <c r="D27" s="159"/>
      <c r="E27" s="159"/>
      <c r="F27" s="159"/>
      <c r="G27" s="433" t="s">
        <v>223</v>
      </c>
      <c r="H27" s="434"/>
      <c r="I27" s="449">
        <f>INDEX(EnergieträgerMatrix,MATCH($G27,Energieträger,0),3)*H27/1000</f>
        <v>0</v>
      </c>
      <c r="J27" s="160"/>
      <c r="K27" s="447">
        <f>INDEX(EnergieträgerMatrix,MATCH($G27,Energieträger,0),2)*H27/1000</f>
        <v>0</v>
      </c>
      <c r="L27" s="164"/>
      <c r="M27" s="177"/>
    </row>
    <row r="28" spans="2:13" x14ac:dyDescent="0.25">
      <c r="B28" s="157"/>
      <c r="C28" s="599"/>
      <c r="D28" s="159"/>
      <c r="E28" s="159"/>
      <c r="F28" s="159"/>
      <c r="G28" s="433" t="s">
        <v>223</v>
      </c>
      <c r="H28" s="434"/>
      <c r="I28" s="449">
        <f>INDEX(EnergieträgerMatrix,MATCH($G28,Energieträger,0),3)*H28/1000</f>
        <v>0</v>
      </c>
      <c r="J28" s="160"/>
      <c r="K28" s="447">
        <f>INDEX(EnergieträgerMatrix,MATCH($G28,Energieträger,0),2)*H28/1000</f>
        <v>0</v>
      </c>
      <c r="L28" s="159"/>
      <c r="M28" s="165"/>
    </row>
    <row r="29" spans="2:13" x14ac:dyDescent="0.25">
      <c r="B29" s="157"/>
      <c r="C29" s="599"/>
      <c r="D29" s="159"/>
      <c r="E29" s="159"/>
      <c r="F29" s="159"/>
      <c r="G29" s="433" t="s">
        <v>223</v>
      </c>
      <c r="H29" s="434"/>
      <c r="I29" s="449">
        <f>INDEX(EnergieträgerMatrix,MATCH($G29,Energieträger,0),3)*H29/1000</f>
        <v>0</v>
      </c>
      <c r="J29" s="160"/>
      <c r="K29" s="447">
        <f>INDEX(EnergieträgerMatrix,MATCH($G29,Energieträger,0),2)*H29/1000</f>
        <v>0</v>
      </c>
      <c r="L29" s="164"/>
      <c r="M29" s="177"/>
    </row>
    <row r="30" spans="2:13" ht="27" thickBot="1" x14ac:dyDescent="0.3">
      <c r="B30" s="157"/>
      <c r="C30" s="599"/>
      <c r="D30" s="159"/>
      <c r="E30" s="159"/>
      <c r="F30" s="159"/>
      <c r="G30" s="337" t="s">
        <v>582</v>
      </c>
      <c r="H30" s="160"/>
      <c r="I30" s="435">
        <v>0</v>
      </c>
      <c r="J30" s="160"/>
      <c r="K30" s="436">
        <v>0</v>
      </c>
      <c r="L30" s="164"/>
      <c r="M30" s="177"/>
    </row>
    <row r="31" spans="2:13" x14ac:dyDescent="0.25">
      <c r="B31" s="429">
        <v>5</v>
      </c>
      <c r="C31" s="430"/>
      <c r="D31" s="431"/>
      <c r="E31" s="432"/>
      <c r="F31" s="448">
        <f>D31*E31</f>
        <v>0</v>
      </c>
      <c r="G31" s="156"/>
      <c r="H31" s="442">
        <f>SUM(H32:H35)</f>
        <v>0</v>
      </c>
      <c r="I31" s="444">
        <f>SUM(I32:I36)</f>
        <v>0</v>
      </c>
      <c r="J31" s="445">
        <f>I31/$J$3</f>
        <v>0</v>
      </c>
      <c r="K31" s="444">
        <f>SUM(K32:K36)</f>
        <v>0</v>
      </c>
      <c r="L31" s="446" t="e">
        <f>F31/K31</f>
        <v>#DIV/0!</v>
      </c>
      <c r="M31" s="437"/>
    </row>
    <row r="32" spans="2:13" x14ac:dyDescent="0.25">
      <c r="B32" s="157"/>
      <c r="C32" s="598"/>
      <c r="D32" s="159"/>
      <c r="E32" s="159"/>
      <c r="F32" s="159"/>
      <c r="G32" s="433" t="s">
        <v>223</v>
      </c>
      <c r="H32" s="434"/>
      <c r="I32" s="449">
        <f>INDEX(EnergieträgerMatrix,MATCH($G32,Energieträger,0),3)*H32/1000</f>
        <v>0</v>
      </c>
      <c r="J32" s="160"/>
      <c r="K32" s="447">
        <f>INDEX(EnergieträgerMatrix,MATCH($G32,Energieträger,0),2)*H32/1000</f>
        <v>0</v>
      </c>
      <c r="L32" s="164"/>
      <c r="M32" s="176"/>
    </row>
    <row r="33" spans="2:13" x14ac:dyDescent="0.25">
      <c r="B33" s="157"/>
      <c r="C33" s="599"/>
      <c r="D33" s="159"/>
      <c r="E33" s="159"/>
      <c r="F33" s="159"/>
      <c r="G33" s="433" t="s">
        <v>223</v>
      </c>
      <c r="H33" s="434"/>
      <c r="I33" s="449">
        <f>INDEX(EnergieträgerMatrix,MATCH($G33,Energieträger,0),3)*H33/1000</f>
        <v>0</v>
      </c>
      <c r="J33" s="160"/>
      <c r="K33" s="447">
        <f>INDEX(EnergieträgerMatrix,MATCH($G33,Energieträger,0),2)*H33/1000</f>
        <v>0</v>
      </c>
      <c r="L33" s="164"/>
      <c r="M33" s="177"/>
    </row>
    <row r="34" spans="2:13" x14ac:dyDescent="0.25">
      <c r="B34" s="157"/>
      <c r="C34" s="599"/>
      <c r="D34" s="159"/>
      <c r="E34" s="159"/>
      <c r="F34" s="159"/>
      <c r="G34" s="433" t="s">
        <v>223</v>
      </c>
      <c r="H34" s="434"/>
      <c r="I34" s="449">
        <f>INDEX(EnergieträgerMatrix,MATCH($G34,Energieträger,0),3)*H34/1000</f>
        <v>0</v>
      </c>
      <c r="J34" s="160"/>
      <c r="K34" s="447">
        <f>INDEX(EnergieträgerMatrix,MATCH($G34,Energieträger,0),2)*H34/1000</f>
        <v>0</v>
      </c>
      <c r="L34" s="159"/>
      <c r="M34" s="165"/>
    </row>
    <row r="35" spans="2:13" x14ac:dyDescent="0.25">
      <c r="B35" s="157"/>
      <c r="C35" s="599"/>
      <c r="D35" s="159"/>
      <c r="E35" s="159"/>
      <c r="F35" s="159"/>
      <c r="G35" s="433" t="s">
        <v>223</v>
      </c>
      <c r="H35" s="434"/>
      <c r="I35" s="449">
        <f>INDEX(EnergieträgerMatrix,MATCH($G35,Energieträger,0),3)*H35/1000</f>
        <v>0</v>
      </c>
      <c r="J35" s="160"/>
      <c r="K35" s="447">
        <f>INDEX(EnergieträgerMatrix,MATCH($G35,Energieträger,0),2)*H35/1000</f>
        <v>0</v>
      </c>
      <c r="L35" s="164"/>
      <c r="M35" s="177"/>
    </row>
    <row r="36" spans="2:13" ht="27" thickBot="1" x14ac:dyDescent="0.3">
      <c r="B36" s="157"/>
      <c r="C36" s="599"/>
      <c r="D36" s="159"/>
      <c r="E36" s="159"/>
      <c r="F36" s="159"/>
      <c r="G36" s="337" t="s">
        <v>582</v>
      </c>
      <c r="H36" s="160"/>
      <c r="I36" s="435">
        <v>0</v>
      </c>
      <c r="J36" s="160"/>
      <c r="K36" s="436">
        <v>0</v>
      </c>
      <c r="L36" s="164"/>
      <c r="M36" s="177"/>
    </row>
    <row r="37" spans="2:13" x14ac:dyDescent="0.25">
      <c r="B37" s="429">
        <v>6</v>
      </c>
      <c r="C37" s="430"/>
      <c r="D37" s="431"/>
      <c r="E37" s="432"/>
      <c r="F37" s="448">
        <f>D37*E37</f>
        <v>0</v>
      </c>
      <c r="G37" s="156"/>
      <c r="H37" s="442">
        <f>SUM(H38:H41)</f>
        <v>0</v>
      </c>
      <c r="I37" s="444">
        <f>SUM(I38:I42)</f>
        <v>0</v>
      </c>
      <c r="J37" s="445">
        <f>I37/$J$3</f>
        <v>0</v>
      </c>
      <c r="K37" s="444">
        <f>SUM(K38:K42)</f>
        <v>0</v>
      </c>
      <c r="L37" s="446" t="e">
        <f>F37/K37</f>
        <v>#DIV/0!</v>
      </c>
      <c r="M37" s="437"/>
    </row>
    <row r="38" spans="2:13" x14ac:dyDescent="0.25">
      <c r="B38" s="157"/>
      <c r="C38" s="598"/>
      <c r="D38" s="159"/>
      <c r="E38" s="159"/>
      <c r="F38" s="159"/>
      <c r="G38" s="433" t="s">
        <v>223</v>
      </c>
      <c r="H38" s="434"/>
      <c r="I38" s="449">
        <f>INDEX(EnergieträgerMatrix,MATCH($G38,Energieträger,0),3)*H38/1000</f>
        <v>0</v>
      </c>
      <c r="J38" s="160"/>
      <c r="K38" s="447">
        <f>INDEX(EnergieträgerMatrix,MATCH($G38,Energieträger,0),2)*H38/1000</f>
        <v>0</v>
      </c>
      <c r="L38" s="164"/>
      <c r="M38" s="176"/>
    </row>
    <row r="39" spans="2:13" x14ac:dyDescent="0.25">
      <c r="B39" s="157"/>
      <c r="C39" s="599"/>
      <c r="D39" s="159"/>
      <c r="E39" s="159"/>
      <c r="F39" s="159"/>
      <c r="G39" s="433" t="s">
        <v>223</v>
      </c>
      <c r="H39" s="434"/>
      <c r="I39" s="449">
        <f>INDEX(EnergieträgerMatrix,MATCH($G39,Energieträger,0),3)*H39/1000</f>
        <v>0</v>
      </c>
      <c r="J39" s="160"/>
      <c r="K39" s="447">
        <f>INDEX(EnergieträgerMatrix,MATCH($G39,Energieträger,0),2)*H39/1000</f>
        <v>0</v>
      </c>
      <c r="L39" s="164"/>
      <c r="M39" s="177"/>
    </row>
    <row r="40" spans="2:13" x14ac:dyDescent="0.25">
      <c r="B40" s="157"/>
      <c r="C40" s="599"/>
      <c r="D40" s="159"/>
      <c r="E40" s="159"/>
      <c r="F40" s="159"/>
      <c r="G40" s="433" t="s">
        <v>223</v>
      </c>
      <c r="H40" s="434"/>
      <c r="I40" s="449">
        <f>INDEX(EnergieträgerMatrix,MATCH($G40,Energieträger,0),3)*H40/1000</f>
        <v>0</v>
      </c>
      <c r="J40" s="160"/>
      <c r="K40" s="447">
        <f>INDEX(EnergieträgerMatrix,MATCH($G40,Energieträger,0),2)*H40/1000</f>
        <v>0</v>
      </c>
      <c r="L40" s="159"/>
      <c r="M40" s="165"/>
    </row>
    <row r="41" spans="2:13" x14ac:dyDescent="0.25">
      <c r="B41" s="157"/>
      <c r="C41" s="599"/>
      <c r="D41" s="159"/>
      <c r="E41" s="159"/>
      <c r="F41" s="159"/>
      <c r="G41" s="433" t="s">
        <v>223</v>
      </c>
      <c r="H41" s="434"/>
      <c r="I41" s="449">
        <f>INDEX(EnergieträgerMatrix,MATCH($G41,Energieträger,0),3)*H41/1000</f>
        <v>0</v>
      </c>
      <c r="J41" s="160"/>
      <c r="K41" s="447">
        <f>INDEX(EnergieträgerMatrix,MATCH($G41,Energieträger,0),2)*H41/1000</f>
        <v>0</v>
      </c>
      <c r="L41" s="164"/>
      <c r="M41" s="177"/>
    </row>
    <row r="42" spans="2:13" ht="27" thickBot="1" x14ac:dyDescent="0.3">
      <c r="B42" s="157"/>
      <c r="C42" s="599"/>
      <c r="D42" s="159"/>
      <c r="E42" s="159"/>
      <c r="F42" s="159"/>
      <c r="G42" s="337" t="s">
        <v>582</v>
      </c>
      <c r="H42" s="160"/>
      <c r="I42" s="435">
        <v>0</v>
      </c>
      <c r="J42" s="160"/>
      <c r="K42" s="436">
        <v>0</v>
      </c>
      <c r="L42" s="164"/>
      <c r="M42" s="177"/>
    </row>
    <row r="43" spans="2:13" x14ac:dyDescent="0.25">
      <c r="B43" s="429">
        <v>7</v>
      </c>
      <c r="C43" s="430"/>
      <c r="D43" s="431"/>
      <c r="E43" s="432"/>
      <c r="F43" s="448">
        <f>D43*E43</f>
        <v>0</v>
      </c>
      <c r="G43" s="156"/>
      <c r="H43" s="442">
        <f>SUM(H44:H47)</f>
        <v>0</v>
      </c>
      <c r="I43" s="444">
        <f>SUM(I44:I48)</f>
        <v>0</v>
      </c>
      <c r="J43" s="445">
        <f>I43/$J$3</f>
        <v>0</v>
      </c>
      <c r="K43" s="444">
        <f>SUM(K44:K48)</f>
        <v>0</v>
      </c>
      <c r="L43" s="446" t="e">
        <f>F43/K43</f>
        <v>#DIV/0!</v>
      </c>
      <c r="M43" s="437"/>
    </row>
    <row r="44" spans="2:13" x14ac:dyDescent="0.25">
      <c r="B44" s="157"/>
      <c r="C44" s="598"/>
      <c r="D44" s="159"/>
      <c r="E44" s="159"/>
      <c r="F44" s="159"/>
      <c r="G44" s="433" t="s">
        <v>223</v>
      </c>
      <c r="H44" s="434"/>
      <c r="I44" s="449">
        <f>INDEX(EnergieträgerMatrix,MATCH($G44,Energieträger,0),3)*H44/1000</f>
        <v>0</v>
      </c>
      <c r="J44" s="160"/>
      <c r="K44" s="447">
        <f>INDEX(EnergieträgerMatrix,MATCH($G44,Energieträger,0),2)*H44/1000</f>
        <v>0</v>
      </c>
      <c r="L44" s="164"/>
      <c r="M44" s="176"/>
    </row>
    <row r="45" spans="2:13" x14ac:dyDescent="0.25">
      <c r="B45" s="157"/>
      <c r="C45" s="599"/>
      <c r="D45" s="159"/>
      <c r="E45" s="159"/>
      <c r="F45" s="159"/>
      <c r="G45" s="433" t="s">
        <v>223</v>
      </c>
      <c r="H45" s="434"/>
      <c r="I45" s="449">
        <f>INDEX(EnergieträgerMatrix,MATCH($G45,Energieträger,0),3)*H45/1000</f>
        <v>0</v>
      </c>
      <c r="J45" s="160"/>
      <c r="K45" s="447">
        <f>INDEX(EnergieträgerMatrix,MATCH($G45,Energieträger,0),2)*H45/1000</f>
        <v>0</v>
      </c>
      <c r="L45" s="164"/>
      <c r="M45" s="177"/>
    </row>
    <row r="46" spans="2:13" x14ac:dyDescent="0.25">
      <c r="B46" s="157"/>
      <c r="C46" s="599"/>
      <c r="D46" s="159"/>
      <c r="E46" s="159"/>
      <c r="F46" s="159"/>
      <c r="G46" s="433" t="s">
        <v>223</v>
      </c>
      <c r="H46" s="434"/>
      <c r="I46" s="449">
        <f>INDEX(EnergieträgerMatrix,MATCH($G46,Energieträger,0),3)*H46/1000</f>
        <v>0</v>
      </c>
      <c r="J46" s="160"/>
      <c r="K46" s="447">
        <f>INDEX(EnergieträgerMatrix,MATCH($G46,Energieträger,0),2)*H46/1000</f>
        <v>0</v>
      </c>
      <c r="L46" s="164"/>
      <c r="M46" s="177"/>
    </row>
    <row r="47" spans="2:13" x14ac:dyDescent="0.25">
      <c r="B47" s="157"/>
      <c r="C47" s="599"/>
      <c r="D47" s="159"/>
      <c r="E47" s="159"/>
      <c r="F47" s="159"/>
      <c r="G47" s="433" t="s">
        <v>223</v>
      </c>
      <c r="H47" s="434"/>
      <c r="I47" s="449">
        <f>INDEX(EnergieträgerMatrix,MATCH($G47,Energieträger,0),3)*H47/1000</f>
        <v>0</v>
      </c>
      <c r="J47" s="160"/>
      <c r="K47" s="447">
        <f>INDEX(EnergieträgerMatrix,MATCH($G47,Energieträger,0),2)*H47/1000</f>
        <v>0</v>
      </c>
      <c r="L47" s="164"/>
      <c r="M47" s="177"/>
    </row>
    <row r="48" spans="2:13" ht="27" thickBot="1" x14ac:dyDescent="0.3">
      <c r="B48" s="166"/>
      <c r="C48" s="600"/>
      <c r="D48" s="168"/>
      <c r="E48" s="168"/>
      <c r="F48" s="168"/>
      <c r="G48" s="338" t="s">
        <v>582</v>
      </c>
      <c r="H48" s="169"/>
      <c r="I48" s="439">
        <v>0</v>
      </c>
      <c r="J48" s="169"/>
      <c r="K48" s="440">
        <v>0</v>
      </c>
      <c r="L48" s="167"/>
      <c r="M48" s="178"/>
    </row>
    <row r="62" spans="4:4" x14ac:dyDescent="0.25">
      <c r="D62" s="14" t="str">
        <f>"Heizwärmebedarf " &amp;BefrJahr1</f>
        <v>Heizwärmebedarf 2012</v>
      </c>
    </row>
    <row r="63" spans="4:4" x14ac:dyDescent="0.25">
      <c r="D63" s="14" t="str">
        <f>"Heizwärmebedarf " &amp;BefrJahr2</f>
        <v>Heizwärmebedarf 2013</v>
      </c>
    </row>
    <row r="93" spans="2:2" x14ac:dyDescent="0.25">
      <c r="B93" s="14">
        <f>BefrJahr1</f>
        <v>2012</v>
      </c>
    </row>
    <row r="94" spans="2:2" x14ac:dyDescent="0.25">
      <c r="B94" s="14">
        <f>BefrJahr2</f>
        <v>2013</v>
      </c>
    </row>
  </sheetData>
  <sheetProtection selectLockedCells="1"/>
  <mergeCells count="1">
    <mergeCell ref="G5:K5"/>
  </mergeCells>
  <dataValidations disablePrompts="1" count="2">
    <dataValidation type="list" allowBlank="1" showInputMessage="1" showErrorMessage="1" sqref="G38:G41 G8:G11 G14:G17 G20:G23 G26:G29 G32:G35 G44:G47">
      <formula1>Energieträger</formula1>
    </dataValidation>
    <dataValidation type="list" allowBlank="1" showInputMessage="1" showErrorMessage="1" sqref="E7 E13 E19 E25 E31 E37 E43">
      <formula1>KostenanteilEnergie</formula1>
    </dataValidation>
  </dataValidations>
  <pageMargins left="0.70866141732283472" right="0.70866141732283472" top="0.74803149606299213" bottom="0.74803149606299213" header="0.31496062992125984" footer="0.31496062992125984"/>
  <pageSetup paperSize="9" scale="37" orientation="landscape" r:id="rId1"/>
  <headerFooter>
    <oddHeader>&amp;L&amp;G&amp;R4.4 Umgesetzte Massnahmen zur Energie- und CO2-Einsparung</oddHeader>
    <oddFooter>&amp;R&amp;P / &amp;N</oddFoot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94"/>
  <sheetViews>
    <sheetView showGridLines="0" view="pageLayout" zoomScale="85" zoomScaleNormal="100" zoomScalePageLayoutView="85" workbookViewId="0">
      <selection activeCell="V4" sqref="V4"/>
    </sheetView>
  </sheetViews>
  <sheetFormatPr baseColWidth="10" defaultColWidth="9.109375" defaultRowHeight="13.2" x14ac:dyDescent="0.25"/>
  <cols>
    <col min="1" max="1" width="4.44140625" style="19" customWidth="1"/>
    <col min="2" max="2" width="3.33203125" style="19" customWidth="1"/>
    <col min="3" max="3" width="57.44140625" style="19" customWidth="1"/>
    <col min="4" max="4" width="7.44140625" style="19" customWidth="1"/>
    <col min="5" max="5" width="33.88671875" style="19" customWidth="1"/>
    <col min="6" max="7" width="6.109375" style="19" customWidth="1"/>
    <col min="8" max="16384" width="9.109375" style="19"/>
  </cols>
  <sheetData>
    <row r="1" spans="1:9" ht="24.75" customHeight="1" x14ac:dyDescent="0.25">
      <c r="A1" s="18" t="s">
        <v>305</v>
      </c>
    </row>
    <row r="2" spans="1:9" s="21" customFormat="1" x14ac:dyDescent="0.25">
      <c r="B2" s="20"/>
      <c r="I2" s="19"/>
    </row>
    <row r="3" spans="1:9" s="21" customFormat="1" x14ac:dyDescent="0.25">
      <c r="B3" s="33" t="s">
        <v>3</v>
      </c>
      <c r="C3" s="34" t="s">
        <v>104</v>
      </c>
      <c r="D3" s="35" t="s">
        <v>0</v>
      </c>
      <c r="E3" s="35" t="s">
        <v>105</v>
      </c>
    </row>
    <row r="4" spans="1:9" s="21" customFormat="1" x14ac:dyDescent="0.25">
      <c r="B4" s="33">
        <v>1</v>
      </c>
      <c r="C4" s="450" t="s">
        <v>106</v>
      </c>
      <c r="D4" s="451">
        <v>1999</v>
      </c>
      <c r="E4" s="389" t="s">
        <v>600</v>
      </c>
    </row>
    <row r="5" spans="1:9" s="21" customFormat="1" ht="26.4" x14ac:dyDescent="0.25">
      <c r="B5" s="33">
        <v>2</v>
      </c>
      <c r="C5" s="452" t="s">
        <v>272</v>
      </c>
      <c r="D5" s="451">
        <v>2009</v>
      </c>
      <c r="E5" s="453"/>
    </row>
    <row r="6" spans="1:9" s="21" customFormat="1" ht="15" customHeight="1" x14ac:dyDescent="0.25">
      <c r="B6" s="33">
        <v>3</v>
      </c>
      <c r="C6" s="452" t="s">
        <v>107</v>
      </c>
      <c r="D6" s="451">
        <v>2009</v>
      </c>
      <c r="E6" s="453"/>
    </row>
    <row r="7" spans="1:9" s="21" customFormat="1" x14ac:dyDescent="0.25">
      <c r="B7" s="33">
        <v>4</v>
      </c>
      <c r="C7" s="452" t="s">
        <v>108</v>
      </c>
      <c r="D7" s="451">
        <v>2010</v>
      </c>
      <c r="E7" s="453"/>
    </row>
    <row r="8" spans="1:9" s="21" customFormat="1" x14ac:dyDescent="0.25">
      <c r="B8" s="33">
        <v>5</v>
      </c>
      <c r="C8" s="452"/>
      <c r="D8" s="451"/>
      <c r="E8" s="453"/>
    </row>
    <row r="9" spans="1:9" s="21" customFormat="1" x14ac:dyDescent="0.25">
      <c r="B9" s="33">
        <v>6</v>
      </c>
      <c r="C9" s="452"/>
      <c r="D9" s="451"/>
      <c r="E9" s="453"/>
    </row>
    <row r="10" spans="1:9" s="21" customFormat="1" x14ac:dyDescent="0.25">
      <c r="B10" s="33">
        <v>7</v>
      </c>
      <c r="C10" s="452"/>
      <c r="D10" s="451"/>
      <c r="E10" s="453"/>
    </row>
    <row r="11" spans="1:9" s="21" customFormat="1" x14ac:dyDescent="0.25">
      <c r="B11" s="33">
        <v>8</v>
      </c>
      <c r="C11" s="452"/>
      <c r="D11" s="451"/>
      <c r="E11" s="453"/>
    </row>
    <row r="12" spans="1:9" s="21" customFormat="1" x14ac:dyDescent="0.25">
      <c r="B12" s="33">
        <v>9</v>
      </c>
      <c r="C12" s="452"/>
      <c r="D12" s="451"/>
      <c r="E12" s="453"/>
    </row>
    <row r="13" spans="1:9" s="21" customFormat="1" x14ac:dyDescent="0.25">
      <c r="B13" s="33">
        <v>10</v>
      </c>
      <c r="C13" s="452"/>
      <c r="D13" s="451"/>
      <c r="E13" s="453"/>
    </row>
    <row r="14" spans="1:9" s="21" customFormat="1" x14ac:dyDescent="0.25"/>
    <row r="15" spans="1:9" s="21" customFormat="1" x14ac:dyDescent="0.25"/>
    <row r="62" spans="4:4" x14ac:dyDescent="0.25">
      <c r="D62" s="19" t="str">
        <f>"Heizwärmebedarf " &amp;BefrJahr1</f>
        <v>Heizwärmebedarf 2012</v>
      </c>
    </row>
    <row r="63" spans="4:4" x14ac:dyDescent="0.25">
      <c r="D63" s="19" t="str">
        <f>"Heizwärmebedarf " &amp;BefrJahr2</f>
        <v>Heizwärmebedarf 2013</v>
      </c>
    </row>
    <row r="93" spans="2:2" x14ac:dyDescent="0.25">
      <c r="B93" s="19">
        <f>BefrJahr1</f>
        <v>2012</v>
      </c>
    </row>
    <row r="94" spans="2:2" x14ac:dyDescent="0.25">
      <c r="B94" s="19">
        <f>BefrJahr2</f>
        <v>2013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&amp;L&amp;G&amp;R4.5 Vergangene Projekte / Produktions- und Prozessänderungen / Energiestudien</oddHeader>
    <oddFooter>&amp;R&amp;P /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99"/>
  <sheetViews>
    <sheetView showGridLines="0" zoomScale="85" zoomScaleNormal="85" zoomScaleSheetLayoutView="25" zoomScalePageLayoutView="85" workbookViewId="0">
      <selection activeCell="V4" sqref="V4"/>
    </sheetView>
  </sheetViews>
  <sheetFormatPr baseColWidth="10" defaultColWidth="9" defaultRowHeight="13.2" x14ac:dyDescent="0.25"/>
  <cols>
    <col min="1" max="1" width="2.88671875" style="14" customWidth="1"/>
    <col min="2" max="2" width="32.5546875" style="14" customWidth="1"/>
    <col min="3" max="3" width="10.44140625" style="14" bestFit="1" customWidth="1"/>
    <col min="4" max="11" width="15.33203125" style="14" customWidth="1"/>
    <col min="12" max="12" width="18" style="14" customWidth="1"/>
    <col min="13" max="13" width="2.5546875" style="14" customWidth="1"/>
    <col min="14" max="14" width="26.5546875" style="14" customWidth="1"/>
    <col min="15" max="15" width="4.6640625" style="14" customWidth="1"/>
    <col min="16" max="17" width="19.88671875" style="14" customWidth="1"/>
    <col min="18" max="18" width="2.109375" style="14" customWidth="1"/>
    <col min="19" max="19" width="5.6640625" style="14" customWidth="1"/>
    <col min="20" max="20" width="15.44140625" style="14" customWidth="1"/>
    <col min="21" max="21" width="14.5546875" style="14" customWidth="1"/>
    <col min="22" max="22" width="1.109375" style="14" customWidth="1"/>
    <col min="23" max="23" width="14.33203125" style="14" customWidth="1"/>
    <col min="24" max="24" width="1.109375" style="14" customWidth="1"/>
    <col min="25" max="25" width="14.6640625" style="14" customWidth="1"/>
    <col min="26" max="26" width="1.109375" style="14" customWidth="1"/>
    <col min="27" max="27" width="14.88671875" style="14" customWidth="1"/>
    <col min="28" max="32" width="6.33203125" style="14" customWidth="1"/>
    <col min="33" max="42" width="6.109375" style="14" customWidth="1"/>
    <col min="43" max="16384" width="9" style="14"/>
  </cols>
  <sheetData>
    <row r="1" spans="1:39" ht="14.25" customHeight="1" x14ac:dyDescent="0.25"/>
    <row r="2" spans="1:39" ht="17.25" customHeight="1" x14ac:dyDescent="0.25">
      <c r="A2" s="18" t="s">
        <v>321</v>
      </c>
      <c r="E2" s="619" t="s">
        <v>519</v>
      </c>
      <c r="S2" s="142" t="s">
        <v>664</v>
      </c>
    </row>
    <row r="3" spans="1:39" ht="17.25" customHeight="1" x14ac:dyDescent="0.25">
      <c r="A3" s="18" t="s">
        <v>385</v>
      </c>
      <c r="E3" s="619" t="s">
        <v>520</v>
      </c>
      <c r="F3" s="214"/>
      <c r="G3" s="214"/>
      <c r="J3" s="197"/>
      <c r="K3" s="197"/>
      <c r="L3" s="197"/>
      <c r="M3" s="197"/>
      <c r="AC3" s="14" t="s">
        <v>390</v>
      </c>
    </row>
    <row r="4" spans="1:39" x14ac:dyDescent="0.25">
      <c r="B4" s="65"/>
      <c r="C4" s="65"/>
      <c r="D4" s="65"/>
      <c r="E4" s="620" t="s">
        <v>476</v>
      </c>
      <c r="F4" s="65"/>
      <c r="G4" s="65"/>
      <c r="H4" s="65"/>
      <c r="I4" s="65"/>
      <c r="J4" s="65"/>
      <c r="M4" s="197"/>
      <c r="P4" s="65"/>
      <c r="Q4" s="65"/>
      <c r="R4" s="65"/>
      <c r="S4" s="281" t="s">
        <v>157</v>
      </c>
      <c r="T4" s="281" t="s">
        <v>2</v>
      </c>
      <c r="U4" s="280" t="s">
        <v>327</v>
      </c>
      <c r="V4" s="281"/>
      <c r="W4" s="280" t="s">
        <v>465</v>
      </c>
      <c r="X4" s="280"/>
      <c r="Y4" s="280" t="s">
        <v>466</v>
      </c>
      <c r="Z4" s="280"/>
      <c r="AA4" s="280" t="s">
        <v>334</v>
      </c>
      <c r="AB4" s="65"/>
      <c r="AC4" s="14" t="s">
        <v>467</v>
      </c>
      <c r="AE4" s="65"/>
      <c r="AF4" s="65"/>
      <c r="AG4" s="65"/>
      <c r="AH4" s="65"/>
      <c r="AI4" s="65"/>
      <c r="AJ4" s="65"/>
      <c r="AK4" s="65"/>
      <c r="AL4" s="65"/>
      <c r="AM4" s="65"/>
    </row>
    <row r="5" spans="1:39" ht="13.8" thickBot="1" x14ac:dyDescent="0.3">
      <c r="B5" s="65"/>
      <c r="C5" s="65"/>
      <c r="D5" s="65"/>
      <c r="E5" s="65"/>
      <c r="F5" s="65"/>
      <c r="G5" s="65"/>
      <c r="H5" s="65"/>
      <c r="I5" s="65"/>
      <c r="J5" s="65"/>
      <c r="M5" s="197"/>
      <c r="P5" s="65"/>
      <c r="Q5" s="65"/>
      <c r="R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</row>
    <row r="6" spans="1:39" ht="13.8" thickBot="1" x14ac:dyDescent="0.3">
      <c r="B6" s="234" t="s">
        <v>154</v>
      </c>
      <c r="C6" s="235" t="s">
        <v>157</v>
      </c>
      <c r="D6" s="287">
        <v>1</v>
      </c>
      <c r="E6" s="287">
        <v>2</v>
      </c>
      <c r="F6" s="287">
        <v>3</v>
      </c>
      <c r="G6" s="287">
        <v>4</v>
      </c>
      <c r="H6" s="288">
        <v>5</v>
      </c>
      <c r="I6" s="288">
        <v>6</v>
      </c>
      <c r="J6" s="288">
        <v>7</v>
      </c>
      <c r="K6" s="288">
        <v>8</v>
      </c>
      <c r="L6" s="289">
        <v>9</v>
      </c>
      <c r="M6" s="197"/>
      <c r="S6" s="640">
        <v>1</v>
      </c>
      <c r="T6" s="639" t="str">
        <f>D9</f>
        <v>Heizöl extra leicht</v>
      </c>
      <c r="U6" s="642">
        <f>D16</f>
        <v>1460000</v>
      </c>
      <c r="V6" s="272"/>
      <c r="W6" s="271">
        <f>D24+D25+D26</f>
        <v>248200</v>
      </c>
      <c r="X6" s="268"/>
      <c r="Y6" s="143"/>
      <c r="Z6" s="143"/>
      <c r="AA6" s="143"/>
    </row>
    <row r="7" spans="1:39" x14ac:dyDescent="0.25">
      <c r="B7" s="236" t="s">
        <v>354</v>
      </c>
      <c r="C7" s="75"/>
      <c r="D7" s="454" t="s">
        <v>355</v>
      </c>
      <c r="E7" s="455" t="s">
        <v>355</v>
      </c>
      <c r="F7" s="455" t="s">
        <v>355</v>
      </c>
      <c r="G7" s="455" t="s">
        <v>21</v>
      </c>
      <c r="H7" s="455" t="s">
        <v>356</v>
      </c>
      <c r="I7" s="455" t="s">
        <v>357</v>
      </c>
      <c r="J7" s="455" t="s">
        <v>583</v>
      </c>
      <c r="K7" s="455" t="s">
        <v>584</v>
      </c>
      <c r="L7" s="456" t="s">
        <v>585</v>
      </c>
      <c r="M7" s="197"/>
      <c r="S7" s="640"/>
      <c r="T7" s="639"/>
      <c r="U7" s="643"/>
      <c r="V7" s="273"/>
      <c r="W7" s="285">
        <f>D17</f>
        <v>0</v>
      </c>
      <c r="X7" s="143"/>
      <c r="Y7" s="143"/>
      <c r="Z7" s="143"/>
      <c r="AA7" s="143"/>
    </row>
    <row r="8" spans="1:39" x14ac:dyDescent="0.25">
      <c r="B8" s="237" t="s">
        <v>155</v>
      </c>
      <c r="C8" s="77"/>
      <c r="D8" s="457" t="s">
        <v>378</v>
      </c>
      <c r="E8" s="458" t="s">
        <v>379</v>
      </c>
      <c r="F8" s="458" t="s">
        <v>380</v>
      </c>
      <c r="G8" s="458" t="s">
        <v>21</v>
      </c>
      <c r="H8" s="458"/>
      <c r="I8" s="458"/>
      <c r="J8" s="458"/>
      <c r="K8" s="458"/>
      <c r="L8" s="459"/>
      <c r="M8" s="197"/>
      <c r="S8" s="640"/>
      <c r="T8" s="639"/>
      <c r="U8" s="643"/>
      <c r="V8" s="273"/>
      <c r="W8" s="638">
        <f>U6-W6-W7</f>
        <v>1211800</v>
      </c>
      <c r="X8" s="277"/>
      <c r="Y8" s="275">
        <f>D27</f>
        <v>121180</v>
      </c>
      <c r="Z8" s="277"/>
      <c r="AA8" s="143"/>
    </row>
    <row r="9" spans="1:39" x14ac:dyDescent="0.25">
      <c r="B9" s="76" t="s">
        <v>2</v>
      </c>
      <c r="C9" s="77"/>
      <c r="D9" s="460" t="s">
        <v>5</v>
      </c>
      <c r="E9" s="460" t="s">
        <v>5</v>
      </c>
      <c r="F9" s="460" t="s">
        <v>5</v>
      </c>
      <c r="G9" s="460" t="s">
        <v>21</v>
      </c>
      <c r="H9" s="433" t="s">
        <v>8</v>
      </c>
      <c r="I9" s="433" t="s">
        <v>8</v>
      </c>
      <c r="J9" s="433" t="s">
        <v>8</v>
      </c>
      <c r="K9" s="433" t="s">
        <v>8</v>
      </c>
      <c r="L9" s="461" t="s">
        <v>8</v>
      </c>
      <c r="M9" s="197"/>
      <c r="S9" s="640"/>
      <c r="T9" s="639"/>
      <c r="U9" s="644"/>
      <c r="V9" s="274"/>
      <c r="W9" s="638"/>
      <c r="X9" s="278"/>
      <c r="Y9" s="276">
        <f>W8-Y8</f>
        <v>1090620</v>
      </c>
      <c r="Z9" s="279"/>
      <c r="AA9" s="286">
        <f>Y9</f>
        <v>1090620</v>
      </c>
    </row>
    <row r="10" spans="1:39" x14ac:dyDescent="0.25">
      <c r="B10" s="76" t="s">
        <v>39</v>
      </c>
      <c r="C10" s="77"/>
      <c r="D10" s="460" t="s">
        <v>61</v>
      </c>
      <c r="E10" s="460" t="s">
        <v>61</v>
      </c>
      <c r="F10" s="460" t="s">
        <v>60</v>
      </c>
      <c r="G10" s="460" t="s">
        <v>60</v>
      </c>
      <c r="H10" s="462"/>
      <c r="I10" s="462"/>
      <c r="J10" s="433" t="s">
        <v>61</v>
      </c>
      <c r="K10" s="433" t="s">
        <v>61</v>
      </c>
      <c r="L10" s="461" t="s">
        <v>73</v>
      </c>
      <c r="M10" s="197"/>
      <c r="T10" s="206"/>
      <c r="U10" s="143"/>
      <c r="V10" s="143"/>
      <c r="W10" s="143"/>
      <c r="X10" s="143"/>
      <c r="Y10" s="143"/>
      <c r="Z10" s="143"/>
      <c r="AA10" s="143"/>
    </row>
    <row r="11" spans="1:39" x14ac:dyDescent="0.25">
      <c r="B11" s="78" t="s">
        <v>229</v>
      </c>
      <c r="C11" s="79" t="s">
        <v>64</v>
      </c>
      <c r="D11" s="463">
        <v>1400</v>
      </c>
      <c r="E11" s="463">
        <v>1000</v>
      </c>
      <c r="F11" s="463"/>
      <c r="G11" s="463">
        <v>10000</v>
      </c>
      <c r="H11" s="464">
        <v>1200</v>
      </c>
      <c r="I11" s="464">
        <v>700</v>
      </c>
      <c r="J11" s="464">
        <v>1000</v>
      </c>
      <c r="K11" s="464"/>
      <c r="L11" s="465"/>
      <c r="M11" s="197"/>
      <c r="S11" s="281"/>
      <c r="T11" s="284"/>
      <c r="U11" s="280"/>
      <c r="V11" s="281"/>
      <c r="W11" s="280"/>
      <c r="X11" s="280"/>
      <c r="Y11" s="280"/>
      <c r="Z11" s="280"/>
      <c r="AA11" s="280"/>
    </row>
    <row r="12" spans="1:39" x14ac:dyDescent="0.25">
      <c r="B12" s="78" t="s">
        <v>65</v>
      </c>
      <c r="C12" s="79" t="s">
        <v>51</v>
      </c>
      <c r="D12" s="463">
        <v>2000</v>
      </c>
      <c r="E12" s="463">
        <v>2000</v>
      </c>
      <c r="F12" s="463">
        <v>2000</v>
      </c>
      <c r="G12" s="463">
        <v>1000</v>
      </c>
      <c r="H12" s="464">
        <v>1600</v>
      </c>
      <c r="I12" s="464">
        <v>2000</v>
      </c>
      <c r="J12" s="464">
        <v>5500</v>
      </c>
      <c r="K12" s="464"/>
      <c r="L12" s="465"/>
      <c r="M12" s="197"/>
      <c r="S12" s="640">
        <v>2</v>
      </c>
      <c r="T12" s="641" t="str">
        <f>E9</f>
        <v>Heizöl extra leicht</v>
      </c>
      <c r="U12" s="642">
        <f>E16</f>
        <v>1390000</v>
      </c>
      <c r="V12" s="272"/>
      <c r="W12" s="271">
        <f>SUM(E24:E26)</f>
        <v>347500</v>
      </c>
      <c r="X12" s="268"/>
      <c r="Y12" s="143"/>
      <c r="Z12" s="143"/>
      <c r="AA12" s="143"/>
    </row>
    <row r="13" spans="1:39" x14ac:dyDescent="0.25">
      <c r="B13" s="78" t="s">
        <v>47</v>
      </c>
      <c r="C13" s="79" t="s">
        <v>146</v>
      </c>
      <c r="D13" s="466">
        <v>1996</v>
      </c>
      <c r="E13" s="466">
        <v>1998</v>
      </c>
      <c r="F13" s="466">
        <v>2000</v>
      </c>
      <c r="G13" s="466">
        <v>1999</v>
      </c>
      <c r="H13" s="467">
        <v>1995</v>
      </c>
      <c r="I13" s="467">
        <v>2003</v>
      </c>
      <c r="J13" s="467">
        <v>2008</v>
      </c>
      <c r="K13" s="467"/>
      <c r="L13" s="468"/>
      <c r="M13" s="197"/>
      <c r="S13" s="640"/>
      <c r="T13" s="641"/>
      <c r="U13" s="643"/>
      <c r="V13" s="273"/>
      <c r="W13" s="285">
        <f>E17</f>
        <v>0</v>
      </c>
      <c r="X13" s="143"/>
      <c r="Y13" s="143"/>
      <c r="Z13" s="143"/>
      <c r="AA13" s="143"/>
    </row>
    <row r="14" spans="1:39" ht="13.8" thickBot="1" x14ac:dyDescent="0.3">
      <c r="B14" s="80" t="s">
        <v>156</v>
      </c>
      <c r="C14" s="81" t="s">
        <v>146</v>
      </c>
      <c r="D14" s="469">
        <v>41275</v>
      </c>
      <c r="E14" s="469">
        <v>41275</v>
      </c>
      <c r="F14" s="469">
        <v>41275</v>
      </c>
      <c r="G14" s="469"/>
      <c r="H14" s="469">
        <v>41275</v>
      </c>
      <c r="I14" s="469">
        <v>41275</v>
      </c>
      <c r="J14" s="469">
        <v>41699</v>
      </c>
      <c r="K14" s="469"/>
      <c r="L14" s="470"/>
      <c r="M14" s="197"/>
      <c r="S14" s="640"/>
      <c r="T14" s="641"/>
      <c r="U14" s="643"/>
      <c r="V14" s="273"/>
      <c r="W14" s="638">
        <f>U12-W12-W13</f>
        <v>1042500</v>
      </c>
      <c r="X14" s="277"/>
      <c r="Y14" s="275">
        <f>E27</f>
        <v>104250</v>
      </c>
      <c r="Z14" s="277"/>
      <c r="AA14" s="143"/>
    </row>
    <row r="15" spans="1:39" ht="13.8" thickBot="1" x14ac:dyDescent="0.3">
      <c r="M15" s="197"/>
      <c r="S15" s="640"/>
      <c r="T15" s="641"/>
      <c r="U15" s="644"/>
      <c r="V15" s="274"/>
      <c r="W15" s="638"/>
      <c r="X15" s="278"/>
      <c r="Y15" s="276">
        <f>W14-Y14</f>
        <v>938250</v>
      </c>
      <c r="Z15" s="279"/>
      <c r="AA15" s="286">
        <f>Y15</f>
        <v>938250</v>
      </c>
    </row>
    <row r="16" spans="1:39" x14ac:dyDescent="0.25">
      <c r="B16" s="82" t="s">
        <v>316</v>
      </c>
      <c r="C16" s="90" t="s">
        <v>143</v>
      </c>
      <c r="D16" s="476">
        <v>1460000</v>
      </c>
      <c r="E16" s="477">
        <v>1390000</v>
      </c>
      <c r="F16" s="477">
        <v>700000</v>
      </c>
      <c r="G16" s="477">
        <v>0</v>
      </c>
      <c r="H16" s="478">
        <v>0</v>
      </c>
      <c r="I16" s="478">
        <v>0</v>
      </c>
      <c r="J16" s="478">
        <v>0</v>
      </c>
      <c r="K16" s="478">
        <v>0</v>
      </c>
      <c r="L16" s="479">
        <v>0</v>
      </c>
      <c r="M16" s="197"/>
      <c r="T16" s="206"/>
    </row>
    <row r="17" spans="2:39" x14ac:dyDescent="0.25">
      <c r="B17" s="84" t="s">
        <v>381</v>
      </c>
      <c r="C17" s="195" t="s">
        <v>57</v>
      </c>
      <c r="D17" s="203"/>
      <c r="E17" s="215"/>
      <c r="F17" s="215"/>
      <c r="G17" s="215"/>
      <c r="H17" s="204"/>
      <c r="I17" s="204"/>
      <c r="J17" s="462">
        <v>0</v>
      </c>
      <c r="K17" s="462">
        <v>0</v>
      </c>
      <c r="L17" s="480">
        <v>0</v>
      </c>
      <c r="M17" s="197"/>
      <c r="S17" s="281"/>
      <c r="T17" s="284"/>
      <c r="U17" s="280"/>
      <c r="V17" s="281"/>
      <c r="W17" s="280"/>
      <c r="X17" s="280"/>
      <c r="Y17" s="280"/>
      <c r="Z17" s="280"/>
      <c r="AA17" s="280"/>
    </row>
    <row r="18" spans="2:39" x14ac:dyDescent="0.25">
      <c r="B18" s="84" t="s">
        <v>358</v>
      </c>
      <c r="C18" s="195" t="s">
        <v>52</v>
      </c>
      <c r="D18" s="203"/>
      <c r="E18" s="215"/>
      <c r="F18" s="215"/>
      <c r="G18" s="215"/>
      <c r="H18" s="204"/>
      <c r="I18" s="204"/>
      <c r="J18" s="481">
        <v>0.96</v>
      </c>
      <c r="K18" s="481">
        <v>0.96</v>
      </c>
      <c r="L18" s="482">
        <v>1</v>
      </c>
      <c r="M18" s="197"/>
      <c r="S18" s="640">
        <v>3</v>
      </c>
      <c r="T18" s="641" t="str">
        <f>F9</f>
        <v>Heizöl extra leicht</v>
      </c>
      <c r="U18" s="642">
        <f>F16</f>
        <v>700000</v>
      </c>
      <c r="V18" s="272"/>
      <c r="W18" s="271">
        <f>SUM(F24:F26)</f>
        <v>175000</v>
      </c>
      <c r="X18" s="268"/>
      <c r="Y18" s="143"/>
      <c r="Z18" s="143"/>
      <c r="AA18" s="143"/>
    </row>
    <row r="19" spans="2:39" ht="26.4" x14ac:dyDescent="0.25">
      <c r="B19" s="361" t="s">
        <v>626</v>
      </c>
      <c r="C19" s="91" t="s">
        <v>52</v>
      </c>
      <c r="D19" s="483">
        <v>7.0000000000000007E-2</v>
      </c>
      <c r="E19" s="484">
        <v>0.15</v>
      </c>
      <c r="F19" s="484">
        <v>0.15</v>
      </c>
      <c r="G19" s="215"/>
      <c r="H19" s="481">
        <v>7.0000000000000007E-2</v>
      </c>
      <c r="I19" s="481">
        <v>7.0000000000000007E-2</v>
      </c>
      <c r="J19" s="481">
        <v>7.0000000000000007E-2</v>
      </c>
      <c r="K19" s="481">
        <v>0.1</v>
      </c>
      <c r="L19" s="482">
        <v>7.0000000000000007E-2</v>
      </c>
      <c r="M19" s="197"/>
      <c r="S19" s="640"/>
      <c r="T19" s="641"/>
      <c r="U19" s="643"/>
      <c r="V19" s="273"/>
      <c r="W19" s="285">
        <f>F17</f>
        <v>0</v>
      </c>
      <c r="X19" s="143"/>
      <c r="Y19" s="143"/>
      <c r="Z19" s="143"/>
      <c r="AA19" s="143"/>
      <c r="AM19" s="86"/>
    </row>
    <row r="20" spans="2:39" x14ac:dyDescent="0.25">
      <c r="B20" s="85" t="s">
        <v>145</v>
      </c>
      <c r="C20" s="91" t="s">
        <v>53</v>
      </c>
      <c r="D20" s="507">
        <v>162</v>
      </c>
      <c r="E20" s="463">
        <v>300</v>
      </c>
      <c r="F20" s="463">
        <v>300</v>
      </c>
      <c r="G20" s="215"/>
      <c r="H20" s="464">
        <v>170</v>
      </c>
      <c r="I20" s="464">
        <v>120</v>
      </c>
      <c r="J20" s="464">
        <v>170</v>
      </c>
      <c r="K20" s="464">
        <v>220</v>
      </c>
      <c r="L20" s="465">
        <v>50</v>
      </c>
      <c r="M20" s="197"/>
      <c r="S20" s="640"/>
      <c r="T20" s="641"/>
      <c r="U20" s="643"/>
      <c r="V20" s="273"/>
      <c r="W20" s="638">
        <f>U18-W18-W19</f>
        <v>525000</v>
      </c>
      <c r="X20" s="277"/>
      <c r="Y20" s="275">
        <f>F27</f>
        <v>60375</v>
      </c>
      <c r="Z20" s="277"/>
      <c r="AA20" s="143"/>
    </row>
    <row r="21" spans="2:39" x14ac:dyDescent="0.25">
      <c r="B21" s="85" t="s">
        <v>317</v>
      </c>
      <c r="C21" s="91" t="s">
        <v>52</v>
      </c>
      <c r="D21" s="485">
        <v>0.1</v>
      </c>
      <c r="E21" s="486">
        <v>0.1</v>
      </c>
      <c r="F21" s="486">
        <v>0.1</v>
      </c>
      <c r="G21" s="215"/>
      <c r="H21" s="205"/>
      <c r="I21" s="205"/>
      <c r="J21" s="489">
        <v>0</v>
      </c>
      <c r="K21" s="489">
        <v>0</v>
      </c>
      <c r="L21" s="490"/>
      <c r="M21" s="197"/>
      <c r="S21" s="640"/>
      <c r="T21" s="641"/>
      <c r="U21" s="644"/>
      <c r="V21" s="274"/>
      <c r="W21" s="638"/>
      <c r="X21" s="278"/>
      <c r="Y21" s="276">
        <f>W20-Y20</f>
        <v>464625</v>
      </c>
      <c r="Z21" s="279"/>
      <c r="AA21" s="286">
        <f>Y21</f>
        <v>464625</v>
      </c>
    </row>
    <row r="22" spans="2:39" ht="13.8" thickBot="1" x14ac:dyDescent="0.3">
      <c r="B22" s="87" t="s">
        <v>59</v>
      </c>
      <c r="C22" s="231"/>
      <c r="D22" s="487">
        <v>0.1</v>
      </c>
      <c r="E22" s="488">
        <v>0.1</v>
      </c>
      <c r="F22" s="488">
        <v>0.115</v>
      </c>
      <c r="G22" s="488">
        <v>0.1</v>
      </c>
      <c r="H22" s="232"/>
      <c r="I22" s="232"/>
      <c r="J22" s="491">
        <v>0.1</v>
      </c>
      <c r="K22" s="491">
        <v>0.1</v>
      </c>
      <c r="L22" s="492">
        <v>0.1</v>
      </c>
      <c r="M22" s="197"/>
      <c r="T22" s="282"/>
    </row>
    <row r="23" spans="2:39" ht="13.8" thickBot="1" x14ac:dyDescent="0.3">
      <c r="J23" s="493"/>
      <c r="K23" s="493"/>
      <c r="L23" s="493"/>
      <c r="M23" s="197"/>
      <c r="S23" s="281"/>
      <c r="T23" s="283"/>
      <c r="U23" s="280"/>
      <c r="V23" s="281"/>
      <c r="W23" s="280"/>
      <c r="X23" s="280"/>
      <c r="Y23" s="280"/>
      <c r="Z23" s="280"/>
      <c r="AA23" s="280"/>
    </row>
    <row r="24" spans="2:39" x14ac:dyDescent="0.25">
      <c r="B24" s="82" t="s">
        <v>374</v>
      </c>
      <c r="C24" s="83" t="s">
        <v>57</v>
      </c>
      <c r="D24" s="228"/>
      <c r="E24" s="229"/>
      <c r="F24" s="229"/>
      <c r="G24" s="229"/>
      <c r="H24" s="230"/>
      <c r="I24" s="230"/>
      <c r="J24" s="532">
        <f>J17/J18-J17</f>
        <v>0</v>
      </c>
      <c r="K24" s="532">
        <f t="shared" ref="K24:L24" si="0">K17/K18*(1-K18)</f>
        <v>0</v>
      </c>
      <c r="L24" s="533">
        <f t="shared" si="0"/>
        <v>0</v>
      </c>
      <c r="M24" s="197"/>
      <c r="S24" s="640">
        <v>4</v>
      </c>
      <c r="T24" s="641" t="str">
        <f>H9</f>
        <v>Erdgas</v>
      </c>
      <c r="U24" s="642">
        <f>H16</f>
        <v>0</v>
      </c>
      <c r="V24" s="272"/>
      <c r="W24" s="271">
        <f>SUM(H24:H26)</f>
        <v>0</v>
      </c>
      <c r="X24" s="268"/>
      <c r="Y24" s="143"/>
      <c r="Z24" s="143"/>
      <c r="AA24" s="143"/>
    </row>
    <row r="25" spans="2:39" x14ac:dyDescent="0.25">
      <c r="B25" s="85" t="s">
        <v>144</v>
      </c>
      <c r="C25" s="79" t="s">
        <v>57</v>
      </c>
      <c r="D25" s="529">
        <f t="shared" ref="D25:I25" si="1">D16*D19</f>
        <v>102200.00000000001</v>
      </c>
      <c r="E25" s="527">
        <f t="shared" si="1"/>
        <v>208500</v>
      </c>
      <c r="F25" s="527">
        <f t="shared" si="1"/>
        <v>105000</v>
      </c>
      <c r="G25" s="527">
        <f t="shared" ref="G25" si="2">G16*G19</f>
        <v>0</v>
      </c>
      <c r="H25" s="527">
        <f t="shared" si="1"/>
        <v>0</v>
      </c>
      <c r="I25" s="527">
        <f t="shared" si="1"/>
        <v>0</v>
      </c>
      <c r="J25" s="527">
        <f>J16*J19</f>
        <v>0</v>
      </c>
      <c r="K25" s="527">
        <f t="shared" ref="K25:L25" si="3">K16*K19</f>
        <v>0</v>
      </c>
      <c r="L25" s="531">
        <f t="shared" si="3"/>
        <v>0</v>
      </c>
      <c r="M25" s="197"/>
      <c r="S25" s="640"/>
      <c r="T25" s="641"/>
      <c r="U25" s="643"/>
      <c r="V25" s="273"/>
      <c r="W25" s="285">
        <f>H17</f>
        <v>0</v>
      </c>
      <c r="X25" s="143"/>
      <c r="Y25" s="143"/>
      <c r="Z25" s="143"/>
      <c r="AA25" s="143"/>
    </row>
    <row r="26" spans="2:39" x14ac:dyDescent="0.25">
      <c r="B26" s="85" t="s">
        <v>317</v>
      </c>
      <c r="C26" s="79" t="s">
        <v>57</v>
      </c>
      <c r="D26" s="529">
        <f>D16*D21</f>
        <v>146000</v>
      </c>
      <c r="E26" s="527">
        <f t="shared" ref="E26:F26" si="4">E16*E21</f>
        <v>139000</v>
      </c>
      <c r="F26" s="527">
        <f t="shared" si="4"/>
        <v>70000</v>
      </c>
      <c r="G26" s="527">
        <f t="shared" ref="G26" si="5">G16*G21</f>
        <v>0</v>
      </c>
      <c r="H26" s="213"/>
      <c r="I26" s="213"/>
      <c r="J26" s="527">
        <f>J16*J21</f>
        <v>0</v>
      </c>
      <c r="K26" s="527">
        <f t="shared" ref="K26" si="6">K16*K21</f>
        <v>0</v>
      </c>
      <c r="L26" s="531">
        <f>L16*L21</f>
        <v>0</v>
      </c>
      <c r="M26" s="197"/>
      <c r="S26" s="640"/>
      <c r="T26" s="641"/>
      <c r="U26" s="643"/>
      <c r="V26" s="273"/>
      <c r="W26" s="638">
        <f>U24-W24-W25</f>
        <v>0</v>
      </c>
      <c r="X26" s="277"/>
      <c r="Y26" s="275">
        <f>H27</f>
        <v>0</v>
      </c>
      <c r="Z26" s="277"/>
      <c r="AA26" s="143"/>
    </row>
    <row r="27" spans="2:39" x14ac:dyDescent="0.25">
      <c r="B27" s="85" t="s">
        <v>323</v>
      </c>
      <c r="C27" s="79" t="s">
        <v>57</v>
      </c>
      <c r="D27" s="529">
        <f>(D16-D17-D24-D25-D26)*D22</f>
        <v>121180</v>
      </c>
      <c r="E27" s="527">
        <f t="shared" ref="E27:F27" si="7">(E16-E17-E24-E25-E26)*E22</f>
        <v>104250</v>
      </c>
      <c r="F27" s="527">
        <f t="shared" si="7"/>
        <v>60375</v>
      </c>
      <c r="G27" s="527">
        <f t="shared" ref="G27" si="8">(G16-G17-G24-G25-G26)*G22</f>
        <v>0</v>
      </c>
      <c r="H27" s="213"/>
      <c r="I27" s="213"/>
      <c r="J27" s="527">
        <f>(J16-J17-J24-J25-J26)*J22</f>
        <v>0</v>
      </c>
      <c r="K27" s="527">
        <f>(K16-K17-K24-K25-K26)*K22</f>
        <v>0</v>
      </c>
      <c r="L27" s="531">
        <f t="shared" ref="L27" si="9">(L16-L17-L24-L25-L26)*L22</f>
        <v>0</v>
      </c>
      <c r="M27" s="197"/>
      <c r="S27" s="640"/>
      <c r="T27" s="641"/>
      <c r="U27" s="644"/>
      <c r="V27" s="274"/>
      <c r="W27" s="638"/>
      <c r="X27" s="278"/>
      <c r="Y27" s="276">
        <f>W26-Y26</f>
        <v>0</v>
      </c>
      <c r="Z27" s="279"/>
      <c r="AA27" s="286">
        <f>Y27</f>
        <v>0</v>
      </c>
    </row>
    <row r="28" spans="2:39" ht="13.8" thickBot="1" x14ac:dyDescent="0.3">
      <c r="B28" s="87" t="s">
        <v>231</v>
      </c>
      <c r="C28" s="81" t="s">
        <v>57</v>
      </c>
      <c r="D28" s="530">
        <f t="shared" ref="D28:I28" si="10">D16-D17-D24-D25-D26-D27</f>
        <v>1090620</v>
      </c>
      <c r="E28" s="528">
        <f t="shared" si="10"/>
        <v>938250</v>
      </c>
      <c r="F28" s="528">
        <f t="shared" si="10"/>
        <v>464625</v>
      </c>
      <c r="G28" s="528">
        <f t="shared" ref="G28" si="11">G16-G17-G24-G25-G26-G27</f>
        <v>0</v>
      </c>
      <c r="H28" s="528">
        <f t="shared" si="10"/>
        <v>0</v>
      </c>
      <c r="I28" s="528">
        <f t="shared" si="10"/>
        <v>0</v>
      </c>
      <c r="J28" s="528">
        <f>J16-J17-J24-J25-J26-J27</f>
        <v>0</v>
      </c>
      <c r="K28" s="528">
        <f t="shared" ref="K28:L28" si="12">K16-K17-K24-K25-K26-K27</f>
        <v>0</v>
      </c>
      <c r="L28" s="534">
        <f t="shared" si="12"/>
        <v>0</v>
      </c>
      <c r="M28" s="197"/>
      <c r="T28" s="282"/>
    </row>
    <row r="29" spans="2:39" ht="13.8" thickBot="1" x14ac:dyDescent="0.3">
      <c r="M29" s="197"/>
      <c r="S29" s="281"/>
      <c r="T29" s="283"/>
      <c r="U29" s="280"/>
      <c r="V29" s="281"/>
      <c r="W29" s="280"/>
      <c r="X29" s="280"/>
      <c r="Y29" s="280"/>
      <c r="Z29" s="280"/>
      <c r="AA29" s="280"/>
    </row>
    <row r="30" spans="2:39" x14ac:dyDescent="0.25">
      <c r="B30" s="82" t="s">
        <v>314</v>
      </c>
      <c r="C30" s="83"/>
      <c r="D30" s="494" t="s">
        <v>15</v>
      </c>
      <c r="E30" s="495" t="s">
        <v>15</v>
      </c>
      <c r="F30" s="495" t="s">
        <v>16</v>
      </c>
      <c r="G30" s="495" t="s">
        <v>16</v>
      </c>
      <c r="H30" s="495" t="s">
        <v>16</v>
      </c>
      <c r="I30" s="495" t="s">
        <v>16</v>
      </c>
      <c r="J30" s="495" t="s">
        <v>16</v>
      </c>
      <c r="K30" s="495" t="s">
        <v>16</v>
      </c>
      <c r="L30" s="496" t="s">
        <v>16</v>
      </c>
      <c r="M30" s="197"/>
      <c r="S30" s="640">
        <v>5</v>
      </c>
      <c r="T30" s="641" t="str">
        <f>I9</f>
        <v>Erdgas</v>
      </c>
      <c r="U30" s="642">
        <f>I16</f>
        <v>0</v>
      </c>
      <c r="V30" s="272"/>
      <c r="W30" s="271">
        <f>SUM(I24:I26)</f>
        <v>0</v>
      </c>
      <c r="X30" s="268"/>
      <c r="Y30" s="143"/>
      <c r="Z30" s="143"/>
      <c r="AA30" s="143"/>
    </row>
    <row r="31" spans="2:39" x14ac:dyDescent="0.25">
      <c r="B31" s="85" t="s">
        <v>641</v>
      </c>
      <c r="C31" s="79" t="s">
        <v>52</v>
      </c>
      <c r="D31" s="508">
        <v>0.25</v>
      </c>
      <c r="E31" s="509">
        <v>0.25</v>
      </c>
      <c r="F31" s="509">
        <v>0</v>
      </c>
      <c r="G31" s="509">
        <v>0</v>
      </c>
      <c r="H31" s="509">
        <v>0</v>
      </c>
      <c r="I31" s="509">
        <v>0</v>
      </c>
      <c r="J31" s="509">
        <v>0</v>
      </c>
      <c r="K31" s="509">
        <v>0</v>
      </c>
      <c r="L31" s="510">
        <v>0</v>
      </c>
      <c r="M31" s="197"/>
      <c r="S31" s="640"/>
      <c r="T31" s="641"/>
      <c r="U31" s="643"/>
      <c r="V31" s="273"/>
      <c r="W31" s="285">
        <f>I17</f>
        <v>0</v>
      </c>
      <c r="X31" s="143"/>
      <c r="Y31" s="143"/>
      <c r="Z31" s="143"/>
      <c r="AA31" s="143"/>
    </row>
    <row r="32" spans="2:39" ht="13.8" thickBot="1" x14ac:dyDescent="0.3">
      <c r="B32" s="87" t="s">
        <v>353</v>
      </c>
      <c r="C32" s="81" t="s">
        <v>57</v>
      </c>
      <c r="D32" s="535">
        <f t="shared" ref="D32:L32" si="13">D28*D31</f>
        <v>272655</v>
      </c>
      <c r="E32" s="536">
        <f t="shared" ref="E32:G32" si="14">E28*E31</f>
        <v>234562.5</v>
      </c>
      <c r="F32" s="536">
        <f t="shared" si="14"/>
        <v>0</v>
      </c>
      <c r="G32" s="536">
        <f t="shared" si="14"/>
        <v>0</v>
      </c>
      <c r="H32" s="536">
        <f t="shared" si="13"/>
        <v>0</v>
      </c>
      <c r="I32" s="536">
        <f t="shared" si="13"/>
        <v>0</v>
      </c>
      <c r="J32" s="536">
        <f t="shared" si="13"/>
        <v>0</v>
      </c>
      <c r="K32" s="536">
        <f t="shared" si="13"/>
        <v>0</v>
      </c>
      <c r="L32" s="537">
        <f t="shared" si="13"/>
        <v>0</v>
      </c>
      <c r="M32" s="197"/>
      <c r="S32" s="640"/>
      <c r="T32" s="641"/>
      <c r="U32" s="643"/>
      <c r="V32" s="273"/>
      <c r="W32" s="638">
        <f>U30-W30-W31</f>
        <v>0</v>
      </c>
      <c r="X32" s="277"/>
      <c r="Y32" s="275">
        <f>I27</f>
        <v>0</v>
      </c>
      <c r="Z32" s="277"/>
      <c r="AA32" s="143"/>
    </row>
    <row r="33" spans="2:39" ht="13.8" thickBot="1" x14ac:dyDescent="0.3">
      <c r="M33" s="197"/>
      <c r="S33" s="640"/>
      <c r="T33" s="641"/>
      <c r="U33" s="644"/>
      <c r="V33" s="274"/>
      <c r="W33" s="638"/>
      <c r="X33" s="278"/>
      <c r="Y33" s="276">
        <f>W32-Y32</f>
        <v>0</v>
      </c>
      <c r="Z33" s="279"/>
      <c r="AA33" s="286">
        <f>Y33</f>
        <v>0</v>
      </c>
    </row>
    <row r="34" spans="2:39" x14ac:dyDescent="0.25">
      <c r="B34" s="82" t="s">
        <v>315</v>
      </c>
      <c r="C34" s="83"/>
      <c r="D34" s="497" t="s">
        <v>15</v>
      </c>
      <c r="E34" s="498" t="s">
        <v>16</v>
      </c>
      <c r="F34" s="498" t="s">
        <v>16</v>
      </c>
      <c r="G34" s="298"/>
      <c r="H34" s="501" t="s">
        <v>16</v>
      </c>
      <c r="I34" s="501" t="s">
        <v>15</v>
      </c>
      <c r="J34" s="501" t="s">
        <v>15</v>
      </c>
      <c r="K34" s="501" t="s">
        <v>15</v>
      </c>
      <c r="L34" s="502" t="s">
        <v>16</v>
      </c>
      <c r="M34" s="197"/>
      <c r="N34" s="323" t="str">
        <f>"Kontrollrechnung " &amp;BefrJahr2</f>
        <v>Kontrollrechnung 2013</v>
      </c>
      <c r="O34" s="320"/>
      <c r="P34" s="318" t="s">
        <v>316</v>
      </c>
      <c r="Q34" s="226" t="s">
        <v>316</v>
      </c>
      <c r="T34" s="282"/>
    </row>
    <row r="35" spans="2:39" ht="13.8" thickBot="1" x14ac:dyDescent="0.3">
      <c r="B35" s="87" t="s">
        <v>612</v>
      </c>
      <c r="C35" s="81"/>
      <c r="D35" s="499" t="s">
        <v>16</v>
      </c>
      <c r="E35" s="500" t="s">
        <v>16</v>
      </c>
      <c r="F35" s="500" t="s">
        <v>16</v>
      </c>
      <c r="G35" s="299"/>
      <c r="H35" s="503" t="s">
        <v>16</v>
      </c>
      <c r="I35" s="503" t="s">
        <v>15</v>
      </c>
      <c r="J35" s="503" t="s">
        <v>15</v>
      </c>
      <c r="K35" s="503" t="s">
        <v>15</v>
      </c>
      <c r="L35" s="504" t="s">
        <v>16</v>
      </c>
      <c r="M35" s="197"/>
      <c r="N35" s="324"/>
      <c r="O35" s="321"/>
      <c r="P35" s="319" t="s">
        <v>627</v>
      </c>
      <c r="Q35" s="227" t="s">
        <v>382</v>
      </c>
      <c r="S35" s="281"/>
      <c r="T35" s="283"/>
      <c r="U35" s="280"/>
      <c r="V35" s="281"/>
      <c r="W35" s="280"/>
      <c r="X35" s="280"/>
      <c r="Y35" s="280"/>
      <c r="Z35" s="280"/>
      <c r="AA35" s="280"/>
    </row>
    <row r="36" spans="2:39" ht="13.8" thickBot="1" x14ac:dyDescent="0.3">
      <c r="M36" s="197"/>
      <c r="N36" s="324" t="str">
        <f>'3'!C7</f>
        <v>Heizöl extra leicht</v>
      </c>
      <c r="O36" s="321"/>
      <c r="P36" s="538">
        <f>'4.2'!D7</f>
        <v>3445362.8080666671</v>
      </c>
      <c r="Q36" s="540">
        <f t="shared" ref="Q36:Q41" si="15">SUMIF($D$9:$L$9,$N36,$D$16:$L$16)</f>
        <v>3550000</v>
      </c>
      <c r="S36" s="640">
        <v>6</v>
      </c>
      <c r="T36" s="641" t="str">
        <f>J9</f>
        <v>Erdgas</v>
      </c>
      <c r="U36" s="642">
        <f>J16</f>
        <v>0</v>
      </c>
      <c r="V36" s="272"/>
      <c r="W36" s="271">
        <f>SUM(J24:J26)</f>
        <v>0</v>
      </c>
      <c r="X36" s="268"/>
      <c r="Y36" s="143"/>
      <c r="Z36" s="143"/>
      <c r="AA36" s="143"/>
    </row>
    <row r="37" spans="2:39" x14ac:dyDescent="0.25">
      <c r="B37" s="82" t="s">
        <v>147</v>
      </c>
      <c r="C37" s="83" t="s">
        <v>53</v>
      </c>
      <c r="D37" s="511">
        <v>105</v>
      </c>
      <c r="E37" s="512">
        <v>105</v>
      </c>
      <c r="F37" s="512">
        <v>147</v>
      </c>
      <c r="G37" s="512">
        <v>147</v>
      </c>
      <c r="H37" s="211"/>
      <c r="I37" s="211"/>
      <c r="J37" s="517">
        <v>90</v>
      </c>
      <c r="K37" s="517">
        <v>130</v>
      </c>
      <c r="L37" s="518">
        <v>50</v>
      </c>
      <c r="M37" s="197"/>
      <c r="N37" s="324" t="str">
        <f>'3'!C8</f>
        <v>Heizöl mittel/schwer</v>
      </c>
      <c r="O37" s="321"/>
      <c r="P37" s="538">
        <f>'4.2'!D8</f>
        <v>0</v>
      </c>
      <c r="Q37" s="540">
        <f t="shared" si="15"/>
        <v>0</v>
      </c>
      <c r="S37" s="640"/>
      <c r="T37" s="641"/>
      <c r="U37" s="643"/>
      <c r="V37" s="273"/>
      <c r="W37" s="285">
        <f>J17</f>
        <v>0</v>
      </c>
      <c r="X37" s="143"/>
      <c r="Y37" s="143"/>
      <c r="Z37" s="143"/>
      <c r="AA37" s="143"/>
    </row>
    <row r="38" spans="2:39" x14ac:dyDescent="0.25">
      <c r="B38" s="85" t="s">
        <v>148</v>
      </c>
      <c r="C38" s="79" t="s">
        <v>53</v>
      </c>
      <c r="D38" s="513">
        <v>90</v>
      </c>
      <c r="E38" s="514">
        <v>90</v>
      </c>
      <c r="F38" s="514">
        <v>90</v>
      </c>
      <c r="G38" s="514">
        <v>90</v>
      </c>
      <c r="H38" s="212"/>
      <c r="I38" s="212"/>
      <c r="J38" s="519">
        <v>80</v>
      </c>
      <c r="K38" s="519">
        <v>90</v>
      </c>
      <c r="L38" s="520">
        <v>35</v>
      </c>
      <c r="M38" s="197"/>
      <c r="N38" s="324" t="str">
        <f>'3'!C9</f>
        <v>Erdgas</v>
      </c>
      <c r="O38" s="321"/>
      <c r="P38" s="538">
        <f>'4.2'!D9</f>
        <v>0</v>
      </c>
      <c r="Q38" s="540">
        <f t="shared" si="15"/>
        <v>0</v>
      </c>
      <c r="S38" s="640"/>
      <c r="T38" s="641"/>
      <c r="U38" s="643"/>
      <c r="V38" s="273"/>
      <c r="W38" s="638">
        <f>U36-W36-W37</f>
        <v>0</v>
      </c>
      <c r="X38" s="277"/>
      <c r="Y38" s="275">
        <f>J27</f>
        <v>0</v>
      </c>
      <c r="Z38" s="277"/>
      <c r="AA38" s="143"/>
    </row>
    <row r="39" spans="2:39" ht="13.8" thickBot="1" x14ac:dyDescent="0.3">
      <c r="B39" s="87" t="s">
        <v>376</v>
      </c>
      <c r="C39" s="81" t="s">
        <v>149</v>
      </c>
      <c r="D39" s="515">
        <v>2</v>
      </c>
      <c r="E39" s="516">
        <v>2</v>
      </c>
      <c r="F39" s="516">
        <v>4.5</v>
      </c>
      <c r="G39" s="516">
        <v>4.5</v>
      </c>
      <c r="H39" s="216"/>
      <c r="I39" s="216"/>
      <c r="J39" s="521">
        <v>2</v>
      </c>
      <c r="K39" s="521">
        <v>3.5</v>
      </c>
      <c r="L39" s="522">
        <v>1.5</v>
      </c>
      <c r="M39" s="197"/>
      <c r="N39" s="324" t="str">
        <f>'3'!C10</f>
        <v>Butan</v>
      </c>
      <c r="O39" s="321"/>
      <c r="P39" s="538">
        <f>'4.2'!D10</f>
        <v>0</v>
      </c>
      <c r="Q39" s="540">
        <f t="shared" si="15"/>
        <v>0</v>
      </c>
      <c r="S39" s="640"/>
      <c r="T39" s="641"/>
      <c r="U39" s="644"/>
      <c r="V39" s="274"/>
      <c r="W39" s="638"/>
      <c r="X39" s="278"/>
      <c r="Y39" s="276">
        <f>W38-Y38</f>
        <v>0</v>
      </c>
      <c r="Z39" s="279"/>
      <c r="AA39" s="286">
        <f>Y39</f>
        <v>0</v>
      </c>
      <c r="AM39" s="86"/>
    </row>
    <row r="40" spans="2:39" ht="13.8" thickBot="1" x14ac:dyDescent="0.3">
      <c r="M40" s="197"/>
      <c r="N40" s="324" t="str">
        <f>'3'!C11</f>
        <v>Propan</v>
      </c>
      <c r="O40" s="321"/>
      <c r="P40" s="538">
        <f>'4.2'!D11</f>
        <v>0</v>
      </c>
      <c r="Q40" s="540">
        <f t="shared" si="15"/>
        <v>0</v>
      </c>
      <c r="T40" s="282"/>
    </row>
    <row r="41" spans="2:39" ht="13.8" thickBot="1" x14ac:dyDescent="0.3">
      <c r="B41" s="88" t="s">
        <v>158</v>
      </c>
      <c r="C41" s="89"/>
      <c r="D41" s="523" t="s">
        <v>406</v>
      </c>
      <c r="E41" s="524" t="s">
        <v>406</v>
      </c>
      <c r="F41" s="524" t="s">
        <v>407</v>
      </c>
      <c r="G41" s="524"/>
      <c r="H41" s="525"/>
      <c r="I41" s="525"/>
      <c r="J41" s="525"/>
      <c r="K41" s="525"/>
      <c r="L41" s="526"/>
      <c r="M41" s="197"/>
      <c r="N41" s="324" t="str">
        <f>'3'!C12</f>
        <v>Biogas (roh, Durchschnittswert)</v>
      </c>
      <c r="O41" s="321"/>
      <c r="P41" s="538">
        <f>'4.2'!D12</f>
        <v>0</v>
      </c>
      <c r="Q41" s="540">
        <f t="shared" si="15"/>
        <v>0</v>
      </c>
      <c r="S41" s="281"/>
      <c r="T41" s="283"/>
      <c r="U41" s="280"/>
      <c r="V41" s="281"/>
      <c r="W41" s="280"/>
      <c r="X41" s="280"/>
      <c r="Y41" s="280"/>
      <c r="Z41" s="280"/>
      <c r="AA41" s="280"/>
    </row>
    <row r="42" spans="2:39" x14ac:dyDescent="0.25">
      <c r="M42" s="197"/>
      <c r="N42" s="324" t="s">
        <v>375</v>
      </c>
      <c r="O42" s="321"/>
      <c r="P42" s="538">
        <f>'4.2'!D13-'4.2'!D34</f>
        <v>0</v>
      </c>
      <c r="Q42" s="294">
        <v>0</v>
      </c>
      <c r="S42" s="640">
        <v>7</v>
      </c>
      <c r="T42" s="641" t="str">
        <f>K9</f>
        <v>Erdgas</v>
      </c>
      <c r="U42" s="642">
        <f>K16</f>
        <v>0</v>
      </c>
      <c r="V42" s="272"/>
      <c r="W42" s="271">
        <f>SUM(K24:K26)</f>
        <v>0</v>
      </c>
      <c r="X42" s="268"/>
      <c r="Y42" s="143"/>
      <c r="Z42" s="143"/>
      <c r="AA42" s="143"/>
    </row>
    <row r="43" spans="2:39" x14ac:dyDescent="0.25">
      <c r="M43" s="197"/>
      <c r="N43" s="324" t="str">
        <f>'3'!C14</f>
        <v>Steinkohle</v>
      </c>
      <c r="O43" s="321"/>
      <c r="P43" s="538">
        <f>'4.2'!D14</f>
        <v>0</v>
      </c>
      <c r="Q43" s="540">
        <f t="shared" ref="Q43:Q57" si="16">SUMIF($D$9:$L$9,$N43,$D$16:$L$16)</f>
        <v>0</v>
      </c>
      <c r="S43" s="640"/>
      <c r="T43" s="641"/>
      <c r="U43" s="643"/>
      <c r="V43" s="273"/>
      <c r="W43" s="285">
        <f>K17</f>
        <v>0</v>
      </c>
      <c r="X43" s="143"/>
      <c r="Y43" s="143"/>
      <c r="Z43" s="143"/>
      <c r="AA43" s="143"/>
    </row>
    <row r="44" spans="2:39" x14ac:dyDescent="0.25">
      <c r="M44" s="197"/>
      <c r="N44" s="324" t="str">
        <f>'3'!C15</f>
        <v>Braunkohle</v>
      </c>
      <c r="O44" s="321"/>
      <c r="P44" s="538">
        <f>'4.2'!D15</f>
        <v>0</v>
      </c>
      <c r="Q44" s="540">
        <f t="shared" si="16"/>
        <v>0</v>
      </c>
      <c r="S44" s="640"/>
      <c r="T44" s="641"/>
      <c r="U44" s="643"/>
      <c r="V44" s="273"/>
      <c r="W44" s="638">
        <f>U42-W42-W43</f>
        <v>0</v>
      </c>
      <c r="X44" s="277"/>
      <c r="Y44" s="275">
        <f>K27</f>
        <v>0</v>
      </c>
      <c r="Z44" s="277"/>
      <c r="AA44" s="143"/>
    </row>
    <row r="45" spans="2:39" x14ac:dyDescent="0.25">
      <c r="M45" s="197"/>
      <c r="N45" s="324" t="str">
        <f>'3'!C16</f>
        <v>Naturbelassenes Holz, Restholz</v>
      </c>
      <c r="O45" s="321"/>
      <c r="P45" s="538">
        <f>'4.2'!D16</f>
        <v>0</v>
      </c>
      <c r="Q45" s="540">
        <f t="shared" si="16"/>
        <v>0</v>
      </c>
      <c r="S45" s="640"/>
      <c r="T45" s="641"/>
      <c r="U45" s="644"/>
      <c r="V45" s="274"/>
      <c r="W45" s="638"/>
      <c r="X45" s="278"/>
      <c r="Y45" s="276">
        <f>W44-Y44</f>
        <v>0</v>
      </c>
      <c r="Z45" s="279"/>
      <c r="AA45" s="286">
        <f>Y45</f>
        <v>0</v>
      </c>
    </row>
    <row r="46" spans="2:39" x14ac:dyDescent="0.25">
      <c r="L46" s="349"/>
      <c r="M46" s="605"/>
      <c r="N46" s="324" t="str">
        <f>'3'!C17</f>
        <v>Altholz und Holzabfälle</v>
      </c>
      <c r="O46" s="321"/>
      <c r="P46" s="538">
        <f>'4.2'!D17</f>
        <v>0</v>
      </c>
      <c r="Q46" s="540">
        <f t="shared" si="16"/>
        <v>0</v>
      </c>
      <c r="S46" s="281"/>
      <c r="T46" s="282"/>
    </row>
    <row r="47" spans="2:39" x14ac:dyDescent="0.25">
      <c r="L47" s="349"/>
      <c r="M47" s="605"/>
      <c r="N47" s="324" t="str">
        <f>'3'!C18</f>
        <v>Koks</v>
      </c>
      <c r="O47" s="321"/>
      <c r="P47" s="538">
        <f>'4.2'!D18</f>
        <v>0</v>
      </c>
      <c r="Q47" s="540">
        <f t="shared" si="16"/>
        <v>0</v>
      </c>
      <c r="S47" s="270"/>
      <c r="T47" s="282"/>
      <c r="U47" s="270"/>
      <c r="W47" s="270"/>
      <c r="Y47" s="270"/>
      <c r="AA47" s="270"/>
    </row>
    <row r="48" spans="2:39" x14ac:dyDescent="0.25">
      <c r="L48" s="349"/>
      <c r="M48" s="605"/>
      <c r="N48" s="324" t="str">
        <f>'3'!C19</f>
        <v>Petrolkoks</v>
      </c>
      <c r="O48" s="321"/>
      <c r="P48" s="538">
        <f>'4.2'!D19</f>
        <v>0</v>
      </c>
      <c r="Q48" s="540">
        <f t="shared" si="16"/>
        <v>0</v>
      </c>
      <c r="S48" s="640">
        <v>8</v>
      </c>
      <c r="T48" s="641" t="str">
        <f>L9</f>
        <v>Erdgas</v>
      </c>
      <c r="U48" s="642">
        <f>L16</f>
        <v>0</v>
      </c>
      <c r="V48" s="272"/>
      <c r="W48" s="271">
        <f>SUM(L24:L26)</f>
        <v>0</v>
      </c>
      <c r="X48" s="268"/>
      <c r="Y48" s="143"/>
      <c r="Z48" s="143"/>
      <c r="AA48" s="143"/>
    </row>
    <row r="49" spans="4:28" x14ac:dyDescent="0.25">
      <c r="L49" s="349"/>
      <c r="M49" s="605"/>
      <c r="N49" s="324" t="str">
        <f>'3'!C20</f>
        <v>Acetylen</v>
      </c>
      <c r="O49" s="321"/>
      <c r="P49" s="538">
        <f>'4.2'!D20</f>
        <v>0</v>
      </c>
      <c r="Q49" s="540">
        <f t="shared" si="16"/>
        <v>0</v>
      </c>
      <c r="S49" s="640"/>
      <c r="T49" s="641"/>
      <c r="U49" s="643"/>
      <c r="V49" s="273"/>
      <c r="W49" s="285">
        <f>L17</f>
        <v>0</v>
      </c>
      <c r="X49" s="143"/>
      <c r="Y49" s="143"/>
      <c r="Z49" s="143"/>
      <c r="AA49" s="143"/>
    </row>
    <row r="50" spans="4:28" x14ac:dyDescent="0.25">
      <c r="L50" s="349"/>
      <c r="M50" s="349"/>
      <c r="N50" s="324" t="str">
        <f>'3'!C21</f>
        <v>Altöl (fossiler Anteil 100 %)</v>
      </c>
      <c r="O50" s="321"/>
      <c r="P50" s="538">
        <f>'4.2'!D21</f>
        <v>0</v>
      </c>
      <c r="Q50" s="540">
        <f t="shared" si="16"/>
        <v>0</v>
      </c>
      <c r="S50" s="640"/>
      <c r="T50" s="641"/>
      <c r="U50" s="643"/>
      <c r="V50" s="273"/>
      <c r="W50" s="638">
        <f>U48-W48-W49</f>
        <v>0</v>
      </c>
      <c r="X50" s="277"/>
      <c r="Y50" s="275">
        <f>L27</f>
        <v>0</v>
      </c>
      <c r="Z50" s="277"/>
      <c r="AA50" s="143"/>
    </row>
    <row r="51" spans="4:28" x14ac:dyDescent="0.25">
      <c r="L51" s="349"/>
      <c r="M51" s="349"/>
      <c r="N51" s="324" t="str">
        <f>'3'!C22</f>
        <v>Altpneu (fossiler Anteil 73 %)</v>
      </c>
      <c r="O51" s="321"/>
      <c r="P51" s="538">
        <f>'4.2'!D22</f>
        <v>0</v>
      </c>
      <c r="Q51" s="540">
        <f t="shared" si="16"/>
        <v>0</v>
      </c>
      <c r="S51" s="640"/>
      <c r="T51" s="641"/>
      <c r="U51" s="644"/>
      <c r="V51" s="274"/>
      <c r="W51" s="638"/>
      <c r="X51" s="278"/>
      <c r="Y51" s="276">
        <f>W50-Y50</f>
        <v>0</v>
      </c>
      <c r="Z51" s="279"/>
      <c r="AA51" s="286">
        <f>Y51</f>
        <v>0</v>
      </c>
    </row>
    <row r="52" spans="4:28" x14ac:dyDescent="0.25">
      <c r="L52" s="349"/>
      <c r="M52" s="349"/>
      <c r="N52" s="324" t="str">
        <f>'3'!C23</f>
        <v>Kunststoffe (fossiler Anteil 72 %)</v>
      </c>
      <c r="O52" s="321"/>
      <c r="P52" s="538">
        <f>'4.2'!D23</f>
        <v>0</v>
      </c>
      <c r="Q52" s="540">
        <f t="shared" si="16"/>
        <v>0</v>
      </c>
      <c r="S52" s="281"/>
      <c r="T52" s="282"/>
    </row>
    <row r="53" spans="4:28" x14ac:dyDescent="0.25">
      <c r="L53" s="349"/>
      <c r="M53" s="349"/>
      <c r="N53" s="324" t="str">
        <f>'3'!C24</f>
        <v>Lösungsmittel (fossiler Anteil 99 %)</v>
      </c>
      <c r="O53" s="321"/>
      <c r="P53" s="538">
        <f>'4.2'!D24</f>
        <v>0</v>
      </c>
      <c r="Q53" s="540">
        <f t="shared" si="16"/>
        <v>0</v>
      </c>
      <c r="S53" s="270"/>
      <c r="T53" s="282"/>
      <c r="U53" s="270"/>
      <c r="W53" s="270"/>
      <c r="Y53" s="270"/>
      <c r="AA53" s="270"/>
    </row>
    <row r="54" spans="4:28" x14ac:dyDescent="0.25">
      <c r="L54" s="349"/>
      <c r="M54" s="349"/>
      <c r="N54" s="324" t="str">
        <f>'3'!C25</f>
        <v>Imprägniertes Sägemehl (fossiler Anteil 22 %)</v>
      </c>
      <c r="O54" s="321"/>
      <c r="P54" s="538">
        <f>'4.2'!D25</f>
        <v>0</v>
      </c>
      <c r="Q54" s="540">
        <f t="shared" si="16"/>
        <v>0</v>
      </c>
      <c r="S54" s="100"/>
      <c r="T54" s="100"/>
      <c r="U54" s="100"/>
      <c r="V54" s="100"/>
      <c r="W54" s="100"/>
      <c r="X54" s="100"/>
      <c r="Y54" s="100"/>
      <c r="Z54" s="100"/>
      <c r="AA54" s="100"/>
      <c r="AB54" s="100"/>
    </row>
    <row r="55" spans="4:28" x14ac:dyDescent="0.25">
      <c r="L55" s="349"/>
      <c r="M55" s="349"/>
      <c r="N55" s="324" t="str">
        <f>'3'!C26</f>
        <v>Benutzerdefiniert 1</v>
      </c>
      <c r="O55" s="321"/>
      <c r="P55" s="538">
        <f>'4.2'!D26</f>
        <v>0</v>
      </c>
      <c r="Q55" s="540">
        <f t="shared" si="16"/>
        <v>0</v>
      </c>
      <c r="R55" s="100"/>
      <c r="T55" s="100"/>
      <c r="U55" s="100"/>
      <c r="V55" s="100"/>
      <c r="W55" s="100"/>
      <c r="X55" s="100"/>
      <c r="Y55" s="100"/>
      <c r="Z55" s="100"/>
      <c r="AA55" s="100"/>
      <c r="AB55" s="100"/>
    </row>
    <row r="56" spans="4:28" x14ac:dyDescent="0.25">
      <c r="L56" s="349"/>
      <c r="M56" s="349"/>
      <c r="N56" s="324" t="str">
        <f>'3'!C27</f>
        <v>Benutzerdefiniert 2</v>
      </c>
      <c r="O56" s="321"/>
      <c r="P56" s="538">
        <f>'4.2'!D27</f>
        <v>0</v>
      </c>
      <c r="Q56" s="540">
        <f t="shared" si="16"/>
        <v>0</v>
      </c>
      <c r="T56" s="100"/>
      <c r="U56" s="100"/>
      <c r="V56" s="100"/>
      <c r="W56" s="100"/>
      <c r="X56" s="100"/>
      <c r="Y56" s="100"/>
      <c r="Z56" s="100"/>
      <c r="AA56" s="100"/>
      <c r="AB56" s="100"/>
    </row>
    <row r="57" spans="4:28" ht="13.8" thickBot="1" x14ac:dyDescent="0.3">
      <c r="L57" s="349"/>
      <c r="M57" s="349"/>
      <c r="N57" s="325" t="str">
        <f>'3'!C28</f>
        <v>Benutzerdefiniert 3</v>
      </c>
      <c r="O57" s="322"/>
      <c r="P57" s="539">
        <f>'4.2'!D28</f>
        <v>0</v>
      </c>
      <c r="Q57" s="541">
        <f t="shared" si="16"/>
        <v>0</v>
      </c>
      <c r="T57" s="100"/>
      <c r="U57" s="100"/>
      <c r="V57" s="100"/>
      <c r="W57" s="100"/>
      <c r="X57" s="100"/>
      <c r="Y57" s="100"/>
      <c r="Z57" s="100"/>
      <c r="AA57" s="100"/>
      <c r="AB57" s="100"/>
    </row>
    <row r="58" spans="4:28" x14ac:dyDescent="0.25">
      <c r="L58" s="349"/>
      <c r="M58" s="349"/>
      <c r="T58" s="206"/>
      <c r="AB58" s="65"/>
    </row>
    <row r="59" spans="4:28" x14ac:dyDescent="0.25">
      <c r="L59" s="349"/>
      <c r="M59" s="349"/>
      <c r="T59" s="206"/>
    </row>
    <row r="60" spans="4:28" x14ac:dyDescent="0.25">
      <c r="T60" s="206"/>
    </row>
    <row r="61" spans="4:28" x14ac:dyDescent="0.25">
      <c r="T61" s="206"/>
    </row>
    <row r="62" spans="4:28" x14ac:dyDescent="0.25">
      <c r="D62" s="14" t="str">
        <f>"Heizwärmebedarf " &amp;BefrJahr1</f>
        <v>Heizwärmebedarf 2012</v>
      </c>
      <c r="T62" s="206"/>
    </row>
    <row r="63" spans="4:28" x14ac:dyDescent="0.25">
      <c r="D63" s="14" t="str">
        <f>"Heizwärmebedarf " &amp;BefrJahr2</f>
        <v>Heizwärmebedarf 2013</v>
      </c>
      <c r="T63" s="206"/>
    </row>
    <row r="93" spans="2:3" x14ac:dyDescent="0.25">
      <c r="B93" s="14">
        <f>BefrJahr1</f>
        <v>2012</v>
      </c>
    </row>
    <row r="94" spans="2:3" x14ac:dyDescent="0.25">
      <c r="B94" s="14">
        <f>BefrJahr2</f>
        <v>2013</v>
      </c>
    </row>
    <row r="96" spans="2:3" x14ac:dyDescent="0.25">
      <c r="B96" s="269"/>
      <c r="C96" s="268"/>
    </row>
    <row r="97" spans="2:3" x14ac:dyDescent="0.25">
      <c r="B97" s="269"/>
      <c r="C97" s="268"/>
    </row>
    <row r="98" spans="2:3" x14ac:dyDescent="0.25">
      <c r="B98" s="269"/>
      <c r="C98" s="268"/>
    </row>
    <row r="99" spans="2:3" x14ac:dyDescent="0.25">
      <c r="B99" s="269"/>
    </row>
  </sheetData>
  <sheetProtection selectLockedCells="1"/>
  <mergeCells count="32">
    <mergeCell ref="S48:S51"/>
    <mergeCell ref="T48:T51"/>
    <mergeCell ref="U48:U51"/>
    <mergeCell ref="W50:W51"/>
    <mergeCell ref="S42:S45"/>
    <mergeCell ref="T42:T45"/>
    <mergeCell ref="U42:U45"/>
    <mergeCell ref="W44:W45"/>
    <mergeCell ref="S30:S33"/>
    <mergeCell ref="T30:T33"/>
    <mergeCell ref="U30:U33"/>
    <mergeCell ref="W32:W33"/>
    <mergeCell ref="S36:S39"/>
    <mergeCell ref="T36:T39"/>
    <mergeCell ref="U36:U39"/>
    <mergeCell ref="W38:W39"/>
    <mergeCell ref="S18:S21"/>
    <mergeCell ref="T18:T21"/>
    <mergeCell ref="U18:U21"/>
    <mergeCell ref="W20:W21"/>
    <mergeCell ref="S24:S27"/>
    <mergeCell ref="T24:T27"/>
    <mergeCell ref="U24:U27"/>
    <mergeCell ref="W26:W27"/>
    <mergeCell ref="W8:W9"/>
    <mergeCell ref="T6:T9"/>
    <mergeCell ref="S6:S9"/>
    <mergeCell ref="S12:S15"/>
    <mergeCell ref="T12:T15"/>
    <mergeCell ref="U12:U15"/>
    <mergeCell ref="W14:W15"/>
    <mergeCell ref="U6:U9"/>
  </mergeCells>
  <dataValidations count="4">
    <dataValidation type="list" allowBlank="1" showInputMessage="1" showErrorMessage="1" sqref="H34:K35 D30:L30 D34:F35">
      <formula1>janein</formula1>
    </dataValidation>
    <dataValidation type="list" allowBlank="1" showInputMessage="1" showErrorMessage="1" sqref="D10:G10 J10:L10">
      <formula1>Verteilmedium</formula1>
    </dataValidation>
    <dataValidation type="list" allowBlank="1" showInputMessage="1" showErrorMessage="1" sqref="D7:L7">
      <formula1>EErzeugung_th</formula1>
    </dataValidation>
    <dataValidation type="list" allowBlank="1" showInputMessage="1" showErrorMessage="1" sqref="D9:L9">
      <formula1>Energieträger</formula1>
    </dataValidation>
  </dataValidations>
  <pageMargins left="0.70866141732283472" right="0.70866141732283472" top="0.74803149606299213" bottom="0.74803149606299213" header="0.31496062992125984" footer="0.31496062992125984"/>
  <pageSetup paperSize="8" scale="67" fitToWidth="0" orientation="landscape" r:id="rId1"/>
  <headerFooter>
    <oddHeader>&amp;L&amp;G&amp;R5.2.1 Thermische Endenergieträger, interne Abfälle</oddHeader>
    <oddFooter>&amp;R&amp;P / &amp;N</oddFooter>
  </headerFooter>
  <colBreaks count="1" manualBreakCount="1">
    <brk id="18" max="1048575" man="1"/>
  </colBreaks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Formulare_zu_Ist-Zustand_und_Potentialanalyse_Mai2015"/>
    <f:field ref="objsubject" par="" edit="true" text=""/>
    <f:field ref="objcreatedby" par="" text="Cavigelli, Marc (BFE - cam)"/>
    <f:field ref="objcreatedat" par="" text="07.05.2015 16:01:58"/>
    <f:field ref="objchangedby" par="" text="Cavigelli, Marc (BFE - cam)"/>
    <f:field ref="objmodifiedat" par="" text="07.05.2015 16:02:00"/>
    <f:field ref="doc_FSCFOLIO_1_1001_FieldDocumentNumber" par="" text=""/>
    <f:field ref="doc_FSCFOLIO_1_1001_FieldSubject" par="" edit="true" text=""/>
    <f:field ref="FSCFOLIO_1_1001_FieldCurrentUser" par="" text="Beatrice Meier"/>
    <f:field ref="CCAPRECONFIG_15_1001_Objektname" par="" edit="true" text="Formulare_zu_Ist-Zustand_und_Potentialanalyse_Mai2015"/>
    <f:field ref="CHPRECONFIG_1_1001_Objektname" par="" edit="true" text="Formulare_zu_Ist-Zustand_und_Potentialanalyse_Mai2015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Versandart" par="" text="B-Post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en"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HPRECONFIG_1_1001_Anrede" text="Anrede"/>
    <f:field ref="CCAPRECONFIG_15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BAVCFG_15_1700_ForeignNumber" text="Fremdaktenzeichen"/>
    <f:field ref="CCAPRECONFIG_15_1001_Geschlecht" text="Geschlecht"/>
    <f:field ref="CCAPRECONFIG_15_1001_Geschlecht_Anrede" text="Geschlecht_Anrede"/>
    <f:field ref="CCAPRECONFIG_15_1001_Hausnummer" text="Hausnummer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Stiege" text="Stiege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HPRECONFIG_1_1001_Titel" text="Titel"/>
    <f:field ref="CCAPRECONFIG_15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42</vt:i4>
      </vt:variant>
    </vt:vector>
  </HeadingPairs>
  <TitlesOfParts>
    <vt:vector size="61" baseType="lpstr">
      <vt:lpstr>2.1</vt:lpstr>
      <vt:lpstr>2.3</vt:lpstr>
      <vt:lpstr>3</vt:lpstr>
      <vt:lpstr>4.1</vt:lpstr>
      <vt:lpstr>4.2</vt:lpstr>
      <vt:lpstr>4.3</vt:lpstr>
      <vt:lpstr>4.4</vt:lpstr>
      <vt:lpstr>4.5</vt:lpstr>
      <vt:lpstr>5.2.1</vt:lpstr>
      <vt:lpstr>5.2.2</vt:lpstr>
      <vt:lpstr>5.3.1</vt:lpstr>
      <vt:lpstr>5.3.1_Heizung</vt:lpstr>
      <vt:lpstr>5.3.1_EL</vt:lpstr>
      <vt:lpstr>5.3.2</vt:lpstr>
      <vt:lpstr>5.4</vt:lpstr>
      <vt:lpstr>6.2</vt:lpstr>
      <vt:lpstr>Listen_Umrechnungen (hide)</vt:lpstr>
      <vt:lpstr>Farbgebung</vt:lpstr>
      <vt:lpstr>5.3.1_WT</vt:lpstr>
      <vt:lpstr>'3'!_ftn1</vt:lpstr>
      <vt:lpstr>'3'!_ftnref1</vt:lpstr>
      <vt:lpstr>Ausgangseinheit</vt:lpstr>
      <vt:lpstr>Befr_ab</vt:lpstr>
      <vt:lpstr>BefrJahr1</vt:lpstr>
      <vt:lpstr>BefrJahr2</vt:lpstr>
      <vt:lpstr>'2.3'!Druckbereich</vt:lpstr>
      <vt:lpstr>'3'!Druckbereich</vt:lpstr>
      <vt:lpstr>'4.1'!Druckbereich</vt:lpstr>
      <vt:lpstr>'4.2'!Druckbereich</vt:lpstr>
      <vt:lpstr>'5.2.1'!Druckbereich</vt:lpstr>
      <vt:lpstr>'5.2.2'!Druckbereich</vt:lpstr>
      <vt:lpstr>'5.3.1'!Druckbereich</vt:lpstr>
      <vt:lpstr>'5.3.1_EL'!Druckbereich</vt:lpstr>
      <vt:lpstr>'5.3.1_Heizung'!Druckbereich</vt:lpstr>
      <vt:lpstr>'5.3.1_WT'!Druckbereich</vt:lpstr>
      <vt:lpstr>'5.4'!Druckbereich</vt:lpstr>
      <vt:lpstr>Farbgebung!Druckbereich</vt:lpstr>
      <vt:lpstr>EErzeugung_th</vt:lpstr>
      <vt:lpstr>Effizienzklassen</vt:lpstr>
      <vt:lpstr>EinheitEinsparung</vt:lpstr>
      <vt:lpstr>endeinheit</vt:lpstr>
      <vt:lpstr>Energie_Export</vt:lpstr>
      <vt:lpstr>Energieträger</vt:lpstr>
      <vt:lpstr>EnergieträgerMatrix</vt:lpstr>
      <vt:lpstr>Erhebungsart</vt:lpstr>
      <vt:lpstr>Everbrauchsind_Titel1</vt:lpstr>
      <vt:lpstr>EVerbrauchsind1</vt:lpstr>
      <vt:lpstr>EVerbrauchsind2</vt:lpstr>
      <vt:lpstr>EVerbrauchsindikatoren</vt:lpstr>
      <vt:lpstr>Indikatortyp</vt:lpstr>
      <vt:lpstr>janein</vt:lpstr>
      <vt:lpstr>KostenanteilEnergie</vt:lpstr>
      <vt:lpstr>Kühlmedium</vt:lpstr>
      <vt:lpstr>Prio.Massnahmen</vt:lpstr>
      <vt:lpstr>Produktionsindex1</vt:lpstr>
      <vt:lpstr>Produktionsindex2</vt:lpstr>
      <vt:lpstr>Produktionsindikatoren</vt:lpstr>
      <vt:lpstr>Sonne_Wind_Wasser</vt:lpstr>
      <vt:lpstr>UmrechnungsMatrix</vt:lpstr>
      <vt:lpstr>Verteilmedium</vt:lpstr>
      <vt:lpstr>Verwendungszweck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2015-05-07T14:01:33Z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UVEKCFG@15.1700:Function" pid="2" fmtid="{D5CDD505-2E9C-101B-9397-08002B2CF9AE}">
    <vt:lpwstr/>
  </property>
  <property name="FSC#UVEKCFG@15.1700:FileRespOrg" pid="3" fmtid="{D5CDD505-2E9C-101B-9397-08002B2CF9AE}">
    <vt:lpwstr>Sektion Industrie und Dienstleistungen</vt:lpwstr>
  </property>
  <property name="FSC#UVEKCFG@15.1700:FileRespFunction" pid="4" fmtid="{D5CDD505-2E9C-101B-9397-08002B2CF9AE}">
    <vt:lpwstr/>
  </property>
  <property name="FSC#UVEKCFG@15.1700:AssignedClassification" pid="5" fmtid="{D5CDD505-2E9C-101B-9397-08002B2CF9AE}">
    <vt:lpwstr/>
  </property>
  <property name="FSC#UVEKCFG@15.1700:AssignedClassificationCode" pid="6" fmtid="{D5CDD505-2E9C-101B-9397-08002B2CF9AE}">
    <vt:lpwstr/>
  </property>
  <property name="FSC#UVEKCFG@15.1700:FileResponsible" pid="7" fmtid="{D5CDD505-2E9C-101B-9397-08002B2CF9AE}">
    <vt:lpwstr/>
  </property>
  <property name="FSC#UVEKCFG@15.1700:FileResponsibleTel" pid="8" fmtid="{D5CDD505-2E9C-101B-9397-08002B2CF9AE}">
    <vt:lpwstr/>
  </property>
  <property name="FSC#UVEKCFG@15.1700:FileResponsibleEmail" pid="9" fmtid="{D5CDD505-2E9C-101B-9397-08002B2CF9AE}">
    <vt:lpwstr/>
  </property>
  <property name="FSC#UVEKCFG@15.1700:FileResponsibleFax" pid="10" fmtid="{D5CDD505-2E9C-101B-9397-08002B2CF9AE}">
    <vt:lpwstr/>
  </property>
  <property name="FSC#UVEKCFG@15.1700:FileResponsibleAddress" pid="11" fmtid="{D5CDD505-2E9C-101B-9397-08002B2CF9AE}">
    <vt:lpwstr/>
  </property>
  <property name="FSC#UVEKCFG@15.1700:FileResponsibleStreet" pid="12" fmtid="{D5CDD505-2E9C-101B-9397-08002B2CF9AE}">
    <vt:lpwstr/>
  </property>
  <property name="FSC#UVEKCFG@15.1700:FileResponsiblezipcode" pid="13" fmtid="{D5CDD505-2E9C-101B-9397-08002B2CF9AE}">
    <vt:lpwstr/>
  </property>
  <property name="FSC#UVEKCFG@15.1700:FileResponsiblecity" pid="14" fmtid="{D5CDD505-2E9C-101B-9397-08002B2CF9AE}">
    <vt:lpwstr/>
  </property>
  <property name="FSC#UVEKCFG@15.1700:FileResponsibleAbbreviation" pid="15" fmtid="{D5CDD505-2E9C-101B-9397-08002B2CF9AE}">
    <vt:lpwstr/>
  </property>
  <property name="FSC#UVEKCFG@15.1700:FileRespOrgHome" pid="16" fmtid="{D5CDD505-2E9C-101B-9397-08002B2CF9AE}">
    <vt:lpwstr>Mühlestrasse 4, 3003 Bern</vt:lpwstr>
  </property>
  <property name="FSC#UVEKCFG@15.1700:CurrUserAbbreviation" pid="17" fmtid="{D5CDD505-2E9C-101B-9397-08002B2CF9AE}">
    <vt:lpwstr>meb</vt:lpwstr>
  </property>
  <property name="FSC#UVEKCFG@15.1700:CategoryReference" pid="18" fmtid="{D5CDD505-2E9C-101B-9397-08002B2CF9AE}">
    <vt:lpwstr>441.4</vt:lpwstr>
  </property>
  <property name="FSC#UVEKCFG@15.1700:cooAddress" pid="19" fmtid="{D5CDD505-2E9C-101B-9397-08002B2CF9AE}">
    <vt:lpwstr>COO.2207.110.4.878754</vt:lpwstr>
  </property>
  <property name="FSC#UVEKCFG@15.1700:sleeveFileReference" pid="20" fmtid="{D5CDD505-2E9C-101B-9397-08002B2CF9AE}">
    <vt:lpwstr/>
  </property>
  <property name="FSC#UVEKCFG@15.1700:BureauName" pid="21" fmtid="{D5CDD505-2E9C-101B-9397-08002B2CF9AE}">
    <vt:lpwstr/>
  </property>
  <property name="FSC#UVEKCFG@15.1700:BureauShortName" pid="22" fmtid="{D5CDD505-2E9C-101B-9397-08002B2CF9AE}">
    <vt:lpwstr>BFE</vt:lpwstr>
  </property>
  <property name="FSC#UVEKCFG@15.1700:BureauWebsite" pid="23" fmtid="{D5CDD505-2E9C-101B-9397-08002B2CF9AE}">
    <vt:lpwstr/>
  </property>
  <property name="FSC#COOELAK@1.1001:Subject" pid="24" fmtid="{D5CDD505-2E9C-101B-9397-08002B2CF9AE}">
    <vt:lpwstr/>
  </property>
  <property name="FSC#COOELAK@1.1001:FileReference" pid="25" fmtid="{D5CDD505-2E9C-101B-9397-08002B2CF9AE}">
    <vt:lpwstr>441.4-00001</vt:lpwstr>
  </property>
  <property name="FSC#COOELAK@1.1001:FileRefYear" pid="26" fmtid="{D5CDD505-2E9C-101B-9397-08002B2CF9AE}">
    <vt:lpwstr>2013</vt:lpwstr>
  </property>
  <property name="FSC#COOELAK@1.1001:FileRefOrdinal" pid="27" fmtid="{D5CDD505-2E9C-101B-9397-08002B2CF9AE}">
    <vt:lpwstr>1</vt:lpwstr>
  </property>
  <property name="FSC#COOELAK@1.1001:FileRefOU" pid="28" fmtid="{D5CDD505-2E9C-101B-9397-08002B2CF9AE}">
    <vt:lpwstr>ID</vt:lpwstr>
  </property>
  <property name="FSC#COOELAK@1.1001:Organization" pid="29" fmtid="{D5CDD505-2E9C-101B-9397-08002B2CF9AE}">
    <vt:lpwstr/>
  </property>
  <property name="FSC#COOELAK@1.1001:Owner" pid="30" fmtid="{D5CDD505-2E9C-101B-9397-08002B2CF9AE}">
    <vt:lpwstr>Cavigelli Marc</vt:lpwstr>
  </property>
  <property name="FSC#COOELAK@1.1001:OwnerExtension" pid="31" fmtid="{D5CDD505-2E9C-101B-9397-08002B2CF9AE}">
    <vt:lpwstr>+41 58 465 47 12</vt:lpwstr>
  </property>
  <property name="FSC#COOELAK@1.1001:OwnerFaxExtension" pid="32" fmtid="{D5CDD505-2E9C-101B-9397-08002B2CF9AE}">
    <vt:lpwstr>+41 58 463 25 00</vt:lpwstr>
  </property>
  <property name="FSC#COOELAK@1.1001:DispatchedBy" pid="33" fmtid="{D5CDD505-2E9C-101B-9397-08002B2CF9AE}">
    <vt:lpwstr/>
  </property>
  <property name="FSC#COOELAK@1.1001:DispatchedAt" pid="34" fmtid="{D5CDD505-2E9C-101B-9397-08002B2CF9AE}">
    <vt:lpwstr/>
  </property>
  <property name="FSC#COOELAK@1.1001:ApprovedBy" pid="35" fmtid="{D5CDD505-2E9C-101B-9397-08002B2CF9AE}">
    <vt:lpwstr/>
  </property>
  <property name="FSC#COOELAK@1.1001:ApprovedAt" pid="36" fmtid="{D5CDD505-2E9C-101B-9397-08002B2CF9AE}">
    <vt:lpwstr/>
  </property>
  <property name="FSC#COOELAK@1.1001:Department" pid="37" fmtid="{D5CDD505-2E9C-101B-9397-08002B2CF9AE}">
    <vt:lpwstr>Sektion Industrie und Dienstleistungen (BFE)</vt:lpwstr>
  </property>
  <property name="FSC#COOELAK@1.1001:CreatedAt" pid="38" fmtid="{D5CDD505-2E9C-101B-9397-08002B2CF9AE}">
    <vt:lpwstr>07.05.2015</vt:lpwstr>
  </property>
  <property name="FSC#COOELAK@1.1001:OU" pid="39" fmtid="{D5CDD505-2E9C-101B-9397-08002B2CF9AE}">
    <vt:lpwstr>Sektion Industrie und Dienstleistungen (BFE)</vt:lpwstr>
  </property>
  <property name="FSC#COOELAK@1.1001:Priority" pid="40" fmtid="{D5CDD505-2E9C-101B-9397-08002B2CF9AE}">
    <vt:lpwstr> ()</vt:lpwstr>
  </property>
  <property name="FSC#COOELAK@1.1001:ObjBarCode" pid="41" fmtid="{D5CDD505-2E9C-101B-9397-08002B2CF9AE}">
    <vt:lpwstr>*COO.2207.110.4.878754*</vt:lpwstr>
  </property>
  <property name="FSC#COOELAK@1.1001:RefBarCode" pid="42" fmtid="{D5CDD505-2E9C-101B-9397-08002B2CF9AE}">
    <vt:lpwstr>*COO.2207.110.3.878754*</vt:lpwstr>
  </property>
  <property name="FSC#COOELAK@1.1001:FileRefBarCode" pid="43" fmtid="{D5CDD505-2E9C-101B-9397-08002B2CF9AE}">
    <vt:lpwstr>*441.4-00001*</vt:lpwstr>
  </property>
  <property name="FSC#COOELAK@1.1001:ExternalRef" pid="44" fmtid="{D5CDD505-2E9C-101B-9397-08002B2CF9AE}">
    <vt:lpwstr/>
  </property>
  <property name="FSC#COOELAK@1.1001:IncomingNumber" pid="45" fmtid="{D5CDD505-2E9C-101B-9397-08002B2CF9AE}">
    <vt:lpwstr/>
  </property>
  <property name="FSC#COOELAK@1.1001:IncomingSubject" pid="46" fmtid="{D5CDD505-2E9C-101B-9397-08002B2CF9AE}">
    <vt:lpwstr/>
  </property>
  <property name="FSC#COOELAK@1.1001:ProcessResponsible" pid="47" fmtid="{D5CDD505-2E9C-101B-9397-08002B2CF9AE}">
    <vt:lpwstr/>
  </property>
  <property name="FSC#COOELAK@1.1001:ProcessResponsiblePhone" pid="48" fmtid="{D5CDD505-2E9C-101B-9397-08002B2CF9AE}">
    <vt:lpwstr/>
  </property>
  <property name="FSC#COOELAK@1.1001:ProcessResponsibleMail" pid="49" fmtid="{D5CDD505-2E9C-101B-9397-08002B2CF9AE}">
    <vt:lpwstr/>
  </property>
  <property name="FSC#COOELAK@1.1001:ProcessResponsibleFax" pid="50" fmtid="{D5CDD505-2E9C-101B-9397-08002B2CF9AE}">
    <vt:lpwstr/>
  </property>
  <property name="FSC#COOELAK@1.1001:ApproverFirstName" pid="51" fmtid="{D5CDD505-2E9C-101B-9397-08002B2CF9AE}">
    <vt:lpwstr/>
  </property>
  <property name="FSC#COOELAK@1.1001:ApproverSurName" pid="52" fmtid="{D5CDD505-2E9C-101B-9397-08002B2CF9AE}">
    <vt:lpwstr/>
  </property>
  <property name="FSC#COOELAK@1.1001:ApproverTitle" pid="53" fmtid="{D5CDD505-2E9C-101B-9397-08002B2CF9AE}">
    <vt:lpwstr/>
  </property>
  <property name="FSC#COOELAK@1.1001:ExternalDate" pid="54" fmtid="{D5CDD505-2E9C-101B-9397-08002B2CF9AE}">
    <vt:lpwstr/>
  </property>
  <property name="FSC#COOELAK@1.1001:SettlementApprovedAt" pid="55" fmtid="{D5CDD505-2E9C-101B-9397-08002B2CF9AE}">
    <vt:lpwstr/>
  </property>
  <property name="FSC#COOELAK@1.1001:BaseNumber" pid="56" fmtid="{D5CDD505-2E9C-101B-9397-08002B2CF9AE}">
    <vt:lpwstr>441.4</vt:lpwstr>
  </property>
  <property name="FSC#COOELAK@1.1001:CurrentUserRolePos" pid="57" fmtid="{D5CDD505-2E9C-101B-9397-08002B2CF9AE}">
    <vt:lpwstr>Sachbearbeiter/-in</vt:lpwstr>
  </property>
  <property name="FSC#COOELAK@1.1001:CurrentUserEmail" pid="58" fmtid="{D5CDD505-2E9C-101B-9397-08002B2CF9AE}">
    <vt:lpwstr>beatrice.meier@bfe.admin.ch</vt:lpwstr>
  </property>
  <property name="FSC#ELAKGOV@1.1001:PersonalSubjGender" pid="59" fmtid="{D5CDD505-2E9C-101B-9397-08002B2CF9AE}">
    <vt:lpwstr/>
  </property>
  <property name="FSC#ELAKGOV@1.1001:PersonalSubjFirstName" pid="60" fmtid="{D5CDD505-2E9C-101B-9397-08002B2CF9AE}">
    <vt:lpwstr/>
  </property>
  <property name="FSC#ELAKGOV@1.1001:PersonalSubjSurName" pid="61" fmtid="{D5CDD505-2E9C-101B-9397-08002B2CF9AE}">
    <vt:lpwstr/>
  </property>
  <property name="FSC#ELAKGOV@1.1001:PersonalSubjSalutation" pid="62" fmtid="{D5CDD505-2E9C-101B-9397-08002B2CF9AE}">
    <vt:lpwstr/>
  </property>
  <property name="FSC#ELAKGOV@1.1001:PersonalSubjAddress" pid="63" fmtid="{D5CDD505-2E9C-101B-9397-08002B2CF9AE}">
    <vt:lpwstr/>
  </property>
  <property name="FSC#ATSTATECFG@1.1001:Office" pid="64" fmtid="{D5CDD505-2E9C-101B-9397-08002B2CF9AE}">
    <vt:lpwstr/>
  </property>
  <property name="FSC#ATSTATECFG@1.1001:Agent" pid="65" fmtid="{D5CDD505-2E9C-101B-9397-08002B2CF9AE}">
    <vt:lpwstr/>
  </property>
  <property name="FSC#ATSTATECFG@1.1001:AgentPhone" pid="66" fmtid="{D5CDD505-2E9C-101B-9397-08002B2CF9AE}">
    <vt:lpwstr/>
  </property>
  <property name="FSC#ATSTATECFG@1.1001:DepartmentFax" pid="67" fmtid="{D5CDD505-2E9C-101B-9397-08002B2CF9AE}">
    <vt:lpwstr/>
  </property>
  <property name="FSC#ATSTATECFG@1.1001:DepartmentEmail" pid="68" fmtid="{D5CDD505-2E9C-101B-9397-08002B2CF9AE}">
    <vt:lpwstr/>
  </property>
  <property name="FSC#ATSTATECFG@1.1001:SubfileDate" pid="69" fmtid="{D5CDD505-2E9C-101B-9397-08002B2CF9AE}">
    <vt:lpwstr/>
  </property>
  <property name="FSC#ATSTATECFG@1.1001:SubfileSubject" pid="70" fmtid="{D5CDD505-2E9C-101B-9397-08002B2CF9AE}">
    <vt:lpwstr>Formulare_x005f_zu_x005f_Ist-Zustand_x005f_und_x005f_Potentialanalyse_x005f_Mai2015_x000d__x000a_</vt:lpwstr>
  </property>
  <property name="FSC#ATSTATECFG@1.1001:DepartmentZipCode" pid="71" fmtid="{D5CDD505-2E9C-101B-9397-08002B2CF9AE}">
    <vt:lpwstr>3003</vt:lpwstr>
  </property>
  <property name="FSC#ATSTATECFG@1.1001:DepartmentCountry" pid="72" fmtid="{D5CDD505-2E9C-101B-9397-08002B2CF9AE}">
    <vt:lpwstr/>
  </property>
  <property name="FSC#ATSTATECFG@1.1001:DepartmentCity" pid="73" fmtid="{D5CDD505-2E9C-101B-9397-08002B2CF9AE}">
    <vt:lpwstr>Bern</vt:lpwstr>
  </property>
  <property name="FSC#ATSTATECFG@1.1001:DepartmentStreet" pid="74" fmtid="{D5CDD505-2E9C-101B-9397-08002B2CF9AE}">
    <vt:lpwstr>Mühlestrasse 4</vt:lpwstr>
  </property>
  <property name="FSC#ATSTATECFG@1.1001:DepartmentDVR" pid="75" fmtid="{D5CDD505-2E9C-101B-9397-08002B2CF9AE}">
    <vt:lpwstr/>
  </property>
  <property name="FSC#ATSTATECFG@1.1001:DepartmentUID" pid="76" fmtid="{D5CDD505-2E9C-101B-9397-08002B2CF9AE}">
    <vt:lpwstr/>
  </property>
  <property name="FSC#ATSTATECFG@1.1001:SubfileReference" pid="77" fmtid="{D5CDD505-2E9C-101B-9397-08002B2CF9AE}">
    <vt:lpwstr>441.4-00001/00001/00004</vt:lpwstr>
  </property>
  <property name="FSC#ATSTATECFG@1.1001:Clause" pid="78" fmtid="{D5CDD505-2E9C-101B-9397-08002B2CF9AE}">
    <vt:lpwstr/>
  </property>
  <property name="FSC#ATSTATECFG@1.1001:ApprovedSignature" pid="79" fmtid="{D5CDD505-2E9C-101B-9397-08002B2CF9AE}">
    <vt:lpwstr/>
  </property>
  <property name="FSC#ATSTATECFG@1.1001:BankAccount" pid="80" fmtid="{D5CDD505-2E9C-101B-9397-08002B2CF9AE}">
    <vt:lpwstr/>
  </property>
  <property name="FSC#ATSTATECFG@1.1001:BankAccountOwner" pid="81" fmtid="{D5CDD505-2E9C-101B-9397-08002B2CF9AE}">
    <vt:lpwstr/>
  </property>
  <property name="FSC#ATSTATECFG@1.1001:BankInstitute" pid="82" fmtid="{D5CDD505-2E9C-101B-9397-08002B2CF9AE}">
    <vt:lpwstr/>
  </property>
  <property name="FSC#ATSTATECFG@1.1001:BankAccountID" pid="83" fmtid="{D5CDD505-2E9C-101B-9397-08002B2CF9AE}">
    <vt:lpwstr/>
  </property>
  <property name="FSC#ATSTATECFG@1.1001:BankAccountIBAN" pid="84" fmtid="{D5CDD505-2E9C-101B-9397-08002B2CF9AE}">
    <vt:lpwstr/>
  </property>
  <property name="FSC#ATSTATECFG@1.1001:BankAccountBIC" pid="85" fmtid="{D5CDD505-2E9C-101B-9397-08002B2CF9AE}">
    <vt:lpwstr/>
  </property>
  <property name="FSC#ATSTATECFG@1.1001:BankName" pid="86" fmtid="{D5CDD505-2E9C-101B-9397-08002B2CF9AE}">
    <vt:lpwstr/>
  </property>
  <property name="FSC#CCAPRECONFIG@15.1001:AddrAnrede" pid="87" fmtid="{D5CDD505-2E9C-101B-9397-08002B2CF9AE}">
    <vt:lpwstr/>
  </property>
  <property name="FSC#CCAPRECONFIG@15.1001:AddrTitel" pid="88" fmtid="{D5CDD505-2E9C-101B-9397-08002B2CF9AE}">
    <vt:lpwstr/>
  </property>
  <property name="FSC#CCAPRECONFIG@15.1001:AddrNachgestellter_Titel" pid="89" fmtid="{D5CDD505-2E9C-101B-9397-08002B2CF9AE}">
    <vt:lpwstr/>
  </property>
  <property name="FSC#CCAPRECONFIG@15.1001:AddrVorname" pid="90" fmtid="{D5CDD505-2E9C-101B-9397-08002B2CF9AE}">
    <vt:lpwstr/>
  </property>
  <property name="FSC#CCAPRECONFIG@15.1001:AddrNachname" pid="91" fmtid="{D5CDD505-2E9C-101B-9397-08002B2CF9AE}">
    <vt:lpwstr/>
  </property>
  <property name="FSC#CCAPRECONFIG@15.1001:AddrzH" pid="92" fmtid="{D5CDD505-2E9C-101B-9397-08002B2CF9AE}">
    <vt:lpwstr/>
  </property>
  <property name="FSC#CCAPRECONFIG@15.1001:AddrGeschlecht" pid="93" fmtid="{D5CDD505-2E9C-101B-9397-08002B2CF9AE}">
    <vt:lpwstr/>
  </property>
  <property name="FSC#CCAPRECONFIG@15.1001:AddrStrasse" pid="94" fmtid="{D5CDD505-2E9C-101B-9397-08002B2CF9AE}">
    <vt:lpwstr/>
  </property>
  <property name="FSC#CCAPRECONFIG@15.1001:AddrHausnummer" pid="95" fmtid="{D5CDD505-2E9C-101B-9397-08002B2CF9AE}">
    <vt:lpwstr/>
  </property>
  <property name="FSC#CCAPRECONFIG@15.1001:AddrStiege" pid="96" fmtid="{D5CDD505-2E9C-101B-9397-08002B2CF9AE}">
    <vt:lpwstr/>
  </property>
  <property name="FSC#CCAPRECONFIG@15.1001:AddrTuer" pid="97" fmtid="{D5CDD505-2E9C-101B-9397-08002B2CF9AE}">
    <vt:lpwstr/>
  </property>
  <property name="FSC#CCAPRECONFIG@15.1001:AddrPostfach" pid="98" fmtid="{D5CDD505-2E9C-101B-9397-08002B2CF9AE}">
    <vt:lpwstr/>
  </property>
  <property name="FSC#CCAPRECONFIG@15.1001:AddrPostleitzahl" pid="99" fmtid="{D5CDD505-2E9C-101B-9397-08002B2CF9AE}">
    <vt:lpwstr/>
  </property>
  <property name="FSC#CCAPRECONFIG@15.1001:AddrOrt" pid="100" fmtid="{D5CDD505-2E9C-101B-9397-08002B2CF9AE}">
    <vt:lpwstr/>
  </property>
  <property name="FSC#CCAPRECONFIG@15.1001:AddrLand" pid="101" fmtid="{D5CDD505-2E9C-101B-9397-08002B2CF9AE}">
    <vt:lpwstr/>
  </property>
  <property name="FSC#CCAPRECONFIG@15.1001:AddrEmail" pid="102" fmtid="{D5CDD505-2E9C-101B-9397-08002B2CF9AE}">
    <vt:lpwstr/>
  </property>
  <property name="FSC#CCAPRECONFIG@15.1001:AddrAdresse" pid="103" fmtid="{D5CDD505-2E9C-101B-9397-08002B2CF9AE}">
    <vt:lpwstr/>
  </property>
  <property name="FSC#CCAPRECONFIG@15.1001:AddrFax" pid="104" fmtid="{D5CDD505-2E9C-101B-9397-08002B2CF9AE}">
    <vt:lpwstr/>
  </property>
  <property name="FSC#CCAPRECONFIG@15.1001:AddrOrganisationsname" pid="105" fmtid="{D5CDD505-2E9C-101B-9397-08002B2CF9AE}">
    <vt:lpwstr/>
  </property>
  <property name="FSC#CCAPRECONFIG@15.1001:AddrOrganisationskurzname" pid="106" fmtid="{D5CDD505-2E9C-101B-9397-08002B2CF9AE}">
    <vt:lpwstr/>
  </property>
  <property name="FSC#CCAPRECONFIG@15.1001:AddrAbschriftsbemerkung" pid="107" fmtid="{D5CDD505-2E9C-101B-9397-08002B2CF9AE}">
    <vt:lpwstr/>
  </property>
  <property name="FSC#CCAPRECONFIG@15.1001:AddrName_Zeile_2" pid="108" fmtid="{D5CDD505-2E9C-101B-9397-08002B2CF9AE}">
    <vt:lpwstr/>
  </property>
  <property name="FSC#CCAPRECONFIG@15.1001:AddrName_Zeile_3" pid="109" fmtid="{D5CDD505-2E9C-101B-9397-08002B2CF9AE}">
    <vt:lpwstr/>
  </property>
  <property name="FSC#CCAPRECONFIG@15.1001:AddrPostalischeAdresse" pid="110" fmtid="{D5CDD505-2E9C-101B-9397-08002B2CF9AE}">
    <vt:lpwstr/>
  </property>
  <property name="FSC#COOSYSTEM@1.1:Container" pid="111" fmtid="{D5CDD505-2E9C-101B-9397-08002B2CF9AE}">
    <vt:lpwstr>COO.2207.110.4.878754</vt:lpwstr>
  </property>
  <property name="FSC#FSCFOLIO@1.1001:docpropproject" pid="112" fmtid="{D5CDD505-2E9C-101B-9397-08002B2CF9AE}">
    <vt:lpwstr/>
  </property>
  <property name="FSC#UVEKCFG@15.1700:SubFileTitle" pid="113" fmtid="{D5CDD505-2E9C-101B-9397-08002B2CF9AE}">
    <vt:lpwstr>Formulare_x005f_zu_x005f_Ist-Zustand_x005f_und_x005f_Potentialanalyse_x005f_Mai2015</vt:lpwstr>
  </property>
  <property name="FSC#UVEKCFG@15.1700:ForeignNumber" pid="114" fmtid="{D5CDD505-2E9C-101B-9397-08002B2CF9AE}">
    <vt:lpwstr/>
  </property>
  <property name="FSC#UVEKCFG@15.1700:Amtstitel" pid="115" fmtid="{D5CDD505-2E9C-101B-9397-08002B2CF9AE}">
    <vt:lpwstr/>
  </property>
  <property name="FSC#UVEKCFG@15.1700:ZusendungAm" pid="116" fmtid="{D5CDD505-2E9C-101B-9397-08002B2CF9AE}">
    <vt:lpwstr/>
  </property>
  <property name="FSC#UVEKCFG@15.1700:SignerLeft" pid="117" fmtid="{D5CDD505-2E9C-101B-9397-08002B2CF9AE}">
    <vt:lpwstr/>
  </property>
  <property name="FSC#UVEKCFG@15.1700:SignerRight" pid="118" fmtid="{D5CDD505-2E9C-101B-9397-08002B2CF9AE}">
    <vt:lpwstr/>
  </property>
  <property name="FSC#UVEKCFG@15.1700:SignerLeftJobTitle" pid="119" fmtid="{D5CDD505-2E9C-101B-9397-08002B2CF9AE}">
    <vt:lpwstr/>
  </property>
  <property name="FSC#UVEKCFG@15.1700:SignerRightJobTitle" pid="120" fmtid="{D5CDD505-2E9C-101B-9397-08002B2CF9AE}">
    <vt:lpwstr/>
  </property>
  <property name="FSC#UVEKCFG@15.1700:SignerLeftFunction" pid="121" fmtid="{D5CDD505-2E9C-101B-9397-08002B2CF9AE}">
    <vt:lpwstr/>
  </property>
  <property name="FSC#UVEKCFG@15.1700:SignerRightFunction" pid="122" fmtid="{D5CDD505-2E9C-101B-9397-08002B2CF9AE}">
    <vt:lpwstr/>
  </property>
  <property name="FSC#UVEKCFG@15.1700:SignerLeftUserRoleGroup" pid="123" fmtid="{D5CDD505-2E9C-101B-9397-08002B2CF9AE}">
    <vt:lpwstr/>
  </property>
  <property name="FSC#UVEKCFG@15.1700:SignerRightUserRoleGroup" pid="124" fmtid="{D5CDD505-2E9C-101B-9397-08002B2CF9AE}">
    <vt:lpwstr/>
  </property>
  <property name="FSC#UVEKCFG@15.1700:DefaultGroupFileResponsible" pid="125" fmtid="{D5CDD505-2E9C-101B-9397-08002B2CF9AE}">
    <vt:lpwstr/>
  </property>
</Properties>
</file>