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drawings/drawing4.xml" ContentType="application/vnd.openxmlformats-officedocument.drawing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activeX/activeX3.xml" ContentType="application/vnd.ms-office.activeX+xml"/>
  <Override PartName="/xl/drawings/drawing2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omments1.xml" ContentType="application/vnd.openxmlformats-officedocument.spreadsheetml.comments+xml"/>
  <Override PartName="/xl/activeX/activeX20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worksheets/sheet14.xml" ContentType="application/vnd.openxmlformats-officedocument.spreadsheetml.worksheet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drawings/drawing3.xml" ContentType="application/vnd.openxmlformats-officedocument.drawing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DieseArbeitsmappe" defaultThemeVersion="124226"/>
  <bookViews>
    <workbookView xWindow="600" yWindow="135" windowWidth="14025" windowHeight="7560"/>
  </bookViews>
  <sheets>
    <sheet name="Sprache wählen" sheetId="24" r:id="rId1"/>
    <sheet name="Einführung" sheetId="23" r:id="rId2"/>
    <sheet name="Berechnung" sheetId="1" r:id="rId3"/>
    <sheet name="intern" sheetId="18" state="veryHidden" r:id="rId4"/>
    <sheet name="Klimawerte" sheetId="21" r:id="rId5"/>
    <sheet name="BEKOMAT" sheetId="9" state="veryHidden" r:id="rId6"/>
    <sheet name="Kv_water" sheetId="10" state="veryHidden" r:id="rId7"/>
    <sheet name="airflow" sheetId="11" state="veryHidden" r:id="rId8"/>
    <sheet name="wassermenge" sheetId="12" state="veryHidden" r:id="rId9"/>
    <sheet name="jahreskondensat" sheetId="13" state="veryHidden" r:id="rId10"/>
    <sheet name="Sättigungsdruck" sheetId="15" state="veryHidden" r:id="rId11"/>
    <sheet name="Sprachen" sheetId="3" r:id="rId12"/>
    <sheet name="logos" sheetId="22" state="veryHidden" r:id="rId13"/>
    <sheet name="klimadaten" sheetId="16" state="veryHidden" r:id="rId14"/>
  </sheets>
  <definedNames>
    <definedName name="B_EUR_m3">Berechnung!$E$39</definedName>
    <definedName name="Cell_Temp_abs">Berechnung!$D$24</definedName>
    <definedName name="Cell_Temp_diff">Berechnung!$D$25</definedName>
    <definedName name="L_EUR_kWh">Berechnung!$D$42</definedName>
    <definedName name="L_EUR_m3">Berechnung!$D$37</definedName>
    <definedName name="L_kW_m3">Berechnung!$D$39</definedName>
    <definedName name="L_kW_Nm3">Berechnung!$D$41</definedName>
    <definedName name="L_kWh_m3">Berechnung!$D$40</definedName>
    <definedName name="w_CHF">intern!$B$57</definedName>
    <definedName name="w_EUR">intern!$B$56</definedName>
    <definedName name="w_GBP">intern!$B$58</definedName>
    <definedName name="w_JPY">intern!$B$60</definedName>
    <definedName name="w_USD">intern!$B$59</definedName>
  </definedNames>
  <calcPr calcId="125725"/>
</workbook>
</file>

<file path=xl/calcChain.xml><?xml version="1.0" encoding="utf-8"?>
<calcChain xmlns="http://schemas.openxmlformats.org/spreadsheetml/2006/main">
  <c r="B11" i="18"/>
  <c r="B14" s="1"/>
  <c r="B8" i="9"/>
  <c r="B7"/>
  <c r="B41" i="1"/>
  <c r="B40"/>
  <c r="B38"/>
  <c r="H31"/>
  <c r="E45"/>
  <c r="E46"/>
  <c r="E47" s="1"/>
  <c r="H20"/>
  <c r="D47"/>
  <c r="E48"/>
  <c r="F4"/>
  <c r="F31"/>
  <c r="F20"/>
  <c r="B2"/>
  <c r="B13"/>
  <c r="B12"/>
  <c r="F6"/>
  <c r="F7"/>
  <c r="F5"/>
  <c r="F37"/>
  <c r="F36"/>
  <c r="F33"/>
  <c r="F27"/>
  <c r="F28"/>
  <c r="F29"/>
  <c r="F30"/>
  <c r="F32"/>
  <c r="F26"/>
  <c r="F25"/>
  <c r="F22"/>
  <c r="F16"/>
  <c r="F17"/>
  <c r="F18"/>
  <c r="F19"/>
  <c r="F21"/>
  <c r="F15"/>
  <c r="F14"/>
  <c r="F12"/>
  <c r="F11"/>
  <c r="F10"/>
  <c r="B46"/>
  <c r="B47"/>
  <c r="B45"/>
  <c r="B44"/>
  <c r="B42"/>
  <c r="B39"/>
  <c r="B37"/>
  <c r="B36"/>
  <c r="B34"/>
  <c r="B4"/>
  <c r="B33"/>
  <c r="B32"/>
  <c r="B26"/>
  <c r="B27"/>
  <c r="B28"/>
  <c r="B29"/>
  <c r="B30"/>
  <c r="B24"/>
  <c r="B21"/>
  <c r="B22"/>
  <c r="B23"/>
  <c r="B25"/>
  <c r="B20"/>
  <c r="B19"/>
  <c r="B17"/>
  <c r="B14"/>
  <c r="B11"/>
  <c r="B10"/>
  <c r="B6"/>
  <c r="B8" i="18"/>
  <c r="B13"/>
  <c r="B3"/>
  <c r="B4"/>
  <c r="B2" i="23"/>
  <c r="B27"/>
  <c r="B29"/>
  <c r="B28"/>
  <c r="B18"/>
  <c r="B17"/>
  <c r="B16"/>
  <c r="B14"/>
  <c r="B12"/>
  <c r="B11"/>
  <c r="B10"/>
  <c r="B9"/>
  <c r="B8"/>
  <c r="B6"/>
  <c r="B4"/>
  <c r="C3" i="18"/>
  <c r="C4"/>
  <c r="C11"/>
  <c r="C14" s="1"/>
  <c r="C13"/>
  <c r="D3"/>
  <c r="D4"/>
  <c r="D11"/>
  <c r="D14" s="1"/>
  <c r="D13"/>
  <c r="E3"/>
  <c r="E4"/>
  <c r="E11"/>
  <c r="E14" s="1"/>
  <c r="E13"/>
  <c r="F3"/>
  <c r="F4"/>
  <c r="F11"/>
  <c r="F14" s="1"/>
  <c r="F13"/>
  <c r="G3"/>
  <c r="G4"/>
  <c r="G11"/>
  <c r="G14" s="1"/>
  <c r="G13"/>
  <c r="H3"/>
  <c r="H4"/>
  <c r="H11"/>
  <c r="H14" s="1"/>
  <c r="H13"/>
  <c r="I3"/>
  <c r="I4"/>
  <c r="I11"/>
  <c r="I14" s="1"/>
  <c r="I13"/>
  <c r="J3"/>
  <c r="J4"/>
  <c r="J11"/>
  <c r="J14" s="1"/>
  <c r="J13"/>
  <c r="K3"/>
  <c r="K4"/>
  <c r="K11"/>
  <c r="K14" s="1"/>
  <c r="K13"/>
  <c r="L3"/>
  <c r="L4"/>
  <c r="L11"/>
  <c r="L14" s="1"/>
  <c r="L13"/>
  <c r="M3"/>
  <c r="M4"/>
  <c r="M11"/>
  <c r="M14" s="1"/>
  <c r="M13"/>
  <c r="C8"/>
  <c r="D8"/>
  <c r="E8"/>
  <c r="F8"/>
  <c r="G8"/>
  <c r="H8"/>
  <c r="I8"/>
  <c r="J8"/>
  <c r="J16" s="1"/>
  <c r="J36" s="1"/>
  <c r="K8"/>
  <c r="L8"/>
  <c r="M8"/>
  <c r="B9"/>
  <c r="C9"/>
  <c r="D9"/>
  <c r="E9"/>
  <c r="F9"/>
  <c r="G9"/>
  <c r="H9"/>
  <c r="I9"/>
  <c r="J9"/>
  <c r="K9"/>
  <c r="L9"/>
  <c r="M9"/>
  <c r="A50"/>
  <c r="A51"/>
  <c r="A52"/>
  <c r="A53"/>
  <c r="A49"/>
  <c r="A44"/>
  <c r="A45"/>
  <c r="A46"/>
  <c r="A47"/>
  <c r="A43"/>
  <c r="B39"/>
  <c r="C12"/>
  <c r="D12"/>
  <c r="E12"/>
  <c r="F12"/>
  <c r="G12"/>
  <c r="H12"/>
  <c r="I12"/>
  <c r="J12"/>
  <c r="K12"/>
  <c r="L12"/>
  <c r="M12"/>
  <c r="B12"/>
  <c r="B10"/>
  <c r="C10"/>
  <c r="D10"/>
  <c r="E10"/>
  <c r="F10"/>
  <c r="G10"/>
  <c r="H10"/>
  <c r="I10"/>
  <c r="J10"/>
  <c r="K10"/>
  <c r="L10"/>
  <c r="M10"/>
  <c r="H2" i="13"/>
  <c r="I2" s="1"/>
  <c r="H3"/>
  <c r="I3" s="1"/>
  <c r="H4"/>
  <c r="I4" s="1"/>
  <c r="H5"/>
  <c r="I5" s="1"/>
  <c r="D6"/>
  <c r="H6" s="1"/>
  <c r="I6" s="1"/>
  <c r="D7"/>
  <c r="H7"/>
  <c r="I7" s="1"/>
  <c r="D8"/>
  <c r="H8" s="1"/>
  <c r="I8" s="1"/>
  <c r="D9"/>
  <c r="H9" s="1"/>
  <c r="I9" s="1"/>
  <c r="D10"/>
  <c r="H10" s="1"/>
  <c r="I10" s="1"/>
  <c r="D11"/>
  <c r="H11"/>
  <c r="I11" s="1"/>
  <c r="H12"/>
  <c r="I12" s="1"/>
  <c r="H13"/>
  <c r="I13" s="1"/>
  <c r="G2"/>
  <c r="G3"/>
  <c r="G4"/>
  <c r="G5"/>
  <c r="G6"/>
  <c r="G7"/>
  <c r="G8"/>
  <c r="G9"/>
  <c r="G10"/>
  <c r="G11"/>
  <c r="G12"/>
  <c r="G13"/>
  <c r="H15"/>
  <c r="D21"/>
  <c r="E21" s="1"/>
  <c r="G21" s="1"/>
  <c r="H21" s="1"/>
  <c r="D22"/>
  <c r="E22" s="1"/>
  <c r="G22" s="1"/>
  <c r="H22" s="1"/>
  <c r="D23"/>
  <c r="E23" s="1"/>
  <c r="G23" s="1"/>
  <c r="H23" s="1"/>
  <c r="D24"/>
  <c r="E24" s="1"/>
  <c r="G24" s="1"/>
  <c r="H24" s="1"/>
  <c r="D25"/>
  <c r="E25" s="1"/>
  <c r="G25" s="1"/>
  <c r="H25" s="1"/>
  <c r="D26"/>
  <c r="E26" s="1"/>
  <c r="G26" s="1"/>
  <c r="H26" s="1"/>
  <c r="D27"/>
  <c r="E27" s="1"/>
  <c r="G27" s="1"/>
  <c r="H27" s="1"/>
  <c r="D28"/>
  <c r="E28" s="1"/>
  <c r="G28" s="1"/>
  <c r="H28" s="1"/>
  <c r="D29"/>
  <c r="E29" s="1"/>
  <c r="G29" s="1"/>
  <c r="H29" s="1"/>
  <c r="D30"/>
  <c r="E30" s="1"/>
  <c r="G30" s="1"/>
  <c r="H30" s="1"/>
  <c r="D31"/>
  <c r="E31" s="1"/>
  <c r="G31" s="1"/>
  <c r="H31" s="1"/>
  <c r="D32"/>
  <c r="E32" s="1"/>
  <c r="G32" s="1"/>
  <c r="H32" s="1"/>
  <c r="B119" i="16"/>
  <c r="B109"/>
  <c r="B99"/>
  <c r="B89"/>
  <c r="B79"/>
  <c r="B69"/>
  <c r="B59"/>
  <c r="B49"/>
  <c r="B116"/>
  <c r="C116"/>
  <c r="D116"/>
  <c r="E116"/>
  <c r="F116"/>
  <c r="G116"/>
  <c r="I116"/>
  <c r="J116"/>
  <c r="K116"/>
  <c r="L116"/>
  <c r="M116"/>
  <c r="B106"/>
  <c r="C106"/>
  <c r="D106"/>
  <c r="E106"/>
  <c r="F106"/>
  <c r="G106"/>
  <c r="I106"/>
  <c r="J106"/>
  <c r="K106"/>
  <c r="L106"/>
  <c r="M106"/>
  <c r="B96"/>
  <c r="C96"/>
  <c r="D96"/>
  <c r="E96"/>
  <c r="F96"/>
  <c r="G96"/>
  <c r="I96"/>
  <c r="J96"/>
  <c r="K96"/>
  <c r="L96"/>
  <c r="M96"/>
  <c r="B86"/>
  <c r="C86"/>
  <c r="D86"/>
  <c r="E86"/>
  <c r="F86"/>
  <c r="G86"/>
  <c r="I86"/>
  <c r="J86"/>
  <c r="K86"/>
  <c r="L86"/>
  <c r="M86"/>
  <c r="B76"/>
  <c r="C76"/>
  <c r="D76"/>
  <c r="E76"/>
  <c r="F76"/>
  <c r="G76"/>
  <c r="I76"/>
  <c r="J76"/>
  <c r="K76"/>
  <c r="L76"/>
  <c r="M76"/>
  <c r="B66"/>
  <c r="C66"/>
  <c r="D66"/>
  <c r="E66"/>
  <c r="F66"/>
  <c r="G66"/>
  <c r="I66"/>
  <c r="J66"/>
  <c r="K66"/>
  <c r="L66"/>
  <c r="M66"/>
  <c r="B56"/>
  <c r="C56"/>
  <c r="D56"/>
  <c r="E56"/>
  <c r="F56"/>
  <c r="G56"/>
  <c r="I56"/>
  <c r="J56"/>
  <c r="K56"/>
  <c r="L56"/>
  <c r="M56"/>
  <c r="B46"/>
  <c r="C46"/>
  <c r="D46"/>
  <c r="E46"/>
  <c r="F46"/>
  <c r="G46"/>
  <c r="I46"/>
  <c r="J46"/>
  <c r="K46"/>
  <c r="L46"/>
  <c r="M46"/>
  <c r="A1" i="21"/>
  <c r="M5"/>
  <c r="L5"/>
  <c r="K5"/>
  <c r="J5"/>
  <c r="I5"/>
  <c r="H5"/>
  <c r="G5"/>
  <c r="F5"/>
  <c r="E5"/>
  <c r="D5"/>
  <c r="C5"/>
  <c r="B5"/>
  <c r="A6"/>
  <c r="A7"/>
  <c r="A8"/>
  <c r="A9"/>
  <c r="A10"/>
  <c r="A11"/>
  <c r="A5"/>
  <c r="D3" i="10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L17" i="18" l="1"/>
  <c r="L37" s="1"/>
  <c r="H17"/>
  <c r="D17"/>
  <c r="D37" s="1"/>
  <c r="B16"/>
  <c r="M16"/>
  <c r="M36" s="1"/>
  <c r="I16"/>
  <c r="I36" s="1"/>
  <c r="E16"/>
  <c r="E36" s="1"/>
  <c r="B32"/>
  <c r="B31"/>
  <c r="H16"/>
  <c r="H36" s="1"/>
  <c r="B28"/>
  <c r="L16"/>
  <c r="L36" s="1"/>
  <c r="D16"/>
  <c r="D36" s="1"/>
  <c r="J17"/>
  <c r="J18" s="1"/>
  <c r="J38" s="1"/>
  <c r="F17"/>
  <c r="F37" s="1"/>
  <c r="F16"/>
  <c r="F36" s="1"/>
  <c r="K17"/>
  <c r="K37" s="1"/>
  <c r="G17"/>
  <c r="G37" s="1"/>
  <c r="C17"/>
  <c r="C37" s="1"/>
  <c r="M21"/>
  <c r="M20"/>
  <c r="L20"/>
  <c r="L21"/>
  <c r="K21"/>
  <c r="K20"/>
  <c r="J20"/>
  <c r="J21"/>
  <c r="I21"/>
  <c r="I20"/>
  <c r="H20"/>
  <c r="H21"/>
  <c r="G21"/>
  <c r="G20"/>
  <c r="F20"/>
  <c r="F21"/>
  <c r="E21"/>
  <c r="E20"/>
  <c r="D20"/>
  <c r="D21"/>
  <c r="C21"/>
  <c r="C20"/>
  <c r="B21"/>
  <c r="B20"/>
  <c r="H15" i="1" s="1"/>
  <c r="H17" s="1"/>
  <c r="I17" i="13"/>
  <c r="I18" s="1"/>
  <c r="J37" i="18"/>
  <c r="H16" i="1"/>
  <c r="H18" s="1"/>
  <c r="H21" s="1"/>
  <c r="B36" i="18"/>
  <c r="H34" i="13"/>
  <c r="H35" s="1"/>
  <c r="M17" i="18"/>
  <c r="I17"/>
  <c r="E17"/>
  <c r="B17"/>
  <c r="B27"/>
  <c r="K16"/>
  <c r="K36" s="1"/>
  <c r="G16"/>
  <c r="G36" s="1"/>
  <c r="C16"/>
  <c r="C36" s="1"/>
  <c r="H18" l="1"/>
  <c r="H38" s="1"/>
  <c r="H37"/>
  <c r="B33"/>
  <c r="D18"/>
  <c r="D38" s="1"/>
  <c r="L18"/>
  <c r="L38" s="1"/>
  <c r="F18"/>
  <c r="F38" s="1"/>
  <c r="G18"/>
  <c r="G38" s="1"/>
  <c r="C22"/>
  <c r="E22"/>
  <c r="G22"/>
  <c r="I22"/>
  <c r="K22"/>
  <c r="M22"/>
  <c r="I18"/>
  <c r="I38" s="1"/>
  <c r="I37"/>
  <c r="E18"/>
  <c r="E38" s="1"/>
  <c r="E37"/>
  <c r="H11" i="1"/>
  <c r="B22" i="18"/>
  <c r="C18"/>
  <c r="C38" s="1"/>
  <c r="M18"/>
  <c r="M38" s="1"/>
  <c r="M37"/>
  <c r="B18"/>
  <c r="H12" i="1"/>
  <c r="B37" i="18"/>
  <c r="B41" s="1"/>
  <c r="I20" i="1"/>
  <c r="H19"/>
  <c r="H22" s="1"/>
  <c r="K18" i="18"/>
  <c r="K38" s="1"/>
  <c r="D22"/>
  <c r="F22"/>
  <c r="H22"/>
  <c r="J22"/>
  <c r="L22"/>
  <c r="B38" l="1"/>
  <c r="H26" i="1"/>
  <c r="H28" s="1"/>
  <c r="H27"/>
  <c r="H29" s="1"/>
  <c r="H32" s="1"/>
  <c r="I21"/>
  <c r="H30" l="1"/>
  <c r="H33" s="1"/>
  <c r="H37" s="1"/>
  <c r="I31"/>
  <c r="I32" l="1"/>
</calcChain>
</file>

<file path=xl/comments1.xml><?xml version="1.0" encoding="utf-8"?>
<comments xmlns="http://schemas.openxmlformats.org/spreadsheetml/2006/main">
  <authors>
    <author>Matthias Wolf</author>
  </authors>
  <commentList>
    <comment ref="D13" authorId="0">
      <text>
        <r>
          <rPr>
            <sz val="8"/>
            <color indexed="81"/>
            <rFont val="Tahoma"/>
          </rPr>
          <t>Hier kann eine minimale Ansaugtemperatur gewählt werden, wenn bei niedrigeren Temperaturen warme Luft (z.B. aus der Halle) angesaugt wird.</t>
        </r>
      </text>
    </comment>
    <comment ref="D17" authorId="0">
      <text>
        <r>
          <rPr>
            <sz val="8"/>
            <color indexed="81"/>
            <rFont val="Tahoma"/>
          </rPr>
          <t>Bei Verwendung optimaler Einstellungen werden die Ventileinstellungen für den maximalem Kondensatanfall angenommen.</t>
        </r>
      </text>
    </comment>
    <comment ref="D42" authorId="0">
      <text>
        <r>
          <rPr>
            <sz val="8"/>
            <color indexed="81"/>
            <rFont val="Tahoma"/>
          </rPr>
          <t>Standartwert:
0,1 EUR/kWh
0,1555 CHF/kWh
0,0684 GBP/kWh
0,1194 USD/kWh
13,8273 JPY/kWh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Standartwert:
1,4</t>
        </r>
      </text>
    </comment>
    <comment ref="D46" authorId="0">
      <text>
        <r>
          <rPr>
            <b/>
            <sz val="8"/>
            <color indexed="81"/>
            <rFont val="Tahoma"/>
          </rPr>
          <t>Standartwert:
287 J/(kgK)</t>
        </r>
      </text>
    </comment>
  </commentList>
</comments>
</file>

<file path=xl/sharedStrings.xml><?xml version="1.0" encoding="utf-8"?>
<sst xmlns="http://schemas.openxmlformats.org/spreadsheetml/2006/main" count="1411" uniqueCount="581">
  <si>
    <t>Eingabewerte</t>
  </si>
  <si>
    <t>bar</t>
  </si>
  <si>
    <t>muss ausgefüllt werden</t>
  </si>
  <si>
    <t>kann ausgefüllt werden</t>
  </si>
  <si>
    <t>wird berechnet</t>
  </si>
  <si>
    <t>Betriebsdruck</t>
  </si>
  <si>
    <t>mm</t>
  </si>
  <si>
    <t>Deutsch</t>
  </si>
  <si>
    <t>Dieses Programm darf nicht entgeltpflichtig weitergegeben werden</t>
  </si>
  <si>
    <t>Sprache wählen</t>
  </si>
  <si>
    <t>Einführung</t>
  </si>
  <si>
    <t>Fehler</t>
  </si>
  <si>
    <t>h/d</t>
  </si>
  <si>
    <t>d/a</t>
  </si>
  <si>
    <t>Kompressorauslastung</t>
  </si>
  <si>
    <t>Nennweite des Magnetventiles (kleinster Durchmesser)</t>
  </si>
  <si>
    <t>s</t>
  </si>
  <si>
    <t>min</t>
  </si>
  <si>
    <t>Druckluftkosten</t>
  </si>
  <si>
    <t>l/h</t>
  </si>
  <si>
    <t>s/h</t>
  </si>
  <si>
    <t>m³/h</t>
  </si>
  <si>
    <t>Berechnung der jährlichen Druckluftverlustkosten</t>
  </si>
  <si>
    <t>BEKOMAT</t>
  </si>
  <si>
    <t>list price / Euro</t>
  </si>
  <si>
    <t>BEKOMAT 21</t>
  </si>
  <si>
    <t>BEKOMAT 21 Pro</t>
  </si>
  <si>
    <t>BEKOMAT 12</t>
  </si>
  <si>
    <t>BEKOMAT 13</t>
  </si>
  <si>
    <t>*) solenoid valve</t>
  </si>
  <si>
    <t>*) Magnetventil</t>
  </si>
  <si>
    <t>Nennweite
nominal diameter  mm</t>
  </si>
  <si>
    <t>Durchschnitt
average g/s</t>
  </si>
  <si>
    <t>Werte für Wirkungsgrad 1
In der Berechnung wird Wirkungsgrad 0,5 angenommen
Value for efficiency of 1
in calculation is supposed a efficiency of 0.5</t>
  </si>
  <si>
    <t xml:space="preserve">BEKO-table of air flow rate for 15°C </t>
  </si>
  <si>
    <t>nominal
diameter
mm</t>
  </si>
  <si>
    <r>
      <t>air pressure / bar</t>
    </r>
    <r>
      <rPr>
        <sz val="10"/>
        <rFont val="Arial"/>
        <family val="2"/>
      </rPr>
      <t xml:space="preserve">
air flow / m³/min</t>
    </r>
  </si>
  <si>
    <t>tägl. Betriebsstunden</t>
  </si>
  <si>
    <t>Anzahl Betriebstage pro Jahr</t>
  </si>
  <si>
    <t>Berechnung</t>
  </si>
  <si>
    <t>Systemwerte</t>
  </si>
  <si>
    <t>Betriebszeit</t>
  </si>
  <si>
    <t>Leistung und Kosten</t>
  </si>
  <si>
    <t>oder</t>
  </si>
  <si>
    <t>spezifische Leistung</t>
  </si>
  <si>
    <t>Strompreis</t>
  </si>
  <si>
    <t>m³/min !!!</t>
  </si>
  <si>
    <t>°C</t>
  </si>
  <si>
    <t>Lufttemperatur  </t>
  </si>
  <si>
    <t>in °C</t>
  </si>
  <si>
    <t>  100% Luftfeuchtigkeit  </t>
  </si>
  <si>
    <t>in g/m³</t>
  </si>
  <si>
    <t>Temperatur Kältetrockner</t>
  </si>
  <si>
    <t>T_e</t>
  </si>
  <si>
    <t>phi_e</t>
  </si>
  <si>
    <t>T_1</t>
  </si>
  <si>
    <t>x_e</t>
  </si>
  <si>
    <t>x_1</t>
  </si>
  <si>
    <t>RLF_sys</t>
  </si>
  <si>
    <t>M_k [l/h]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</si>
  <si>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</si>
  <si>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</si>
  <si>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</si>
  <si>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</si>
  <si>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</si>
  <si>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</si>
  <si>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</si>
  <si>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</si>
  <si>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</si>
  <si>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</si>
  <si>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</si>
  <si>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</si>
  <si>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Volumenstrom ansaug m³/h</t>
  </si>
  <si>
    <t>Systemdruck</t>
  </si>
  <si>
    <t>x_e [g]</t>
  </si>
  <si>
    <t>phi_e [%]</t>
  </si>
  <si>
    <t>m_wasser/m³ ansaug [g]</t>
  </si>
  <si>
    <t>m_wasser/m³ verdichtet [g]</t>
  </si>
  <si>
    <t>x bei 2 °C [g]</t>
  </si>
  <si>
    <t>m_k pro m³ [g]</t>
  </si>
  <si>
    <t>M_k / Monat [l]</t>
  </si>
  <si>
    <t>Summe</t>
  </si>
  <si>
    <t>+ 10%</t>
  </si>
  <si>
    <t>[l / Jahr]</t>
  </si>
  <si>
    <t>GESAMT</t>
  </si>
  <si>
    <t>VORKÜHLER</t>
  </si>
  <si>
    <t>M_k pro Monat [l]</t>
  </si>
  <si>
    <t>+10 %</t>
  </si>
  <si>
    <t>Normbedingungen p=1,01235 bar; T= 273,15 K; rF = 0%</t>
  </si>
  <si>
    <t>Sättigungdampdfdruck als Funktion der Temperatur</t>
  </si>
  <si>
    <t>Normalbedingungen (Ansaugbedingungen) p=1,01235 bar; T=293,15 K; rF=0%</t>
  </si>
  <si>
    <t>vn (Luft)= 1 / Normdichte = 1 / 1,2916 m3 / kg</t>
  </si>
  <si>
    <t>T [°C]</t>
  </si>
  <si>
    <t>ps [mbar]</t>
  </si>
  <si>
    <t>Wassergehalt gH2O / kg Luft tr</t>
  </si>
  <si>
    <t>Wassergehalt gH20 / Nm3 Luft trocken</t>
  </si>
  <si>
    <t>Jahr</t>
  </si>
  <si>
    <t>Tm</t>
  </si>
  <si>
    <t>Tmmax</t>
  </si>
  <si>
    <t>Tmmin</t>
  </si>
  <si>
    <t>Tabsmax</t>
  </si>
  <si>
    <t>Tabsmin</t>
  </si>
  <si>
    <t>Fm</t>
  </si>
  <si>
    <t xml:space="preserve">Jahr </t>
  </si>
  <si>
    <t xml:space="preserve">Tm </t>
  </si>
  <si>
    <t xml:space="preserve">Tmmax </t>
  </si>
  <si>
    <t xml:space="preserve">Tmmin </t>
  </si>
  <si>
    <t xml:space="preserve">Tabsmax </t>
  </si>
  <si>
    <t xml:space="preserve">Tabsmin </t>
  </si>
  <si>
    <t xml:space="preserve">Fm </t>
  </si>
  <si>
    <t>Karlsruhe</t>
  </si>
  <si>
    <t>Hamburg-Fuhlsbüttel</t>
  </si>
  <si>
    <t>Berlin-Dahlem</t>
  </si>
  <si>
    <t>München-Riem</t>
  </si>
  <si>
    <t>Klimazone</t>
  </si>
  <si>
    <t>mittlere maximale Temperatur</t>
  </si>
  <si>
    <t>mittlere minimale Temperatur</t>
  </si>
  <si>
    <t>absolute maximale Temperatur</t>
  </si>
  <si>
    <t>absolute minimale Temperatur</t>
  </si>
  <si>
    <t>mittlere relative Luftfeuchte</t>
  </si>
  <si>
    <t>Jahresdurchschnittstemperatur</t>
  </si>
  <si>
    <t>durchschnittliche relative Luftfeuchte</t>
  </si>
  <si>
    <t>maximale absolute Wassermenge</t>
  </si>
  <si>
    <t>mittlere Temperatur (Ansaugluft)</t>
  </si>
  <si>
    <t>Monatswerte</t>
  </si>
  <si>
    <t>Durchscnittswerte</t>
  </si>
  <si>
    <t>Maximalwerte</t>
  </si>
  <si>
    <t>maximale relative Luftfeuchte</t>
  </si>
  <si>
    <t>Verdichter</t>
  </si>
  <si>
    <t>notwendige Magnetventilöffnungszeit (max)</t>
  </si>
  <si>
    <t>notwendige Magnetventilöffnungszeit (Durchschnitt)</t>
  </si>
  <si>
    <t>effektive Magnetventilöffnungszeit (aus Einstellung)</t>
  </si>
  <si>
    <t>Druckluftverlustkosten gesamt (Summe aus ideal und real)</t>
  </si>
  <si>
    <t>Kondensatabscheidereinstellungen</t>
  </si>
  <si>
    <t>Kältetrockner</t>
  </si>
  <si>
    <t>maximale mittlere Temperatur</t>
  </si>
  <si>
    <t>mit 7,4-Faustformel</t>
  </si>
  <si>
    <t>mit 10%-Erhöhung</t>
  </si>
  <si>
    <t xml:space="preserve">Jahreswerte                             </t>
  </si>
  <si>
    <t>Kondensatmenge Verdichter l/h</t>
  </si>
  <si>
    <t>Kondensatmenge gesamt l/h</t>
  </si>
  <si>
    <t>Kondensatmenge Trockner l/h</t>
  </si>
  <si>
    <t>Klimadaten für den Ort:</t>
  </si>
  <si>
    <t>Kondensatmenge max Verdichter l/h</t>
  </si>
  <si>
    <t>Kondensatmenge max gesamt l/h</t>
  </si>
  <si>
    <t>Kondensatmenge max Trockner l/h</t>
  </si>
  <si>
    <t>J/(kgK)</t>
  </si>
  <si>
    <t>Normdichte (0°C, 1013,25mbar)</t>
  </si>
  <si>
    <t>Adiabatenkoeffizient k</t>
  </si>
  <si>
    <t>ind. Gaskonstante Ri</t>
  </si>
  <si>
    <t>Konstanten</t>
  </si>
  <si>
    <t>Interne Berechnungen</t>
  </si>
  <si>
    <t>minimale Ansaugtemperatur</t>
  </si>
  <si>
    <t>absolute Temperatur (immer gleichbleibend)</t>
  </si>
  <si>
    <t>Referenzmaximaltemperatur</t>
  </si>
  <si>
    <t>mittlere Temperatur</t>
  </si>
  <si>
    <t>l/monat Verdichter</t>
  </si>
  <si>
    <t>l/monat gesamt</t>
  </si>
  <si>
    <t>l/monat Kältetrockner</t>
  </si>
  <si>
    <t>Temperatur Nachkühler</t>
  </si>
  <si>
    <t>Benutzerdefiniert</t>
  </si>
  <si>
    <t>Ziel dieses Tools ist die Berechnung der Druckluftverlustkosten durch die Verwendung zeitgesteuerter Kondensatabscheider.</t>
  </si>
  <si>
    <t>Folgende unternehmensspezifische Angaben sind erforderlich:</t>
  </si>
  <si>
    <t>1. Auswahl der Klimazone: Hier können zum einen vorgegebene Klimawerte verwendet werden oder auch benutzerdefinierte Angaben gemacht werden.</t>
  </si>
  <si>
    <t>3. Einstellungen der Kondensatabscheider am Nachkühler sowie am Kältetrockner wie Ventileinstellungen, Öffnungszeiten und Temperatur</t>
  </si>
  <si>
    <t>4. Betriebszeit und Auslastung der Anlage</t>
  </si>
  <si>
    <t>5. Druckluftkosten, welche direkt angegeben oder über Kompressorleistung und Strompreis berechnet werden können.</t>
  </si>
  <si>
    <t>Aus diesen Angaben werden dann folgende Werte errechnet:</t>
  </si>
  <si>
    <t>1. Maximale und durchschnittliche Gesamtkondensatmengen</t>
  </si>
  <si>
    <t>2. Kondensatmengen und daraus resultierend erforderliche Einstellungen am den Kondensatabscheidern</t>
  </si>
  <si>
    <t>3. Druckluftverlust und Kosten bei idealen und realen Einstellungen</t>
  </si>
  <si>
    <t>2. Systemwerte wie durchschnittlicher Druckluftverbrauch, Betriebsdruck, minimale Ansaugtemperatur (optional)</t>
  </si>
  <si>
    <t>Klimawerte</t>
  </si>
  <si>
    <t>Währung</t>
  </si>
  <si>
    <t>Hamburg</t>
  </si>
  <si>
    <t>Berlin</t>
  </si>
  <si>
    <t>München</t>
  </si>
  <si>
    <t>absolute Höchsttemperatur</t>
  </si>
  <si>
    <t>gemittelte Höchsttemperatur</t>
  </si>
  <si>
    <t>EUR</t>
  </si>
  <si>
    <t>CHF</t>
  </si>
  <si>
    <t>GBP</t>
  </si>
  <si>
    <t>USD</t>
  </si>
  <si>
    <t>JPY</t>
  </si>
  <si>
    <t>/kWh</t>
  </si>
  <si>
    <t>/m³</t>
  </si>
  <si>
    <t>/a</t>
  </si>
  <si>
    <t>kW/(Nm³/min)</t>
  </si>
  <si>
    <t>kWh/m³</t>
  </si>
  <si>
    <t>kW/(m³/min)</t>
  </si>
  <si>
    <t>kg/m³</t>
  </si>
  <si>
    <t>Legende</t>
  </si>
  <si>
    <t>verwendete Maximaltemperatur</t>
  </si>
  <si>
    <t>Eingestellte Öffnungsungszeit am Magnetventil</t>
  </si>
  <si>
    <t>Eingestellte Schließzeit am Magnetventil</t>
  </si>
  <si>
    <t>(Nur einen Wert angeben)</t>
  </si>
  <si>
    <t>maximale Kondensatmenge</t>
  </si>
  <si>
    <t>durchschnittliche Kondensatmenge</t>
  </si>
  <si>
    <t>Hier kann eine minimale Ansaugtemperatur gewählt werden, wenn bei niedrigeren Temperaturen warme Luft (z.B. aus der Halle) angesaugt wird.</t>
  </si>
  <si>
    <t>Kondensatanfall</t>
  </si>
  <si>
    <t>Kondensatanfall am Verdichter</t>
  </si>
  <si>
    <t>Kondensatanfall am Kältetrockner</t>
  </si>
  <si>
    <t xml:space="preserve">Kosten des vermeidbaren Luftverlustes </t>
  </si>
  <si>
    <t>Kosten Luftverlust an Kondensatableitern</t>
  </si>
  <si>
    <t>Optimale Einstellungen verwenden</t>
  </si>
  <si>
    <t>Bei Verwendung optimaler Einstellungen werden die Ventileinstellungen für den maximalem Kondensatanfall angenommen.</t>
  </si>
  <si>
    <t>anzeigen</t>
  </si>
  <si>
    <t>durchschnittl. Druckluftverlust (Einstellung ideal)</t>
  </si>
  <si>
    <t>durchschnittl. Druckluftverlust (aus Einstellung)</t>
  </si>
  <si>
    <t>Währungskurse</t>
  </si>
  <si>
    <t>Franzoesisch</t>
  </si>
  <si>
    <t>Berechnung der jährlichen Druckluftverlustkosten am zeitgesteuerten Kondensatabscheider</t>
  </si>
  <si>
    <t>Les données suivantes sont indispensables au calcul :</t>
  </si>
  <si>
    <t>1. Choix de la zone climatique : vous pouvez sélectionner ici les données pré-enregistrées ou alors entrer vos propres données</t>
  </si>
  <si>
    <t>2. Données relatives au systèmes : consommation en air comprimé, pression de service, température de sortie minimale (optionnelle)</t>
  </si>
  <si>
    <t>3. Réglages du séparateur de condensat au niveau du sous-refroidisseur ainsi qu'au niveau du sécheur à froid comme les réglages des soupapes, temps d'ouverture et température</t>
  </si>
  <si>
    <t>4. Durée de fonctionnement et utilisation de l'installation</t>
  </si>
  <si>
    <t>5. Coût de l'air comprimé, coût connu ou caculé à partir de la puissance du compresseur et du prix de l'électricité</t>
  </si>
  <si>
    <t>Les grandeurs suivantes vont être calculées à partir des données saisies:</t>
  </si>
  <si>
    <t>1. Quantité maximale et moyenne de condensat</t>
  </si>
  <si>
    <t>2.  Réglages nécessaires du séparateur de condensat</t>
  </si>
  <si>
    <t>3. Pertes d'air comprimé et coût pour les des réglages idéaux et réelles</t>
  </si>
  <si>
    <t>Kontakt: Dr. Peter Radgen, Tel. +49/7216809295; peter.radgen@isi.fraunhofer.de</t>
  </si>
  <si>
    <t>Contact: Dr. Peter Radgen, Tel. +49/7216809295; peter.radgen@isi.fraunhofer.de</t>
  </si>
  <si>
    <t>Ce programme ne doit pas être diffusé de façon payante.</t>
  </si>
  <si>
    <t>durchschnittlicher Druckluftverbrauch</t>
  </si>
  <si>
    <t>Consommation moyenne d'air comprimé</t>
  </si>
  <si>
    <t>Pression de service</t>
  </si>
  <si>
    <t>Diamètre nominal des électrovalves (diamètre minimum)</t>
  </si>
  <si>
    <t>Temps d'ouverture des électrovalves</t>
  </si>
  <si>
    <t>Temps de fermeture des électrovalves</t>
  </si>
  <si>
    <t>Durée d'utilisation par jour</t>
  </si>
  <si>
    <t>Nombre de jour ouvré par an</t>
  </si>
  <si>
    <t>Utilisation du compresseur</t>
  </si>
  <si>
    <t>Coût de l'air comprimé</t>
  </si>
  <si>
    <t>Doit être rempli</t>
  </si>
  <si>
    <t>Peut être rempli</t>
  </si>
  <si>
    <t>sera calculé</t>
  </si>
  <si>
    <t>Introduction</t>
  </si>
  <si>
    <t>Calcul</t>
  </si>
  <si>
    <t>Valeur pour le climat</t>
  </si>
  <si>
    <t>Erreur</t>
  </si>
  <si>
    <t>Standartwert:
0,1 EUR/kWh
0,1555 CHF/kWh
0,0684 GBP/kWh
0,1194 USD/kWh
13,8273 JPY/kWh</t>
  </si>
  <si>
    <t>Valeur standard : 
0,1 EUR/kWh
0,1555 CHF/kWh
0,0684 GBP/kWh
0,1194 USD/kWh
13,8273 JPY/kWh</t>
  </si>
  <si>
    <t>Start</t>
  </si>
  <si>
    <t>Zur Berechnung</t>
  </si>
  <si>
    <t>zurück</t>
  </si>
  <si>
    <t>zurücksetzen</t>
  </si>
  <si>
    <t>speichern</t>
  </si>
  <si>
    <t>Kondensatableiter</t>
  </si>
  <si>
    <t>Purgeur de condensat</t>
  </si>
  <si>
    <t>Standartwert:
1,4</t>
  </si>
  <si>
    <t>Standartwert:
287 J/(kgK)</t>
  </si>
  <si>
    <t>Calcul des coûts annuels des pertes d'air comprimé au niveau d'un séparateur de condensation à régulation temporelle</t>
  </si>
  <si>
    <t>L'ojectif ce Tool est de calculer le coût des pertes d'air comprimé due à l'utilisation d'un séparateur de condensation à régulation temporelle</t>
  </si>
  <si>
    <t>© Fraunhofer ISI, 76139 Karlsruhe 2005.</t>
  </si>
  <si>
    <t xml:space="preserve">© Fraunhofer ISI, 76139 Karlsruhe 2005. </t>
  </si>
  <si>
    <t>Calcul des coûts annuels dus aux pertes d'air comprimé</t>
  </si>
  <si>
    <t>Devise</t>
  </si>
  <si>
    <t>Zone climatique</t>
  </si>
  <si>
    <t>Valeurs du système</t>
  </si>
  <si>
    <t>Température minimale d'admission</t>
  </si>
  <si>
    <t>Température maximale en fonctionnemenent</t>
  </si>
  <si>
    <t>Réglages du séparateur de condensation</t>
  </si>
  <si>
    <t>Compresseur</t>
  </si>
  <si>
    <t>Température au sous-refroidisseur</t>
  </si>
  <si>
    <t>Température absolue (toujours constante)</t>
  </si>
  <si>
    <t>Sécheur à froid</t>
  </si>
  <si>
    <t>Largeur nominale des électrovalves (plus petit diamètre)</t>
  </si>
  <si>
    <t>Température au sécheur à froid</t>
  </si>
  <si>
    <t>Temps de fonctionnement</t>
  </si>
  <si>
    <t>Puissance et coûts</t>
  </si>
  <si>
    <t>ou</t>
  </si>
  <si>
    <t>Puissance spécifique</t>
  </si>
  <si>
    <t>(N'entrez qu'une valeur)</t>
  </si>
  <si>
    <t>Pris de l'électricité</t>
  </si>
  <si>
    <t>Constantes</t>
  </si>
  <si>
    <t>Coefficient adiabatique de compression k</t>
  </si>
  <si>
    <t>Constante de gaz spécifique Ri</t>
  </si>
  <si>
    <t>Masse volumique standard (0°C, 1013,25mbar)</t>
  </si>
  <si>
    <t>Umgebungsdruck</t>
  </si>
  <si>
    <t>Pression ambiante</t>
  </si>
  <si>
    <t>Produit de la condensation</t>
  </si>
  <si>
    <t>Quantité de condensation maximale</t>
  </si>
  <si>
    <t>Quantité de condensation moyenne</t>
  </si>
  <si>
    <t>Produit de la condensation au compresseur</t>
  </si>
  <si>
    <t>Quantités de condensation moyenne</t>
  </si>
  <si>
    <t>Temps d'ouverture des électrovalves nécessaire (max)</t>
  </si>
  <si>
    <t>Temps d'ouverture des électrovalves nécessaire (moyen)</t>
  </si>
  <si>
    <t>Pertes moyennes en air comprimé (réglage idéal)</t>
  </si>
  <si>
    <t>Temps d'ouverture effectif des électrovalves (d'après les réglages effectifs)</t>
  </si>
  <si>
    <t>Pertes moyennes en air comprimé (d'après les réglages effectifs)</t>
  </si>
  <si>
    <t>Coût total des pertes en air comprimé (somme de l'idéal et de l'effectif)</t>
  </si>
  <si>
    <t>Produit de la condensation au sécheur à froid</t>
  </si>
  <si>
    <t>Quantités de condensation maximale</t>
  </si>
  <si>
    <t>Coût des pertes au purgeur de condensation</t>
  </si>
  <si>
    <t>Coût des fuites évitables</t>
  </si>
  <si>
    <t>Légende</t>
  </si>
  <si>
    <t>Choix de la langue</t>
  </si>
  <si>
    <t>Vous pouvez choisir ici une température d'admission minimale, si par faible température de l'air chaud est admis (par exemple de l'air du locale à compresseur).</t>
  </si>
  <si>
    <t>Avec l'utilisation des réglages optimum, les électrovalves seront réglées pour une quantité de condensation maximale.</t>
  </si>
  <si>
    <t>Montrer</t>
  </si>
  <si>
    <t>Utiliser les réglages optimum</t>
  </si>
  <si>
    <t>défini par l'utilisateur</t>
  </si>
  <si>
    <t>Température absolue la plus élevée</t>
  </si>
  <si>
    <t>Température absolue moyenne</t>
  </si>
  <si>
    <t>Commencer</t>
  </si>
  <si>
    <t>Pour le Calcul</t>
  </si>
  <si>
    <t>Données climatiques pour le lieu</t>
  </si>
  <si>
    <t>Valeur mensuelle</t>
  </si>
  <si>
    <t>Température moyenne</t>
  </si>
  <si>
    <t>Température maximale moyenne</t>
  </si>
  <si>
    <t>Température minimale moyenne</t>
  </si>
  <si>
    <t>Température absolue maximale</t>
  </si>
  <si>
    <t>Tempétaure absolue minimale</t>
  </si>
  <si>
    <t>Taux d'humidité relative moyen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</si>
  <si>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</si>
  <si>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</si>
  <si>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</si>
  <si>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</si>
  <si>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</si>
  <si>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</si>
  <si>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</si>
  <si>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</si>
  <si>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</si>
  <si>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</si>
  <si>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</si>
  <si>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Retour</t>
  </si>
  <si>
    <t>Enregistrer</t>
  </si>
  <si>
    <t>Englisch</t>
  </si>
  <si>
    <t>Italienisch</t>
  </si>
  <si>
    <t>Spanisch</t>
  </si>
  <si>
    <t xml:space="preserve">Calculating the annual cost of pressure losses of time-controlled condensate trap </t>
  </si>
  <si>
    <t>Calcolo dei costi annuali dovuti alle fughe d'aria compressa negli scaricatori di condensa regolati a tempo</t>
  </si>
  <si>
    <t>xxx</t>
  </si>
  <si>
    <t>The aim of this tool is to calculate the cost of compressed air losses due to the use of time-controlled condensate traps</t>
  </si>
  <si>
    <t>Lo scopo di questo tool è di calcolare i costi dovuti alle fughe d'aria compressa in seguito all'utilizzo di scaricatori di condensa regolati a tempo.</t>
  </si>
  <si>
    <t>The following company-specific data are required:</t>
  </si>
  <si>
    <t>Le seguenti informazioni specifiche della ditta sono necessarie per i calcoli:</t>
  </si>
  <si>
    <t>1. Select climate zone: here, either user-defined or set climate values can be used .</t>
  </si>
  <si>
    <t>1. Scelta della zona climatica: i dati climatici possono essere scelti tra quelli predefiniti oppure immessi dall'utente.</t>
  </si>
  <si>
    <t xml:space="preserve">2. System values such as average compressed air consumption, working pressure, minimum inlet temperature (optional) </t>
  </si>
  <si>
    <t>2. Dati sul sistema come consumo medio d'aria compressa, tempo operativo, temperatura minima di aspirazione (opzionale)</t>
  </si>
  <si>
    <t>3. Condensate trap settings at aftercooler and refrigeration dryer such as valve settings,  times of opening and temperature</t>
  </si>
  <si>
    <t>3. Regolazione dello scaricatore di condensa presso il post refrigeratore e l'essiccatore a refrigerazione: regolazione della valvola, tempi di apertura e temperatura</t>
  </si>
  <si>
    <t>4. Operating time and system load</t>
  </si>
  <si>
    <t>4. Tempo operativo e carico dell'impianto</t>
  </si>
  <si>
    <t>5. Compressed air costs, can be given directly or calculated via compressor power and electricity price.</t>
  </si>
  <si>
    <t>5. Costo dell'aria compressa, conosciuto o calcolato tramite la potenza del compressore e il costo dell'elettricità.</t>
  </si>
  <si>
    <t>This data is then used to calculate the following values:</t>
  </si>
  <si>
    <t>Tramite queste informazioni vengono infine calcolati i seguenti dati:</t>
  </si>
  <si>
    <t>1. Maximum and average amount of condensate</t>
  </si>
  <si>
    <t>1. La quantità totale di condensa, massima e media</t>
  </si>
  <si>
    <t xml:space="preserve">2. Amount of condensate and necessary resulting adjustments at condensate traps </t>
  </si>
  <si>
    <t>2. La risultante regolazione necessaria dello scaricatore di condensa</t>
  </si>
  <si>
    <t>3. Loss of compressed air and costs at ideal and actual settings.</t>
  </si>
  <si>
    <t>3. Perdite d'aria compressa e costi con la regolazione ideale e reale</t>
  </si>
  <si>
    <t>Contatto: Dr. Peter Radgen, Tel. +49/7216809295; peter.radgen@isi.fraunhofer.de</t>
  </si>
  <si>
    <t>A fee may not be charged for passing on this program.</t>
  </si>
  <si>
    <t>Questo programma non può essere diffuso a pagamento.</t>
  </si>
  <si>
    <t>Calculating the annual cost of compressed air losses</t>
  </si>
  <si>
    <t>Calcolo dei costi annuali dovuti alle fughe d'aria compressa</t>
  </si>
  <si>
    <t>Currency</t>
  </si>
  <si>
    <t>Valuta</t>
  </si>
  <si>
    <t>Climate zone</t>
  </si>
  <si>
    <t>Zona climatica</t>
  </si>
  <si>
    <t>System values</t>
  </si>
  <si>
    <t>Valori del sistema</t>
  </si>
  <si>
    <t>avg. compressed air consumption</t>
  </si>
  <si>
    <t>Consumo medio d'aria compressa</t>
  </si>
  <si>
    <t>Operating pressure</t>
  </si>
  <si>
    <t>Pressione di rete</t>
  </si>
  <si>
    <t>minimum inlet temperature</t>
  </si>
  <si>
    <t>Temperatura minima d'aspirazione</t>
  </si>
  <si>
    <t>maximum temperature used</t>
  </si>
  <si>
    <t>Temperatura massima usata</t>
  </si>
  <si>
    <t>Condensate trap settings</t>
  </si>
  <si>
    <t>Impostazioni dello scaricatore di condensa</t>
  </si>
  <si>
    <t>Compressor</t>
  </si>
  <si>
    <t>Compressore</t>
  </si>
  <si>
    <t>Nominal diameter of magnetic valve (smallest diameter)</t>
  </si>
  <si>
    <t>Diametro nominale dell'elettrovalvola (il diametro più piccolo)</t>
  </si>
  <si>
    <t>Opening time setting at magnetic valve</t>
  </si>
  <si>
    <t>Tempo di apertura dell'elettrovalvola</t>
  </si>
  <si>
    <t>Set closing time at magnetic valve</t>
  </si>
  <si>
    <t>Tempo di chiusura dell'ellettrovalvola</t>
  </si>
  <si>
    <t>Temperature at aftercooler</t>
  </si>
  <si>
    <t>Temperatura nel post refrigeratore</t>
  </si>
  <si>
    <t>absolute temperature (always the same)</t>
  </si>
  <si>
    <t>Temperatura assoluta (sempre costante)</t>
  </si>
  <si>
    <t>Refrigeration dryer</t>
  </si>
  <si>
    <t>Essiccatore a refrigerazione</t>
  </si>
  <si>
    <t>Temperature of refrigeration dryer</t>
  </si>
  <si>
    <t>Temperatura nell'essiccatore a refrigerazione</t>
  </si>
  <si>
    <t>Operating time</t>
  </si>
  <si>
    <t>Tempo operativo</t>
  </si>
  <si>
    <t>daily operating hours</t>
  </si>
  <si>
    <t>Durata operativa giornaliera</t>
  </si>
  <si>
    <t>Number of working days per year</t>
  </si>
  <si>
    <t>Numero di giorni operativi all'anno</t>
  </si>
  <si>
    <t>Compressor load</t>
  </si>
  <si>
    <t>Carico del compressore</t>
  </si>
  <si>
    <t>Performance and costs</t>
  </si>
  <si>
    <t>Potenza e costi</t>
  </si>
  <si>
    <t>Compressed air costs</t>
  </si>
  <si>
    <t>Costo dell'aria compressa</t>
  </si>
  <si>
    <t>or</t>
  </si>
  <si>
    <t>oppure</t>
  </si>
  <si>
    <t>specific performance</t>
  </si>
  <si>
    <t>potenza specifica</t>
  </si>
  <si>
    <t>(give only one value)</t>
  </si>
  <si>
    <t>(immettere solo un valore)</t>
  </si>
  <si>
    <t>electricity price</t>
  </si>
  <si>
    <t>Costo dell'elettricità</t>
  </si>
  <si>
    <t>constants</t>
  </si>
  <si>
    <t>Costanti</t>
  </si>
  <si>
    <t>adiabatic coefficients k</t>
  </si>
  <si>
    <t>Coefficiente adiabatico k</t>
  </si>
  <si>
    <t>ind. gas constants Ri</t>
  </si>
  <si>
    <t>Costante dei gas R</t>
  </si>
  <si>
    <t>Standard pressure (0°C, 1013,25mbar)</t>
  </si>
  <si>
    <t>Massa volumica normalizzata (0°C, 1013,25 mbar)</t>
  </si>
  <si>
    <t>Ambient pressure</t>
  </si>
  <si>
    <t>Pressione ambientale</t>
  </si>
  <si>
    <t>amount of condensate</t>
  </si>
  <si>
    <t>Condensa prodotta</t>
  </si>
  <si>
    <t>max. amount of condensate</t>
  </si>
  <si>
    <t>Quantità massima di condensa</t>
  </si>
  <si>
    <t>average amount of condensate</t>
  </si>
  <si>
    <t>Quantità media di condensa</t>
  </si>
  <si>
    <t>amount of condensate at compressor</t>
  </si>
  <si>
    <t>Condensa prodotta presso il compressore</t>
  </si>
  <si>
    <t xml:space="preserve">necessary solenoid valve opening time (max.) </t>
  </si>
  <si>
    <t>Tempo di apertura dell'elettrovalvola necessario (max)</t>
  </si>
  <si>
    <t xml:space="preserve">necessary solenoid valve opening time (avg.) </t>
  </si>
  <si>
    <t>Tempo di apertura dell'elettrovalvola necessario (media)</t>
  </si>
  <si>
    <t>avg. compressed air loss (ideal setting)</t>
  </si>
  <si>
    <t>Perdita media di aria compressa (parametri ideali)</t>
  </si>
  <si>
    <t>effective solenoid valve opening time (from setting)</t>
  </si>
  <si>
    <t>Tempo di apertura effettivo dell'elettrovalvola (con la regolazione reale)</t>
  </si>
  <si>
    <t>avg. compressed air losses (from setting)</t>
  </si>
  <si>
    <t>Perdita media di aria compressa (con la regolazione reale)</t>
  </si>
  <si>
    <t>total compressed air losses (sum of ideal and real)</t>
  </si>
  <si>
    <t>Costi totali delle perdite d'aria compressa (somma dell'ideale e del reale)</t>
  </si>
  <si>
    <t>amount of condensate at refrigeration dryer</t>
  </si>
  <si>
    <t>Condensa prodotta presso l'essiccatore a refrigerazione</t>
  </si>
  <si>
    <t>maximum amount condensate</t>
  </si>
  <si>
    <t>costs of air loss at condensate trap</t>
  </si>
  <si>
    <t>Costi delle perdite d'aria compressa presso gli scaricatori di condensa</t>
  </si>
  <si>
    <t>costs of avoidable air loss</t>
  </si>
  <si>
    <t>Costi delle perdite d'aria compressa evitabili</t>
  </si>
  <si>
    <t>Legends</t>
  </si>
  <si>
    <t>Legenda</t>
  </si>
  <si>
    <t>must be completed</t>
  </si>
  <si>
    <t>campo obbligatorio</t>
  </si>
  <si>
    <t>may be completed</t>
  </si>
  <si>
    <t>campo facoltativo</t>
  </si>
  <si>
    <t>will be calculated</t>
  </si>
  <si>
    <t>il valore sarà calcolato</t>
  </si>
  <si>
    <t>Select language</t>
  </si>
  <si>
    <t>Scelta della lingua</t>
  </si>
  <si>
    <t>xxx1</t>
  </si>
  <si>
    <t>Introduzione</t>
  </si>
  <si>
    <t>xxx2</t>
  </si>
  <si>
    <t>Calculation</t>
  </si>
  <si>
    <t>Calcolo</t>
  </si>
  <si>
    <t>xxx3</t>
  </si>
  <si>
    <t>Climate values</t>
  </si>
  <si>
    <t>Dati climatici</t>
  </si>
  <si>
    <t>xxx4</t>
  </si>
  <si>
    <t>Error</t>
  </si>
  <si>
    <t>Errore</t>
  </si>
  <si>
    <t>Standard value:
0,1 EUR/kWh
0,1555 CHF/kWh
0,0684 GBP/kWh
0,1194 USD/kWh
13,8273 JPY/kWh</t>
  </si>
  <si>
    <t>Valore standard:
0,1 EUR/kWh
0,1555 CHF/kWh
0,0684 GBP/kWh
0,1194 USD/kWh
13,8273 JPY/kWh</t>
  </si>
  <si>
    <t>A min. inlet temperature can be selected here if  warm air (e.g. from works) is inlet at lower temperatures.</t>
  </si>
  <si>
    <t>Scelta eventuale di una temperatura minima d'aspirazione, se in caso di temperature basse venga aspirata aria calda (per es. dal locale)</t>
  </si>
  <si>
    <t>When using optimal settings, valve settings for max. condensate yield are assumed.</t>
  </si>
  <si>
    <t>Nel caso di utilizzo dei parametri ottimali, viene utilizzata la regolazione della valvola per la produzione massima di condensa</t>
  </si>
  <si>
    <t>show</t>
  </si>
  <si>
    <t>mostrare</t>
  </si>
  <si>
    <t>use optimum settings</t>
  </si>
  <si>
    <t>Utilizzare la regolazione ottimale</t>
  </si>
  <si>
    <t>Amburgo</t>
  </si>
  <si>
    <t>Berlino</t>
  </si>
  <si>
    <t>Munich</t>
  </si>
  <si>
    <t>Monaco</t>
  </si>
  <si>
    <t>User defined</t>
  </si>
  <si>
    <t>Scelta dell'utente</t>
  </si>
  <si>
    <t>absolute maximum temperature</t>
  </si>
  <si>
    <t>Temperatura assoluta più elevata</t>
  </si>
  <si>
    <t>averaged max. temperature</t>
  </si>
  <si>
    <t>Temperatura assoluta media</t>
  </si>
  <si>
    <t>Iniziare</t>
  </si>
  <si>
    <t>to the calculation</t>
  </si>
  <si>
    <t>Al calcolo</t>
  </si>
  <si>
    <t>climate data for location:</t>
  </si>
  <si>
    <t>Dati climatici del luogo:</t>
  </si>
  <si>
    <t>monthly values</t>
  </si>
  <si>
    <t>Valori mensili</t>
  </si>
  <si>
    <t>average temperature</t>
  </si>
  <si>
    <t>Temperatura media</t>
  </si>
  <si>
    <t>average maximum temperature</t>
  </si>
  <si>
    <t>Media delle temperature massime</t>
  </si>
  <si>
    <t>average minimum temperature</t>
  </si>
  <si>
    <t>Media delle temperature minime</t>
  </si>
  <si>
    <t>Temperatura massima più elevata</t>
  </si>
  <si>
    <t>absolute minimum temperature</t>
  </si>
  <si>
    <t>Temperatura minima più bassa</t>
  </si>
  <si>
    <t>average relative air humidity</t>
  </si>
  <si>
    <t>Umidità relativa media</t>
  </si>
  <si>
    <t>January</t>
  </si>
  <si>
    <t>Gennaio</t>
  </si>
  <si>
    <t>February</t>
  </si>
  <si>
    <t>Febbraio</t>
  </si>
  <si>
    <t>March</t>
  </si>
  <si>
    <t>Marzo</t>
  </si>
  <si>
    <t>Aprile</t>
  </si>
  <si>
    <t>May</t>
  </si>
  <si>
    <t>Maggio</t>
  </si>
  <si>
    <t>June</t>
  </si>
  <si>
    <t>Giugno</t>
  </si>
  <si>
    <t>July</t>
  </si>
  <si>
    <t>Luglio</t>
  </si>
  <si>
    <t>Agosto</t>
  </si>
  <si>
    <t>Settembre</t>
  </si>
  <si>
    <t>October</t>
  </si>
  <si>
    <t>Ottobre</t>
  </si>
  <si>
    <t>December</t>
  </si>
  <si>
    <t>Dicembre</t>
  </si>
  <si>
    <t>back</t>
  </si>
  <si>
    <t>indietro</t>
  </si>
  <si>
    <t>save</t>
  </si>
  <si>
    <t>salvare</t>
  </si>
  <si>
    <t>Condensate trap</t>
  </si>
  <si>
    <t>Scaricatore di condensa</t>
  </si>
  <si>
    <t>Standart value:
1,4</t>
  </si>
  <si>
    <t>Standart value:
287 J/(kgK)</t>
  </si>
  <si>
    <t>Valeur standard : 
1,4</t>
  </si>
  <si>
    <t>Valore standard:
1,4</t>
  </si>
  <si>
    <t>Valore standart:
287 J/(kgK)</t>
  </si>
  <si>
    <t>Valeur standart:
287 J/(kgK)</t>
  </si>
  <si>
    <t>Basel-Binningen</t>
  </si>
  <si>
    <t>n.r.</t>
  </si>
  <si>
    <t>Bern-Liebefeld</t>
  </si>
  <si>
    <t>Chur</t>
  </si>
  <si>
    <t>Geneve-Cointrin</t>
  </si>
  <si>
    <t>Lugano</t>
  </si>
  <si>
    <t>Luzern</t>
  </si>
  <si>
    <t>Schaffhausen</t>
  </si>
  <si>
    <t>Zürich Meteo-Schweiz</t>
  </si>
  <si>
    <t>Berlin (D)</t>
  </si>
  <si>
    <t>Hamburg (D)</t>
  </si>
  <si>
    <t>Karlsruhe (D)</t>
  </si>
  <si>
    <t>München (D)</t>
  </si>
  <si>
    <t>Basel (CH)</t>
  </si>
  <si>
    <t>Bern (CH)</t>
  </si>
  <si>
    <t>Chur (CH)</t>
  </si>
  <si>
    <t>Genf (CH)</t>
  </si>
  <si>
    <t>Lugano (CH)</t>
  </si>
  <si>
    <t>Luzern (CH)</t>
  </si>
  <si>
    <t>Schaffhausen (CH)</t>
  </si>
  <si>
    <t>Zuerich (CH)</t>
  </si>
  <si>
    <t>oder Temperarturunterschied ggü. Ansaugluft</t>
  </si>
  <si>
    <t>or temperature difference compared to inlet air</t>
  </si>
  <si>
    <t>oppure Differenza di temperatura rispetto all'aria aspirata</t>
  </si>
  <si>
    <t>eng: zurücksetzen</t>
  </si>
  <si>
    <t>fr: zurücksetzen</t>
  </si>
  <si>
    <t>it: zurücksetzen</t>
  </si>
  <si>
    <t>fr: oder Temperarturunterschied ggü. Ansaugluft</t>
  </si>
  <si>
    <t>Annahme: monatliche absolute maximale Temperatur 7,5 °C höher als monatliche mittlere maximale Temperatur; Quelle: MeteoSchweiz</t>
  </si>
  <si>
    <t>Annahme: monatliche absolute maximale Temperatur 5 °C höher als monatliche mittlere maximale Temperatur; Quelle: MeteoSchweiz</t>
  </si>
  <si>
    <t>eng: Annahme: monatliche absolute maximale Temperatur 7,5 °C höher als monatliche mittlere maximale Temperatur; Quelle: MeteoSchweiz</t>
  </si>
  <si>
    <t>eng: Annahme: monatliche absolute maximale Temperatur 5 °C höher als monatliche mittlere maximale Temperatur; Quelle: MeteoSchweiz</t>
  </si>
  <si>
    <t>fr: Annahme: monatliche absolute maximale Temperatur 7,5 °C höher als monatliche mittlere maximale Temperatur; Quelle: MeteoSchweiz</t>
  </si>
  <si>
    <t>fr: Annahme: monatliche absolute maximale Temperatur 5 °C höher als monatliche mittlere maximale Temperatur; Quelle: MeteoSchweiz</t>
  </si>
  <si>
    <t>it: Annahme: monatliche absolute maximale Temperatur 7,5 °C höher als monatliche mittlere maximale Temperatur; Quelle: MeteoSchweiz</t>
  </si>
  <si>
    <t>it: Annahme: monatliche absolute maximale Temperatur 5 °C höher als monatliche mittlere maximale Temperatur; Quelle: MeteoSchweiz</t>
  </si>
  <si>
    <t>CHF/m³</t>
  </si>
  <si>
    <t>CHF/kWh</t>
  </si>
  <si>
    <t>CHF/a</t>
  </si>
  <si>
    <t>v2.1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</si>
</sst>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_-* #,##0.00\ [$€]_-;\-* #,##0.00\ [$€]_-;_-* &quot;-&quot;??\ [$€]_-;_-@_-"/>
    <numFmt numFmtId="167" formatCode=";;;"/>
  </numFmts>
  <fonts count="36">
    <font>
      <sz val="11"/>
      <name val="Arial"/>
    </font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i/>
      <sz val="11"/>
      <name val="Arial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6"/>
      <name val="Arial"/>
      <family val="2"/>
    </font>
    <font>
      <sz val="11"/>
      <name val="Arial"/>
      <family val="2"/>
    </font>
    <font>
      <b/>
      <sz val="11"/>
      <color indexed="32"/>
      <name val="Times New Roman"/>
      <family val="1"/>
    </font>
    <font>
      <sz val="11"/>
      <name val="Times New Roman"/>
      <family val="1"/>
    </font>
    <font>
      <sz val="11"/>
      <color indexed="32"/>
      <name val="Times New Roman"/>
      <family val="1"/>
    </font>
    <font>
      <b/>
      <sz val="11"/>
      <color indexed="24"/>
      <name val="Times New Roman"/>
      <family val="1"/>
    </font>
    <font>
      <sz val="11"/>
      <color indexed="24"/>
      <name val="Times New Roman"/>
      <family val="1"/>
    </font>
    <font>
      <sz val="11"/>
      <color indexed="22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9"/>
      <name val="Times New Roman"/>
      <family val="1"/>
    </font>
    <font>
      <sz val="11"/>
      <color indexed="8"/>
      <name val="Times New Roman"/>
      <family val="1"/>
    </font>
    <font>
      <sz val="8"/>
      <color indexed="81"/>
      <name val="Tahoma"/>
    </font>
    <font>
      <b/>
      <sz val="12"/>
      <color indexed="32"/>
      <name val="Times New Roman"/>
      <family val="1"/>
    </font>
    <font>
      <b/>
      <sz val="14"/>
      <color indexed="33"/>
      <name val="Times New Roman"/>
      <family val="1"/>
    </font>
    <font>
      <sz val="10"/>
      <color indexed="34"/>
      <name val="Times New Roman"/>
      <family val="1"/>
    </font>
    <font>
      <sz val="11"/>
      <color indexed="34"/>
      <name val="Arial"/>
    </font>
    <font>
      <b/>
      <sz val="10"/>
      <color indexed="34"/>
      <name val="Times New Roman"/>
      <family val="1"/>
    </font>
    <font>
      <b/>
      <sz val="11"/>
      <color indexed="33"/>
      <name val="Times New Roman"/>
      <family val="1"/>
    </font>
    <font>
      <b/>
      <sz val="14"/>
      <color indexed="34"/>
      <name val="Times New Roman"/>
      <family val="1"/>
    </font>
    <font>
      <sz val="11"/>
      <color indexed="34"/>
      <name val="Times New Roman"/>
      <family val="1"/>
    </font>
    <font>
      <b/>
      <sz val="11"/>
      <color indexed="34"/>
      <name val="Times New Roman"/>
      <family val="1"/>
    </font>
    <font>
      <sz val="9"/>
      <color indexed="34"/>
      <name val="Times New Roman"/>
      <family val="1"/>
    </font>
    <font>
      <b/>
      <sz val="11"/>
      <name val="Arial"/>
      <family val="2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/>
      <top style="thin">
        <color indexed="32"/>
      </top>
      <bottom/>
      <diagonal/>
    </border>
    <border>
      <left style="thin">
        <color indexed="32"/>
      </left>
      <right/>
      <top/>
      <bottom style="thin">
        <color indexed="32"/>
      </bottom>
      <diagonal/>
    </border>
    <border>
      <left/>
      <right/>
      <top/>
      <bottom style="thin">
        <color indexed="3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16">
    <xf numFmtId="0" fontId="0" fillId="0" borderId="0" xfId="0"/>
    <xf numFmtId="0" fontId="4" fillId="0" borderId="0" xfId="5" applyFill="1"/>
    <xf numFmtId="0" fontId="4" fillId="2" borderId="1" xfId="3" applyFill="1" applyBorder="1"/>
    <xf numFmtId="1" fontId="4" fillId="3" borderId="1" xfId="3" applyNumberFormat="1" applyFill="1" applyBorder="1" applyProtection="1">
      <protection locked="0"/>
    </xf>
    <xf numFmtId="0" fontId="3" fillId="2" borderId="1" xfId="3" applyFont="1" applyFill="1" applyBorder="1" applyAlignment="1">
      <alignment wrapText="1"/>
    </xf>
    <xf numFmtId="1" fontId="4" fillId="2" borderId="1" xfId="3" applyNumberFormat="1" applyFill="1" applyBorder="1"/>
    <xf numFmtId="49" fontId="4" fillId="0" borderId="0" xfId="3" applyNumberFormat="1" applyBorder="1" applyAlignment="1">
      <alignment wrapText="1"/>
    </xf>
    <xf numFmtId="2" fontId="4" fillId="0" borderId="0" xfId="3" applyNumberFormat="1" applyBorder="1" applyAlignment="1">
      <alignment horizontal="center" wrapText="1"/>
    </xf>
    <xf numFmtId="0" fontId="4" fillId="0" borderId="0" xfId="3" applyBorder="1"/>
    <xf numFmtId="0" fontId="4" fillId="0" borderId="0" xfId="3" applyAlignment="1">
      <alignment wrapText="1"/>
    </xf>
    <xf numFmtId="0" fontId="4" fillId="0" borderId="0" xfId="3"/>
    <xf numFmtId="164" fontId="4" fillId="0" borderId="0" xfId="3" applyNumberFormat="1"/>
    <xf numFmtId="2" fontId="4" fillId="0" borderId="0" xfId="3" applyNumberFormat="1"/>
    <xf numFmtId="0" fontId="6" fillId="0" borderId="1" xfId="3" applyNumberFormat="1" applyFont="1" applyBorder="1"/>
    <xf numFmtId="164" fontId="4" fillId="0" borderId="1" xfId="3" applyNumberFormat="1" applyBorder="1"/>
    <xf numFmtId="0" fontId="4" fillId="0" borderId="1" xfId="3" applyNumberFormat="1" applyBorder="1"/>
    <xf numFmtId="2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9" fontId="0" fillId="0" borderId="0" xfId="0" quotePrefix="1" applyNumberFormat="1"/>
    <xf numFmtId="0" fontId="0" fillId="0" borderId="0" xfId="0" quotePrefix="1"/>
    <xf numFmtId="1" fontId="0" fillId="0" borderId="0" xfId="0" applyNumberFormat="1"/>
    <xf numFmtId="0" fontId="4" fillId="0" borderId="0" xfId="4"/>
    <xf numFmtId="0" fontId="9" fillId="0" borderId="0" xfId="4" applyFont="1" applyAlignment="1">
      <alignment horizontal="center"/>
    </xf>
    <xf numFmtId="0" fontId="4" fillId="0" borderId="0" xfId="4" applyAlignment="1">
      <alignment wrapText="1"/>
    </xf>
    <xf numFmtId="9" fontId="4" fillId="0" borderId="0" xfId="4" applyNumberFormat="1"/>
    <xf numFmtId="9" fontId="4" fillId="0" borderId="0" xfId="2" applyFont="1"/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/>
    <xf numFmtId="0" fontId="3" fillId="5" borderId="6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164" fontId="3" fillId="4" borderId="0" xfId="0" applyNumberFormat="1" applyFont="1" applyFill="1"/>
    <xf numFmtId="0" fontId="3" fillId="2" borderId="7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right" wrapText="1"/>
    </xf>
    <xf numFmtId="0" fontId="3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5" borderId="11" xfId="0" applyFont="1" applyFill="1" applyBorder="1"/>
    <xf numFmtId="2" fontId="3" fillId="6" borderId="1" xfId="0" applyNumberFormat="1" applyFont="1" applyFill="1" applyBorder="1"/>
    <xf numFmtId="1" fontId="3" fillId="6" borderId="1" xfId="0" applyNumberFormat="1" applyFont="1" applyFill="1" applyBorder="1"/>
    <xf numFmtId="1" fontId="3" fillId="3" borderId="1" xfId="0" applyNumberFormat="1" applyFont="1" applyFill="1" applyBorder="1"/>
    <xf numFmtId="0" fontId="8" fillId="0" borderId="0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2" fillId="4" borderId="0" xfId="0" applyNumberFormat="1" applyFont="1" applyFill="1"/>
    <xf numFmtId="0" fontId="0" fillId="4" borderId="0" xfId="0" applyFill="1"/>
    <xf numFmtId="0" fontId="3" fillId="4" borderId="0" xfId="0" applyFont="1" applyFill="1" applyBorder="1"/>
    <xf numFmtId="0" fontId="1" fillId="4" borderId="0" xfId="0" applyFont="1" applyFill="1" applyAlignment="1">
      <alignment horizontal="left"/>
    </xf>
    <xf numFmtId="0" fontId="12" fillId="2" borderId="0" xfId="0" applyFont="1" applyFill="1" applyProtection="1">
      <protection hidden="1"/>
    </xf>
    <xf numFmtId="0" fontId="15" fillId="7" borderId="6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167" fontId="12" fillId="2" borderId="0" xfId="0" applyNumberFormat="1" applyFont="1" applyFill="1" applyProtection="1">
      <protection hidden="1"/>
    </xf>
    <xf numFmtId="0" fontId="12" fillId="2" borderId="5" xfId="0" applyFont="1" applyFill="1" applyBorder="1" applyAlignment="1" applyProtection="1">
      <alignment wrapText="1"/>
      <protection hidden="1"/>
    </xf>
    <xf numFmtId="167" fontId="12" fillId="2" borderId="0" xfId="0" applyNumberFormat="1" applyFont="1" applyFill="1" applyProtection="1">
      <protection locked="0" hidden="1"/>
    </xf>
    <xf numFmtId="2" fontId="12" fillId="2" borderId="0" xfId="0" applyNumberFormat="1" applyFont="1" applyFill="1" applyProtection="1">
      <protection hidden="1"/>
    </xf>
    <xf numFmtId="0" fontId="12" fillId="2" borderId="14" xfId="0" applyFont="1" applyFill="1" applyBorder="1" applyAlignment="1" applyProtection="1">
      <alignment wrapText="1"/>
      <protection hidden="1"/>
    </xf>
    <xf numFmtId="0" fontId="16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5" fillId="7" borderId="13" xfId="0" applyFont="1" applyFill="1" applyBorder="1" applyAlignment="1" applyProtection="1">
      <alignment vertical="top"/>
      <protection hidden="1"/>
    </xf>
    <xf numFmtId="0" fontId="15" fillId="7" borderId="15" xfId="0" applyFont="1" applyFill="1" applyBorder="1" applyAlignment="1" applyProtection="1">
      <alignment vertical="top"/>
      <protection hidden="1"/>
    </xf>
    <xf numFmtId="0" fontId="12" fillId="2" borderId="0" xfId="0" applyFont="1" applyFill="1" applyBorder="1" applyAlignment="1" applyProtection="1">
      <alignment vertical="top"/>
      <protection hidden="1"/>
    </xf>
    <xf numFmtId="0" fontId="15" fillId="7" borderId="13" xfId="0" applyFont="1" applyFill="1" applyBorder="1" applyProtection="1">
      <protection locked="0"/>
    </xf>
    <xf numFmtId="0" fontId="15" fillId="7" borderId="15" xfId="0" applyFont="1" applyFill="1" applyBorder="1" applyProtection="1">
      <protection locked="0"/>
    </xf>
    <xf numFmtId="0" fontId="18" fillId="2" borderId="0" xfId="0" applyFont="1" applyFill="1" applyProtection="1">
      <protection hidden="1"/>
    </xf>
    <xf numFmtId="0" fontId="12" fillId="2" borderId="14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left"/>
      <protection hidden="1"/>
    </xf>
    <xf numFmtId="0" fontId="0" fillId="0" borderId="0" xfId="0" applyBorder="1"/>
    <xf numFmtId="167" fontId="16" fillId="2" borderId="0" xfId="0" applyNumberFormat="1" applyFont="1" applyFill="1" applyProtection="1"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5" fillId="7" borderId="5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24" fillId="2" borderId="0" xfId="5" applyFont="1" applyFill="1" applyBorder="1" applyAlignment="1" applyProtection="1">
      <protection hidden="1"/>
    </xf>
    <xf numFmtId="0" fontId="25" fillId="0" borderId="0" xfId="0" applyFont="1" applyBorder="1"/>
    <xf numFmtId="0" fontId="26" fillId="2" borderId="0" xfId="5" applyFont="1" applyFill="1" applyBorder="1" applyAlignment="1" applyProtection="1">
      <protection hidden="1"/>
    </xf>
    <xf numFmtId="0" fontId="27" fillId="7" borderId="11" xfId="0" applyFont="1" applyFill="1" applyBorder="1" applyAlignment="1" applyProtection="1">
      <alignment horizontal="left" vertical="center"/>
      <protection hidden="1"/>
    </xf>
    <xf numFmtId="0" fontId="27" fillId="7" borderId="11" xfId="0" applyFont="1" applyFill="1" applyBorder="1" applyProtection="1">
      <protection hidden="1"/>
    </xf>
    <xf numFmtId="0" fontId="28" fillId="8" borderId="0" xfId="0" applyFont="1" applyFill="1" applyAlignment="1" applyProtection="1">
      <alignment vertical="top"/>
      <protection hidden="1"/>
    </xf>
    <xf numFmtId="0" fontId="29" fillId="9" borderId="6" xfId="0" applyFont="1" applyFill="1" applyBorder="1" applyAlignment="1" applyProtection="1">
      <alignment horizontal="center" vertical="center"/>
      <protection hidden="1"/>
    </xf>
    <xf numFmtId="0" fontId="29" fillId="2" borderId="1" xfId="0" applyFont="1" applyFill="1" applyBorder="1" applyProtection="1">
      <protection locked="0"/>
    </xf>
    <xf numFmtId="0" fontId="29" fillId="9" borderId="5" xfId="0" applyFont="1" applyFill="1" applyBorder="1" applyAlignment="1" applyProtection="1">
      <alignment horizontal="center" vertical="center"/>
      <protection hidden="1"/>
    </xf>
    <xf numFmtId="0" fontId="29" fillId="10" borderId="1" xfId="0" applyFont="1" applyFill="1" applyBorder="1" applyProtection="1">
      <protection locked="0"/>
    </xf>
    <xf numFmtId="0" fontId="29" fillId="9" borderId="12" xfId="0" applyFont="1" applyFill="1" applyBorder="1" applyAlignment="1" applyProtection="1">
      <alignment horizontal="center" vertical="center"/>
      <protection hidden="1"/>
    </xf>
    <xf numFmtId="0" fontId="29" fillId="9" borderId="13" xfId="0" applyFont="1" applyFill="1" applyBorder="1" applyProtection="1">
      <protection hidden="1"/>
    </xf>
    <xf numFmtId="0" fontId="29" fillId="9" borderId="10" xfId="0" applyFont="1" applyFill="1" applyBorder="1" applyAlignment="1" applyProtection="1">
      <alignment wrapText="1"/>
      <protection hidden="1"/>
    </xf>
    <xf numFmtId="0" fontId="29" fillId="9" borderId="14" xfId="0" applyFont="1" applyFill="1" applyBorder="1" applyAlignment="1" applyProtection="1">
      <alignment horizontal="center" vertical="center"/>
      <protection hidden="1"/>
    </xf>
    <xf numFmtId="0" fontId="29" fillId="9" borderId="15" xfId="0" applyFont="1" applyFill="1" applyBorder="1" applyProtection="1">
      <protection hidden="1"/>
    </xf>
    <xf numFmtId="0" fontId="30" fillId="9" borderId="11" xfId="0" applyFont="1" applyFill="1" applyBorder="1" applyAlignment="1" applyProtection="1">
      <alignment wrapText="1"/>
      <protection hidden="1"/>
    </xf>
    <xf numFmtId="0" fontId="29" fillId="9" borderId="6" xfId="0" applyFont="1" applyFill="1" applyBorder="1" applyProtection="1">
      <protection locked="0"/>
    </xf>
    <xf numFmtId="0" fontId="29" fillId="9" borderId="9" xfId="0" applyFont="1" applyFill="1" applyBorder="1" applyAlignment="1" applyProtection="1">
      <alignment horizontal="center" vertical="center"/>
      <protection hidden="1"/>
    </xf>
    <xf numFmtId="0" fontId="30" fillId="9" borderId="10" xfId="0" applyFont="1" applyFill="1" applyBorder="1" applyAlignment="1" applyProtection="1">
      <alignment horizontal="left" wrapText="1"/>
      <protection hidden="1"/>
    </xf>
    <xf numFmtId="0" fontId="30" fillId="9" borderId="11" xfId="0" applyFont="1" applyFill="1" applyBorder="1" applyAlignment="1" applyProtection="1">
      <alignment horizontal="center" wrapText="1"/>
      <protection hidden="1"/>
    </xf>
    <xf numFmtId="0" fontId="29" fillId="9" borderId="13" xfId="0" applyFont="1" applyFill="1" applyBorder="1" applyAlignment="1" applyProtection="1">
      <alignment horizontal="center" vertical="center"/>
      <protection hidden="1"/>
    </xf>
    <xf numFmtId="0" fontId="29" fillId="9" borderId="8" xfId="0" applyFont="1" applyFill="1" applyBorder="1" applyAlignment="1" applyProtection="1">
      <protection hidden="1"/>
    </xf>
    <xf numFmtId="0" fontId="29" fillId="9" borderId="10" xfId="0" applyFont="1" applyFill="1" applyBorder="1" applyAlignment="1" applyProtection="1">
      <protection hidden="1"/>
    </xf>
    <xf numFmtId="0" fontId="29" fillId="9" borderId="1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31" fillId="10" borderId="1" xfId="0" applyFont="1" applyFill="1" applyBorder="1" applyAlignment="1" applyProtection="1">
      <alignment horizontal="left" vertical="center"/>
      <protection hidden="1"/>
    </xf>
    <xf numFmtId="0" fontId="31" fillId="11" borderId="1" xfId="0" applyFont="1" applyFill="1" applyBorder="1" applyAlignment="1" applyProtection="1">
      <alignment horizontal="left" vertical="center"/>
      <protection hidden="1"/>
    </xf>
    <xf numFmtId="0" fontId="12" fillId="7" borderId="0" xfId="0" applyFont="1" applyFill="1" applyProtection="1"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23" fillId="7" borderId="0" xfId="0" applyFont="1" applyFill="1" applyAlignment="1" applyProtection="1">
      <alignment vertical="top"/>
      <protection hidden="1"/>
    </xf>
    <xf numFmtId="0" fontId="20" fillId="7" borderId="14" xfId="0" applyFont="1" applyFill="1" applyBorder="1" applyAlignment="1" applyProtection="1">
      <alignment horizontal="center" vertical="center"/>
      <protection hidden="1"/>
    </xf>
    <xf numFmtId="0" fontId="20" fillId="9" borderId="5" xfId="0" applyFont="1" applyFill="1" applyBorder="1" applyAlignment="1" applyProtection="1">
      <alignment horizontal="center"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0" fontId="20" fillId="9" borderId="0" xfId="0" applyFont="1" applyFill="1" applyAlignment="1" applyProtection="1">
      <alignment horizontal="center" vertical="center"/>
      <protection hidden="1"/>
    </xf>
    <xf numFmtId="164" fontId="29" fillId="11" borderId="1" xfId="0" applyNumberFormat="1" applyFont="1" applyFill="1" applyBorder="1" applyAlignment="1" applyProtection="1">
      <alignment shrinkToFit="1"/>
      <protection hidden="1"/>
    </xf>
    <xf numFmtId="1" fontId="29" fillId="11" borderId="1" xfId="0" applyNumberFormat="1" applyFont="1" applyFill="1" applyBorder="1" applyAlignment="1" applyProtection="1">
      <alignment shrinkToFit="1"/>
      <protection hidden="1"/>
    </xf>
    <xf numFmtId="2" fontId="29" fillId="11" borderId="1" xfId="0" applyNumberFormat="1" applyFont="1" applyFill="1" applyBorder="1" applyAlignment="1" applyProtection="1">
      <alignment shrinkToFit="1"/>
      <protection hidden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32" fillId="0" borderId="0" xfId="0" applyFont="1" applyAlignment="1">
      <alignment vertical="center"/>
    </xf>
    <xf numFmtId="0" fontId="20" fillId="2" borderId="1" xfId="0" applyFont="1" applyFill="1" applyBorder="1" applyProtection="1">
      <protection locked="0"/>
    </xf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23" fillId="7" borderId="19" xfId="5" applyFont="1" applyFill="1" applyBorder="1" applyAlignment="1" applyProtection="1">
      <protection hidden="1"/>
    </xf>
    <xf numFmtId="0" fontId="0" fillId="7" borderId="19" xfId="0" applyFill="1" applyBorder="1"/>
    <xf numFmtId="0" fontId="29" fillId="9" borderId="11" xfId="0" applyFont="1" applyFill="1" applyBorder="1" applyAlignment="1" applyProtection="1">
      <alignment shrinkToFit="1"/>
      <protection hidden="1"/>
    </xf>
    <xf numFmtId="0" fontId="29" fillId="9" borderId="7" xfId="0" applyFont="1" applyFill="1" applyBorder="1" applyAlignment="1" applyProtection="1">
      <alignment shrinkToFit="1"/>
      <protection hidden="1"/>
    </xf>
    <xf numFmtId="0" fontId="29" fillId="9" borderId="10" xfId="0" applyFont="1" applyFill="1" applyBorder="1" applyAlignment="1" applyProtection="1">
      <alignment horizontal="left" shrinkToFit="1"/>
      <protection hidden="1"/>
    </xf>
    <xf numFmtId="0" fontId="29" fillId="9" borderId="8" xfId="0" applyFont="1" applyFill="1" applyBorder="1" applyAlignment="1" applyProtection="1">
      <alignment horizontal="left" indent="3" shrinkToFit="1"/>
      <protection hidden="1"/>
    </xf>
    <xf numFmtId="0" fontId="29" fillId="9" borderId="10" xfId="0" applyFont="1" applyFill="1" applyBorder="1" applyAlignment="1" applyProtection="1">
      <alignment horizontal="left" indent="3" shrinkToFit="1"/>
      <protection hidden="1"/>
    </xf>
    <xf numFmtId="0" fontId="28" fillId="8" borderId="0" xfId="0" applyFont="1" applyFill="1" applyAlignment="1" applyProtection="1">
      <alignment shrinkToFit="1"/>
      <protection hidden="1"/>
    </xf>
    <xf numFmtId="0" fontId="28" fillId="8" borderId="0" xfId="0" applyFont="1" applyFill="1" applyAlignment="1" applyProtection="1">
      <protection hidden="1"/>
    </xf>
    <xf numFmtId="0" fontId="12" fillId="8" borderId="0" xfId="0" applyFont="1" applyFill="1" applyAlignment="1" applyProtection="1">
      <alignment shrinkToFit="1"/>
      <protection hidden="1"/>
    </xf>
    <xf numFmtId="0" fontId="13" fillId="8" borderId="0" xfId="0" applyFont="1" applyFill="1" applyAlignment="1" applyProtection="1">
      <alignment shrinkToFit="1"/>
      <protection hidden="1"/>
    </xf>
    <xf numFmtId="0" fontId="11" fillId="8" borderId="0" xfId="0" applyFont="1" applyFill="1" applyAlignment="1" applyProtection="1">
      <alignment shrinkToFit="1"/>
      <protection hidden="1"/>
    </xf>
    <xf numFmtId="0" fontId="15" fillId="0" borderId="14" xfId="0" applyFont="1" applyFill="1" applyBorder="1" applyAlignment="1" applyProtection="1">
      <alignment shrinkToFit="1"/>
      <protection hidden="1"/>
    </xf>
    <xf numFmtId="0" fontId="12" fillId="0" borderId="0" xfId="0" applyFont="1" applyFill="1" applyBorder="1" applyAlignment="1" applyProtection="1">
      <alignment shrinkToFit="1"/>
      <protection hidden="1"/>
    </xf>
    <xf numFmtId="0" fontId="22" fillId="9" borderId="1" xfId="0" applyFont="1" applyFill="1" applyBorder="1" applyAlignment="1" applyProtection="1">
      <alignment vertical="center" shrinkToFit="1"/>
      <protection hidden="1"/>
    </xf>
    <xf numFmtId="0" fontId="13" fillId="9" borderId="1" xfId="0" applyFont="1" applyFill="1" applyBorder="1" applyAlignment="1" applyProtection="1">
      <alignment horizontal="center" vertical="center" shrinkToFit="1"/>
      <protection hidden="1"/>
    </xf>
    <xf numFmtId="164" fontId="12" fillId="8" borderId="0" xfId="0" applyNumberFormat="1" applyFont="1" applyFill="1" applyAlignment="1" applyProtection="1">
      <alignment shrinkToFit="1"/>
      <protection hidden="1"/>
    </xf>
    <xf numFmtId="0" fontId="12" fillId="8" borderId="0" xfId="0" applyFont="1" applyFill="1" applyBorder="1" applyAlignment="1" applyProtection="1">
      <alignment shrinkToFit="1"/>
      <protection hidden="1"/>
    </xf>
    <xf numFmtId="0" fontId="29" fillId="2" borderId="1" xfId="0" applyFont="1" applyFill="1" applyBorder="1" applyAlignment="1" applyProtection="1">
      <protection locked="0"/>
    </xf>
    <xf numFmtId="165" fontId="29" fillId="11" borderId="1" xfId="0" applyNumberFormat="1" applyFont="1" applyFill="1" applyBorder="1" applyAlignment="1" applyProtection="1">
      <protection hidden="1"/>
    </xf>
    <xf numFmtId="167" fontId="29" fillId="2" borderId="8" xfId="0" applyNumberFormat="1" applyFont="1" applyFill="1" applyBorder="1" applyAlignment="1" applyProtection="1">
      <protection hidden="1"/>
    </xf>
    <xf numFmtId="0" fontId="1" fillId="0" borderId="0" xfId="0" applyFont="1" applyAlignment="1">
      <alignment vertical="center" wrapText="1"/>
    </xf>
    <xf numFmtId="0" fontId="29" fillId="10" borderId="1" xfId="0" applyFont="1" applyFill="1" applyBorder="1" applyAlignment="1" applyProtection="1">
      <protection locked="0" hidden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0" fillId="10" borderId="0" xfId="0" applyFill="1" applyAlignment="1"/>
    <xf numFmtId="164" fontId="0" fillId="0" borderId="0" xfId="0" applyNumberFormat="1" applyAlignment="1"/>
    <xf numFmtId="0" fontId="0" fillId="0" borderId="0" xfId="0" applyAlignment="1"/>
    <xf numFmtId="0" fontId="0" fillId="10" borderId="0" xfId="0" applyFill="1" applyAlignment="1">
      <alignment horizontal="right"/>
    </xf>
    <xf numFmtId="0" fontId="0" fillId="10" borderId="0" xfId="0" applyFill="1" applyAlignment="1">
      <alignment horizontal="center"/>
    </xf>
    <xf numFmtId="0" fontId="10" fillId="10" borderId="0" xfId="0" applyFont="1" applyFill="1" applyAlignment="1"/>
    <xf numFmtId="164" fontId="10" fillId="0" borderId="0" xfId="0" applyNumberFormat="1" applyFont="1" applyAlignment="1"/>
    <xf numFmtId="0" fontId="10" fillId="0" borderId="0" xfId="0" applyFont="1" applyAlignment="1"/>
    <xf numFmtId="0" fontId="10" fillId="10" borderId="0" xfId="0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5" fillId="8" borderId="0" xfId="0" applyFont="1" applyFill="1" applyBorder="1" applyAlignment="1" applyProtection="1">
      <protection hidden="1"/>
    </xf>
    <xf numFmtId="0" fontId="12" fillId="8" borderId="20" xfId="0" applyFont="1" applyFill="1" applyBorder="1" applyAlignment="1" applyProtection="1">
      <alignment horizontal="center" vertical="top" shrinkToFit="1"/>
      <protection locked="0" hidden="1"/>
    </xf>
    <xf numFmtId="0" fontId="12" fillId="8" borderId="21" xfId="0" applyFont="1" applyFill="1" applyBorder="1" applyAlignment="1" applyProtection="1">
      <alignment horizontal="center" vertical="top" shrinkToFit="1"/>
      <protection locked="0" hidden="1"/>
    </xf>
    <xf numFmtId="0" fontId="12" fillId="8" borderId="22" xfId="0" applyFont="1" applyFill="1" applyBorder="1" applyAlignment="1" applyProtection="1">
      <alignment horizontal="center" vertical="top" shrinkToFit="1"/>
      <protection locked="0" hidden="1"/>
    </xf>
    <xf numFmtId="0" fontId="12" fillId="8" borderId="23" xfId="0" applyFont="1" applyFill="1" applyBorder="1" applyAlignment="1" applyProtection="1">
      <alignment horizontal="center" vertical="top" shrinkToFit="1"/>
      <protection locked="0" hidden="1"/>
    </xf>
    <xf numFmtId="0" fontId="12" fillId="8" borderId="24" xfId="0" applyFont="1" applyFill="1" applyBorder="1" applyAlignment="1" applyProtection="1">
      <alignment horizontal="center" vertical="top" shrinkToFit="1"/>
      <protection locked="0" hidden="1"/>
    </xf>
    <xf numFmtId="0" fontId="12" fillId="8" borderId="25" xfId="0" applyFont="1" applyFill="1" applyBorder="1" applyAlignment="1" applyProtection="1">
      <alignment horizontal="center" vertical="top" shrinkToFit="1"/>
      <protection locked="0" hidden="1"/>
    </xf>
    <xf numFmtId="0" fontId="12" fillId="8" borderId="26" xfId="0" applyFont="1" applyFill="1" applyBorder="1" applyAlignment="1" applyProtection="1">
      <alignment horizontal="center" vertical="top" shrinkToFit="1"/>
      <protection locked="0" hidden="1"/>
    </xf>
    <xf numFmtId="0" fontId="12" fillId="8" borderId="27" xfId="0" applyFont="1" applyFill="1" applyBorder="1" applyAlignment="1" applyProtection="1">
      <alignment horizontal="center" vertical="top" shrinkToFit="1"/>
      <protection locked="0" hidden="1"/>
    </xf>
    <xf numFmtId="0" fontId="12" fillId="8" borderId="28" xfId="0" applyFont="1" applyFill="1" applyBorder="1" applyAlignment="1" applyProtection="1">
      <alignment horizontal="center" vertical="top" shrinkToFit="1"/>
      <protection locked="0" hidden="1"/>
    </xf>
    <xf numFmtId="0" fontId="4" fillId="0" borderId="0" xfId="5" applyFont="1" applyFill="1"/>
    <xf numFmtId="3" fontId="28" fillId="11" borderId="1" xfId="0" applyNumberFormat="1" applyFont="1" applyFill="1" applyBorder="1" applyAlignment="1" applyProtection="1">
      <alignment vertical="center" shrinkToFit="1"/>
      <protection hidden="1"/>
    </xf>
    <xf numFmtId="0" fontId="27" fillId="7" borderId="7" xfId="0" applyFont="1" applyFill="1" applyBorder="1" applyAlignment="1" applyProtection="1">
      <alignment horizontal="left" vertical="center"/>
      <protection hidden="1"/>
    </xf>
    <xf numFmtId="0" fontId="27" fillId="7" borderId="10" xfId="0" applyFont="1" applyFill="1" applyBorder="1" applyAlignment="1" applyProtection="1">
      <alignment horizontal="left" vertical="center"/>
      <protection hidden="1"/>
    </xf>
    <xf numFmtId="0" fontId="30" fillId="9" borderId="11" xfId="0" applyFont="1" applyFill="1" applyBorder="1" applyAlignment="1" applyProtection="1">
      <alignment horizontal="left" wrapText="1"/>
      <protection hidden="1"/>
    </xf>
    <xf numFmtId="0" fontId="30" fillId="9" borderId="13" xfId="0" applyFont="1" applyFill="1" applyBorder="1" applyAlignment="1" applyProtection="1">
      <alignment horizontal="center" vertical="center"/>
      <protection hidden="1"/>
    </xf>
    <xf numFmtId="0" fontId="30" fillId="9" borderId="15" xfId="0" applyFont="1" applyFill="1" applyBorder="1" applyAlignment="1" applyProtection="1">
      <alignment horizontal="center" vertical="center"/>
      <protection hidden="1"/>
    </xf>
    <xf numFmtId="3" fontId="28" fillId="11" borderId="29" xfId="0" applyNumberFormat="1" applyFont="1" applyFill="1" applyBorder="1" applyAlignment="1" applyProtection="1">
      <alignment vertical="center" shrinkToFit="1"/>
      <protection hidden="1"/>
    </xf>
    <xf numFmtId="3" fontId="28" fillId="11" borderId="30" xfId="0" applyNumberFormat="1" applyFont="1" applyFill="1" applyBorder="1" applyAlignment="1" applyProtection="1">
      <alignment vertical="center" shrinkToFit="1"/>
      <protection hidden="1"/>
    </xf>
    <xf numFmtId="0" fontId="27" fillId="7" borderId="7" xfId="0" applyFont="1" applyFill="1" applyBorder="1" applyAlignment="1" applyProtection="1">
      <alignment horizontal="left" vertical="center" wrapText="1"/>
      <protection hidden="1"/>
    </xf>
    <xf numFmtId="0" fontId="27" fillId="7" borderId="10" xfId="0" applyFont="1" applyFill="1" applyBorder="1" applyAlignment="1" applyProtection="1">
      <alignment horizontal="left" vertical="center" wrapText="1"/>
      <protection hidden="1"/>
    </xf>
    <xf numFmtId="0" fontId="30" fillId="9" borderId="7" xfId="0" applyFont="1" applyFill="1" applyBorder="1" applyAlignment="1" applyProtection="1">
      <alignment horizontal="left" vertical="center"/>
      <protection hidden="1"/>
    </xf>
    <xf numFmtId="0" fontId="30" fillId="9" borderId="10" xfId="0" applyFont="1" applyFill="1" applyBorder="1" applyAlignment="1" applyProtection="1">
      <alignment horizontal="left" vertical="center"/>
      <protection hidden="1"/>
    </xf>
    <xf numFmtId="0" fontId="30" fillId="9" borderId="12" xfId="0" applyFont="1" applyFill="1" applyBorder="1" applyAlignment="1" applyProtection="1">
      <alignment horizontal="center" vertical="center"/>
      <protection hidden="1"/>
    </xf>
    <xf numFmtId="0" fontId="30" fillId="9" borderId="14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4" fillId="0" borderId="14" xfId="0" applyFont="1" applyFill="1" applyBorder="1" applyAlignment="1" applyProtection="1">
      <alignment shrinkToFit="1"/>
      <protection hidden="1"/>
    </xf>
    <xf numFmtId="164" fontId="2" fillId="0" borderId="1" xfId="3" applyNumberFormat="1" applyFont="1" applyBorder="1" applyAlignment="1">
      <alignment horizontal="center"/>
    </xf>
    <xf numFmtId="164" fontId="4" fillId="0" borderId="1" xfId="3" applyNumberFormat="1" applyBorder="1" applyAlignment="1">
      <alignment horizontal="center" wrapText="1"/>
    </xf>
    <xf numFmtId="0" fontId="6" fillId="0" borderId="1" xfId="3" applyNumberFormat="1" applyFont="1" applyBorder="1" applyAlignment="1">
      <alignment horizontal="center" wrapText="1"/>
    </xf>
    <xf numFmtId="0" fontId="3" fillId="0" borderId="1" xfId="3" applyNumberFormat="1" applyFont="1" applyBorder="1" applyAlignment="1">
      <alignment horizontal="center"/>
    </xf>
  </cellXfs>
  <cellStyles count="6">
    <cellStyle name="Euro" xfId="1"/>
    <cellStyle name="Prozent" xfId="2" builtinId="5"/>
    <cellStyle name="Standard" xfId="0" builtinId="0"/>
    <cellStyle name="Standard_AirLoss_PressValveTime01" xfId="3"/>
    <cellStyle name="Standard_saettingungsdruck" xfId="4"/>
    <cellStyle name="Standard_WRG-tool-sprachen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3F34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3F34A"/>
      <rgbColor rgb="00FFA814"/>
      <rgbColor rgb="00FE360B"/>
      <rgbColor rgb="00FFD899"/>
      <rgbColor rgb="00660066"/>
      <rgbColor rgb="00FF8080"/>
      <rgbColor rgb="000066CC"/>
      <rgbColor rgb="00CCCCFF"/>
      <rgbColor rgb="000E1F7C"/>
      <rgbColor rgb="00FFFFFF"/>
      <rgbColor rgb="00000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E1F7C"/>
      <rgbColor rgb="00CC99FF"/>
      <rgbColor rgb="00FFCC99"/>
      <rgbColor rgb="003366FF"/>
      <rgbColor rgb="0033CCCC"/>
      <rgbColor rgb="0099CC00"/>
      <rgbColor rgb="00FFA814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8</xdr:col>
      <xdr:colOff>66675</xdr:colOff>
      <xdr:row>19</xdr:row>
      <xdr:rowOff>0</xdr:rowOff>
    </xdr:to>
    <xdr:pic>
      <xdr:nvPicPr>
        <xdr:cNvPr id="9218" name="Picture 2" descr="toolbox-bild-so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6086475" cy="2990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</xdr:colOff>
      <xdr:row>23</xdr:row>
      <xdr:rowOff>1</xdr:rowOff>
    </xdr:from>
    <xdr:to>
      <xdr:col>7</xdr:col>
      <xdr:colOff>751272</xdr:colOff>
      <xdr:row>28</xdr:row>
      <xdr:rowOff>112091</xdr:rowOff>
    </xdr:to>
    <xdr:pic>
      <xdr:nvPicPr>
        <xdr:cNvPr id="4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3724276"/>
          <a:ext cx="3037271" cy="9217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20</xdr:row>
      <xdr:rowOff>0</xdr:rowOff>
    </xdr:from>
    <xdr:to>
      <xdr:col>10</xdr:col>
      <xdr:colOff>649012</xdr:colOff>
      <xdr:row>23</xdr:row>
      <xdr:rowOff>162763</xdr:rowOff>
    </xdr:to>
    <xdr:pic>
      <xdr:nvPicPr>
        <xdr:cNvPr id="3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6" y="3581400"/>
          <a:ext cx="2325411" cy="70568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38</xdr:row>
      <xdr:rowOff>171450</xdr:rowOff>
    </xdr:from>
    <xdr:to>
      <xdr:col>4</xdr:col>
      <xdr:colOff>9525</xdr:colOff>
      <xdr:row>40</xdr:row>
      <xdr:rowOff>0</xdr:rowOff>
    </xdr:to>
    <xdr:sp macro="" textlink="">
      <xdr:nvSpPr>
        <xdr:cNvPr id="3074" name="Linie2" hidden="1"/>
        <xdr:cNvSpPr>
          <a:spLocks noChangeShapeType="1"/>
        </xdr:cNvSpPr>
      </xdr:nvSpPr>
      <xdr:spPr bwMode="auto">
        <a:xfrm>
          <a:off x="4124325" y="7115175"/>
          <a:ext cx="733425" cy="20955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40</xdr:row>
      <xdr:rowOff>9525</xdr:rowOff>
    </xdr:from>
    <xdr:to>
      <xdr:col>4</xdr:col>
      <xdr:colOff>9525</xdr:colOff>
      <xdr:row>41</xdr:row>
      <xdr:rowOff>0</xdr:rowOff>
    </xdr:to>
    <xdr:sp macro="" textlink="">
      <xdr:nvSpPr>
        <xdr:cNvPr id="3075" name="Linie3" hidden="1"/>
        <xdr:cNvSpPr>
          <a:spLocks noChangeShapeType="1"/>
        </xdr:cNvSpPr>
      </xdr:nvSpPr>
      <xdr:spPr bwMode="auto">
        <a:xfrm flipH="1" flipV="1">
          <a:off x="4124325" y="733425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38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076" name="Linie1" hidden="1"/>
        <xdr:cNvSpPr>
          <a:spLocks noChangeShapeType="1"/>
        </xdr:cNvSpPr>
      </xdr:nvSpPr>
      <xdr:spPr bwMode="auto">
        <a:xfrm>
          <a:off x="4133850" y="6953250"/>
          <a:ext cx="723900" cy="19050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41</xdr:row>
      <xdr:rowOff>9525</xdr:rowOff>
    </xdr:from>
    <xdr:to>
      <xdr:col>4</xdr:col>
      <xdr:colOff>19050</xdr:colOff>
      <xdr:row>42</xdr:row>
      <xdr:rowOff>9525</xdr:rowOff>
    </xdr:to>
    <xdr:sp macro="" textlink="">
      <xdr:nvSpPr>
        <xdr:cNvPr id="3081" name="Linie4" hidden="1"/>
        <xdr:cNvSpPr>
          <a:spLocks noChangeShapeType="1"/>
        </xdr:cNvSpPr>
      </xdr:nvSpPr>
      <xdr:spPr bwMode="auto">
        <a:xfrm>
          <a:off x="4124325" y="7524750"/>
          <a:ext cx="742950" cy="19050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9525</xdr:rowOff>
    </xdr:from>
    <xdr:to>
      <xdr:col>3</xdr:col>
      <xdr:colOff>714375</xdr:colOff>
      <xdr:row>36</xdr:row>
      <xdr:rowOff>247650</xdr:rowOff>
    </xdr:to>
    <xdr:sp macro="" textlink="">
      <xdr:nvSpPr>
        <xdr:cNvPr id="3082" name="Linie5" hidden="1"/>
        <xdr:cNvSpPr>
          <a:spLocks noChangeShapeType="1"/>
        </xdr:cNvSpPr>
      </xdr:nvSpPr>
      <xdr:spPr bwMode="auto">
        <a:xfrm>
          <a:off x="4133850" y="6572250"/>
          <a:ext cx="71437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828675</xdr:colOff>
      <xdr:row>23</xdr:row>
      <xdr:rowOff>9525</xdr:rowOff>
    </xdr:from>
    <xdr:to>
      <xdr:col>4</xdr:col>
      <xdr:colOff>9525</xdr:colOff>
      <xdr:row>24</xdr:row>
      <xdr:rowOff>0</xdr:rowOff>
    </xdr:to>
    <xdr:sp macro="" textlink="">
      <xdr:nvSpPr>
        <xdr:cNvPr id="3099" name="Linie6" hidden="1"/>
        <xdr:cNvSpPr>
          <a:spLocks noChangeShapeType="1"/>
        </xdr:cNvSpPr>
      </xdr:nvSpPr>
      <xdr:spPr bwMode="auto">
        <a:xfrm>
          <a:off x="4095750" y="4124325"/>
          <a:ext cx="762000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180975</xdr:rowOff>
    </xdr:from>
    <xdr:to>
      <xdr:col>4</xdr:col>
      <xdr:colOff>19050</xdr:colOff>
      <xdr:row>24</xdr:row>
      <xdr:rowOff>171450</xdr:rowOff>
    </xdr:to>
    <xdr:sp macro="" textlink="">
      <xdr:nvSpPr>
        <xdr:cNvPr id="3598" name="Linie7" hidden="1"/>
        <xdr:cNvSpPr>
          <a:spLocks noChangeShapeType="1"/>
        </xdr:cNvSpPr>
      </xdr:nvSpPr>
      <xdr:spPr bwMode="auto">
        <a:xfrm>
          <a:off x="4133850" y="4295775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28575</xdr:colOff>
      <xdr:row>20</xdr:row>
      <xdr:rowOff>180975</xdr:rowOff>
    </xdr:to>
    <xdr:sp macro="" textlink="">
      <xdr:nvSpPr>
        <xdr:cNvPr id="3599" name="Linie_opt2" hidden="1"/>
        <xdr:cNvSpPr>
          <a:spLocks noChangeShapeType="1"/>
        </xdr:cNvSpPr>
      </xdr:nvSpPr>
      <xdr:spPr bwMode="auto">
        <a:xfrm>
          <a:off x="4143375" y="35433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21</xdr:row>
      <xdr:rowOff>0</xdr:rowOff>
    </xdr:from>
    <xdr:to>
      <xdr:col>4</xdr:col>
      <xdr:colOff>9525</xdr:colOff>
      <xdr:row>21</xdr:row>
      <xdr:rowOff>180975</xdr:rowOff>
    </xdr:to>
    <xdr:sp macro="" textlink="">
      <xdr:nvSpPr>
        <xdr:cNvPr id="3600" name="Linie_opt3" hidden="1"/>
        <xdr:cNvSpPr>
          <a:spLocks noChangeShapeType="1"/>
        </xdr:cNvSpPr>
      </xdr:nvSpPr>
      <xdr:spPr bwMode="auto">
        <a:xfrm>
          <a:off x="4124325" y="37338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19050</xdr:colOff>
      <xdr:row>27</xdr:row>
      <xdr:rowOff>180975</xdr:rowOff>
    </xdr:to>
    <xdr:sp macro="" textlink="">
      <xdr:nvSpPr>
        <xdr:cNvPr id="3602" name="Linie_opt5" hidden="1"/>
        <xdr:cNvSpPr>
          <a:spLocks noChangeShapeType="1"/>
        </xdr:cNvSpPr>
      </xdr:nvSpPr>
      <xdr:spPr bwMode="auto">
        <a:xfrm>
          <a:off x="4133850" y="48768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27</xdr:row>
      <xdr:rowOff>180975</xdr:rowOff>
    </xdr:from>
    <xdr:to>
      <xdr:col>4</xdr:col>
      <xdr:colOff>9525</xdr:colOff>
      <xdr:row>29</xdr:row>
      <xdr:rowOff>9525</xdr:rowOff>
    </xdr:to>
    <xdr:sp macro="" textlink="">
      <xdr:nvSpPr>
        <xdr:cNvPr id="3603" name="Linie_opt6" hidden="1"/>
        <xdr:cNvSpPr>
          <a:spLocks noChangeShapeType="1"/>
        </xdr:cNvSpPr>
      </xdr:nvSpPr>
      <xdr:spPr bwMode="auto">
        <a:xfrm>
          <a:off x="4124325" y="5057775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2840519</xdr:colOff>
      <xdr:row>46</xdr:row>
      <xdr:rowOff>100005</xdr:rowOff>
    </xdr:from>
    <xdr:to>
      <xdr:col>9</xdr:col>
      <xdr:colOff>92772</xdr:colOff>
      <xdr:row>50</xdr:row>
      <xdr:rowOff>166209</xdr:rowOff>
    </xdr:to>
    <xdr:pic>
      <xdr:nvPicPr>
        <xdr:cNvPr id="14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0669" y="8567730"/>
          <a:ext cx="2729128" cy="82820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11</xdr:col>
      <xdr:colOff>538734</xdr:colOff>
      <xdr:row>14</xdr:row>
      <xdr:rowOff>169545</xdr:rowOff>
    </xdr:to>
    <xdr:pic>
      <xdr:nvPicPr>
        <xdr:cNvPr id="3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5" y="2124075"/>
          <a:ext cx="1186434" cy="360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5</xdr:row>
      <xdr:rowOff>95250</xdr:rowOff>
    </xdr:to>
    <xdr:pic>
      <xdr:nvPicPr>
        <xdr:cNvPr id="7169" name="logo_d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95650" cy="100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762000</xdr:colOff>
      <xdr:row>12</xdr:row>
      <xdr:rowOff>95250</xdr:rowOff>
    </xdr:to>
    <xdr:pic>
      <xdr:nvPicPr>
        <xdr:cNvPr id="7170" name="logo_f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66825"/>
          <a:ext cx="327660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control" Target="../activeX/activeX15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9.xml"/><Relationship Id="rId12" Type="http://schemas.openxmlformats.org/officeDocument/2006/relationships/control" Target="../activeX/activeX14.xml"/><Relationship Id="rId2" Type="http://schemas.openxmlformats.org/officeDocument/2006/relationships/drawing" Target="../drawings/drawing3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11" Type="http://schemas.openxmlformats.org/officeDocument/2006/relationships/control" Target="../activeX/activeX13.xml"/><Relationship Id="rId5" Type="http://schemas.openxmlformats.org/officeDocument/2006/relationships/control" Target="../activeX/activeX7.xml"/><Relationship Id="rId15" Type="http://schemas.openxmlformats.org/officeDocument/2006/relationships/control" Target="../activeX/activeX17.xml"/><Relationship Id="rId10" Type="http://schemas.openxmlformats.org/officeDocument/2006/relationships/control" Target="../activeX/activeX12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Relationship Id="rId14" Type="http://schemas.openxmlformats.org/officeDocument/2006/relationships/control" Target="../activeX/activeX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0.xml"/><Relationship Id="rId5" Type="http://schemas.openxmlformats.org/officeDocument/2006/relationships/control" Target="../activeX/activeX19.xml"/><Relationship Id="rId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/>
  <dimension ref="A46"/>
  <sheetViews>
    <sheetView showGridLines="0" showRowColHeaders="0" tabSelected="1" workbookViewId="0"/>
  </sheetViews>
  <sheetFormatPr baseColWidth="10" defaultColWidth="10" defaultRowHeight="12.75"/>
  <cols>
    <col min="1" max="16384" width="10" style="1"/>
  </cols>
  <sheetData>
    <row r="46" spans="1:1">
      <c r="A46" s="194" t="s">
        <v>580</v>
      </c>
    </row>
  </sheetData>
  <sheetProtection password="CB96" sheet="1" objects="1" scenario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9217" r:id="rId4" name="start_CB"/>
    <control shapeId="9219" r:id="rId5" name="tool_txt"/>
    <control shapeId="9220" r:id="rId6" name="sprache_de"/>
    <control shapeId="9221" r:id="rId7" name="sprache_fr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9"/>
  <dimension ref="A1:I35"/>
  <sheetViews>
    <sheetView workbookViewId="0"/>
  </sheetViews>
  <sheetFormatPr baseColWidth="10" defaultRowHeight="14.25"/>
  <cols>
    <col min="1" max="1" width="13.375" customWidth="1"/>
    <col min="2" max="2" width="13" customWidth="1"/>
    <col min="3" max="3" width="9.375" customWidth="1"/>
    <col min="4" max="4" width="8.25" customWidth="1"/>
    <col min="5" max="5" width="8.75" customWidth="1"/>
    <col min="6" max="6" width="8.875" customWidth="1"/>
    <col min="7" max="7" width="12" customWidth="1"/>
    <col min="8" max="8" width="9.25" customWidth="1"/>
    <col min="9" max="9" width="14.25" customWidth="1"/>
    <col min="10" max="10" width="12.5" customWidth="1"/>
  </cols>
  <sheetData>
    <row r="1" spans="1:9" s="21" customFormat="1" ht="22.5" customHeight="1">
      <c r="A1" s="21" t="s">
        <v>85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1" t="s">
        <v>58</v>
      </c>
      <c r="H1" s="21" t="s">
        <v>59</v>
      </c>
      <c r="I1" s="21" t="s">
        <v>86</v>
      </c>
    </row>
    <row r="2" spans="1:9">
      <c r="A2" t="s">
        <v>60</v>
      </c>
      <c r="B2">
        <v>-3</v>
      </c>
      <c r="C2">
        <v>85</v>
      </c>
      <c r="D2">
        <v>42</v>
      </c>
      <c r="E2">
        <v>3.8889999999999998</v>
      </c>
      <c r="F2">
        <v>17.148</v>
      </c>
      <c r="G2">
        <f t="shared" ref="G2:G13" si="0">E2/F2</f>
        <v>0.22679029624445998</v>
      </c>
      <c r="H2">
        <f t="shared" ref="H2:H13" si="1">$C$17*(B2+273)/293*(E2*C2/100-1/11*(D2+273)/(B2+273)*F2)/1000</f>
        <v>4.1106054917778465</v>
      </c>
      <c r="I2">
        <f t="shared" ref="I2:I13" si="2">H2*24*365/12</f>
        <v>3000.7420089978277</v>
      </c>
    </row>
    <row r="3" spans="1:9">
      <c r="A3" t="s">
        <v>61</v>
      </c>
      <c r="B3">
        <v>-0.6</v>
      </c>
      <c r="C3">
        <v>72</v>
      </c>
      <c r="D3">
        <v>20</v>
      </c>
      <c r="E3">
        <v>4.4870000000000001</v>
      </c>
      <c r="F3">
        <v>17.148</v>
      </c>
      <c r="G3">
        <f t="shared" si="0"/>
        <v>0.26166316771635179</v>
      </c>
      <c r="H3">
        <f t="shared" si="1"/>
        <v>4.3337812869996899</v>
      </c>
      <c r="I3">
        <f t="shared" si="2"/>
        <v>3163.6603395097736</v>
      </c>
    </row>
    <row r="4" spans="1:9">
      <c r="A4" t="s">
        <v>62</v>
      </c>
      <c r="B4">
        <v>4</v>
      </c>
      <c r="C4">
        <v>81</v>
      </c>
      <c r="D4">
        <v>20</v>
      </c>
      <c r="E4">
        <v>6.359</v>
      </c>
      <c r="F4">
        <v>17.148</v>
      </c>
      <c r="G4">
        <f t="shared" si="0"/>
        <v>0.37083041754140428</v>
      </c>
      <c r="H4">
        <f t="shared" si="1"/>
        <v>9.931827300651566</v>
      </c>
      <c r="I4">
        <f t="shared" si="2"/>
        <v>7250.233929475643</v>
      </c>
    </row>
    <row r="5" spans="1:9">
      <c r="A5" t="s">
        <v>63</v>
      </c>
      <c r="B5">
        <v>8.8000000000000007</v>
      </c>
      <c r="C5">
        <v>72</v>
      </c>
      <c r="D5">
        <v>20</v>
      </c>
      <c r="E5">
        <v>8.7840000000000007</v>
      </c>
      <c r="F5">
        <v>17.148</v>
      </c>
      <c r="G5">
        <f t="shared" si="0"/>
        <v>0.51224632610216936</v>
      </c>
      <c r="H5">
        <f t="shared" si="1"/>
        <v>13.571448126590138</v>
      </c>
      <c r="I5">
        <f t="shared" si="2"/>
        <v>9907.157132410799</v>
      </c>
    </row>
    <row r="6" spans="1:9">
      <c r="A6" t="s">
        <v>64</v>
      </c>
      <c r="B6">
        <v>13.6</v>
      </c>
      <c r="C6">
        <v>74</v>
      </c>
      <c r="D6">
        <f t="shared" ref="D6:D11" si="3">B6+10</f>
        <v>23.6</v>
      </c>
      <c r="E6">
        <v>11.987</v>
      </c>
      <c r="F6">
        <v>21.577999999999999</v>
      </c>
      <c r="G6">
        <f t="shared" si="0"/>
        <v>0.55551951061266103</v>
      </c>
      <c r="H6">
        <f t="shared" si="1"/>
        <v>20.072657636984179</v>
      </c>
      <c r="I6">
        <f t="shared" si="2"/>
        <v>14653.040074998453</v>
      </c>
    </row>
    <row r="7" spans="1:9">
      <c r="A7" t="s">
        <v>65</v>
      </c>
      <c r="B7">
        <v>13.8</v>
      </c>
      <c r="C7">
        <v>75</v>
      </c>
      <c r="D7">
        <f t="shared" si="3"/>
        <v>23.8</v>
      </c>
      <c r="E7">
        <v>11.987</v>
      </c>
      <c r="F7">
        <v>21.577999999999999</v>
      </c>
      <c r="G7">
        <f t="shared" si="0"/>
        <v>0.55551951061266103</v>
      </c>
      <c r="H7">
        <f t="shared" si="1"/>
        <v>20.438805739993789</v>
      </c>
      <c r="I7">
        <f t="shared" si="2"/>
        <v>14920.328190195467</v>
      </c>
    </row>
    <row r="8" spans="1:9">
      <c r="A8" t="s">
        <v>66</v>
      </c>
      <c r="B8">
        <v>18</v>
      </c>
      <c r="C8">
        <v>69</v>
      </c>
      <c r="D8">
        <f t="shared" si="3"/>
        <v>28</v>
      </c>
      <c r="E8">
        <v>15.246</v>
      </c>
      <c r="F8">
        <v>26.97</v>
      </c>
      <c r="G8">
        <f t="shared" si="0"/>
        <v>0.56529477196885436</v>
      </c>
      <c r="H8">
        <f t="shared" si="1"/>
        <v>23.787512634191746</v>
      </c>
      <c r="I8">
        <f t="shared" si="2"/>
        <v>17364.884222959976</v>
      </c>
    </row>
    <row r="9" spans="1:9">
      <c r="A9" t="s">
        <v>67</v>
      </c>
      <c r="B9">
        <v>16.399999999999999</v>
      </c>
      <c r="C9">
        <v>73</v>
      </c>
      <c r="D9">
        <f t="shared" si="3"/>
        <v>26.4</v>
      </c>
      <c r="E9">
        <v>13.531000000000001</v>
      </c>
      <c r="F9">
        <v>24.143000000000001</v>
      </c>
      <c r="G9">
        <f t="shared" si="0"/>
        <v>0.56045230501594667</v>
      </c>
      <c r="H9">
        <f t="shared" si="1"/>
        <v>22.540521075395596</v>
      </c>
      <c r="I9">
        <f t="shared" si="2"/>
        <v>16454.580385038786</v>
      </c>
    </row>
    <row r="10" spans="1:9">
      <c r="A10" t="s">
        <v>68</v>
      </c>
      <c r="B10">
        <v>14.9</v>
      </c>
      <c r="C10">
        <v>78</v>
      </c>
      <c r="D10">
        <f t="shared" si="3"/>
        <v>24.9</v>
      </c>
      <c r="E10">
        <v>12.739000000000001</v>
      </c>
      <c r="F10">
        <v>22.83</v>
      </c>
      <c r="G10">
        <f t="shared" si="0"/>
        <v>0.55799386771791515</v>
      </c>
      <c r="H10">
        <f t="shared" si="1"/>
        <v>22.959905210673281</v>
      </c>
      <c r="I10">
        <f t="shared" si="2"/>
        <v>16760.730803791495</v>
      </c>
    </row>
    <row r="11" spans="1:9">
      <c r="A11" t="s">
        <v>69</v>
      </c>
      <c r="B11">
        <v>10.5</v>
      </c>
      <c r="C11">
        <v>78</v>
      </c>
      <c r="D11">
        <f t="shared" si="3"/>
        <v>20.5</v>
      </c>
      <c r="E11">
        <v>9.9610000000000003</v>
      </c>
      <c r="F11">
        <v>18.190999999999999</v>
      </c>
      <c r="G11">
        <f t="shared" si="0"/>
        <v>0.54757847287120009</v>
      </c>
      <c r="H11">
        <f t="shared" si="1"/>
        <v>17.583347871548245</v>
      </c>
      <c r="I11">
        <f t="shared" si="2"/>
        <v>12835.843946230219</v>
      </c>
    </row>
    <row r="12" spans="1:9">
      <c r="A12" t="s">
        <v>70</v>
      </c>
      <c r="B12">
        <v>2.5</v>
      </c>
      <c r="C12">
        <v>86</v>
      </c>
      <c r="D12">
        <v>20</v>
      </c>
      <c r="E12">
        <v>5.9530000000000003</v>
      </c>
      <c r="F12">
        <v>17.148</v>
      </c>
      <c r="G12">
        <f t="shared" si="0"/>
        <v>0.34715418707721019</v>
      </c>
      <c r="H12">
        <f t="shared" si="1"/>
        <v>9.7646818399007138</v>
      </c>
      <c r="I12">
        <f t="shared" si="2"/>
        <v>7128.2177431275204</v>
      </c>
    </row>
    <row r="13" spans="1:9">
      <c r="A13" t="s">
        <v>71</v>
      </c>
      <c r="B13">
        <v>6.1</v>
      </c>
      <c r="C13">
        <v>80</v>
      </c>
      <c r="D13">
        <v>20</v>
      </c>
      <c r="E13">
        <v>7.2460000000000004</v>
      </c>
      <c r="F13">
        <v>17.148</v>
      </c>
      <c r="G13">
        <f t="shared" si="0"/>
        <v>0.42255656636342431</v>
      </c>
      <c r="H13">
        <f t="shared" si="1"/>
        <v>11.88866740304065</v>
      </c>
      <c r="I13">
        <f t="shared" si="2"/>
        <v>8678.7272042196746</v>
      </c>
    </row>
    <row r="15" spans="1:9">
      <c r="B15">
        <v>35</v>
      </c>
      <c r="C15">
        <v>85</v>
      </c>
      <c r="D15">
        <v>42</v>
      </c>
      <c r="E15">
        <v>39.29</v>
      </c>
      <c r="F15">
        <v>55.99</v>
      </c>
      <c r="H15">
        <f>$C$17*(B15+273)/293*(E15*C15/100-1/11*(D15+273)/(B15+273)*F15)/1000</f>
        <v>88.902102389078493</v>
      </c>
    </row>
    <row r="17" spans="1:9">
      <c r="B17" s="20" t="s">
        <v>72</v>
      </c>
      <c r="C17">
        <v>3000</v>
      </c>
      <c r="H17" t="s">
        <v>81</v>
      </c>
      <c r="I17" s="25">
        <f>SUM(I2:I13)</f>
        <v>132118.14598095565</v>
      </c>
    </row>
    <row r="18" spans="1:9">
      <c r="B18" s="20" t="s">
        <v>73</v>
      </c>
      <c r="C18">
        <v>10</v>
      </c>
      <c r="H18" s="24" t="s">
        <v>87</v>
      </c>
      <c r="I18" s="25">
        <f>I17*1.1</f>
        <v>145329.96057905123</v>
      </c>
    </row>
    <row r="20" spans="1:9" s="21" customFormat="1" ht="60.75" customHeight="1">
      <c r="A20" s="21" t="s">
        <v>84</v>
      </c>
      <c r="B20" s="22" t="s">
        <v>74</v>
      </c>
      <c r="C20" s="21" t="s">
        <v>75</v>
      </c>
      <c r="D20" s="21" t="s">
        <v>76</v>
      </c>
      <c r="E20" s="21" t="s">
        <v>77</v>
      </c>
      <c r="F20" s="21" t="s">
        <v>78</v>
      </c>
      <c r="G20" s="21" t="s">
        <v>79</v>
      </c>
      <c r="H20" s="21" t="s">
        <v>80</v>
      </c>
    </row>
    <row r="21" spans="1:9">
      <c r="A21" t="s">
        <v>60</v>
      </c>
      <c r="B21">
        <v>3.8889999999999998</v>
      </c>
      <c r="C21">
        <v>85</v>
      </c>
      <c r="D21">
        <f t="shared" ref="D21:D32" si="4">B21*C21/100</f>
        <v>3.30565</v>
      </c>
      <c r="E21">
        <f t="shared" ref="E21:E32" si="5">D21*$C$18</f>
        <v>33.0565</v>
      </c>
      <c r="F21">
        <v>5.57</v>
      </c>
      <c r="G21">
        <f t="shared" ref="G21:G32" si="6">E21-F21</f>
        <v>27.486499999999999</v>
      </c>
      <c r="H21">
        <f t="shared" ref="H21:H32" si="7">G21/1000*$C$17/$C$18*24*365/12</f>
        <v>6019.5435000000007</v>
      </c>
    </row>
    <row r="22" spans="1:9">
      <c r="A22" t="s">
        <v>61</v>
      </c>
      <c r="B22">
        <v>4.4870000000000001</v>
      </c>
      <c r="C22">
        <v>72</v>
      </c>
      <c r="D22">
        <f t="shared" si="4"/>
        <v>3.2306400000000002</v>
      </c>
      <c r="E22">
        <f t="shared" si="5"/>
        <v>32.306400000000004</v>
      </c>
      <c r="F22">
        <v>5.57</v>
      </c>
      <c r="G22">
        <f t="shared" si="6"/>
        <v>26.736400000000003</v>
      </c>
      <c r="H22">
        <f t="shared" si="7"/>
        <v>5855.2716</v>
      </c>
    </row>
    <row r="23" spans="1:9">
      <c r="A23" t="s">
        <v>62</v>
      </c>
      <c r="B23">
        <v>6.359</v>
      </c>
      <c r="C23">
        <v>81</v>
      </c>
      <c r="D23">
        <f t="shared" si="4"/>
        <v>5.1507899999999998</v>
      </c>
      <c r="E23">
        <f t="shared" si="5"/>
        <v>51.507899999999999</v>
      </c>
      <c r="F23">
        <v>5.57</v>
      </c>
      <c r="G23">
        <f t="shared" si="6"/>
        <v>45.937899999999999</v>
      </c>
      <c r="H23">
        <f t="shared" si="7"/>
        <v>10060.400100000001</v>
      </c>
    </row>
    <row r="24" spans="1:9">
      <c r="A24" t="s">
        <v>63</v>
      </c>
      <c r="B24">
        <v>8.7840000000000007</v>
      </c>
      <c r="C24">
        <v>72</v>
      </c>
      <c r="D24">
        <f t="shared" si="4"/>
        <v>6.3244800000000012</v>
      </c>
      <c r="E24">
        <f t="shared" si="5"/>
        <v>63.244800000000012</v>
      </c>
      <c r="F24">
        <v>5.57</v>
      </c>
      <c r="G24">
        <f t="shared" si="6"/>
        <v>57.674800000000012</v>
      </c>
      <c r="H24">
        <f t="shared" si="7"/>
        <v>12630.781200000003</v>
      </c>
    </row>
    <row r="25" spans="1:9">
      <c r="A25" t="s">
        <v>64</v>
      </c>
      <c r="B25">
        <v>11.987</v>
      </c>
      <c r="C25">
        <v>74</v>
      </c>
      <c r="D25">
        <f t="shared" si="4"/>
        <v>8.8703800000000008</v>
      </c>
      <c r="E25">
        <f t="shared" si="5"/>
        <v>88.703800000000001</v>
      </c>
      <c r="F25">
        <v>5.57</v>
      </c>
      <c r="G25">
        <f t="shared" si="6"/>
        <v>83.133800000000008</v>
      </c>
      <c r="H25">
        <f t="shared" si="7"/>
        <v>18206.302200000002</v>
      </c>
    </row>
    <row r="26" spans="1:9">
      <c r="A26" t="s">
        <v>65</v>
      </c>
      <c r="B26">
        <v>11.987</v>
      </c>
      <c r="C26">
        <v>75</v>
      </c>
      <c r="D26">
        <f t="shared" si="4"/>
        <v>8.9902499999999996</v>
      </c>
      <c r="E26">
        <f t="shared" si="5"/>
        <v>89.902500000000003</v>
      </c>
      <c r="F26">
        <v>5.57</v>
      </c>
      <c r="G26">
        <f t="shared" si="6"/>
        <v>84.33250000000001</v>
      </c>
      <c r="H26">
        <f t="shared" si="7"/>
        <v>18468.817500000001</v>
      </c>
    </row>
    <row r="27" spans="1:9">
      <c r="A27" t="s">
        <v>66</v>
      </c>
      <c r="B27">
        <v>15.246</v>
      </c>
      <c r="C27">
        <v>69</v>
      </c>
      <c r="D27">
        <f t="shared" si="4"/>
        <v>10.519739999999999</v>
      </c>
      <c r="E27">
        <f t="shared" si="5"/>
        <v>105.19739999999999</v>
      </c>
      <c r="F27">
        <v>5.57</v>
      </c>
      <c r="G27">
        <f t="shared" si="6"/>
        <v>99.627399999999994</v>
      </c>
      <c r="H27">
        <f t="shared" si="7"/>
        <v>21818.400599999997</v>
      </c>
    </row>
    <row r="28" spans="1:9">
      <c r="A28" t="s">
        <v>67</v>
      </c>
      <c r="B28">
        <v>13.531000000000001</v>
      </c>
      <c r="C28">
        <v>73</v>
      </c>
      <c r="D28">
        <f t="shared" si="4"/>
        <v>9.8776299999999999</v>
      </c>
      <c r="E28">
        <f t="shared" si="5"/>
        <v>98.776299999999992</v>
      </c>
      <c r="F28">
        <v>5.57</v>
      </c>
      <c r="G28">
        <f t="shared" si="6"/>
        <v>93.206299999999999</v>
      </c>
      <c r="H28">
        <f t="shared" si="7"/>
        <v>20412.179700000001</v>
      </c>
    </row>
    <row r="29" spans="1:9">
      <c r="A29" t="s">
        <v>68</v>
      </c>
      <c r="B29">
        <v>12.739000000000001</v>
      </c>
      <c r="C29">
        <v>78</v>
      </c>
      <c r="D29">
        <f t="shared" si="4"/>
        <v>9.93642</v>
      </c>
      <c r="E29">
        <f t="shared" si="5"/>
        <v>99.364199999999997</v>
      </c>
      <c r="F29">
        <v>5.57</v>
      </c>
      <c r="G29">
        <f t="shared" si="6"/>
        <v>93.794199999999989</v>
      </c>
      <c r="H29">
        <f t="shared" si="7"/>
        <v>20540.929799999994</v>
      </c>
    </row>
    <row r="30" spans="1:9">
      <c r="A30" t="s">
        <v>69</v>
      </c>
      <c r="B30">
        <v>9.9610000000000003</v>
      </c>
      <c r="C30">
        <v>78</v>
      </c>
      <c r="D30">
        <f t="shared" si="4"/>
        <v>7.7695799999999995</v>
      </c>
      <c r="E30">
        <f t="shared" si="5"/>
        <v>77.695799999999991</v>
      </c>
      <c r="F30">
        <v>5.57</v>
      </c>
      <c r="G30">
        <f t="shared" si="6"/>
        <v>72.125799999999998</v>
      </c>
      <c r="H30">
        <f t="shared" si="7"/>
        <v>15795.550199999998</v>
      </c>
    </row>
    <row r="31" spans="1:9">
      <c r="A31" t="s">
        <v>70</v>
      </c>
      <c r="B31">
        <v>5.9530000000000003</v>
      </c>
      <c r="C31">
        <v>86</v>
      </c>
      <c r="D31">
        <f t="shared" si="4"/>
        <v>5.11958</v>
      </c>
      <c r="E31">
        <f t="shared" si="5"/>
        <v>51.195799999999998</v>
      </c>
      <c r="F31">
        <v>5.57</v>
      </c>
      <c r="G31">
        <f t="shared" si="6"/>
        <v>45.625799999999998</v>
      </c>
      <c r="H31">
        <f t="shared" si="7"/>
        <v>9992.0501999999997</v>
      </c>
    </row>
    <row r="32" spans="1:9">
      <c r="A32" t="s">
        <v>71</v>
      </c>
      <c r="B32">
        <v>7.2460000000000004</v>
      </c>
      <c r="C32">
        <v>80</v>
      </c>
      <c r="D32">
        <f t="shared" si="4"/>
        <v>5.7968000000000011</v>
      </c>
      <c r="E32">
        <f t="shared" si="5"/>
        <v>57.968000000000011</v>
      </c>
      <c r="F32">
        <v>5.57</v>
      </c>
      <c r="G32">
        <f t="shared" si="6"/>
        <v>52.39800000000001</v>
      </c>
      <c r="H32">
        <f t="shared" si="7"/>
        <v>11475.162000000002</v>
      </c>
    </row>
    <row r="34" spans="7:9">
      <c r="G34" t="s">
        <v>81</v>
      </c>
      <c r="H34">
        <f>SUM(H21:H32)</f>
        <v>171275.38860000001</v>
      </c>
    </row>
    <row r="35" spans="7:9">
      <c r="G35" s="23" t="s">
        <v>82</v>
      </c>
      <c r="H35" s="25">
        <f>H34*1.1</f>
        <v>188402.92746000004</v>
      </c>
      <c r="I35" t="s">
        <v>83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0"/>
  <dimension ref="A2:L86"/>
  <sheetViews>
    <sheetView workbookViewId="0"/>
  </sheetViews>
  <sheetFormatPr baseColWidth="10" defaultColWidth="10" defaultRowHeight="12.75"/>
  <cols>
    <col min="1" max="2" width="10" style="26" customWidth="1"/>
    <col min="3" max="3" width="23" style="26" customWidth="1"/>
    <col min="4" max="16384" width="10" style="26"/>
  </cols>
  <sheetData>
    <row r="2" spans="1:6">
      <c r="E2" s="26" t="s">
        <v>88</v>
      </c>
    </row>
    <row r="3" spans="1:6">
      <c r="A3" s="26" t="s">
        <v>89</v>
      </c>
      <c r="E3" s="26" t="s">
        <v>90</v>
      </c>
    </row>
    <row r="4" spans="1:6">
      <c r="E4" s="26" t="s">
        <v>91</v>
      </c>
    </row>
    <row r="5" spans="1:6" ht="20.25">
      <c r="A5" s="26" t="s">
        <v>92</v>
      </c>
      <c r="B5" s="26" t="s">
        <v>93</v>
      </c>
      <c r="C5" s="26" t="s">
        <v>94</v>
      </c>
      <c r="D5" s="26" t="s">
        <v>95</v>
      </c>
      <c r="F5" s="27"/>
    </row>
    <row r="6" spans="1:6">
      <c r="A6" s="26">
        <v>-30</v>
      </c>
      <c r="B6" s="26">
        <v>0.373</v>
      </c>
      <c r="C6" s="26">
        <v>0.23200000000000001</v>
      </c>
      <c r="F6" s="28"/>
    </row>
    <row r="7" spans="1:6">
      <c r="A7" s="26">
        <v>-29</v>
      </c>
      <c r="B7" s="26">
        <v>0.41499999999999998</v>
      </c>
      <c r="C7" s="26">
        <v>0.25800000000000001</v>
      </c>
    </row>
    <row r="8" spans="1:6">
      <c r="A8" s="26">
        <v>-28</v>
      </c>
      <c r="B8" s="26">
        <v>0.46</v>
      </c>
      <c r="C8" s="26">
        <v>0.28599999999999998</v>
      </c>
    </row>
    <row r="9" spans="1:6">
      <c r="A9" s="26">
        <v>-27</v>
      </c>
      <c r="B9" s="26">
        <v>0.51100000000000001</v>
      </c>
      <c r="C9" s="26">
        <v>0.318</v>
      </c>
    </row>
    <row r="10" spans="1:6">
      <c r="A10" s="26">
        <v>-26</v>
      </c>
      <c r="B10" s="26">
        <v>0.56699999999999995</v>
      </c>
      <c r="C10" s="26">
        <v>0.35299999999999998</v>
      </c>
    </row>
    <row r="11" spans="1:6">
      <c r="A11" s="26">
        <v>-25</v>
      </c>
      <c r="B11" s="26">
        <v>0.628</v>
      </c>
      <c r="C11" s="26">
        <v>0.39100000000000001</v>
      </c>
    </row>
    <row r="12" spans="1:6">
      <c r="A12" s="26">
        <v>-24</v>
      </c>
      <c r="B12" s="26">
        <v>0.69499999999999995</v>
      </c>
      <c r="C12" s="26">
        <v>0.432</v>
      </c>
    </row>
    <row r="13" spans="1:6">
      <c r="A13" s="26">
        <v>-23</v>
      </c>
      <c r="B13" s="26">
        <v>0.76800000000000002</v>
      </c>
      <c r="C13" s="26">
        <v>0.47799999999999998</v>
      </c>
    </row>
    <row r="14" spans="1:6">
      <c r="A14" s="26">
        <v>-22</v>
      </c>
      <c r="B14" s="26">
        <v>0.84799999999999998</v>
      </c>
      <c r="C14" s="26">
        <v>0.52700000000000002</v>
      </c>
    </row>
    <row r="15" spans="1:6">
      <c r="A15" s="26">
        <v>-21</v>
      </c>
      <c r="B15" s="26">
        <v>0.93500000000000005</v>
      </c>
      <c r="C15" s="26">
        <v>0.58199999999999996</v>
      </c>
    </row>
    <row r="16" spans="1:6">
      <c r="A16" s="26">
        <v>-20</v>
      </c>
      <c r="B16" s="26">
        <v>1.0289999999999999</v>
      </c>
      <c r="C16" s="26">
        <v>0.64100000000000001</v>
      </c>
    </row>
    <row r="17" spans="1:12">
      <c r="A17" s="26">
        <v>-19</v>
      </c>
      <c r="B17" s="26">
        <v>1.133</v>
      </c>
      <c r="C17" s="26">
        <v>0.70499999999999996</v>
      </c>
    </row>
    <row r="18" spans="1:12">
      <c r="A18" s="26">
        <v>-18</v>
      </c>
      <c r="B18" s="26">
        <v>1.2470000000000001</v>
      </c>
      <c r="C18" s="26">
        <v>0.77700000000000002</v>
      </c>
    </row>
    <row r="19" spans="1:12">
      <c r="A19" s="26">
        <v>-17</v>
      </c>
      <c r="B19" s="26">
        <v>1.369</v>
      </c>
      <c r="C19" s="26">
        <v>0.85299999999999998</v>
      </c>
    </row>
    <row r="20" spans="1:12">
      <c r="A20" s="26">
        <v>-16</v>
      </c>
      <c r="B20" s="26">
        <v>1.504</v>
      </c>
      <c r="C20" s="26">
        <v>0.93700000000000006</v>
      </c>
    </row>
    <row r="21" spans="1:12">
      <c r="A21" s="26">
        <v>-15</v>
      </c>
      <c r="B21" s="26">
        <v>1.651</v>
      </c>
      <c r="C21" s="26">
        <v>1.0289999999999999</v>
      </c>
    </row>
    <row r="22" spans="1:12">
      <c r="A22" s="26">
        <v>-14</v>
      </c>
      <c r="B22" s="26">
        <v>1.8089999999999999</v>
      </c>
      <c r="C22" s="26">
        <v>1.127</v>
      </c>
    </row>
    <row r="23" spans="1:12">
      <c r="A23" s="26">
        <v>-13</v>
      </c>
      <c r="B23" s="26">
        <v>1.9810000000000001</v>
      </c>
      <c r="C23" s="26">
        <v>1.2350000000000001</v>
      </c>
      <c r="H23" s="29"/>
      <c r="I23" s="29"/>
      <c r="J23" s="29"/>
      <c r="K23" s="29"/>
      <c r="L23" s="29"/>
    </row>
    <row r="24" spans="1:12">
      <c r="A24" s="26">
        <v>-12</v>
      </c>
      <c r="B24" s="26">
        <v>2.169</v>
      </c>
      <c r="C24" s="26">
        <v>1.3520000000000001</v>
      </c>
      <c r="G24" s="30"/>
      <c r="H24" s="30"/>
    </row>
    <row r="25" spans="1:12">
      <c r="A25" s="26">
        <v>-11</v>
      </c>
      <c r="B25" s="26">
        <v>2.3730000000000002</v>
      </c>
      <c r="C25" s="26">
        <v>1.4790000000000001</v>
      </c>
      <c r="G25" s="30"/>
      <c r="H25" s="30"/>
    </row>
    <row r="26" spans="1:12">
      <c r="A26" s="26">
        <v>-10</v>
      </c>
      <c r="B26" s="26">
        <v>2.5939999999999999</v>
      </c>
      <c r="C26" s="26">
        <v>1.6180000000000001</v>
      </c>
      <c r="G26" s="30"/>
      <c r="H26" s="30"/>
    </row>
    <row r="27" spans="1:12">
      <c r="A27" s="26">
        <v>-9</v>
      </c>
      <c r="B27" s="26">
        <v>2.8330000000000002</v>
      </c>
      <c r="C27" s="26">
        <v>1.7669999999999999</v>
      </c>
      <c r="G27" s="30"/>
      <c r="H27" s="30"/>
    </row>
    <row r="28" spans="1:12">
      <c r="A28" s="26">
        <v>-8</v>
      </c>
      <c r="B28" s="26">
        <v>3.0939999999999999</v>
      </c>
      <c r="C28" s="26">
        <v>1.93</v>
      </c>
      <c r="G28" s="30"/>
      <c r="H28" s="30"/>
    </row>
    <row r="29" spans="1:12">
      <c r="A29" s="26">
        <v>-7</v>
      </c>
      <c r="B29" s="26">
        <v>3.367</v>
      </c>
      <c r="C29" s="26">
        <v>2.1070000000000002</v>
      </c>
      <c r="G29" s="30"/>
      <c r="H29" s="30"/>
    </row>
    <row r="30" spans="1:12">
      <c r="A30" s="26">
        <v>-6</v>
      </c>
      <c r="B30" s="26">
        <v>3.681</v>
      </c>
      <c r="C30" s="26">
        <v>2.298</v>
      </c>
      <c r="G30" s="30"/>
      <c r="H30" s="30"/>
    </row>
    <row r="31" spans="1:12">
      <c r="A31" s="26">
        <v>-5</v>
      </c>
      <c r="B31" s="26">
        <v>4.01</v>
      </c>
      <c r="C31" s="26">
        <v>2.504</v>
      </c>
      <c r="G31" s="30"/>
      <c r="H31" s="30"/>
    </row>
    <row r="32" spans="1:12">
      <c r="A32" s="26">
        <v>-4</v>
      </c>
      <c r="B32" s="26">
        <v>4.3680000000000003</v>
      </c>
      <c r="C32" s="26">
        <v>2.7290000000000001</v>
      </c>
      <c r="G32" s="30"/>
      <c r="H32" s="30"/>
    </row>
    <row r="33" spans="1:8">
      <c r="A33" s="26">
        <v>-3</v>
      </c>
      <c r="B33" s="26">
        <v>4.7539999999999996</v>
      </c>
      <c r="C33" s="26">
        <v>2.9710000000000001</v>
      </c>
      <c r="G33" s="30"/>
      <c r="H33" s="30"/>
    </row>
    <row r="34" spans="1:8">
      <c r="A34" s="26">
        <v>-2</v>
      </c>
      <c r="B34" s="26">
        <v>5.1719999999999997</v>
      </c>
      <c r="C34" s="26">
        <v>3.234</v>
      </c>
      <c r="G34" s="30"/>
      <c r="H34" s="30"/>
    </row>
    <row r="35" spans="1:8">
      <c r="A35" s="26">
        <v>-1</v>
      </c>
      <c r="B35" s="26">
        <v>5.6210000000000004</v>
      </c>
      <c r="C35" s="26">
        <v>3.516</v>
      </c>
      <c r="G35" s="30"/>
      <c r="H35" s="30"/>
    </row>
    <row r="36" spans="1:8">
      <c r="A36" s="26">
        <v>0</v>
      </c>
      <c r="B36" s="26">
        <v>6.1079999999999997</v>
      </c>
      <c r="C36" s="26">
        <v>3.8220000000000001</v>
      </c>
      <c r="G36" s="30"/>
      <c r="H36" s="30"/>
    </row>
    <row r="37" spans="1:8">
      <c r="A37" s="26">
        <v>1</v>
      </c>
      <c r="B37" s="26">
        <v>6.5659999999999998</v>
      </c>
      <c r="C37" s="26">
        <v>4.1109999999999998</v>
      </c>
      <c r="G37" s="30"/>
      <c r="H37" s="30"/>
    </row>
    <row r="38" spans="1:8">
      <c r="A38" s="26">
        <v>2</v>
      </c>
      <c r="B38" s="26">
        <v>7.0540000000000003</v>
      </c>
      <c r="C38" s="26">
        <v>4.4189999999999996</v>
      </c>
    </row>
    <row r="39" spans="1:8">
      <c r="A39" s="26">
        <v>3</v>
      </c>
      <c r="B39" s="26">
        <v>7.5750000000000002</v>
      </c>
      <c r="C39" s="26">
        <v>4.7469999999999999</v>
      </c>
    </row>
    <row r="40" spans="1:8">
      <c r="A40" s="26">
        <v>4</v>
      </c>
      <c r="B40" s="26">
        <v>8.1289999999999996</v>
      </c>
      <c r="C40" s="26">
        <v>5.0970000000000004</v>
      </c>
    </row>
    <row r="41" spans="1:8">
      <c r="A41" s="26">
        <v>5</v>
      </c>
      <c r="B41" s="26">
        <v>8.7189999999999994</v>
      </c>
      <c r="C41" s="26">
        <v>5.4710000000000001</v>
      </c>
    </row>
    <row r="42" spans="1:8">
      <c r="A42" s="26">
        <v>6</v>
      </c>
      <c r="B42" s="26">
        <v>9.3460000000000001</v>
      </c>
      <c r="C42" s="26">
        <v>5.8680000000000003</v>
      </c>
    </row>
    <row r="43" spans="1:8">
      <c r="A43" s="26">
        <v>7</v>
      </c>
      <c r="B43" s="26">
        <v>10.012</v>
      </c>
      <c r="C43" s="26">
        <v>6.29</v>
      </c>
    </row>
    <row r="44" spans="1:8">
      <c r="A44" s="26">
        <v>8</v>
      </c>
      <c r="B44" s="26">
        <v>10.721</v>
      </c>
      <c r="C44" s="26">
        <v>6.74</v>
      </c>
    </row>
    <row r="45" spans="1:8">
      <c r="A45" s="26">
        <v>9</v>
      </c>
      <c r="B45" s="26">
        <v>11.473000000000001</v>
      </c>
      <c r="C45" s="26">
        <v>7.2190000000000003</v>
      </c>
    </row>
    <row r="46" spans="1:8">
      <c r="A46" s="26">
        <v>10</v>
      </c>
      <c r="B46" s="26">
        <v>12.271000000000001</v>
      </c>
      <c r="C46" s="26">
        <v>7.7270000000000003</v>
      </c>
    </row>
    <row r="47" spans="1:8">
      <c r="A47" s="26">
        <v>11</v>
      </c>
      <c r="B47" s="26">
        <v>13.118</v>
      </c>
      <c r="C47" s="26">
        <v>8.2669999999999995</v>
      </c>
    </row>
    <row r="48" spans="1:8">
      <c r="A48" s="26">
        <v>12</v>
      </c>
      <c r="B48" s="26">
        <v>14.015000000000001</v>
      </c>
      <c r="C48" s="26">
        <v>8.8409999999999993</v>
      </c>
    </row>
    <row r="49" spans="1:3">
      <c r="A49" s="26">
        <v>13</v>
      </c>
      <c r="B49" s="26">
        <v>14.967000000000001</v>
      </c>
      <c r="C49" s="26">
        <v>9.4499999999999993</v>
      </c>
    </row>
    <row r="50" spans="1:3">
      <c r="A50" s="26">
        <v>14</v>
      </c>
      <c r="B50" s="26">
        <v>15.974</v>
      </c>
      <c r="C50" s="26">
        <v>10.1</v>
      </c>
    </row>
    <row r="51" spans="1:3">
      <c r="A51" s="26">
        <v>15</v>
      </c>
      <c r="B51" s="26">
        <v>17.041</v>
      </c>
      <c r="C51" s="26">
        <v>10.78</v>
      </c>
    </row>
    <row r="52" spans="1:3">
      <c r="A52" s="26">
        <v>16</v>
      </c>
      <c r="B52" s="26">
        <v>18.170000000000002</v>
      </c>
      <c r="C52" s="26">
        <v>11.51</v>
      </c>
    </row>
    <row r="53" spans="1:3">
      <c r="A53" s="26">
        <v>17</v>
      </c>
      <c r="B53" s="26">
        <v>19.364000000000001</v>
      </c>
      <c r="C53" s="26">
        <v>12.28</v>
      </c>
    </row>
    <row r="54" spans="1:3">
      <c r="A54" s="26">
        <v>18</v>
      </c>
      <c r="B54" s="26">
        <v>20.63</v>
      </c>
      <c r="C54" s="26">
        <v>13.1</v>
      </c>
    </row>
    <row r="55" spans="1:3">
      <c r="A55" s="26">
        <v>19</v>
      </c>
      <c r="B55" s="26">
        <v>21.96</v>
      </c>
      <c r="C55" s="26">
        <v>13.97</v>
      </c>
    </row>
    <row r="56" spans="1:3">
      <c r="A56" s="26">
        <v>20</v>
      </c>
      <c r="B56" s="26">
        <v>23.37</v>
      </c>
      <c r="C56" s="26">
        <v>14.88</v>
      </c>
    </row>
    <row r="57" spans="1:3">
      <c r="A57" s="26">
        <v>21</v>
      </c>
      <c r="B57" s="26">
        <v>24.86</v>
      </c>
      <c r="C57" s="26">
        <v>15.85</v>
      </c>
    </row>
    <row r="58" spans="1:3">
      <c r="A58" s="26">
        <v>22</v>
      </c>
      <c r="B58" s="26">
        <v>26.42</v>
      </c>
      <c r="C58" s="26">
        <v>16.88</v>
      </c>
    </row>
    <row r="59" spans="1:3">
      <c r="A59" s="26">
        <v>23</v>
      </c>
      <c r="B59" s="26">
        <v>28.08</v>
      </c>
      <c r="C59" s="26">
        <v>17.97</v>
      </c>
    </row>
    <row r="60" spans="1:3">
      <c r="A60" s="26">
        <v>24</v>
      </c>
      <c r="B60" s="26">
        <v>29.82</v>
      </c>
      <c r="C60" s="26">
        <v>19.12</v>
      </c>
    </row>
    <row r="61" spans="1:3">
      <c r="A61" s="26">
        <v>25</v>
      </c>
      <c r="B61" s="26">
        <v>31.66</v>
      </c>
      <c r="C61" s="26">
        <v>20.34</v>
      </c>
    </row>
    <row r="62" spans="1:3">
      <c r="A62" s="26">
        <v>26</v>
      </c>
      <c r="B62" s="26">
        <v>33.6</v>
      </c>
      <c r="C62" s="26">
        <v>21.63</v>
      </c>
    </row>
    <row r="63" spans="1:3">
      <c r="A63" s="26">
        <v>27</v>
      </c>
      <c r="B63" s="26">
        <v>35.64</v>
      </c>
      <c r="C63" s="26">
        <v>22.99</v>
      </c>
    </row>
    <row r="64" spans="1:3">
      <c r="A64" s="26">
        <v>28</v>
      </c>
      <c r="B64" s="26">
        <v>37.79</v>
      </c>
      <c r="C64" s="26">
        <v>24.42</v>
      </c>
    </row>
    <row r="65" spans="1:3">
      <c r="A65" s="26">
        <v>29</v>
      </c>
      <c r="B65" s="26">
        <v>40.04</v>
      </c>
      <c r="C65" s="26">
        <v>25.94</v>
      </c>
    </row>
    <row r="66" spans="1:3">
      <c r="A66" s="26">
        <v>30</v>
      </c>
      <c r="B66" s="26">
        <v>42.42</v>
      </c>
      <c r="C66" s="26">
        <v>27.55</v>
      </c>
    </row>
    <row r="67" spans="1:3">
      <c r="A67" s="26">
        <v>31</v>
      </c>
      <c r="B67" s="26">
        <v>44.91</v>
      </c>
      <c r="C67" s="26">
        <v>29.25</v>
      </c>
    </row>
    <row r="68" spans="1:3">
      <c r="A68" s="26">
        <v>32</v>
      </c>
      <c r="B68" s="26">
        <v>47.54</v>
      </c>
      <c r="C68" s="26">
        <v>31.04</v>
      </c>
    </row>
    <row r="69" spans="1:3">
      <c r="A69" s="26">
        <v>33</v>
      </c>
      <c r="B69" s="26">
        <v>50.29</v>
      </c>
      <c r="C69" s="26">
        <v>32.94</v>
      </c>
    </row>
    <row r="70" spans="1:3">
      <c r="A70" s="26">
        <v>34</v>
      </c>
      <c r="B70" s="26">
        <v>53.18</v>
      </c>
      <c r="C70" s="26">
        <v>34.94</v>
      </c>
    </row>
    <row r="71" spans="1:3">
      <c r="A71" s="26">
        <v>35</v>
      </c>
      <c r="B71" s="26">
        <v>56.22</v>
      </c>
      <c r="C71" s="26">
        <v>37.049999999999997</v>
      </c>
    </row>
    <row r="72" spans="1:3">
      <c r="A72" s="26">
        <v>36</v>
      </c>
      <c r="B72" s="26">
        <v>59.4</v>
      </c>
      <c r="C72" s="26">
        <v>39.28</v>
      </c>
    </row>
    <row r="73" spans="1:3">
      <c r="A73" s="26">
        <v>37</v>
      </c>
      <c r="B73" s="26">
        <v>62.74</v>
      </c>
      <c r="C73" s="26">
        <v>41.64</v>
      </c>
    </row>
    <row r="74" spans="1:3">
      <c r="A74" s="26">
        <v>38</v>
      </c>
      <c r="B74" s="26">
        <v>66.239999999999995</v>
      </c>
      <c r="C74" s="26">
        <v>44.12</v>
      </c>
    </row>
    <row r="75" spans="1:3">
      <c r="A75" s="26">
        <v>39</v>
      </c>
      <c r="B75" s="26">
        <v>69.91</v>
      </c>
      <c r="C75" s="26">
        <v>46.75</v>
      </c>
    </row>
    <row r="76" spans="1:3">
      <c r="A76" s="26">
        <v>40</v>
      </c>
      <c r="B76" s="26">
        <v>73.75</v>
      </c>
      <c r="C76" s="26">
        <v>49.52</v>
      </c>
    </row>
    <row r="77" spans="1:3">
      <c r="A77" s="26">
        <v>41</v>
      </c>
      <c r="B77" s="26">
        <v>77.77</v>
      </c>
      <c r="C77" s="26">
        <v>52.45</v>
      </c>
    </row>
    <row r="78" spans="1:3">
      <c r="A78" s="26">
        <v>42</v>
      </c>
      <c r="B78" s="26">
        <v>81.98</v>
      </c>
      <c r="C78" s="26">
        <v>55.55</v>
      </c>
    </row>
    <row r="79" spans="1:3">
      <c r="A79" s="26">
        <v>43</v>
      </c>
      <c r="B79" s="26">
        <v>86.39</v>
      </c>
      <c r="C79" s="26">
        <v>58.81</v>
      </c>
    </row>
    <row r="80" spans="1:3">
      <c r="A80" s="26">
        <v>44</v>
      </c>
      <c r="B80" s="26">
        <v>91</v>
      </c>
      <c r="C80" s="26">
        <v>62.27</v>
      </c>
    </row>
    <row r="81" spans="1:3">
      <c r="A81" s="26">
        <v>45</v>
      </c>
      <c r="B81" s="26">
        <v>95.82</v>
      </c>
      <c r="C81" s="26">
        <v>65.91</v>
      </c>
    </row>
    <row r="82" spans="1:3">
      <c r="A82" s="26">
        <v>46</v>
      </c>
      <c r="B82" s="26">
        <v>100.85</v>
      </c>
      <c r="C82" s="26">
        <v>69.77</v>
      </c>
    </row>
    <row r="83" spans="1:3">
      <c r="A83" s="26">
        <v>47</v>
      </c>
      <c r="B83" s="26">
        <v>106.12</v>
      </c>
      <c r="C83" s="26">
        <v>73.84</v>
      </c>
    </row>
    <row r="84" spans="1:3">
      <c r="A84" s="26">
        <v>48</v>
      </c>
      <c r="B84" s="26">
        <v>111.61</v>
      </c>
      <c r="C84" s="26">
        <v>78.14</v>
      </c>
    </row>
    <row r="85" spans="1:3">
      <c r="A85" s="26">
        <v>49</v>
      </c>
      <c r="B85" s="26">
        <v>117.35</v>
      </c>
      <c r="C85" s="26">
        <v>82.7</v>
      </c>
    </row>
    <row r="86" spans="1:3">
      <c r="A86" s="26">
        <v>50</v>
      </c>
      <c r="B86" s="26">
        <v>123.35</v>
      </c>
      <c r="C86" s="26">
        <v>87.52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4"/>
  <dimension ref="A1:G183"/>
  <sheetViews>
    <sheetView workbookViewId="0">
      <selection sqref="A1:A65536"/>
    </sheetView>
  </sheetViews>
  <sheetFormatPr baseColWidth="10" defaultRowHeight="14.25"/>
  <cols>
    <col min="1" max="1" width="27.625" style="124" customWidth="1"/>
    <col min="2" max="2" width="8.625" style="124" customWidth="1"/>
    <col min="3" max="3" width="27.625" style="124" customWidth="1"/>
    <col min="4" max="4" width="16.625" style="124" customWidth="1"/>
    <col min="5" max="16384" width="11" style="124"/>
  </cols>
  <sheetData>
    <row r="1" spans="1:7" ht="15">
      <c r="A1" s="131" t="s">
        <v>7</v>
      </c>
      <c r="B1" s="131" t="s">
        <v>175</v>
      </c>
      <c r="C1" s="131" t="s">
        <v>7</v>
      </c>
      <c r="D1" s="131" t="s">
        <v>329</v>
      </c>
      <c r="E1" s="131" t="s">
        <v>210</v>
      </c>
      <c r="F1" s="131" t="s">
        <v>330</v>
      </c>
      <c r="G1" s="124" t="s">
        <v>331</v>
      </c>
    </row>
    <row r="2" spans="1:7">
      <c r="A2" s="124" t="s">
        <v>211</v>
      </c>
      <c r="C2" s="124" t="s">
        <v>211</v>
      </c>
      <c r="D2" s="124" t="s">
        <v>332</v>
      </c>
      <c r="E2" s="159" t="s">
        <v>253</v>
      </c>
      <c r="F2" s="124" t="s">
        <v>333</v>
      </c>
      <c r="G2" s="124" t="s">
        <v>334</v>
      </c>
    </row>
    <row r="3" spans="1:7">
      <c r="A3" s="124" t="s">
        <v>161</v>
      </c>
      <c r="C3" s="124" t="s">
        <v>161</v>
      </c>
      <c r="D3" s="124" t="s">
        <v>335</v>
      </c>
      <c r="E3" s="159" t="s">
        <v>254</v>
      </c>
      <c r="F3" s="124" t="s">
        <v>336</v>
      </c>
      <c r="G3" s="124" t="s">
        <v>334</v>
      </c>
    </row>
    <row r="4" spans="1:7">
      <c r="E4" s="159"/>
      <c r="G4" s="124" t="s">
        <v>334</v>
      </c>
    </row>
    <row r="5" spans="1:7">
      <c r="A5" s="130" t="s">
        <v>162</v>
      </c>
      <c r="C5" s="130" t="s">
        <v>162</v>
      </c>
      <c r="D5" s="130" t="s">
        <v>337</v>
      </c>
      <c r="E5" s="160" t="s">
        <v>212</v>
      </c>
      <c r="F5" s="130" t="s">
        <v>338</v>
      </c>
      <c r="G5" s="124" t="s">
        <v>334</v>
      </c>
    </row>
    <row r="6" spans="1:7">
      <c r="A6" s="130" t="s">
        <v>163</v>
      </c>
      <c r="C6" s="130" t="s">
        <v>163</v>
      </c>
      <c r="D6" s="130" t="s">
        <v>339</v>
      </c>
      <c r="E6" s="160" t="s">
        <v>213</v>
      </c>
      <c r="F6" s="130" t="s">
        <v>340</v>
      </c>
      <c r="G6" s="124" t="s">
        <v>334</v>
      </c>
    </row>
    <row r="7" spans="1:7">
      <c r="A7" s="130" t="s">
        <v>171</v>
      </c>
      <c r="C7" s="130" t="s">
        <v>171</v>
      </c>
      <c r="D7" s="130" t="s">
        <v>341</v>
      </c>
      <c r="E7" s="160" t="s">
        <v>214</v>
      </c>
      <c r="F7" s="130" t="s">
        <v>342</v>
      </c>
      <c r="G7" s="124" t="s">
        <v>334</v>
      </c>
    </row>
    <row r="8" spans="1:7">
      <c r="A8" s="130" t="s">
        <v>164</v>
      </c>
      <c r="C8" s="130" t="s">
        <v>164</v>
      </c>
      <c r="D8" s="130" t="s">
        <v>343</v>
      </c>
      <c r="E8" s="160" t="s">
        <v>215</v>
      </c>
      <c r="F8" s="130" t="s">
        <v>344</v>
      </c>
      <c r="G8" s="124" t="s">
        <v>334</v>
      </c>
    </row>
    <row r="9" spans="1:7">
      <c r="A9" s="130" t="s">
        <v>165</v>
      </c>
      <c r="C9" s="130" t="s">
        <v>165</v>
      </c>
      <c r="D9" s="130" t="s">
        <v>345</v>
      </c>
      <c r="E9" s="160" t="s">
        <v>216</v>
      </c>
      <c r="F9" s="130" t="s">
        <v>346</v>
      </c>
      <c r="G9" s="124" t="s">
        <v>334</v>
      </c>
    </row>
    <row r="10" spans="1:7">
      <c r="A10" s="130" t="s">
        <v>166</v>
      </c>
      <c r="C10" s="130" t="s">
        <v>166</v>
      </c>
      <c r="D10" s="130" t="s">
        <v>347</v>
      </c>
      <c r="E10" s="160" t="s">
        <v>217</v>
      </c>
      <c r="F10" s="130" t="s">
        <v>348</v>
      </c>
      <c r="G10" s="124" t="s">
        <v>334</v>
      </c>
    </row>
    <row r="11" spans="1:7">
      <c r="A11" s="130" t="s">
        <v>167</v>
      </c>
      <c r="C11" s="130" t="s">
        <v>167</v>
      </c>
      <c r="D11" s="130" t="s">
        <v>349</v>
      </c>
      <c r="E11" s="160" t="s">
        <v>218</v>
      </c>
      <c r="F11" s="130" t="s">
        <v>350</v>
      </c>
      <c r="G11" s="124" t="s">
        <v>334</v>
      </c>
    </row>
    <row r="12" spans="1:7">
      <c r="A12" s="130" t="s">
        <v>168</v>
      </c>
      <c r="C12" s="130" t="s">
        <v>168</v>
      </c>
      <c r="D12" s="130" t="s">
        <v>351</v>
      </c>
      <c r="E12" s="160" t="s">
        <v>219</v>
      </c>
      <c r="F12" s="130" t="s">
        <v>352</v>
      </c>
      <c r="G12" s="124" t="s">
        <v>334</v>
      </c>
    </row>
    <row r="13" spans="1:7">
      <c r="A13" s="130" t="s">
        <v>169</v>
      </c>
      <c r="C13" s="130" t="s">
        <v>169</v>
      </c>
      <c r="D13" s="130" t="s">
        <v>353</v>
      </c>
      <c r="E13" s="160" t="s">
        <v>220</v>
      </c>
      <c r="F13" s="130" t="s">
        <v>354</v>
      </c>
      <c r="G13" s="124" t="s">
        <v>334</v>
      </c>
    </row>
    <row r="14" spans="1:7">
      <c r="A14" s="130" t="s">
        <v>170</v>
      </c>
      <c r="C14" s="130" t="s">
        <v>170</v>
      </c>
      <c r="D14" s="130" t="s">
        <v>355</v>
      </c>
      <c r="E14" s="160" t="s">
        <v>221</v>
      </c>
      <c r="F14" s="130" t="s">
        <v>356</v>
      </c>
      <c r="G14" s="124" t="s">
        <v>334</v>
      </c>
    </row>
    <row r="15" spans="1:7">
      <c r="E15" s="159"/>
      <c r="G15" s="124" t="s">
        <v>334</v>
      </c>
    </row>
    <row r="16" spans="1:7">
      <c r="E16" s="159"/>
      <c r="G16" s="124" t="s">
        <v>334</v>
      </c>
    </row>
    <row r="17" spans="1:7">
      <c r="A17" s="130" t="s">
        <v>255</v>
      </c>
      <c r="C17" s="130" t="s">
        <v>255</v>
      </c>
      <c r="D17" s="130" t="s">
        <v>256</v>
      </c>
      <c r="E17" s="160" t="s">
        <v>256</v>
      </c>
      <c r="F17" s="130" t="s">
        <v>256</v>
      </c>
      <c r="G17" s="124" t="s">
        <v>334</v>
      </c>
    </row>
    <row r="18" spans="1:7">
      <c r="A18" s="130" t="s">
        <v>222</v>
      </c>
      <c r="C18" s="130" t="s">
        <v>222</v>
      </c>
      <c r="D18" s="130" t="s">
        <v>223</v>
      </c>
      <c r="E18" s="160" t="s">
        <v>223</v>
      </c>
      <c r="F18" s="130" t="s">
        <v>357</v>
      </c>
      <c r="G18" s="124" t="s">
        <v>334</v>
      </c>
    </row>
    <row r="19" spans="1:7">
      <c r="A19" s="130" t="s">
        <v>8</v>
      </c>
      <c r="C19" s="130" t="s">
        <v>8</v>
      </c>
      <c r="D19" s="130" t="s">
        <v>358</v>
      </c>
      <c r="E19" s="160" t="s">
        <v>224</v>
      </c>
      <c r="F19" s="130" t="s">
        <v>359</v>
      </c>
      <c r="G19" s="124" t="s">
        <v>334</v>
      </c>
    </row>
    <row r="20" spans="1:7">
      <c r="E20" s="159"/>
      <c r="G20" s="124" t="s">
        <v>334</v>
      </c>
    </row>
    <row r="21" spans="1:7">
      <c r="A21" s="125" t="s">
        <v>22</v>
      </c>
      <c r="B21" s="125"/>
      <c r="C21" s="125" t="s">
        <v>22</v>
      </c>
      <c r="D21" s="125" t="s">
        <v>360</v>
      </c>
      <c r="E21" s="161" t="s">
        <v>257</v>
      </c>
      <c r="F21" s="125" t="s">
        <v>361</v>
      </c>
      <c r="G21" s="124" t="s">
        <v>334</v>
      </c>
    </row>
    <row r="22" spans="1:7">
      <c r="A22" s="125" t="s">
        <v>173</v>
      </c>
      <c r="B22" s="125"/>
      <c r="C22" s="125" t="s">
        <v>173</v>
      </c>
      <c r="D22" s="125" t="s">
        <v>362</v>
      </c>
      <c r="E22" s="161" t="s">
        <v>258</v>
      </c>
      <c r="F22" s="125" t="s">
        <v>363</v>
      </c>
      <c r="G22" s="124" t="s">
        <v>334</v>
      </c>
    </row>
    <row r="23" spans="1:7">
      <c r="A23" s="125" t="s">
        <v>114</v>
      </c>
      <c r="B23" s="125"/>
      <c r="C23" s="125" t="s">
        <v>114</v>
      </c>
      <c r="D23" s="125" t="s">
        <v>364</v>
      </c>
      <c r="E23" s="161" t="s">
        <v>259</v>
      </c>
      <c r="F23" s="125" t="s">
        <v>365</v>
      </c>
      <c r="G23" s="124" t="s">
        <v>334</v>
      </c>
    </row>
    <row r="24" spans="1:7">
      <c r="A24" s="125"/>
      <c r="B24" s="125"/>
      <c r="C24" s="125"/>
      <c r="D24" s="125"/>
      <c r="E24" s="161"/>
      <c r="F24" s="125"/>
      <c r="G24" s="124" t="s">
        <v>334</v>
      </c>
    </row>
    <row r="25" spans="1:7">
      <c r="A25" s="126" t="s">
        <v>40</v>
      </c>
      <c r="B25" s="126"/>
      <c r="C25" s="126" t="s">
        <v>40</v>
      </c>
      <c r="D25" s="126" t="s">
        <v>366</v>
      </c>
      <c r="E25" s="126" t="s">
        <v>260</v>
      </c>
      <c r="F25" s="126" t="s">
        <v>367</v>
      </c>
      <c r="G25" s="124" t="s">
        <v>334</v>
      </c>
    </row>
    <row r="26" spans="1:7">
      <c r="A26" s="130" t="s">
        <v>225</v>
      </c>
      <c r="B26" s="127"/>
      <c r="C26" s="130" t="s">
        <v>225</v>
      </c>
      <c r="D26" s="130" t="s">
        <v>368</v>
      </c>
      <c r="E26" s="160" t="s">
        <v>226</v>
      </c>
      <c r="F26" s="130" t="s">
        <v>369</v>
      </c>
      <c r="G26" s="124" t="s">
        <v>334</v>
      </c>
    </row>
    <row r="27" spans="1:7">
      <c r="A27" s="130" t="s">
        <v>5</v>
      </c>
      <c r="B27" s="127"/>
      <c r="C27" s="130" t="s">
        <v>5</v>
      </c>
      <c r="D27" s="130" t="s">
        <v>370</v>
      </c>
      <c r="E27" s="160" t="s">
        <v>227</v>
      </c>
      <c r="F27" s="130" t="s">
        <v>371</v>
      </c>
      <c r="G27" s="124" t="s">
        <v>334</v>
      </c>
    </row>
    <row r="28" spans="1:7">
      <c r="A28" s="127" t="s">
        <v>152</v>
      </c>
      <c r="B28" s="127"/>
      <c r="C28" s="127" t="s">
        <v>152</v>
      </c>
      <c r="D28" s="127" t="s">
        <v>372</v>
      </c>
      <c r="E28" s="127" t="s">
        <v>261</v>
      </c>
      <c r="F28" s="127" t="s">
        <v>373</v>
      </c>
      <c r="G28" s="124" t="s">
        <v>334</v>
      </c>
    </row>
    <row r="29" spans="1:7">
      <c r="A29" s="127" t="s">
        <v>192</v>
      </c>
      <c r="B29" s="127"/>
      <c r="C29" s="127" t="s">
        <v>192</v>
      </c>
      <c r="D29" s="127" t="s">
        <v>374</v>
      </c>
      <c r="E29" s="127" t="s">
        <v>262</v>
      </c>
      <c r="F29" s="127" t="s">
        <v>375</v>
      </c>
      <c r="G29" s="124" t="s">
        <v>334</v>
      </c>
    </row>
    <row r="30" spans="1:7">
      <c r="A30" s="127" t="s">
        <v>133</v>
      </c>
      <c r="B30" s="127"/>
      <c r="C30" s="127" t="s">
        <v>133</v>
      </c>
      <c r="D30" s="127" t="s">
        <v>376</v>
      </c>
      <c r="E30" s="127" t="s">
        <v>263</v>
      </c>
      <c r="F30" s="127" t="s">
        <v>377</v>
      </c>
      <c r="G30" s="124" t="s">
        <v>334</v>
      </c>
    </row>
    <row r="31" spans="1:7">
      <c r="A31" s="127"/>
      <c r="B31" s="127"/>
      <c r="C31" s="127"/>
      <c r="D31" s="127"/>
      <c r="E31" s="127"/>
      <c r="F31" s="127"/>
      <c r="G31" s="124" t="s">
        <v>334</v>
      </c>
    </row>
    <row r="32" spans="1:7">
      <c r="A32" s="127" t="s">
        <v>128</v>
      </c>
      <c r="B32" s="127"/>
      <c r="C32" s="127" t="s">
        <v>128</v>
      </c>
      <c r="D32" s="127" t="s">
        <v>378</v>
      </c>
      <c r="E32" s="127" t="s">
        <v>264</v>
      </c>
      <c r="F32" s="127" t="s">
        <v>379</v>
      </c>
      <c r="G32" s="124" t="s">
        <v>334</v>
      </c>
    </row>
    <row r="33" spans="1:7">
      <c r="A33" s="130" t="s">
        <v>15</v>
      </c>
      <c r="B33" s="127"/>
      <c r="C33" s="130" t="s">
        <v>15</v>
      </c>
      <c r="D33" s="130" t="s">
        <v>380</v>
      </c>
      <c r="E33" s="160" t="s">
        <v>228</v>
      </c>
      <c r="F33" s="130" t="s">
        <v>381</v>
      </c>
      <c r="G33" s="124" t="s">
        <v>334</v>
      </c>
    </row>
    <row r="34" spans="1:7">
      <c r="A34" s="130" t="s">
        <v>193</v>
      </c>
      <c r="B34" s="127"/>
      <c r="C34" s="130" t="s">
        <v>193</v>
      </c>
      <c r="D34" s="130" t="s">
        <v>382</v>
      </c>
      <c r="E34" s="160" t="s">
        <v>229</v>
      </c>
      <c r="F34" s="130" t="s">
        <v>383</v>
      </c>
      <c r="G34" s="124" t="s">
        <v>334</v>
      </c>
    </row>
    <row r="35" spans="1:7">
      <c r="A35" s="130" t="s">
        <v>194</v>
      </c>
      <c r="B35" s="127"/>
      <c r="C35" s="130" t="s">
        <v>194</v>
      </c>
      <c r="D35" s="130" t="s">
        <v>384</v>
      </c>
      <c r="E35" s="160" t="s">
        <v>230</v>
      </c>
      <c r="F35" s="130" t="s">
        <v>385</v>
      </c>
      <c r="G35" s="124" t="s">
        <v>334</v>
      </c>
    </row>
    <row r="36" spans="1:7">
      <c r="A36" s="127" t="s">
        <v>159</v>
      </c>
      <c r="B36" s="127"/>
      <c r="C36" s="127" t="s">
        <v>159</v>
      </c>
      <c r="D36" s="127" t="s">
        <v>386</v>
      </c>
      <c r="E36" s="127" t="s">
        <v>265</v>
      </c>
      <c r="F36" s="127" t="s">
        <v>387</v>
      </c>
      <c r="G36" s="124" t="s">
        <v>334</v>
      </c>
    </row>
    <row r="37" spans="1:7">
      <c r="A37" s="127" t="s">
        <v>153</v>
      </c>
      <c r="B37" s="127"/>
      <c r="C37" s="127" t="s">
        <v>153</v>
      </c>
      <c r="D37" s="127" t="s">
        <v>388</v>
      </c>
      <c r="E37" s="127" t="s">
        <v>266</v>
      </c>
      <c r="F37" s="127" t="s">
        <v>389</v>
      </c>
      <c r="G37" s="124" t="s">
        <v>334</v>
      </c>
    </row>
    <row r="38" spans="1:7">
      <c r="A38" s="127" t="s">
        <v>562</v>
      </c>
      <c r="B38" s="127"/>
      <c r="C38" s="127" t="s">
        <v>562</v>
      </c>
      <c r="D38" s="127" t="s">
        <v>563</v>
      </c>
      <c r="E38" s="127" t="s">
        <v>568</v>
      </c>
      <c r="F38" s="127" t="s">
        <v>564</v>
      </c>
      <c r="G38" s="124" t="s">
        <v>334</v>
      </c>
    </row>
    <row r="39" spans="1:7">
      <c r="A39" s="127" t="s">
        <v>134</v>
      </c>
      <c r="B39" s="127"/>
      <c r="C39" s="127" t="s">
        <v>134</v>
      </c>
      <c r="D39" s="127" t="s">
        <v>390</v>
      </c>
      <c r="E39" s="127" t="s">
        <v>267</v>
      </c>
      <c r="F39" s="127" t="s">
        <v>391</v>
      </c>
      <c r="G39" s="124" t="s">
        <v>334</v>
      </c>
    </row>
    <row r="40" spans="1:7">
      <c r="A40" s="127" t="s">
        <v>15</v>
      </c>
      <c r="B40" s="127"/>
      <c r="C40" s="127" t="s">
        <v>15</v>
      </c>
      <c r="D40" s="127" t="s">
        <v>380</v>
      </c>
      <c r="E40" s="127" t="s">
        <v>268</v>
      </c>
      <c r="F40" s="127" t="s">
        <v>381</v>
      </c>
      <c r="G40" s="124" t="s">
        <v>334</v>
      </c>
    </row>
    <row r="41" spans="1:7">
      <c r="A41" s="130" t="s">
        <v>193</v>
      </c>
      <c r="B41" s="127"/>
      <c r="C41" s="130" t="s">
        <v>193</v>
      </c>
      <c r="D41" s="130" t="s">
        <v>382</v>
      </c>
      <c r="E41" s="160" t="s">
        <v>229</v>
      </c>
      <c r="F41" s="130" t="s">
        <v>383</v>
      </c>
      <c r="G41" s="124" t="s">
        <v>334</v>
      </c>
    </row>
    <row r="42" spans="1:7">
      <c r="A42" s="130" t="s">
        <v>194</v>
      </c>
      <c r="B42" s="127"/>
      <c r="C42" s="130" t="s">
        <v>194</v>
      </c>
      <c r="D42" s="130" t="s">
        <v>384</v>
      </c>
      <c r="E42" s="160" t="s">
        <v>230</v>
      </c>
      <c r="F42" s="130" t="s">
        <v>385</v>
      </c>
      <c r="G42" s="124" t="s">
        <v>334</v>
      </c>
    </row>
    <row r="43" spans="1:7">
      <c r="A43" s="127" t="s">
        <v>52</v>
      </c>
      <c r="B43" s="127"/>
      <c r="C43" s="127" t="s">
        <v>52</v>
      </c>
      <c r="D43" s="127" t="s">
        <v>392</v>
      </c>
      <c r="E43" s="127" t="s">
        <v>269</v>
      </c>
      <c r="F43" s="127" t="s">
        <v>393</v>
      </c>
      <c r="G43" s="124" t="s">
        <v>334</v>
      </c>
    </row>
    <row r="44" spans="1:7">
      <c r="A44" s="127" t="s">
        <v>41</v>
      </c>
      <c r="B44" s="127"/>
      <c r="C44" s="127" t="s">
        <v>41</v>
      </c>
      <c r="D44" s="127" t="s">
        <v>394</v>
      </c>
      <c r="E44" s="127" t="s">
        <v>270</v>
      </c>
      <c r="F44" s="127" t="s">
        <v>395</v>
      </c>
      <c r="G44" s="124" t="s">
        <v>334</v>
      </c>
    </row>
    <row r="45" spans="1:7">
      <c r="A45" s="130" t="s">
        <v>37</v>
      </c>
      <c r="B45" s="127"/>
      <c r="C45" s="130" t="s">
        <v>37</v>
      </c>
      <c r="D45" s="130" t="s">
        <v>396</v>
      </c>
      <c r="E45" s="160" t="s">
        <v>231</v>
      </c>
      <c r="F45" s="130" t="s">
        <v>397</v>
      </c>
      <c r="G45" s="124" t="s">
        <v>334</v>
      </c>
    </row>
    <row r="46" spans="1:7">
      <c r="A46" s="130" t="s">
        <v>38</v>
      </c>
      <c r="B46" s="127"/>
      <c r="C46" s="130" t="s">
        <v>38</v>
      </c>
      <c r="D46" s="130" t="s">
        <v>398</v>
      </c>
      <c r="E46" s="160" t="s">
        <v>232</v>
      </c>
      <c r="F46" s="130" t="s">
        <v>399</v>
      </c>
      <c r="G46" s="124" t="s">
        <v>334</v>
      </c>
    </row>
    <row r="47" spans="1:7">
      <c r="A47" s="130" t="s">
        <v>14</v>
      </c>
      <c r="B47" s="127"/>
      <c r="C47" s="130" t="s">
        <v>14</v>
      </c>
      <c r="D47" s="130" t="s">
        <v>400</v>
      </c>
      <c r="E47" s="160" t="s">
        <v>233</v>
      </c>
      <c r="F47" s="130" t="s">
        <v>401</v>
      </c>
      <c r="G47" s="124" t="s">
        <v>334</v>
      </c>
    </row>
    <row r="48" spans="1:7">
      <c r="A48" s="127" t="s">
        <v>42</v>
      </c>
      <c r="B48" s="127"/>
      <c r="C48" s="127" t="s">
        <v>42</v>
      </c>
      <c r="D48" s="127" t="s">
        <v>402</v>
      </c>
      <c r="E48" s="127" t="s">
        <v>271</v>
      </c>
      <c r="F48" s="127" t="s">
        <v>403</v>
      </c>
      <c r="G48" s="124" t="s">
        <v>334</v>
      </c>
    </row>
    <row r="49" spans="1:7">
      <c r="A49" s="130" t="s">
        <v>18</v>
      </c>
      <c r="B49" s="127"/>
      <c r="C49" s="130" t="s">
        <v>18</v>
      </c>
      <c r="D49" s="130" t="s">
        <v>404</v>
      </c>
      <c r="E49" s="160" t="s">
        <v>234</v>
      </c>
      <c r="F49" s="130" t="s">
        <v>405</v>
      </c>
      <c r="G49" s="124" t="s">
        <v>334</v>
      </c>
    </row>
    <row r="50" spans="1:7">
      <c r="A50" s="127" t="s">
        <v>43</v>
      </c>
      <c r="B50" s="127"/>
      <c r="C50" s="127" t="s">
        <v>43</v>
      </c>
      <c r="D50" s="127" t="s">
        <v>406</v>
      </c>
      <c r="E50" s="127" t="s">
        <v>272</v>
      </c>
      <c r="F50" s="127" t="s">
        <v>407</v>
      </c>
      <c r="G50" s="124" t="s">
        <v>334</v>
      </c>
    </row>
    <row r="51" spans="1:7">
      <c r="A51" s="127" t="s">
        <v>44</v>
      </c>
      <c r="B51" s="127"/>
      <c r="C51" s="127" t="s">
        <v>44</v>
      </c>
      <c r="D51" s="127" t="s">
        <v>408</v>
      </c>
      <c r="E51" s="127" t="s">
        <v>273</v>
      </c>
      <c r="F51" s="127" t="s">
        <v>409</v>
      </c>
      <c r="G51" s="124" t="s">
        <v>334</v>
      </c>
    </row>
    <row r="52" spans="1:7">
      <c r="A52" s="127" t="s">
        <v>195</v>
      </c>
      <c r="B52" s="127"/>
      <c r="C52" s="127" t="s">
        <v>195</v>
      </c>
      <c r="D52" s="127" t="s">
        <v>410</v>
      </c>
      <c r="E52" s="127" t="s">
        <v>274</v>
      </c>
      <c r="F52" s="127" t="s">
        <v>411</v>
      </c>
      <c r="G52" s="124" t="s">
        <v>334</v>
      </c>
    </row>
    <row r="53" spans="1:7">
      <c r="A53" s="127" t="s">
        <v>45</v>
      </c>
      <c r="B53" s="127"/>
      <c r="C53" s="127" t="s">
        <v>45</v>
      </c>
      <c r="D53" s="127" t="s">
        <v>412</v>
      </c>
      <c r="E53" s="127" t="s">
        <v>275</v>
      </c>
      <c r="F53" s="127" t="s">
        <v>413</v>
      </c>
      <c r="G53" s="124" t="s">
        <v>334</v>
      </c>
    </row>
    <row r="54" spans="1:7">
      <c r="A54" s="127" t="s">
        <v>150</v>
      </c>
      <c r="B54" s="127"/>
      <c r="C54" s="127" t="s">
        <v>150</v>
      </c>
      <c r="D54" s="127" t="s">
        <v>414</v>
      </c>
      <c r="E54" s="127" t="s">
        <v>276</v>
      </c>
      <c r="F54" s="127" t="s">
        <v>415</v>
      </c>
      <c r="G54" s="124" t="s">
        <v>334</v>
      </c>
    </row>
    <row r="55" spans="1:7">
      <c r="A55" s="127" t="s">
        <v>148</v>
      </c>
      <c r="B55" s="127"/>
      <c r="C55" s="127" t="s">
        <v>148</v>
      </c>
      <c r="D55" s="127" t="s">
        <v>416</v>
      </c>
      <c r="E55" s="127" t="s">
        <v>277</v>
      </c>
      <c r="F55" s="127" t="s">
        <v>417</v>
      </c>
      <c r="G55" s="124" t="s">
        <v>334</v>
      </c>
    </row>
    <row r="56" spans="1:7">
      <c r="A56" s="127" t="s">
        <v>149</v>
      </c>
      <c r="B56" s="127"/>
      <c r="C56" s="127" t="s">
        <v>149</v>
      </c>
      <c r="D56" s="127" t="s">
        <v>418</v>
      </c>
      <c r="E56" s="127" t="s">
        <v>278</v>
      </c>
      <c r="F56" s="127" t="s">
        <v>419</v>
      </c>
      <c r="G56" s="124" t="s">
        <v>334</v>
      </c>
    </row>
    <row r="57" spans="1:7" ht="85.5">
      <c r="A57" s="127" t="s">
        <v>147</v>
      </c>
      <c r="B57" s="127"/>
      <c r="C57" s="127" t="s">
        <v>147</v>
      </c>
      <c r="D57" s="127" t="s">
        <v>420</v>
      </c>
      <c r="E57" s="127" t="s">
        <v>279</v>
      </c>
      <c r="F57" s="21" t="s">
        <v>421</v>
      </c>
      <c r="G57" s="124" t="s">
        <v>334</v>
      </c>
    </row>
    <row r="58" spans="1:7">
      <c r="A58" s="127" t="s">
        <v>280</v>
      </c>
      <c r="B58" s="127"/>
      <c r="C58" s="127" t="s">
        <v>280</v>
      </c>
      <c r="D58" s="127" t="s">
        <v>422</v>
      </c>
      <c r="E58" s="127" t="s">
        <v>281</v>
      </c>
      <c r="F58" s="127" t="s">
        <v>423</v>
      </c>
      <c r="G58" s="124" t="s">
        <v>334</v>
      </c>
    </row>
    <row r="59" spans="1:7">
      <c r="A59" s="127"/>
      <c r="B59" s="127"/>
      <c r="C59" s="127"/>
      <c r="D59" s="127"/>
      <c r="E59" s="127"/>
      <c r="F59" s="127"/>
      <c r="G59" s="124" t="s">
        <v>334</v>
      </c>
    </row>
    <row r="60" spans="1:7">
      <c r="A60" s="127"/>
      <c r="B60" s="127"/>
      <c r="C60" s="127"/>
      <c r="D60" s="127"/>
      <c r="E60" s="127"/>
      <c r="F60" s="127"/>
      <c r="G60" s="124" t="s">
        <v>334</v>
      </c>
    </row>
    <row r="61" spans="1:7">
      <c r="A61" s="127" t="s">
        <v>199</v>
      </c>
      <c r="B61" s="127"/>
      <c r="C61" s="127" t="s">
        <v>199</v>
      </c>
      <c r="D61" s="127" t="s">
        <v>424</v>
      </c>
      <c r="E61" s="127" t="s">
        <v>282</v>
      </c>
      <c r="F61" s="127" t="s">
        <v>425</v>
      </c>
      <c r="G61" s="124" t="s">
        <v>334</v>
      </c>
    </row>
    <row r="62" spans="1:7">
      <c r="A62" s="127" t="s">
        <v>196</v>
      </c>
      <c r="B62" s="127"/>
      <c r="C62" s="127" t="s">
        <v>196</v>
      </c>
      <c r="D62" s="127" t="s">
        <v>426</v>
      </c>
      <c r="E62" s="127" t="s">
        <v>283</v>
      </c>
      <c r="F62" s="127" t="s">
        <v>427</v>
      </c>
      <c r="G62" s="124" t="s">
        <v>334</v>
      </c>
    </row>
    <row r="63" spans="1:7">
      <c r="A63" s="127" t="s">
        <v>197</v>
      </c>
      <c r="B63" s="127"/>
      <c r="C63" s="127" t="s">
        <v>197</v>
      </c>
      <c r="D63" s="127" t="s">
        <v>428</v>
      </c>
      <c r="E63" s="127" t="s">
        <v>284</v>
      </c>
      <c r="F63" s="127" t="s">
        <v>429</v>
      </c>
      <c r="G63" s="124" t="s">
        <v>334</v>
      </c>
    </row>
    <row r="64" spans="1:7">
      <c r="A64" s="127" t="s">
        <v>200</v>
      </c>
      <c r="B64" s="127"/>
      <c r="C64" s="127" t="s">
        <v>200</v>
      </c>
      <c r="D64" s="127" t="s">
        <v>430</v>
      </c>
      <c r="E64" s="127" t="s">
        <v>285</v>
      </c>
      <c r="F64" s="127" t="s">
        <v>431</v>
      </c>
      <c r="G64" s="124" t="s">
        <v>334</v>
      </c>
    </row>
    <row r="65" spans="1:7">
      <c r="A65" s="127" t="s">
        <v>196</v>
      </c>
      <c r="B65" s="127"/>
      <c r="C65" s="127" t="s">
        <v>196</v>
      </c>
      <c r="D65" s="127" t="s">
        <v>426</v>
      </c>
      <c r="E65" s="127" t="s">
        <v>283</v>
      </c>
      <c r="F65" s="127" t="s">
        <v>427</v>
      </c>
      <c r="G65" s="124" t="s">
        <v>334</v>
      </c>
    </row>
    <row r="66" spans="1:7">
      <c r="A66" s="127" t="s">
        <v>197</v>
      </c>
      <c r="B66" s="127"/>
      <c r="C66" s="127" t="s">
        <v>197</v>
      </c>
      <c r="D66" s="127" t="s">
        <v>428</v>
      </c>
      <c r="E66" s="127" t="s">
        <v>286</v>
      </c>
      <c r="F66" s="127" t="s">
        <v>429</v>
      </c>
      <c r="G66" s="124" t="s">
        <v>334</v>
      </c>
    </row>
    <row r="67" spans="1:7">
      <c r="A67" s="127" t="s">
        <v>129</v>
      </c>
      <c r="B67" s="127"/>
      <c r="C67" s="127" t="s">
        <v>129</v>
      </c>
      <c r="D67" s="127" t="s">
        <v>432</v>
      </c>
      <c r="E67" s="160" t="s">
        <v>287</v>
      </c>
      <c r="F67" s="127" t="s">
        <v>433</v>
      </c>
      <c r="G67" s="124" t="s">
        <v>334</v>
      </c>
    </row>
    <row r="68" spans="1:7">
      <c r="A68" s="127" t="s">
        <v>130</v>
      </c>
      <c r="B68" s="127"/>
      <c r="C68" s="127" t="s">
        <v>130</v>
      </c>
      <c r="D68" s="127" t="s">
        <v>434</v>
      </c>
      <c r="E68" s="160" t="s">
        <v>288</v>
      </c>
      <c r="F68" s="127" t="s">
        <v>435</v>
      </c>
      <c r="G68" s="124" t="s">
        <v>334</v>
      </c>
    </row>
    <row r="69" spans="1:7">
      <c r="A69" s="127" t="s">
        <v>207</v>
      </c>
      <c r="B69" s="127"/>
      <c r="C69" s="127" t="s">
        <v>207</v>
      </c>
      <c r="D69" s="127" t="s">
        <v>436</v>
      </c>
      <c r="E69" s="127" t="s">
        <v>289</v>
      </c>
      <c r="F69" s="127" t="s">
        <v>437</v>
      </c>
      <c r="G69" s="124" t="s">
        <v>334</v>
      </c>
    </row>
    <row r="70" spans="1:7">
      <c r="A70" s="127" t="s">
        <v>131</v>
      </c>
      <c r="B70" s="127"/>
      <c r="C70" s="127" t="s">
        <v>131</v>
      </c>
      <c r="D70" s="127" t="s">
        <v>438</v>
      </c>
      <c r="E70" s="160" t="s">
        <v>290</v>
      </c>
      <c r="F70" s="127" t="s">
        <v>439</v>
      </c>
      <c r="G70" s="124" t="s">
        <v>334</v>
      </c>
    </row>
    <row r="71" spans="1:7">
      <c r="A71" s="127" t="s">
        <v>208</v>
      </c>
      <c r="B71" s="127"/>
      <c r="C71" s="127" t="s">
        <v>208</v>
      </c>
      <c r="D71" s="127" t="s">
        <v>440</v>
      </c>
      <c r="E71" s="127" t="s">
        <v>291</v>
      </c>
      <c r="F71" s="127" t="s">
        <v>441</v>
      </c>
      <c r="G71" s="124" t="s">
        <v>334</v>
      </c>
    </row>
    <row r="72" spans="1:7">
      <c r="A72" s="127" t="s">
        <v>132</v>
      </c>
      <c r="B72" s="127"/>
      <c r="C72" s="127" t="s">
        <v>132</v>
      </c>
      <c r="D72" s="127" t="s">
        <v>442</v>
      </c>
      <c r="E72" s="127" t="s">
        <v>292</v>
      </c>
      <c r="F72" s="127" t="s">
        <v>443</v>
      </c>
      <c r="G72" s="124" t="s">
        <v>334</v>
      </c>
    </row>
    <row r="73" spans="1:7">
      <c r="A73" s="127"/>
      <c r="B73" s="127"/>
      <c r="C73" s="127"/>
      <c r="D73" s="127"/>
      <c r="E73" s="127"/>
      <c r="F73" s="127"/>
      <c r="G73" s="124" t="s">
        <v>334</v>
      </c>
    </row>
    <row r="74" spans="1:7">
      <c r="A74" s="127"/>
      <c r="B74" s="127"/>
      <c r="C74" s="127"/>
      <c r="D74" s="127"/>
      <c r="E74" s="127"/>
      <c r="F74" s="127"/>
      <c r="G74" s="124" t="s">
        <v>334</v>
      </c>
    </row>
    <row r="75" spans="1:7">
      <c r="A75" s="127" t="s">
        <v>201</v>
      </c>
      <c r="B75" s="127"/>
      <c r="C75" s="127" t="s">
        <v>201</v>
      </c>
      <c r="D75" s="127" t="s">
        <v>444</v>
      </c>
      <c r="E75" s="127" t="s">
        <v>293</v>
      </c>
      <c r="F75" s="127" t="s">
        <v>445</v>
      </c>
      <c r="G75" s="124" t="s">
        <v>334</v>
      </c>
    </row>
    <row r="76" spans="1:7">
      <c r="A76" s="127" t="s">
        <v>196</v>
      </c>
      <c r="B76" s="127"/>
      <c r="C76" s="127" t="s">
        <v>196</v>
      </c>
      <c r="D76" s="127" t="s">
        <v>446</v>
      </c>
      <c r="E76" s="127" t="s">
        <v>294</v>
      </c>
      <c r="F76" s="127" t="s">
        <v>427</v>
      </c>
      <c r="G76" s="124" t="s">
        <v>334</v>
      </c>
    </row>
    <row r="77" spans="1:7">
      <c r="A77" s="127" t="s">
        <v>197</v>
      </c>
      <c r="B77" s="127"/>
      <c r="C77" s="127" t="s">
        <v>197</v>
      </c>
      <c r="D77" s="127" t="s">
        <v>428</v>
      </c>
      <c r="E77" s="127" t="s">
        <v>286</v>
      </c>
      <c r="F77" s="127" t="s">
        <v>429</v>
      </c>
      <c r="G77" s="124" t="s">
        <v>334</v>
      </c>
    </row>
    <row r="78" spans="1:7">
      <c r="A78" s="127" t="s">
        <v>129</v>
      </c>
      <c r="B78" s="127"/>
      <c r="C78" s="127" t="s">
        <v>129</v>
      </c>
      <c r="D78" s="127" t="s">
        <v>432</v>
      </c>
      <c r="E78" s="160" t="s">
        <v>287</v>
      </c>
      <c r="F78" s="127" t="s">
        <v>433</v>
      </c>
      <c r="G78" s="124" t="s">
        <v>334</v>
      </c>
    </row>
    <row r="79" spans="1:7">
      <c r="A79" s="127" t="s">
        <v>130</v>
      </c>
      <c r="B79" s="127"/>
      <c r="C79" s="127" t="s">
        <v>130</v>
      </c>
      <c r="D79" s="127" t="s">
        <v>434</v>
      </c>
      <c r="E79" s="160" t="s">
        <v>288</v>
      </c>
      <c r="F79" s="127" t="s">
        <v>435</v>
      </c>
      <c r="G79" s="124" t="s">
        <v>334</v>
      </c>
    </row>
    <row r="80" spans="1:7">
      <c r="A80" s="127" t="s">
        <v>207</v>
      </c>
      <c r="B80" s="127"/>
      <c r="C80" s="127" t="s">
        <v>207</v>
      </c>
      <c r="D80" s="127" t="s">
        <v>436</v>
      </c>
      <c r="E80" s="127" t="s">
        <v>289</v>
      </c>
      <c r="F80" s="127" t="s">
        <v>437</v>
      </c>
      <c r="G80" s="124" t="s">
        <v>334</v>
      </c>
    </row>
    <row r="81" spans="1:7">
      <c r="A81" s="127" t="s">
        <v>131</v>
      </c>
      <c r="B81" s="127"/>
      <c r="C81" s="127" t="s">
        <v>131</v>
      </c>
      <c r="D81" s="127" t="s">
        <v>438</v>
      </c>
      <c r="E81" s="160" t="s">
        <v>290</v>
      </c>
      <c r="F81" s="127" t="s">
        <v>439</v>
      </c>
      <c r="G81" s="124" t="s">
        <v>334</v>
      </c>
    </row>
    <row r="82" spans="1:7">
      <c r="A82" s="127" t="s">
        <v>208</v>
      </c>
      <c r="B82" s="127"/>
      <c r="C82" s="127" t="s">
        <v>208</v>
      </c>
      <c r="D82" s="127" t="s">
        <v>440</v>
      </c>
      <c r="E82" s="127" t="s">
        <v>291</v>
      </c>
      <c r="F82" s="127" t="s">
        <v>441</v>
      </c>
      <c r="G82" s="124" t="s">
        <v>334</v>
      </c>
    </row>
    <row r="83" spans="1:7">
      <c r="A83" s="127" t="s">
        <v>132</v>
      </c>
      <c r="B83" s="127"/>
      <c r="C83" s="127" t="s">
        <v>132</v>
      </c>
      <c r="D83" s="127" t="s">
        <v>442</v>
      </c>
      <c r="E83" s="127" t="s">
        <v>292</v>
      </c>
      <c r="F83" s="127" t="s">
        <v>443</v>
      </c>
      <c r="G83" s="124" t="s">
        <v>334</v>
      </c>
    </row>
    <row r="84" spans="1:7">
      <c r="A84" s="127"/>
      <c r="B84" s="127"/>
      <c r="C84" s="127"/>
      <c r="D84" s="127"/>
      <c r="E84" s="127"/>
      <c r="F84" s="127"/>
      <c r="G84" s="124" t="s">
        <v>334</v>
      </c>
    </row>
    <row r="85" spans="1:7">
      <c r="A85" s="127"/>
      <c r="B85" s="127"/>
      <c r="C85" s="127"/>
      <c r="D85" s="127"/>
      <c r="E85" s="127"/>
      <c r="F85" s="127"/>
      <c r="G85" s="124" t="s">
        <v>334</v>
      </c>
    </row>
    <row r="86" spans="1:7">
      <c r="A86" s="127" t="s">
        <v>203</v>
      </c>
      <c r="B86" s="127"/>
      <c r="C86" s="127" t="s">
        <v>203</v>
      </c>
      <c r="D86" s="127" t="s">
        <v>447</v>
      </c>
      <c r="E86" s="127" t="s">
        <v>295</v>
      </c>
      <c r="F86" s="127" t="s">
        <v>448</v>
      </c>
      <c r="G86" s="124" t="s">
        <v>334</v>
      </c>
    </row>
    <row r="87" spans="1:7">
      <c r="A87" s="127" t="s">
        <v>202</v>
      </c>
      <c r="B87" s="127"/>
      <c r="C87" s="127" t="s">
        <v>202</v>
      </c>
      <c r="D87" s="127" t="s">
        <v>449</v>
      </c>
      <c r="E87" s="127" t="s">
        <v>296</v>
      </c>
      <c r="F87" s="127" t="s">
        <v>450</v>
      </c>
      <c r="G87" s="124" t="s">
        <v>334</v>
      </c>
    </row>
    <row r="88" spans="1:7">
      <c r="A88" s="127" t="s">
        <v>191</v>
      </c>
      <c r="B88" s="127"/>
      <c r="C88" s="127" t="s">
        <v>191</v>
      </c>
      <c r="D88" s="127" t="s">
        <v>451</v>
      </c>
      <c r="E88" s="127" t="s">
        <v>297</v>
      </c>
      <c r="F88" s="127" t="s">
        <v>452</v>
      </c>
      <c r="G88" s="124" t="s">
        <v>334</v>
      </c>
    </row>
    <row r="89" spans="1:7">
      <c r="A89" s="127"/>
      <c r="B89" s="127"/>
      <c r="C89" s="127"/>
      <c r="D89" s="127"/>
      <c r="E89" s="127"/>
      <c r="F89" s="127"/>
      <c r="G89" s="124" t="s">
        <v>334</v>
      </c>
    </row>
    <row r="90" spans="1:7">
      <c r="A90" s="127"/>
      <c r="B90" s="127"/>
      <c r="C90" s="127"/>
      <c r="D90" s="127"/>
      <c r="E90" s="127"/>
      <c r="F90" s="127"/>
      <c r="G90" s="124" t="s">
        <v>334</v>
      </c>
    </row>
    <row r="91" spans="1:7">
      <c r="A91" s="130" t="s">
        <v>2</v>
      </c>
      <c r="B91" s="127"/>
      <c r="C91" s="130" t="s">
        <v>2</v>
      </c>
      <c r="D91" s="130" t="s">
        <v>453</v>
      </c>
      <c r="E91" s="160" t="s">
        <v>235</v>
      </c>
      <c r="F91" s="130" t="s">
        <v>454</v>
      </c>
      <c r="G91" s="124" t="s">
        <v>334</v>
      </c>
    </row>
    <row r="92" spans="1:7">
      <c r="A92" s="130" t="s">
        <v>3</v>
      </c>
      <c r="B92" s="127"/>
      <c r="C92" s="130" t="s">
        <v>3</v>
      </c>
      <c r="D92" s="130" t="s">
        <v>455</v>
      </c>
      <c r="E92" s="160" t="s">
        <v>236</v>
      </c>
      <c r="F92" s="130" t="s">
        <v>456</v>
      </c>
      <c r="G92" s="124" t="s">
        <v>334</v>
      </c>
    </row>
    <row r="93" spans="1:7">
      <c r="A93" s="130" t="s">
        <v>4</v>
      </c>
      <c r="B93" s="127"/>
      <c r="C93" s="130" t="s">
        <v>4</v>
      </c>
      <c r="D93" s="130" t="s">
        <v>457</v>
      </c>
      <c r="E93" s="160" t="s">
        <v>237</v>
      </c>
      <c r="F93" s="130" t="s">
        <v>458</v>
      </c>
      <c r="G93" s="124" t="s">
        <v>334</v>
      </c>
    </row>
    <row r="94" spans="1:7">
      <c r="E94" s="159"/>
    </row>
    <row r="95" spans="1:7">
      <c r="E95" s="159"/>
    </row>
    <row r="96" spans="1:7">
      <c r="E96" s="159"/>
    </row>
    <row r="97" spans="1:7">
      <c r="A97" s="130" t="s">
        <v>9</v>
      </c>
      <c r="C97" s="130" t="s">
        <v>9</v>
      </c>
      <c r="D97" s="130" t="s">
        <v>459</v>
      </c>
      <c r="E97" s="160" t="s">
        <v>298</v>
      </c>
      <c r="F97" s="130" t="s">
        <v>460</v>
      </c>
      <c r="G97" s="124" t="s">
        <v>461</v>
      </c>
    </row>
    <row r="98" spans="1:7">
      <c r="A98" s="130" t="s">
        <v>10</v>
      </c>
      <c r="C98" s="130" t="s">
        <v>10</v>
      </c>
      <c r="D98" s="130" t="s">
        <v>238</v>
      </c>
      <c r="E98" s="160" t="s">
        <v>238</v>
      </c>
      <c r="F98" s="130" t="s">
        <v>462</v>
      </c>
      <c r="G98" s="124" t="s">
        <v>463</v>
      </c>
    </row>
    <row r="99" spans="1:7">
      <c r="A99" s="130" t="s">
        <v>39</v>
      </c>
      <c r="C99" s="130" t="s">
        <v>39</v>
      </c>
      <c r="D99" s="130" t="s">
        <v>464</v>
      </c>
      <c r="E99" s="160" t="s">
        <v>239</v>
      </c>
      <c r="F99" s="130" t="s">
        <v>465</v>
      </c>
      <c r="G99" s="124" t="s">
        <v>466</v>
      </c>
    </row>
    <row r="100" spans="1:7">
      <c r="A100" s="130" t="s">
        <v>172</v>
      </c>
      <c r="C100" s="130" t="s">
        <v>172</v>
      </c>
      <c r="D100" s="130" t="s">
        <v>467</v>
      </c>
      <c r="E100" s="160" t="s">
        <v>240</v>
      </c>
      <c r="F100" s="130" t="s">
        <v>468</v>
      </c>
      <c r="G100" s="124" t="s">
        <v>469</v>
      </c>
    </row>
    <row r="101" spans="1:7">
      <c r="E101" s="159"/>
    </row>
    <row r="102" spans="1:7">
      <c r="E102" s="159"/>
    </row>
    <row r="103" spans="1:7">
      <c r="E103" s="159"/>
    </row>
    <row r="104" spans="1:7">
      <c r="E104" s="159"/>
    </row>
    <row r="105" spans="1:7">
      <c r="A105" s="130" t="s">
        <v>11</v>
      </c>
      <c r="C105" s="130" t="s">
        <v>11</v>
      </c>
      <c r="D105" s="130" t="s">
        <v>470</v>
      </c>
      <c r="E105" s="160" t="s">
        <v>241</v>
      </c>
      <c r="F105" s="130" t="s">
        <v>471</v>
      </c>
      <c r="G105" s="124" t="s">
        <v>334</v>
      </c>
    </row>
    <row r="106" spans="1:7">
      <c r="E106" s="159"/>
      <c r="G106" s="124" t="s">
        <v>334</v>
      </c>
    </row>
    <row r="107" spans="1:7">
      <c r="A107" s="130" t="s">
        <v>242</v>
      </c>
      <c r="C107" s="130" t="s">
        <v>242</v>
      </c>
      <c r="D107" s="130" t="s">
        <v>472</v>
      </c>
      <c r="E107" s="160" t="s">
        <v>243</v>
      </c>
      <c r="F107" s="130" t="s">
        <v>473</v>
      </c>
      <c r="G107" s="124" t="s">
        <v>334</v>
      </c>
    </row>
    <row r="108" spans="1:7">
      <c r="A108" s="124" t="s">
        <v>198</v>
      </c>
      <c r="C108" s="124" t="s">
        <v>198</v>
      </c>
      <c r="D108" s="124" t="s">
        <v>474</v>
      </c>
      <c r="E108" s="159" t="s">
        <v>299</v>
      </c>
      <c r="F108" s="124" t="s">
        <v>475</v>
      </c>
      <c r="G108" s="124" t="s">
        <v>334</v>
      </c>
    </row>
    <row r="109" spans="1:7">
      <c r="A109" s="124" t="s">
        <v>205</v>
      </c>
      <c r="C109" s="124" t="s">
        <v>205</v>
      </c>
      <c r="D109" s="124" t="s">
        <v>476</v>
      </c>
      <c r="E109" s="159" t="s">
        <v>300</v>
      </c>
      <c r="F109" s="124" t="s">
        <v>477</v>
      </c>
      <c r="G109" s="124" t="s">
        <v>334</v>
      </c>
    </row>
    <row r="110" spans="1:7">
      <c r="A110" s="124" t="s">
        <v>206</v>
      </c>
      <c r="C110" s="124" t="s">
        <v>206</v>
      </c>
      <c r="D110" s="124" t="s">
        <v>478</v>
      </c>
      <c r="E110" s="159" t="s">
        <v>301</v>
      </c>
      <c r="F110" s="124" t="s">
        <v>479</v>
      </c>
      <c r="G110" s="124" t="s">
        <v>334</v>
      </c>
    </row>
    <row r="111" spans="1:7">
      <c r="A111" s="124" t="s">
        <v>204</v>
      </c>
      <c r="C111" s="124" t="s">
        <v>204</v>
      </c>
      <c r="D111" s="124" t="s">
        <v>480</v>
      </c>
      <c r="E111" s="159" t="s">
        <v>302</v>
      </c>
      <c r="F111" s="124" t="s">
        <v>481</v>
      </c>
      <c r="G111" s="124" t="s">
        <v>334</v>
      </c>
    </row>
    <row r="112" spans="1:7">
      <c r="E112" s="159"/>
      <c r="G112" s="124" t="s">
        <v>334</v>
      </c>
    </row>
    <row r="113" spans="1:7">
      <c r="A113" s="128" t="s">
        <v>110</v>
      </c>
      <c r="B113" s="128"/>
      <c r="C113" s="128" t="s">
        <v>110</v>
      </c>
      <c r="D113" s="128" t="s">
        <v>110</v>
      </c>
      <c r="E113" s="126" t="s">
        <v>110</v>
      </c>
      <c r="F113" s="128" t="s">
        <v>110</v>
      </c>
      <c r="G113" s="124" t="s">
        <v>334</v>
      </c>
    </row>
    <row r="114" spans="1:7">
      <c r="A114" s="128" t="s">
        <v>174</v>
      </c>
      <c r="B114" s="128"/>
      <c r="C114" s="128" t="s">
        <v>174</v>
      </c>
      <c r="D114" s="128" t="s">
        <v>174</v>
      </c>
      <c r="E114" s="126" t="s">
        <v>174</v>
      </c>
      <c r="F114" s="128" t="s">
        <v>482</v>
      </c>
      <c r="G114" s="124" t="s">
        <v>334</v>
      </c>
    </row>
    <row r="115" spans="1:7">
      <c r="A115" s="128" t="s">
        <v>175</v>
      </c>
      <c r="B115" s="128"/>
      <c r="C115" s="128" t="s">
        <v>175</v>
      </c>
      <c r="D115" s="128" t="s">
        <v>175</v>
      </c>
      <c r="E115" s="126" t="s">
        <v>175</v>
      </c>
      <c r="F115" s="128" t="s">
        <v>483</v>
      </c>
      <c r="G115" s="124" t="s">
        <v>334</v>
      </c>
    </row>
    <row r="116" spans="1:7">
      <c r="A116" s="128" t="s">
        <v>176</v>
      </c>
      <c r="B116" s="128"/>
      <c r="C116" s="128" t="s">
        <v>176</v>
      </c>
      <c r="D116" s="128" t="s">
        <v>484</v>
      </c>
      <c r="E116" s="126" t="s">
        <v>176</v>
      </c>
      <c r="F116" s="128" t="s">
        <v>485</v>
      </c>
      <c r="G116" s="124" t="s">
        <v>334</v>
      </c>
    </row>
    <row r="117" spans="1:7">
      <c r="A117" s="128" t="s">
        <v>160</v>
      </c>
      <c r="B117" s="128"/>
      <c r="C117" s="128" t="s">
        <v>160</v>
      </c>
      <c r="D117" s="128" t="s">
        <v>486</v>
      </c>
      <c r="E117" s="126" t="s">
        <v>303</v>
      </c>
      <c r="F117" s="128" t="s">
        <v>487</v>
      </c>
      <c r="G117" s="124" t="s">
        <v>334</v>
      </c>
    </row>
    <row r="118" spans="1:7">
      <c r="A118" s="128"/>
      <c r="B118" s="128"/>
      <c r="C118" s="128"/>
      <c r="D118" s="128"/>
      <c r="E118" s="126"/>
      <c r="F118" s="128"/>
      <c r="G118" s="124" t="s">
        <v>334</v>
      </c>
    </row>
    <row r="119" spans="1:7">
      <c r="A119" s="128" t="s">
        <v>177</v>
      </c>
      <c r="B119" s="128"/>
      <c r="C119" s="128" t="s">
        <v>177</v>
      </c>
      <c r="D119" s="128" t="s">
        <v>488</v>
      </c>
      <c r="E119" s="126" t="s">
        <v>304</v>
      </c>
      <c r="F119" s="128" t="s">
        <v>489</v>
      </c>
      <c r="G119" s="124" t="s">
        <v>334</v>
      </c>
    </row>
    <row r="120" spans="1:7">
      <c r="A120" s="128" t="s">
        <v>178</v>
      </c>
      <c r="B120" s="128"/>
      <c r="C120" s="128" t="s">
        <v>178</v>
      </c>
      <c r="D120" s="128" t="s">
        <v>490</v>
      </c>
      <c r="E120" s="126" t="s">
        <v>305</v>
      </c>
      <c r="F120" s="128" t="s">
        <v>491</v>
      </c>
      <c r="G120" s="124" t="s">
        <v>334</v>
      </c>
    </row>
    <row r="121" spans="1:7">
      <c r="A121" s="129"/>
      <c r="B121" s="129"/>
      <c r="C121" s="129"/>
      <c r="D121" s="129"/>
      <c r="E121" s="126"/>
      <c r="F121" s="129"/>
      <c r="G121" s="124" t="s">
        <v>334</v>
      </c>
    </row>
    <row r="122" spans="1:7">
      <c r="A122" s="124" t="s">
        <v>179</v>
      </c>
      <c r="C122" s="124" t="s">
        <v>179</v>
      </c>
      <c r="D122" s="124" t="s">
        <v>179</v>
      </c>
      <c r="E122" s="159" t="s">
        <v>179</v>
      </c>
      <c r="F122" s="124" t="s">
        <v>179</v>
      </c>
      <c r="G122" s="124" t="s">
        <v>334</v>
      </c>
    </row>
    <row r="123" spans="1:7">
      <c r="A123" s="124" t="s">
        <v>180</v>
      </c>
      <c r="C123" s="124" t="s">
        <v>180</v>
      </c>
      <c r="D123" s="124" t="s">
        <v>180</v>
      </c>
      <c r="E123" s="159" t="s">
        <v>180</v>
      </c>
      <c r="F123" s="124" t="s">
        <v>180</v>
      </c>
      <c r="G123" s="124" t="s">
        <v>334</v>
      </c>
    </row>
    <row r="124" spans="1:7">
      <c r="A124" s="124" t="s">
        <v>181</v>
      </c>
      <c r="C124" s="124" t="s">
        <v>181</v>
      </c>
      <c r="D124" s="124" t="s">
        <v>181</v>
      </c>
      <c r="E124" s="159" t="s">
        <v>181</v>
      </c>
      <c r="F124" s="124" t="s">
        <v>181</v>
      </c>
      <c r="G124" s="124" t="s">
        <v>334</v>
      </c>
    </row>
    <row r="125" spans="1:7">
      <c r="A125" s="124" t="s">
        <v>182</v>
      </c>
      <c r="C125" s="124" t="s">
        <v>182</v>
      </c>
      <c r="D125" s="124" t="s">
        <v>182</v>
      </c>
      <c r="E125" s="159" t="s">
        <v>182</v>
      </c>
      <c r="F125" s="124" t="s">
        <v>182</v>
      </c>
      <c r="G125" s="124" t="s">
        <v>334</v>
      </c>
    </row>
    <row r="126" spans="1:7">
      <c r="A126" s="124" t="s">
        <v>183</v>
      </c>
      <c r="C126" s="124" t="s">
        <v>183</v>
      </c>
      <c r="D126" s="124" t="s">
        <v>183</v>
      </c>
      <c r="E126" s="159" t="s">
        <v>183</v>
      </c>
      <c r="F126" s="124" t="s">
        <v>183</v>
      </c>
      <c r="G126" s="124" t="s">
        <v>334</v>
      </c>
    </row>
    <row r="127" spans="1:7">
      <c r="E127" s="159"/>
      <c r="G127" s="124" t="s">
        <v>334</v>
      </c>
    </row>
    <row r="128" spans="1:7">
      <c r="A128" s="124" t="s">
        <v>184</v>
      </c>
      <c r="C128" s="124" t="s">
        <v>184</v>
      </c>
      <c r="D128" s="124" t="s">
        <v>184</v>
      </c>
      <c r="E128" s="159" t="s">
        <v>184</v>
      </c>
      <c r="F128" s="124" t="s">
        <v>184</v>
      </c>
      <c r="G128" s="124" t="s">
        <v>334</v>
      </c>
    </row>
    <row r="129" spans="1:7">
      <c r="A129" s="124" t="s">
        <v>185</v>
      </c>
      <c r="C129" s="124" t="s">
        <v>185</v>
      </c>
      <c r="D129" s="124" t="s">
        <v>185</v>
      </c>
      <c r="E129" s="159" t="s">
        <v>185</v>
      </c>
      <c r="F129" s="124" t="s">
        <v>185</v>
      </c>
      <c r="G129" s="124" t="s">
        <v>334</v>
      </c>
    </row>
    <row r="130" spans="1:7">
      <c r="A130" s="124" t="s">
        <v>186</v>
      </c>
      <c r="C130" s="124" t="s">
        <v>186</v>
      </c>
      <c r="D130" s="124" t="s">
        <v>186</v>
      </c>
      <c r="E130" s="159" t="s">
        <v>186</v>
      </c>
      <c r="F130" s="124" t="s">
        <v>186</v>
      </c>
      <c r="G130" s="124" t="s">
        <v>334</v>
      </c>
    </row>
    <row r="131" spans="1:7">
      <c r="E131" s="159"/>
      <c r="G131" s="124" t="s">
        <v>334</v>
      </c>
    </row>
    <row r="132" spans="1:7">
      <c r="A132" s="124" t="s">
        <v>244</v>
      </c>
      <c r="C132" s="124" t="s">
        <v>244</v>
      </c>
      <c r="D132" s="124" t="s">
        <v>244</v>
      </c>
      <c r="E132" s="159" t="s">
        <v>306</v>
      </c>
      <c r="F132" s="124" t="s">
        <v>492</v>
      </c>
      <c r="G132" s="124" t="s">
        <v>334</v>
      </c>
    </row>
    <row r="133" spans="1:7">
      <c r="A133" s="124" t="s">
        <v>245</v>
      </c>
      <c r="C133" s="124" t="s">
        <v>245</v>
      </c>
      <c r="D133" s="124" t="s">
        <v>493</v>
      </c>
      <c r="E133" s="159" t="s">
        <v>307</v>
      </c>
      <c r="F133" s="124" t="s">
        <v>494</v>
      </c>
      <c r="G133" s="124" t="s">
        <v>334</v>
      </c>
    </row>
    <row r="134" spans="1:7">
      <c r="E134" s="159"/>
      <c r="G134" s="124" t="s">
        <v>334</v>
      </c>
    </row>
    <row r="135" spans="1:7">
      <c r="A135" s="124" t="s">
        <v>142</v>
      </c>
      <c r="C135" s="124" t="s">
        <v>142</v>
      </c>
      <c r="D135" s="124" t="s">
        <v>495</v>
      </c>
      <c r="E135" s="159" t="s">
        <v>308</v>
      </c>
      <c r="F135" s="124" t="s">
        <v>496</v>
      </c>
      <c r="G135" s="124" t="s">
        <v>334</v>
      </c>
    </row>
    <row r="136" spans="1:7">
      <c r="A136" s="124" t="s">
        <v>124</v>
      </c>
      <c r="C136" s="124" t="s">
        <v>124</v>
      </c>
      <c r="D136" s="124" t="s">
        <v>497</v>
      </c>
      <c r="E136" s="159" t="s">
        <v>309</v>
      </c>
      <c r="F136" s="124" t="s">
        <v>498</v>
      </c>
      <c r="G136" s="124" t="s">
        <v>334</v>
      </c>
    </row>
    <row r="137" spans="1:7">
      <c r="A137" s="124" t="s">
        <v>155</v>
      </c>
      <c r="C137" s="124" t="s">
        <v>155</v>
      </c>
      <c r="D137" s="124" t="s">
        <v>499</v>
      </c>
      <c r="E137" s="159" t="s">
        <v>310</v>
      </c>
      <c r="F137" s="124" t="s">
        <v>500</v>
      </c>
      <c r="G137" s="124" t="s">
        <v>334</v>
      </c>
    </row>
    <row r="138" spans="1:7">
      <c r="A138" s="124" t="s">
        <v>115</v>
      </c>
      <c r="C138" s="124" t="s">
        <v>115</v>
      </c>
      <c r="D138" s="124" t="s">
        <v>501</v>
      </c>
      <c r="E138" s="159" t="s">
        <v>311</v>
      </c>
      <c r="F138" s="124" t="s">
        <v>502</v>
      </c>
      <c r="G138" s="124" t="s">
        <v>334</v>
      </c>
    </row>
    <row r="139" spans="1:7">
      <c r="A139" s="124" t="s">
        <v>116</v>
      </c>
      <c r="C139" s="124" t="s">
        <v>116</v>
      </c>
      <c r="D139" s="124" t="s">
        <v>503</v>
      </c>
      <c r="E139" s="159" t="s">
        <v>312</v>
      </c>
      <c r="F139" s="124" t="s">
        <v>504</v>
      </c>
      <c r="G139" s="124" t="s">
        <v>334</v>
      </c>
    </row>
    <row r="140" spans="1:7">
      <c r="A140" s="124" t="s">
        <v>117</v>
      </c>
      <c r="C140" s="124" t="s">
        <v>117</v>
      </c>
      <c r="D140" s="124" t="s">
        <v>488</v>
      </c>
      <c r="E140" s="159" t="s">
        <v>313</v>
      </c>
      <c r="F140" s="124" t="s">
        <v>505</v>
      </c>
      <c r="G140" s="124" t="s">
        <v>334</v>
      </c>
    </row>
    <row r="141" spans="1:7">
      <c r="A141" s="124" t="s">
        <v>118</v>
      </c>
      <c r="C141" s="124" t="s">
        <v>118</v>
      </c>
      <c r="D141" s="124" t="s">
        <v>506</v>
      </c>
      <c r="E141" s="159" t="s">
        <v>314</v>
      </c>
      <c r="F141" s="124" t="s">
        <v>507</v>
      </c>
      <c r="G141" s="124" t="s">
        <v>334</v>
      </c>
    </row>
    <row r="142" spans="1:7">
      <c r="A142" s="124" t="s">
        <v>119</v>
      </c>
      <c r="C142" s="124" t="s">
        <v>119</v>
      </c>
      <c r="D142" s="124" t="s">
        <v>508</v>
      </c>
      <c r="E142" s="159" t="s">
        <v>315</v>
      </c>
      <c r="F142" s="124" t="s">
        <v>509</v>
      </c>
      <c r="G142" s="124" t="s">
        <v>334</v>
      </c>
    </row>
    <row r="143" spans="1:7">
      <c r="E143" s="159"/>
      <c r="G143" s="124" t="s">
        <v>334</v>
      </c>
    </row>
    <row r="144" spans="1:7">
      <c r="A144" s="124" t="s">
        <v>60</v>
      </c>
      <c r="C144" s="124" t="s">
        <v>60</v>
      </c>
      <c r="D144" s="124" t="s">
        <v>510</v>
      </c>
      <c r="E144" s="159" t="s">
        <v>316</v>
      </c>
      <c r="F144" s="124" t="s">
        <v>511</v>
      </c>
      <c r="G144" s="124" t="s">
        <v>334</v>
      </c>
    </row>
    <row r="145" spans="1:7">
      <c r="A145" s="124" t="s">
        <v>61</v>
      </c>
      <c r="C145" s="124" t="s">
        <v>61</v>
      </c>
      <c r="D145" s="124" t="s">
        <v>512</v>
      </c>
      <c r="E145" s="159" t="s">
        <v>317</v>
      </c>
      <c r="F145" s="124" t="s">
        <v>513</v>
      </c>
      <c r="G145" s="124" t="s">
        <v>334</v>
      </c>
    </row>
    <row r="146" spans="1:7">
      <c r="A146" s="124" t="s">
        <v>62</v>
      </c>
      <c r="C146" s="124" t="s">
        <v>62</v>
      </c>
      <c r="D146" s="124" t="s">
        <v>514</v>
      </c>
      <c r="E146" s="159" t="s">
        <v>318</v>
      </c>
      <c r="F146" s="124" t="s">
        <v>515</v>
      </c>
      <c r="G146" s="124" t="s">
        <v>334</v>
      </c>
    </row>
    <row r="147" spans="1:7">
      <c r="A147" s="124" t="s">
        <v>63</v>
      </c>
      <c r="C147" s="124" t="s">
        <v>63</v>
      </c>
      <c r="D147" s="124" t="s">
        <v>63</v>
      </c>
      <c r="E147" s="159" t="s">
        <v>319</v>
      </c>
      <c r="F147" s="124" t="s">
        <v>516</v>
      </c>
      <c r="G147" s="124" t="s">
        <v>334</v>
      </c>
    </row>
    <row r="148" spans="1:7">
      <c r="A148" s="124" t="s">
        <v>64</v>
      </c>
      <c r="C148" s="124" t="s">
        <v>64</v>
      </c>
      <c r="D148" s="124" t="s">
        <v>517</v>
      </c>
      <c r="E148" s="159" t="s">
        <v>64</v>
      </c>
      <c r="F148" s="124" t="s">
        <v>518</v>
      </c>
      <c r="G148" s="124" t="s">
        <v>334</v>
      </c>
    </row>
    <row r="149" spans="1:7">
      <c r="A149" s="124" t="s">
        <v>65</v>
      </c>
      <c r="C149" s="124" t="s">
        <v>65</v>
      </c>
      <c r="D149" s="124" t="s">
        <v>519</v>
      </c>
      <c r="E149" s="159" t="s">
        <v>320</v>
      </c>
      <c r="F149" s="124" t="s">
        <v>520</v>
      </c>
      <c r="G149" s="124" t="s">
        <v>334</v>
      </c>
    </row>
    <row r="150" spans="1:7">
      <c r="A150" s="124" t="s">
        <v>66</v>
      </c>
      <c r="C150" s="124" t="s">
        <v>66</v>
      </c>
      <c r="D150" s="124" t="s">
        <v>521</v>
      </c>
      <c r="E150" s="159" t="s">
        <v>321</v>
      </c>
      <c r="F150" s="124" t="s">
        <v>522</v>
      </c>
      <c r="G150" s="124" t="s">
        <v>334</v>
      </c>
    </row>
    <row r="151" spans="1:7">
      <c r="A151" s="124" t="s">
        <v>67</v>
      </c>
      <c r="C151" s="124" t="s">
        <v>67</v>
      </c>
      <c r="D151" s="124" t="s">
        <v>67</v>
      </c>
      <c r="E151" s="159" t="s">
        <v>322</v>
      </c>
      <c r="F151" s="124" t="s">
        <v>523</v>
      </c>
      <c r="G151" s="124" t="s">
        <v>334</v>
      </c>
    </row>
    <row r="152" spans="1:7">
      <c r="A152" s="124" t="s">
        <v>68</v>
      </c>
      <c r="C152" s="124" t="s">
        <v>68</v>
      </c>
      <c r="D152" s="124" t="s">
        <v>68</v>
      </c>
      <c r="E152" s="159" t="s">
        <v>323</v>
      </c>
      <c r="F152" s="124" t="s">
        <v>524</v>
      </c>
      <c r="G152" s="124" t="s">
        <v>334</v>
      </c>
    </row>
    <row r="153" spans="1:7">
      <c r="A153" s="124" t="s">
        <v>69</v>
      </c>
      <c r="C153" s="124" t="s">
        <v>69</v>
      </c>
      <c r="D153" s="124" t="s">
        <v>525</v>
      </c>
      <c r="E153" s="159" t="s">
        <v>324</v>
      </c>
      <c r="F153" s="124" t="s">
        <v>526</v>
      </c>
      <c r="G153" s="124" t="s">
        <v>334</v>
      </c>
    </row>
    <row r="154" spans="1:7">
      <c r="A154" s="124" t="s">
        <v>70</v>
      </c>
      <c r="C154" s="124" t="s">
        <v>70</v>
      </c>
      <c r="D154" s="124" t="s">
        <v>70</v>
      </c>
      <c r="E154" s="159" t="s">
        <v>325</v>
      </c>
      <c r="F154" s="124" t="s">
        <v>325</v>
      </c>
      <c r="G154" s="124" t="s">
        <v>334</v>
      </c>
    </row>
    <row r="155" spans="1:7">
      <c r="A155" s="124" t="s">
        <v>71</v>
      </c>
      <c r="C155" s="124" t="s">
        <v>71</v>
      </c>
      <c r="D155" s="124" t="s">
        <v>527</v>
      </c>
      <c r="E155" s="159" t="s">
        <v>326</v>
      </c>
      <c r="F155" s="124" t="s">
        <v>528</v>
      </c>
      <c r="G155" s="124" t="s">
        <v>334</v>
      </c>
    </row>
    <row r="156" spans="1:7">
      <c r="E156" s="159"/>
      <c r="G156" s="124" t="s">
        <v>334</v>
      </c>
    </row>
    <row r="157" spans="1:7">
      <c r="A157" s="124" t="s">
        <v>246</v>
      </c>
      <c r="C157" s="124" t="s">
        <v>246</v>
      </c>
      <c r="D157" s="124" t="s">
        <v>529</v>
      </c>
      <c r="E157" s="159" t="s">
        <v>327</v>
      </c>
      <c r="F157" s="124" t="s">
        <v>530</v>
      </c>
      <c r="G157" s="124" t="s">
        <v>334</v>
      </c>
    </row>
    <row r="158" spans="1:7">
      <c r="A158" s="124" t="s">
        <v>247</v>
      </c>
      <c r="C158" s="124" t="s">
        <v>247</v>
      </c>
      <c r="D158" s="124" t="s">
        <v>565</v>
      </c>
      <c r="E158" s="124" t="s">
        <v>566</v>
      </c>
      <c r="F158" s="124" t="s">
        <v>567</v>
      </c>
      <c r="G158" s="124" t="s">
        <v>334</v>
      </c>
    </row>
    <row r="159" spans="1:7">
      <c r="A159" s="124" t="s">
        <v>248</v>
      </c>
      <c r="C159" s="124" t="s">
        <v>248</v>
      </c>
      <c r="D159" s="124" t="s">
        <v>531</v>
      </c>
      <c r="E159" s="159" t="s">
        <v>328</v>
      </c>
      <c r="F159" s="124" t="s">
        <v>532</v>
      </c>
      <c r="G159" s="124" t="s">
        <v>334</v>
      </c>
    </row>
    <row r="160" spans="1:7">
      <c r="E160" s="159"/>
      <c r="G160" s="124" t="s">
        <v>334</v>
      </c>
    </row>
    <row r="161" spans="1:7">
      <c r="A161" s="124" t="s">
        <v>249</v>
      </c>
      <c r="C161" s="124" t="s">
        <v>249</v>
      </c>
      <c r="D161" t="s">
        <v>533</v>
      </c>
      <c r="E161" s="162" t="s">
        <v>250</v>
      </c>
      <c r="F161" t="s">
        <v>534</v>
      </c>
      <c r="G161" s="124" t="s">
        <v>334</v>
      </c>
    </row>
    <row r="163" spans="1:7" ht="42.75">
      <c r="A163" s="157" t="s">
        <v>251</v>
      </c>
      <c r="C163" s="157" t="s">
        <v>251</v>
      </c>
      <c r="D163" s="157" t="s">
        <v>535</v>
      </c>
      <c r="E163" s="163" t="s">
        <v>537</v>
      </c>
      <c r="F163" s="164" t="s">
        <v>538</v>
      </c>
      <c r="G163" s="124" t="s">
        <v>334</v>
      </c>
    </row>
    <row r="164" spans="1:7" ht="42.75">
      <c r="A164" s="157" t="s">
        <v>252</v>
      </c>
      <c r="C164" s="157" t="s">
        <v>252</v>
      </c>
      <c r="D164" s="157" t="s">
        <v>536</v>
      </c>
      <c r="E164" s="157" t="s">
        <v>540</v>
      </c>
      <c r="F164" s="157" t="s">
        <v>539</v>
      </c>
      <c r="G164" s="124" t="s">
        <v>334</v>
      </c>
    </row>
    <row r="166" spans="1:7">
      <c r="D166" s="163"/>
    </row>
    <row r="167" spans="1:7">
      <c r="A167" s="128" t="s">
        <v>550</v>
      </c>
      <c r="C167" s="128" t="s">
        <v>550</v>
      </c>
      <c r="D167" s="128" t="s">
        <v>550</v>
      </c>
      <c r="E167" s="128" t="s">
        <v>550</v>
      </c>
      <c r="F167" s="128" t="s">
        <v>550</v>
      </c>
      <c r="G167" s="128" t="s">
        <v>334</v>
      </c>
    </row>
    <row r="168" spans="1:7">
      <c r="A168" s="128" t="s">
        <v>551</v>
      </c>
      <c r="C168" s="128" t="s">
        <v>551</v>
      </c>
      <c r="D168" s="128" t="s">
        <v>551</v>
      </c>
      <c r="E168" s="128" t="s">
        <v>551</v>
      </c>
      <c r="F168" s="128" t="s">
        <v>551</v>
      </c>
      <c r="G168" s="128" t="s">
        <v>334</v>
      </c>
    </row>
    <row r="169" spans="1:7">
      <c r="A169" s="128" t="s">
        <v>552</v>
      </c>
      <c r="C169" s="128" t="s">
        <v>552</v>
      </c>
      <c r="D169" s="128" t="s">
        <v>552</v>
      </c>
      <c r="E169" s="128" t="s">
        <v>552</v>
      </c>
      <c r="F169" s="128" t="s">
        <v>552</v>
      </c>
      <c r="G169" s="128" t="s">
        <v>334</v>
      </c>
    </row>
    <row r="170" spans="1:7">
      <c r="A170" s="128" t="s">
        <v>553</v>
      </c>
      <c r="C170" s="128" t="s">
        <v>553</v>
      </c>
      <c r="D170" s="128" t="s">
        <v>553</v>
      </c>
      <c r="E170" s="128" t="s">
        <v>553</v>
      </c>
      <c r="F170" s="128" t="s">
        <v>553</v>
      </c>
      <c r="G170" s="128" t="s">
        <v>334</v>
      </c>
    </row>
    <row r="171" spans="1:7">
      <c r="A171" s="165" t="s">
        <v>554</v>
      </c>
      <c r="C171" s="165" t="s">
        <v>554</v>
      </c>
      <c r="D171" s="165" t="s">
        <v>554</v>
      </c>
      <c r="E171" s="165" t="s">
        <v>554</v>
      </c>
      <c r="F171" s="165" t="s">
        <v>554</v>
      </c>
      <c r="G171" s="128" t="s">
        <v>334</v>
      </c>
    </row>
    <row r="172" spans="1:7">
      <c r="A172" s="165" t="s">
        <v>555</v>
      </c>
      <c r="C172" s="165" t="s">
        <v>555</v>
      </c>
      <c r="D172" s="165" t="s">
        <v>555</v>
      </c>
      <c r="E172" s="165" t="s">
        <v>555</v>
      </c>
      <c r="F172" s="165" t="s">
        <v>555</v>
      </c>
      <c r="G172" s="128" t="s">
        <v>334</v>
      </c>
    </row>
    <row r="173" spans="1:7">
      <c r="A173" s="165" t="s">
        <v>556</v>
      </c>
      <c r="C173" s="165" t="s">
        <v>556</v>
      </c>
      <c r="D173" s="165" t="s">
        <v>556</v>
      </c>
      <c r="E173" s="165" t="s">
        <v>556</v>
      </c>
      <c r="F173" s="165" t="s">
        <v>556</v>
      </c>
      <c r="G173" s="128" t="s">
        <v>334</v>
      </c>
    </row>
    <row r="174" spans="1:7">
      <c r="A174" s="165" t="s">
        <v>557</v>
      </c>
      <c r="C174" s="165" t="s">
        <v>557</v>
      </c>
      <c r="D174" s="165" t="s">
        <v>557</v>
      </c>
      <c r="E174" s="165" t="s">
        <v>557</v>
      </c>
      <c r="F174" s="165" t="s">
        <v>557</v>
      </c>
      <c r="G174" s="128" t="s">
        <v>334</v>
      </c>
    </row>
    <row r="175" spans="1:7">
      <c r="A175" s="165" t="s">
        <v>558</v>
      </c>
      <c r="C175" s="165" t="s">
        <v>558</v>
      </c>
      <c r="D175" s="165" t="s">
        <v>558</v>
      </c>
      <c r="E175" s="165" t="s">
        <v>558</v>
      </c>
      <c r="F175" s="165" t="s">
        <v>558</v>
      </c>
      <c r="G175" s="128" t="s">
        <v>334</v>
      </c>
    </row>
    <row r="176" spans="1:7">
      <c r="A176" s="165" t="s">
        <v>559</v>
      </c>
      <c r="C176" s="165" t="s">
        <v>559</v>
      </c>
      <c r="D176" s="165" t="s">
        <v>559</v>
      </c>
      <c r="E176" s="165" t="s">
        <v>559</v>
      </c>
      <c r="F176" s="165" t="s">
        <v>559</v>
      </c>
      <c r="G176" s="128" t="s">
        <v>334</v>
      </c>
    </row>
    <row r="177" spans="1:7">
      <c r="A177" s="165" t="s">
        <v>560</v>
      </c>
      <c r="C177" s="165" t="s">
        <v>560</v>
      </c>
      <c r="D177" s="165" t="s">
        <v>560</v>
      </c>
      <c r="E177" s="165" t="s">
        <v>560</v>
      </c>
      <c r="F177" s="165" t="s">
        <v>560</v>
      </c>
      <c r="G177" s="128" t="s">
        <v>334</v>
      </c>
    </row>
    <row r="178" spans="1:7">
      <c r="A178" s="165" t="s">
        <v>561</v>
      </c>
      <c r="C178" s="165" t="s">
        <v>561</v>
      </c>
      <c r="D178" s="165" t="s">
        <v>561</v>
      </c>
      <c r="E178" s="165" t="s">
        <v>561</v>
      </c>
      <c r="F178" s="165" t="s">
        <v>561</v>
      </c>
      <c r="G178" s="128" t="s">
        <v>334</v>
      </c>
    </row>
    <row r="179" spans="1:7">
      <c r="A179" s="165" t="s">
        <v>160</v>
      </c>
      <c r="C179" s="165" t="s">
        <v>160</v>
      </c>
      <c r="D179" s="128" t="s">
        <v>486</v>
      </c>
      <c r="E179" s="126" t="s">
        <v>303</v>
      </c>
      <c r="F179" s="128" t="s">
        <v>487</v>
      </c>
      <c r="G179" s="128" t="s">
        <v>334</v>
      </c>
    </row>
    <row r="182" spans="1:7">
      <c r="A182" s="124" t="s">
        <v>569</v>
      </c>
      <c r="C182" s="124" t="s">
        <v>569</v>
      </c>
      <c r="D182" s="124" t="s">
        <v>571</v>
      </c>
      <c r="E182" s="124" t="s">
        <v>573</v>
      </c>
      <c r="F182" s="124" t="s">
        <v>575</v>
      </c>
      <c r="G182" s="124" t="s">
        <v>334</v>
      </c>
    </row>
    <row r="183" spans="1:7">
      <c r="A183" s="124" t="s">
        <v>570</v>
      </c>
      <c r="C183" s="124" t="s">
        <v>570</v>
      </c>
      <c r="D183" s="124" t="s">
        <v>572</v>
      </c>
      <c r="E183" s="124" t="s">
        <v>574</v>
      </c>
      <c r="F183" s="124" t="s">
        <v>576</v>
      </c>
      <c r="G183" s="124" t="s">
        <v>334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>
      <selection activeCell="E4" sqref="E4"/>
    </sheetView>
  </sheetViews>
  <sheetFormatPr baseColWidth="10"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Tabelle11"/>
  <dimension ref="A1:O131"/>
  <sheetViews>
    <sheetView topLeftCell="A34" workbookViewId="0">
      <selection activeCell="B52" sqref="B52"/>
    </sheetView>
  </sheetViews>
  <sheetFormatPr baseColWidth="10" defaultRowHeight="14.25"/>
  <cols>
    <col min="1" max="1" width="22.5" style="168" customWidth="1"/>
    <col min="2" max="14" width="11" style="168"/>
    <col min="15" max="15" width="11" style="167"/>
    <col min="16" max="16384" width="11" style="168"/>
  </cols>
  <sheetData>
    <row r="1" spans="1:14" ht="14.25" customHeight="1">
      <c r="A1" s="166" t="s">
        <v>112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>
      <c r="A2" s="166"/>
      <c r="B2" s="169">
        <v>1</v>
      </c>
      <c r="C2" s="169">
        <v>2</v>
      </c>
      <c r="D2" s="169">
        <v>3</v>
      </c>
      <c r="E2" s="169">
        <v>4</v>
      </c>
      <c r="F2" s="169">
        <v>5</v>
      </c>
      <c r="G2" s="169">
        <v>6</v>
      </c>
      <c r="H2" s="169">
        <v>7</v>
      </c>
      <c r="I2" s="169">
        <v>8</v>
      </c>
      <c r="J2" s="169">
        <v>9</v>
      </c>
      <c r="K2" s="169">
        <v>10</v>
      </c>
      <c r="L2" s="169">
        <v>11</v>
      </c>
      <c r="M2" s="169">
        <v>12</v>
      </c>
      <c r="N2" s="170" t="s">
        <v>103</v>
      </c>
    </row>
    <row r="3" spans="1:14">
      <c r="A3" s="166" t="s">
        <v>104</v>
      </c>
      <c r="B3" s="169">
        <v>-0.6</v>
      </c>
      <c r="C3" s="169">
        <v>-0.3</v>
      </c>
      <c r="D3" s="169">
        <v>3.6</v>
      </c>
      <c r="E3" s="169">
        <v>8.6999999999999993</v>
      </c>
      <c r="F3" s="169">
        <v>13.8</v>
      </c>
      <c r="G3" s="169">
        <v>17</v>
      </c>
      <c r="H3" s="169">
        <v>18.5</v>
      </c>
      <c r="I3" s="169">
        <v>17.7</v>
      </c>
      <c r="J3" s="169">
        <v>13.9</v>
      </c>
      <c r="K3" s="169">
        <v>8.9</v>
      </c>
      <c r="L3" s="169">
        <v>4.5</v>
      </c>
      <c r="M3" s="169">
        <v>1.1000000000000001</v>
      </c>
      <c r="N3" s="169">
        <v>8.9</v>
      </c>
    </row>
    <row r="4" spans="1:14">
      <c r="A4" s="166" t="s">
        <v>105</v>
      </c>
      <c r="B4" s="169">
        <v>1.7</v>
      </c>
      <c r="C4" s="169">
        <v>2.9</v>
      </c>
      <c r="D4" s="169">
        <v>7.8</v>
      </c>
      <c r="E4" s="169">
        <v>13.5</v>
      </c>
      <c r="F4" s="169">
        <v>19.100000000000001</v>
      </c>
      <c r="G4" s="169">
        <v>22.2</v>
      </c>
      <c r="H4" s="169">
        <v>23.8</v>
      </c>
      <c r="I4" s="169">
        <v>23.3</v>
      </c>
      <c r="J4" s="169">
        <v>19.5</v>
      </c>
      <c r="K4" s="169">
        <v>13</v>
      </c>
      <c r="L4" s="169">
        <v>6.9</v>
      </c>
      <c r="M4" s="169">
        <v>3.1</v>
      </c>
      <c r="N4" s="169">
        <v>13.1</v>
      </c>
    </row>
    <row r="5" spans="1:14">
      <c r="A5" s="166" t="s">
        <v>106</v>
      </c>
      <c r="B5" s="169">
        <v>-3.5</v>
      </c>
      <c r="C5" s="169">
        <v>-3.1</v>
      </c>
      <c r="D5" s="169">
        <v>-0.3</v>
      </c>
      <c r="E5" s="169">
        <v>3.8</v>
      </c>
      <c r="F5" s="169">
        <v>7.9</v>
      </c>
      <c r="G5" s="169">
        <v>11.1</v>
      </c>
      <c r="H5" s="169">
        <v>13.3</v>
      </c>
      <c r="I5" s="169">
        <v>12.6</v>
      </c>
      <c r="J5" s="169">
        <v>9.3000000000000007</v>
      </c>
      <c r="K5" s="169">
        <v>5.3</v>
      </c>
      <c r="L5" s="169">
        <v>1.9</v>
      </c>
      <c r="M5" s="169">
        <v>-1.4</v>
      </c>
      <c r="N5" s="169">
        <v>4.7</v>
      </c>
    </row>
    <row r="6" spans="1:14">
      <c r="A6" s="166" t="s">
        <v>107</v>
      </c>
      <c r="B6" s="169">
        <v>13</v>
      </c>
      <c r="C6" s="169">
        <v>16.7</v>
      </c>
      <c r="D6" s="169">
        <v>25.1</v>
      </c>
      <c r="E6" s="169">
        <v>30.9</v>
      </c>
      <c r="F6" s="169">
        <v>33.200000000000003</v>
      </c>
      <c r="G6" s="169">
        <v>35</v>
      </c>
      <c r="H6" s="169">
        <v>37.799999999999997</v>
      </c>
      <c r="I6" s="169">
        <v>36.6</v>
      </c>
      <c r="J6" s="169">
        <v>34.200000000000003</v>
      </c>
      <c r="K6" s="169">
        <v>26.5</v>
      </c>
      <c r="L6" s="169">
        <v>19.5</v>
      </c>
      <c r="M6" s="169">
        <v>15.4</v>
      </c>
      <c r="N6" s="169">
        <v>37.799999999999997</v>
      </c>
    </row>
    <row r="7" spans="1:14">
      <c r="A7" s="166" t="s">
        <v>108</v>
      </c>
      <c r="B7" s="169">
        <v>-21</v>
      </c>
      <c r="C7" s="169">
        <v>-26</v>
      </c>
      <c r="D7" s="169">
        <v>-16.5</v>
      </c>
      <c r="E7" s="169">
        <v>-6.7</v>
      </c>
      <c r="F7" s="169">
        <v>-2.9</v>
      </c>
      <c r="G7" s="169">
        <v>1.4</v>
      </c>
      <c r="H7" s="169">
        <v>5.7</v>
      </c>
      <c r="I7" s="169">
        <v>4.7</v>
      </c>
      <c r="J7" s="169">
        <v>-0.5</v>
      </c>
      <c r="K7" s="169">
        <v>-9.6</v>
      </c>
      <c r="L7" s="169">
        <v>-13.5</v>
      </c>
      <c r="M7" s="169">
        <v>-20.2</v>
      </c>
      <c r="N7" s="169">
        <v>-26</v>
      </c>
    </row>
    <row r="8" spans="1:14">
      <c r="A8" s="166" t="s">
        <v>109</v>
      </c>
      <c r="B8" s="169">
        <v>84</v>
      </c>
      <c r="C8" s="169">
        <v>82</v>
      </c>
      <c r="D8" s="169">
        <v>73</v>
      </c>
      <c r="E8" s="169">
        <v>68</v>
      </c>
      <c r="F8" s="169">
        <v>66</v>
      </c>
      <c r="G8" s="169">
        <v>70</v>
      </c>
      <c r="H8" s="169">
        <v>74</v>
      </c>
      <c r="I8" s="169">
        <v>77</v>
      </c>
      <c r="J8" s="169">
        <v>80</v>
      </c>
      <c r="K8" s="169">
        <v>83</v>
      </c>
      <c r="L8" s="169">
        <v>87</v>
      </c>
      <c r="M8" s="169">
        <v>88</v>
      </c>
      <c r="N8" s="169">
        <v>78</v>
      </c>
    </row>
    <row r="9" spans="1:14">
      <c r="A9" s="166"/>
    </row>
    <row r="11" spans="1:14" ht="14.25" customHeight="1">
      <c r="A11" s="166" t="s">
        <v>111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>
      <c r="A12" s="166"/>
      <c r="B12" s="169">
        <v>1</v>
      </c>
      <c r="C12" s="169">
        <v>2</v>
      </c>
      <c r="D12" s="169">
        <v>3</v>
      </c>
      <c r="E12" s="169">
        <v>4</v>
      </c>
      <c r="F12" s="169">
        <v>5</v>
      </c>
      <c r="G12" s="169">
        <v>6</v>
      </c>
      <c r="H12" s="169">
        <v>7</v>
      </c>
      <c r="I12" s="169">
        <v>8</v>
      </c>
      <c r="J12" s="169">
        <v>9</v>
      </c>
      <c r="K12" s="169">
        <v>10</v>
      </c>
      <c r="L12" s="169">
        <v>11</v>
      </c>
      <c r="M12" s="169">
        <v>12</v>
      </c>
      <c r="N12" s="166" t="s">
        <v>96</v>
      </c>
    </row>
    <row r="13" spans="1:14">
      <c r="A13" s="166" t="s">
        <v>97</v>
      </c>
      <c r="B13" s="169">
        <v>0</v>
      </c>
      <c r="C13" s="169">
        <v>0.3</v>
      </c>
      <c r="D13" s="169">
        <v>3.3</v>
      </c>
      <c r="E13" s="169">
        <v>7.5</v>
      </c>
      <c r="F13" s="169">
        <v>12</v>
      </c>
      <c r="G13" s="169">
        <v>15.3</v>
      </c>
      <c r="H13" s="169">
        <v>17</v>
      </c>
      <c r="I13" s="169">
        <v>16.600000000000001</v>
      </c>
      <c r="J13" s="169">
        <v>13.5</v>
      </c>
      <c r="K13" s="169">
        <v>9.1</v>
      </c>
      <c r="L13" s="169">
        <v>4.9000000000000004</v>
      </c>
      <c r="M13" s="169">
        <v>1.8</v>
      </c>
      <c r="N13" s="169">
        <v>8.4</v>
      </c>
    </row>
    <row r="14" spans="1:14">
      <c r="A14" s="166" t="s">
        <v>98</v>
      </c>
      <c r="B14" s="169">
        <v>2.2999999999999998</v>
      </c>
      <c r="C14" s="169">
        <v>3</v>
      </c>
      <c r="D14" s="169">
        <v>7.3</v>
      </c>
      <c r="E14" s="169">
        <v>12.5</v>
      </c>
      <c r="F14" s="169">
        <v>17.399999999999999</v>
      </c>
      <c r="G14" s="169">
        <v>20.5</v>
      </c>
      <c r="H14" s="169">
        <v>22.2</v>
      </c>
      <c r="I14" s="169">
        <v>22</v>
      </c>
      <c r="J14" s="169">
        <v>18.7</v>
      </c>
      <c r="K14" s="169">
        <v>12.9</v>
      </c>
      <c r="L14" s="169">
        <v>7.3</v>
      </c>
      <c r="M14" s="169">
        <v>3.9</v>
      </c>
      <c r="N14" s="169">
        <v>12.5</v>
      </c>
    </row>
    <row r="15" spans="1:14">
      <c r="A15" s="166" t="s">
        <v>99</v>
      </c>
      <c r="B15" s="169">
        <v>-2.6</v>
      </c>
      <c r="C15" s="169">
        <v>-2.5</v>
      </c>
      <c r="D15" s="169">
        <v>-0.3</v>
      </c>
      <c r="E15" s="169">
        <v>3.1</v>
      </c>
      <c r="F15" s="169">
        <v>6.5</v>
      </c>
      <c r="G15" s="169">
        <v>9.9</v>
      </c>
      <c r="H15" s="169">
        <v>12.3</v>
      </c>
      <c r="I15" s="169">
        <v>12</v>
      </c>
      <c r="J15" s="169">
        <v>9.1999999999999993</v>
      </c>
      <c r="K15" s="169">
        <v>5.5</v>
      </c>
      <c r="L15" s="169">
        <v>2.4</v>
      </c>
      <c r="M15" s="169">
        <v>-0.5</v>
      </c>
      <c r="N15" s="169">
        <v>4.5999999999999996</v>
      </c>
    </row>
    <row r="16" spans="1:14">
      <c r="A16" s="166" t="s">
        <v>100</v>
      </c>
      <c r="B16" s="169">
        <v>14.4</v>
      </c>
      <c r="C16" s="169">
        <v>17.2</v>
      </c>
      <c r="D16" s="169">
        <v>21.1</v>
      </c>
      <c r="E16" s="169">
        <v>27.6</v>
      </c>
      <c r="F16" s="169">
        <v>32.1</v>
      </c>
      <c r="G16" s="169">
        <v>34.5</v>
      </c>
      <c r="H16" s="169">
        <v>35.1</v>
      </c>
      <c r="I16" s="169">
        <v>35.700000000000003</v>
      </c>
      <c r="J16" s="169">
        <v>32.299999999999997</v>
      </c>
      <c r="K16" s="169">
        <v>25.1</v>
      </c>
      <c r="L16" s="169">
        <v>17.3</v>
      </c>
      <c r="M16" s="169">
        <v>13.1</v>
      </c>
      <c r="N16" s="169">
        <v>35.700000000000003</v>
      </c>
    </row>
    <row r="17" spans="1:14">
      <c r="A17" s="166" t="s">
        <v>101</v>
      </c>
      <c r="B17" s="169">
        <v>-22.8</v>
      </c>
      <c r="C17" s="169">
        <v>-29.1</v>
      </c>
      <c r="D17" s="169">
        <v>-14.3</v>
      </c>
      <c r="E17" s="169">
        <v>-7.1</v>
      </c>
      <c r="F17" s="169">
        <v>-5</v>
      </c>
      <c r="G17" s="169">
        <v>1.3</v>
      </c>
      <c r="H17" s="169">
        <v>3.4</v>
      </c>
      <c r="I17" s="169">
        <v>2.4</v>
      </c>
      <c r="J17" s="169">
        <v>-1.2</v>
      </c>
      <c r="K17" s="169">
        <v>-5.9</v>
      </c>
      <c r="L17" s="169">
        <v>-13.5</v>
      </c>
      <c r="M17" s="169">
        <v>-16.399999999999999</v>
      </c>
      <c r="N17" s="169">
        <v>-29.1</v>
      </c>
    </row>
    <row r="18" spans="1:14">
      <c r="A18" s="166" t="s">
        <v>102</v>
      </c>
      <c r="B18" s="169">
        <v>87</v>
      </c>
      <c r="C18" s="169">
        <v>85</v>
      </c>
      <c r="D18" s="169">
        <v>78</v>
      </c>
      <c r="E18" s="169">
        <v>73</v>
      </c>
      <c r="F18" s="169">
        <v>69</v>
      </c>
      <c r="G18" s="169">
        <v>70</v>
      </c>
      <c r="H18" s="169">
        <v>74</v>
      </c>
      <c r="I18" s="169">
        <v>76</v>
      </c>
      <c r="J18" s="169">
        <v>78</v>
      </c>
      <c r="K18" s="169">
        <v>83</v>
      </c>
      <c r="L18" s="169">
        <v>88</v>
      </c>
      <c r="M18" s="169">
        <v>89</v>
      </c>
      <c r="N18" s="169">
        <v>79</v>
      </c>
    </row>
    <row r="19" spans="1:14">
      <c r="A19" s="166"/>
    </row>
    <row r="21" spans="1:14" ht="14.25" customHeight="1">
      <c r="A21" s="166" t="s">
        <v>110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>
      <c r="A22" s="166"/>
      <c r="B22" s="169">
        <v>1</v>
      </c>
      <c r="C22" s="169">
        <v>2</v>
      </c>
      <c r="D22" s="169">
        <v>3</v>
      </c>
      <c r="E22" s="169">
        <v>4</v>
      </c>
      <c r="F22" s="169">
        <v>5</v>
      </c>
      <c r="G22" s="169">
        <v>6</v>
      </c>
      <c r="H22" s="169">
        <v>7</v>
      </c>
      <c r="I22" s="169">
        <v>8</v>
      </c>
      <c r="J22" s="169">
        <v>9</v>
      </c>
      <c r="K22" s="169">
        <v>10</v>
      </c>
      <c r="L22" s="169">
        <v>11</v>
      </c>
      <c r="M22" s="169">
        <v>12</v>
      </c>
      <c r="N22" s="166" t="s">
        <v>96</v>
      </c>
    </row>
    <row r="23" spans="1:14">
      <c r="A23" s="166" t="s">
        <v>97</v>
      </c>
      <c r="B23" s="169">
        <v>0.8</v>
      </c>
      <c r="C23" s="169">
        <v>1.8</v>
      </c>
      <c r="D23" s="169">
        <v>6</v>
      </c>
      <c r="E23" s="169">
        <v>10.1</v>
      </c>
      <c r="F23" s="169">
        <v>14.4</v>
      </c>
      <c r="G23" s="169">
        <v>17.7</v>
      </c>
      <c r="H23" s="169">
        <v>19.5</v>
      </c>
      <c r="I23" s="169">
        <v>18.600000000000001</v>
      </c>
      <c r="J23" s="169">
        <v>15.2</v>
      </c>
      <c r="K23" s="169">
        <v>9.8000000000000007</v>
      </c>
      <c r="L23" s="169">
        <v>5.3</v>
      </c>
      <c r="M23" s="169">
        <v>1.7</v>
      </c>
      <c r="N23" s="169">
        <v>10.1</v>
      </c>
    </row>
    <row r="24" spans="1:14">
      <c r="A24" s="166" t="s">
        <v>98</v>
      </c>
      <c r="B24" s="169">
        <v>3.6</v>
      </c>
      <c r="C24" s="169">
        <v>5.4</v>
      </c>
      <c r="D24" s="169">
        <v>11.2</v>
      </c>
      <c r="E24" s="169">
        <v>15.6</v>
      </c>
      <c r="F24" s="169">
        <v>20.2</v>
      </c>
      <c r="G24" s="169">
        <v>23.3</v>
      </c>
      <c r="H24" s="169">
        <v>25.1</v>
      </c>
      <c r="I24" s="169">
        <v>24.5</v>
      </c>
      <c r="J24" s="169">
        <v>21</v>
      </c>
      <c r="K24" s="169">
        <v>14.6</v>
      </c>
      <c r="L24" s="169">
        <v>8.4</v>
      </c>
      <c r="M24" s="169">
        <v>4.2</v>
      </c>
      <c r="N24" s="169">
        <v>14.9</v>
      </c>
    </row>
    <row r="25" spans="1:14">
      <c r="A25" s="166" t="s">
        <v>99</v>
      </c>
      <c r="B25" s="169">
        <v>-2.2999999999999998</v>
      </c>
      <c r="C25" s="169">
        <v>-1.8</v>
      </c>
      <c r="D25" s="169">
        <v>1.2</v>
      </c>
      <c r="E25" s="169">
        <v>4.8</v>
      </c>
      <c r="F25" s="169">
        <v>8.4</v>
      </c>
      <c r="G25" s="169">
        <v>11.9</v>
      </c>
      <c r="H25" s="169">
        <v>14</v>
      </c>
      <c r="I25" s="169">
        <v>13.3</v>
      </c>
      <c r="J25" s="169">
        <v>10.5</v>
      </c>
      <c r="K25" s="169">
        <v>5.8</v>
      </c>
      <c r="L25" s="169">
        <v>2.2999999999999998</v>
      </c>
      <c r="M25" s="169">
        <v>-1.1000000000000001</v>
      </c>
      <c r="N25" s="169">
        <v>5.6</v>
      </c>
    </row>
    <row r="26" spans="1:14">
      <c r="A26" s="166" t="s">
        <v>100</v>
      </c>
      <c r="B26" s="169">
        <v>16</v>
      </c>
      <c r="C26" s="169">
        <v>19.3</v>
      </c>
      <c r="D26" s="169">
        <v>24.7</v>
      </c>
      <c r="E26" s="169">
        <v>30.2</v>
      </c>
      <c r="F26" s="169">
        <v>34.4</v>
      </c>
      <c r="G26" s="169">
        <v>37.200000000000003</v>
      </c>
      <c r="H26" s="169">
        <v>38.799999999999997</v>
      </c>
      <c r="I26" s="169">
        <v>37</v>
      </c>
      <c r="J26" s="169">
        <v>33.9</v>
      </c>
      <c r="K26" s="169">
        <v>28.3</v>
      </c>
      <c r="L26" s="169">
        <v>20.7</v>
      </c>
      <c r="M26" s="169">
        <v>17.8</v>
      </c>
      <c r="N26" s="169">
        <v>38.799999999999997</v>
      </c>
    </row>
    <row r="27" spans="1:14">
      <c r="A27" s="166" t="s">
        <v>101</v>
      </c>
      <c r="B27" s="169">
        <v>-25.4</v>
      </c>
      <c r="C27" s="169">
        <v>-23.1</v>
      </c>
      <c r="D27" s="169">
        <v>-15</v>
      </c>
      <c r="E27" s="169">
        <v>-6</v>
      </c>
      <c r="F27" s="169">
        <v>-3.4</v>
      </c>
      <c r="G27" s="169">
        <v>2</v>
      </c>
      <c r="H27" s="169">
        <v>4.4000000000000004</v>
      </c>
      <c r="I27" s="169">
        <v>4</v>
      </c>
      <c r="J27" s="169">
        <v>-1.2</v>
      </c>
      <c r="K27" s="169">
        <v>-6.8</v>
      </c>
      <c r="L27" s="169">
        <v>-12.5</v>
      </c>
      <c r="M27" s="169">
        <v>-21.5</v>
      </c>
      <c r="N27" s="169">
        <v>-25.4</v>
      </c>
    </row>
    <row r="28" spans="1:14">
      <c r="A28" s="166" t="s">
        <v>102</v>
      </c>
      <c r="B28" s="169">
        <v>83</v>
      </c>
      <c r="C28" s="169">
        <v>80</v>
      </c>
      <c r="D28" s="169">
        <v>73</v>
      </c>
      <c r="E28" s="169">
        <v>68</v>
      </c>
      <c r="F28" s="169">
        <v>67</v>
      </c>
      <c r="G28" s="169">
        <v>71</v>
      </c>
      <c r="H28" s="169">
        <v>70</v>
      </c>
      <c r="I28" s="169">
        <v>74</v>
      </c>
      <c r="J28" s="169">
        <v>78</v>
      </c>
      <c r="K28" s="169">
        <v>84</v>
      </c>
      <c r="L28" s="169">
        <v>86</v>
      </c>
      <c r="M28" s="169">
        <v>86</v>
      </c>
      <c r="N28" s="169">
        <v>77</v>
      </c>
    </row>
    <row r="29" spans="1:14">
      <c r="A29" s="166"/>
    </row>
    <row r="31" spans="1:14" ht="14.25" customHeight="1">
      <c r="A31" s="166" t="s">
        <v>113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>
      <c r="A32" s="166"/>
      <c r="B32" s="169">
        <v>1</v>
      </c>
      <c r="C32" s="169">
        <v>2</v>
      </c>
      <c r="D32" s="169">
        <v>3</v>
      </c>
      <c r="E32" s="169">
        <v>4</v>
      </c>
      <c r="F32" s="169">
        <v>5</v>
      </c>
      <c r="G32" s="169">
        <v>6</v>
      </c>
      <c r="H32" s="169">
        <v>7</v>
      </c>
      <c r="I32" s="169">
        <v>8</v>
      </c>
      <c r="J32" s="169">
        <v>9</v>
      </c>
      <c r="K32" s="169">
        <v>10</v>
      </c>
      <c r="L32" s="169">
        <v>11</v>
      </c>
      <c r="M32" s="169">
        <v>12</v>
      </c>
      <c r="N32" s="166" t="s">
        <v>96</v>
      </c>
    </row>
    <row r="33" spans="1:15">
      <c r="A33" s="166" t="s">
        <v>97</v>
      </c>
      <c r="B33" s="169">
        <v>-2.4</v>
      </c>
      <c r="C33" s="169">
        <v>-1.2</v>
      </c>
      <c r="D33" s="169">
        <v>3</v>
      </c>
      <c r="E33" s="169">
        <v>7.6</v>
      </c>
      <c r="F33" s="169">
        <v>12.2</v>
      </c>
      <c r="G33" s="169">
        <v>15.4</v>
      </c>
      <c r="H33" s="169">
        <v>17.2</v>
      </c>
      <c r="I33" s="169">
        <v>16.600000000000001</v>
      </c>
      <c r="J33" s="169">
        <v>13.3</v>
      </c>
      <c r="K33" s="169">
        <v>7.8</v>
      </c>
      <c r="L33" s="169">
        <v>2.9</v>
      </c>
      <c r="M33" s="169">
        <v>-0.9</v>
      </c>
      <c r="N33" s="169">
        <v>7.6</v>
      </c>
    </row>
    <row r="34" spans="1:15">
      <c r="A34" s="166" t="s">
        <v>98</v>
      </c>
      <c r="B34" s="169">
        <v>1.1000000000000001</v>
      </c>
      <c r="C34" s="169">
        <v>2.9</v>
      </c>
      <c r="D34" s="169">
        <v>8.3000000000000007</v>
      </c>
      <c r="E34" s="169">
        <v>13.2</v>
      </c>
      <c r="F34" s="169">
        <v>17.600000000000001</v>
      </c>
      <c r="G34" s="169">
        <v>20.8</v>
      </c>
      <c r="H34" s="169">
        <v>22.9</v>
      </c>
      <c r="I34" s="169">
        <v>22.4</v>
      </c>
      <c r="J34" s="169">
        <v>19.2</v>
      </c>
      <c r="K34" s="169">
        <v>13.1</v>
      </c>
      <c r="L34" s="169">
        <v>6.5</v>
      </c>
      <c r="M34" s="169">
        <v>2.2999999999999998</v>
      </c>
      <c r="N34" s="169">
        <v>12.5</v>
      </c>
    </row>
    <row r="35" spans="1:15">
      <c r="A35" s="166" t="s">
        <v>99</v>
      </c>
      <c r="B35" s="169">
        <v>-5.7</v>
      </c>
      <c r="C35" s="169">
        <v>-4.9000000000000004</v>
      </c>
      <c r="D35" s="169">
        <v>-1.3</v>
      </c>
      <c r="E35" s="169">
        <v>2.9</v>
      </c>
      <c r="F35" s="169">
        <v>6.8</v>
      </c>
      <c r="G35" s="169">
        <v>10.3</v>
      </c>
      <c r="H35" s="169">
        <v>12.1</v>
      </c>
      <c r="I35" s="169">
        <v>11.8</v>
      </c>
      <c r="J35" s="169">
        <v>8.9</v>
      </c>
      <c r="K35" s="169">
        <v>3.9</v>
      </c>
      <c r="L35" s="169">
        <v>0.1</v>
      </c>
      <c r="M35" s="169">
        <v>-3.8</v>
      </c>
      <c r="N35" s="169">
        <v>3.4</v>
      </c>
    </row>
    <row r="36" spans="1:15">
      <c r="A36" s="166" t="s">
        <v>100</v>
      </c>
      <c r="B36" s="169">
        <v>15.5</v>
      </c>
      <c r="C36" s="169">
        <v>19.8</v>
      </c>
      <c r="D36" s="169">
        <v>22.5</v>
      </c>
      <c r="E36" s="169">
        <v>27.6</v>
      </c>
      <c r="F36" s="169">
        <v>28.9</v>
      </c>
      <c r="G36" s="169">
        <v>34.1</v>
      </c>
      <c r="H36" s="169">
        <v>34.700000000000003</v>
      </c>
      <c r="I36" s="169">
        <v>35.200000000000003</v>
      </c>
      <c r="J36" s="169">
        <v>30.4</v>
      </c>
      <c r="K36" s="169">
        <v>25.6</v>
      </c>
      <c r="L36" s="169">
        <v>22.6</v>
      </c>
      <c r="M36" s="169">
        <v>17.5</v>
      </c>
      <c r="N36" s="169">
        <v>35.200000000000003</v>
      </c>
    </row>
    <row r="37" spans="1:15">
      <c r="A37" s="166" t="s">
        <v>101</v>
      </c>
      <c r="B37" s="169">
        <v>-29.6</v>
      </c>
      <c r="C37" s="169">
        <v>-29.6</v>
      </c>
      <c r="D37" s="169">
        <v>-18</v>
      </c>
      <c r="E37" s="169">
        <v>-7.6</v>
      </c>
      <c r="F37" s="169">
        <v>-2.8</v>
      </c>
      <c r="G37" s="169">
        <v>0.5</v>
      </c>
      <c r="H37" s="169">
        <v>3.4</v>
      </c>
      <c r="I37" s="169">
        <v>3.9</v>
      </c>
      <c r="J37" s="169">
        <v>-2.5</v>
      </c>
      <c r="K37" s="169">
        <v>-6.2</v>
      </c>
      <c r="L37" s="169">
        <v>-14.7</v>
      </c>
      <c r="M37" s="169">
        <v>-23.2</v>
      </c>
      <c r="N37" s="169">
        <v>-29.6</v>
      </c>
    </row>
    <row r="38" spans="1:15">
      <c r="A38" s="166" t="s">
        <v>102</v>
      </c>
      <c r="B38" s="169">
        <v>83</v>
      </c>
      <c r="C38" s="169">
        <v>83</v>
      </c>
      <c r="D38" s="169">
        <v>77</v>
      </c>
      <c r="E38" s="169">
        <v>72</v>
      </c>
      <c r="F38" s="169">
        <v>73</v>
      </c>
      <c r="G38" s="169">
        <v>73</v>
      </c>
      <c r="H38" s="169">
        <v>73</v>
      </c>
      <c r="I38" s="169">
        <v>75</v>
      </c>
      <c r="J38" s="169">
        <v>78</v>
      </c>
      <c r="K38" s="169">
        <v>82</v>
      </c>
      <c r="L38" s="169">
        <v>86</v>
      </c>
      <c r="M38" s="169">
        <v>86</v>
      </c>
      <c r="N38" s="169">
        <v>79</v>
      </c>
    </row>
    <row r="39" spans="1:15">
      <c r="A39" s="166"/>
    </row>
    <row r="41" spans="1:15" s="173" customFormat="1">
      <c r="A41" s="171" t="s">
        <v>541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2"/>
    </row>
    <row r="42" spans="1:15" s="173" customFormat="1">
      <c r="A42" s="171"/>
      <c r="B42" s="174">
        <v>1</v>
      </c>
      <c r="C42" s="174">
        <v>2</v>
      </c>
      <c r="D42" s="174">
        <v>3</v>
      </c>
      <c r="E42" s="174">
        <v>4</v>
      </c>
      <c r="F42" s="174">
        <v>5</v>
      </c>
      <c r="G42" s="174">
        <v>6</v>
      </c>
      <c r="H42" s="174">
        <v>7</v>
      </c>
      <c r="I42" s="174">
        <v>8</v>
      </c>
      <c r="J42" s="174">
        <v>9</v>
      </c>
      <c r="K42" s="174">
        <v>10</v>
      </c>
      <c r="L42" s="174">
        <v>11</v>
      </c>
      <c r="M42" s="174">
        <v>12</v>
      </c>
      <c r="N42" s="171" t="s">
        <v>96</v>
      </c>
      <c r="O42" s="172"/>
    </row>
    <row r="43" spans="1:15" s="173" customFormat="1">
      <c r="A43" s="171" t="s">
        <v>97</v>
      </c>
      <c r="B43" s="174">
        <v>0.9</v>
      </c>
      <c r="C43" s="174">
        <v>2.4</v>
      </c>
      <c r="D43" s="174">
        <v>5.6</v>
      </c>
      <c r="E43" s="174">
        <v>9.1</v>
      </c>
      <c r="F43" s="174">
        <v>13.1</v>
      </c>
      <c r="G43" s="174">
        <v>16.3</v>
      </c>
      <c r="H43" s="174">
        <v>18.5</v>
      </c>
      <c r="I43" s="174">
        <v>17.7</v>
      </c>
      <c r="J43" s="174">
        <v>14.8</v>
      </c>
      <c r="K43" s="174">
        <v>10.1</v>
      </c>
      <c r="L43" s="174">
        <v>4.9000000000000004</v>
      </c>
      <c r="M43" s="174">
        <v>1.8</v>
      </c>
      <c r="N43" s="174">
        <v>9.6</v>
      </c>
      <c r="O43" s="172"/>
    </row>
    <row r="44" spans="1:15" s="173" customFormat="1">
      <c r="A44" s="171" t="s">
        <v>98</v>
      </c>
      <c r="B44" s="174">
        <v>3.6</v>
      </c>
      <c r="C44" s="174">
        <v>5.8</v>
      </c>
      <c r="D44" s="174">
        <v>9.9</v>
      </c>
      <c r="E44" s="174">
        <v>14</v>
      </c>
      <c r="F44" s="174">
        <v>18.399999999999999</v>
      </c>
      <c r="G44" s="174">
        <v>21.7</v>
      </c>
      <c r="H44" s="174">
        <v>24.2</v>
      </c>
      <c r="I44" s="174">
        <v>23.5</v>
      </c>
      <c r="J44" s="174">
        <v>20.3</v>
      </c>
      <c r="K44" s="174">
        <v>14.8</v>
      </c>
      <c r="L44" s="174">
        <v>8.3000000000000007</v>
      </c>
      <c r="M44" s="174">
        <v>4.5</v>
      </c>
      <c r="N44" s="174">
        <v>14.1</v>
      </c>
      <c r="O44" s="172"/>
    </row>
    <row r="45" spans="1:15" s="173" customFormat="1">
      <c r="A45" s="171" t="s">
        <v>99</v>
      </c>
      <c r="B45" s="174" t="s">
        <v>542</v>
      </c>
      <c r="C45" s="174" t="s">
        <v>542</v>
      </c>
      <c r="D45" s="174" t="s">
        <v>542</v>
      </c>
      <c r="E45" s="174" t="s">
        <v>542</v>
      </c>
      <c r="F45" s="174" t="s">
        <v>542</v>
      </c>
      <c r="G45" s="174" t="s">
        <v>542</v>
      </c>
      <c r="H45" s="174" t="s">
        <v>542</v>
      </c>
      <c r="I45" s="174" t="s">
        <v>542</v>
      </c>
      <c r="J45" s="174" t="s">
        <v>542</v>
      </c>
      <c r="K45" s="174" t="s">
        <v>542</v>
      </c>
      <c r="L45" s="174" t="s">
        <v>542</v>
      </c>
      <c r="M45" s="174" t="s">
        <v>542</v>
      </c>
      <c r="N45" s="174" t="s">
        <v>542</v>
      </c>
      <c r="O45" s="172"/>
    </row>
    <row r="46" spans="1:15" s="173" customFormat="1">
      <c r="A46" s="171" t="s">
        <v>100</v>
      </c>
      <c r="B46" s="174">
        <f t="shared" ref="B46:G46" si="0">B44+7.5</f>
        <v>11.1</v>
      </c>
      <c r="C46" s="174">
        <f t="shared" si="0"/>
        <v>13.3</v>
      </c>
      <c r="D46" s="174">
        <f t="shared" si="0"/>
        <v>17.399999999999999</v>
      </c>
      <c r="E46" s="174">
        <f t="shared" si="0"/>
        <v>21.5</v>
      </c>
      <c r="F46" s="174">
        <f t="shared" si="0"/>
        <v>25.9</v>
      </c>
      <c r="G46" s="174">
        <f t="shared" si="0"/>
        <v>29.2</v>
      </c>
      <c r="H46" s="174">
        <v>32.200000000000003</v>
      </c>
      <c r="I46" s="174">
        <f>I44+7.5</f>
        <v>31</v>
      </c>
      <c r="J46" s="174">
        <f>J44+7.5</f>
        <v>27.8</v>
      </c>
      <c r="K46" s="174">
        <f>K44+7.5</f>
        <v>22.3</v>
      </c>
      <c r="L46" s="174">
        <f>L44+7.5</f>
        <v>15.8</v>
      </c>
      <c r="M46" s="174">
        <f>M44+7.5</f>
        <v>12</v>
      </c>
      <c r="N46" s="174">
        <v>32.200000000000003</v>
      </c>
      <c r="O46" s="172"/>
    </row>
    <row r="47" spans="1:15" s="173" customFormat="1">
      <c r="A47" s="171" t="s">
        <v>101</v>
      </c>
      <c r="B47" s="174" t="s">
        <v>542</v>
      </c>
      <c r="C47" s="174" t="s">
        <v>542</v>
      </c>
      <c r="D47" s="174" t="s">
        <v>542</v>
      </c>
      <c r="E47" s="174" t="s">
        <v>542</v>
      </c>
      <c r="F47" s="174" t="s">
        <v>542</v>
      </c>
      <c r="G47" s="174" t="s">
        <v>542</v>
      </c>
      <c r="H47" s="174" t="s">
        <v>542</v>
      </c>
      <c r="I47" s="174" t="s">
        <v>542</v>
      </c>
      <c r="J47" s="174" t="s">
        <v>542</v>
      </c>
      <c r="K47" s="174" t="s">
        <v>542</v>
      </c>
      <c r="L47" s="174" t="s">
        <v>542</v>
      </c>
      <c r="M47" s="174" t="s">
        <v>542</v>
      </c>
      <c r="N47" s="174" t="s">
        <v>542</v>
      </c>
      <c r="O47" s="172"/>
    </row>
    <row r="48" spans="1:15" s="173" customFormat="1">
      <c r="A48" s="171" t="s">
        <v>102</v>
      </c>
      <c r="B48" s="174">
        <v>82.3</v>
      </c>
      <c r="C48" s="174">
        <v>78.400000000000006</v>
      </c>
      <c r="D48" s="174">
        <v>73.400000000000006</v>
      </c>
      <c r="E48" s="174">
        <v>71</v>
      </c>
      <c r="F48" s="174">
        <v>72.599999999999994</v>
      </c>
      <c r="G48" s="174">
        <v>71.8</v>
      </c>
      <c r="H48" s="174">
        <v>70.599999999999994</v>
      </c>
      <c r="I48" s="174">
        <v>73.8</v>
      </c>
      <c r="J48" s="174">
        <v>78.099999999999994</v>
      </c>
      <c r="K48" s="174">
        <v>81.7</v>
      </c>
      <c r="L48" s="174">
        <v>82.2</v>
      </c>
      <c r="M48" s="174">
        <v>82.4</v>
      </c>
      <c r="N48" s="174">
        <v>76.5</v>
      </c>
      <c r="O48" s="172"/>
    </row>
    <row r="49" spans="1:15" s="173" customFormat="1">
      <c r="A49" s="171"/>
      <c r="B49" s="168" t="str">
        <f>Sprachen!A182</f>
        <v>Annahme: monatliche absolute maximale Temperatur 7,5 °C höher als monatliche mittlere maximale Temperatur; Quelle: MeteoSchweiz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72"/>
    </row>
    <row r="50" spans="1:15" s="173" customFormat="1">
      <c r="O50" s="172"/>
    </row>
    <row r="51" spans="1:15" s="173" customFormat="1">
      <c r="A51" s="171" t="s">
        <v>543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</row>
    <row r="52" spans="1:15" s="173" customFormat="1">
      <c r="A52" s="171"/>
      <c r="B52" s="174">
        <v>1</v>
      </c>
      <c r="C52" s="174">
        <v>2</v>
      </c>
      <c r="D52" s="174">
        <v>3</v>
      </c>
      <c r="E52" s="174">
        <v>4</v>
      </c>
      <c r="F52" s="174">
        <v>5</v>
      </c>
      <c r="G52" s="174">
        <v>6</v>
      </c>
      <c r="H52" s="174">
        <v>7</v>
      </c>
      <c r="I52" s="174">
        <v>8</v>
      </c>
      <c r="J52" s="174">
        <v>9</v>
      </c>
      <c r="K52" s="174">
        <v>10</v>
      </c>
      <c r="L52" s="174">
        <v>11</v>
      </c>
      <c r="M52" s="174">
        <v>12</v>
      </c>
      <c r="N52" s="171" t="s">
        <v>96</v>
      </c>
      <c r="O52" s="172"/>
    </row>
    <row r="53" spans="1:15" s="173" customFormat="1">
      <c r="A53" s="171" t="s">
        <v>97</v>
      </c>
      <c r="B53" s="174">
        <v>-1</v>
      </c>
      <c r="C53" s="174">
        <v>0.8</v>
      </c>
      <c r="D53" s="174">
        <v>3.9</v>
      </c>
      <c r="E53" s="174">
        <v>7.6</v>
      </c>
      <c r="F53" s="174">
        <v>11.8</v>
      </c>
      <c r="G53" s="174">
        <v>15.2</v>
      </c>
      <c r="H53" s="174">
        <v>17.5</v>
      </c>
      <c r="I53" s="174">
        <v>16.7</v>
      </c>
      <c r="J53" s="174">
        <v>13.6</v>
      </c>
      <c r="K53" s="174">
        <v>8.9</v>
      </c>
      <c r="L53" s="174">
        <v>3.4</v>
      </c>
      <c r="M53" s="174">
        <v>0</v>
      </c>
      <c r="N53" s="174">
        <v>8.1999999999999993</v>
      </c>
      <c r="O53" s="172"/>
    </row>
    <row r="54" spans="1:15" s="173" customFormat="1">
      <c r="A54" s="171" t="s">
        <v>98</v>
      </c>
      <c r="B54" s="174">
        <v>2.2000000000000002</v>
      </c>
      <c r="C54" s="174">
        <v>4.5999999999999996</v>
      </c>
      <c r="D54" s="174">
        <v>8.5</v>
      </c>
      <c r="E54" s="174">
        <v>12.6</v>
      </c>
      <c r="F54" s="174">
        <v>17.2</v>
      </c>
      <c r="G54" s="174">
        <v>20.6</v>
      </c>
      <c r="H54" s="174">
        <v>23.5</v>
      </c>
      <c r="I54" s="174">
        <v>22.7</v>
      </c>
      <c r="J54" s="174">
        <v>19.399999999999999</v>
      </c>
      <c r="K54" s="174">
        <v>13.7</v>
      </c>
      <c r="L54" s="174">
        <v>7.1</v>
      </c>
      <c r="M54" s="174">
        <v>3</v>
      </c>
      <c r="N54" s="174">
        <v>12.9</v>
      </c>
      <c r="O54" s="172"/>
    </row>
    <row r="55" spans="1:15" s="173" customFormat="1">
      <c r="A55" s="171" t="s">
        <v>99</v>
      </c>
      <c r="B55" s="174" t="s">
        <v>542</v>
      </c>
      <c r="C55" s="174" t="s">
        <v>542</v>
      </c>
      <c r="D55" s="174" t="s">
        <v>542</v>
      </c>
      <c r="E55" s="174" t="s">
        <v>542</v>
      </c>
      <c r="F55" s="174" t="s">
        <v>542</v>
      </c>
      <c r="G55" s="174" t="s">
        <v>542</v>
      </c>
      <c r="H55" s="174" t="s">
        <v>542</v>
      </c>
      <c r="I55" s="174" t="s">
        <v>542</v>
      </c>
      <c r="J55" s="174" t="s">
        <v>542</v>
      </c>
      <c r="K55" s="174" t="s">
        <v>542</v>
      </c>
      <c r="L55" s="174" t="s">
        <v>542</v>
      </c>
      <c r="M55" s="174" t="s">
        <v>542</v>
      </c>
      <c r="N55" s="174" t="s">
        <v>542</v>
      </c>
      <c r="O55" s="172"/>
    </row>
    <row r="56" spans="1:15" s="173" customFormat="1">
      <c r="A56" s="171" t="s">
        <v>100</v>
      </c>
      <c r="B56" s="174">
        <f t="shared" ref="B56:G56" si="1">B54+7.5</f>
        <v>9.6999999999999993</v>
      </c>
      <c r="C56" s="174">
        <f t="shared" si="1"/>
        <v>12.1</v>
      </c>
      <c r="D56" s="174">
        <f t="shared" si="1"/>
        <v>16</v>
      </c>
      <c r="E56" s="174">
        <f t="shared" si="1"/>
        <v>20.100000000000001</v>
      </c>
      <c r="F56" s="174">
        <f t="shared" si="1"/>
        <v>24.7</v>
      </c>
      <c r="G56" s="174">
        <f t="shared" si="1"/>
        <v>28.1</v>
      </c>
      <c r="H56" s="174">
        <v>30.7</v>
      </c>
      <c r="I56" s="174">
        <f>I54+7.5</f>
        <v>30.2</v>
      </c>
      <c r="J56" s="174">
        <f>J54+7.5</f>
        <v>26.9</v>
      </c>
      <c r="K56" s="174">
        <f>K54+7.5</f>
        <v>21.2</v>
      </c>
      <c r="L56" s="174">
        <f>L54+7.5</f>
        <v>14.6</v>
      </c>
      <c r="M56" s="174">
        <f>M54+7.5</f>
        <v>10.5</v>
      </c>
      <c r="N56" s="174">
        <v>30.7</v>
      </c>
      <c r="O56" s="172"/>
    </row>
    <row r="57" spans="1:15" s="173" customFormat="1">
      <c r="A57" s="171" t="s">
        <v>101</v>
      </c>
      <c r="B57" s="174" t="s">
        <v>542</v>
      </c>
      <c r="C57" s="174" t="s">
        <v>542</v>
      </c>
      <c r="D57" s="174" t="s">
        <v>542</v>
      </c>
      <c r="E57" s="174" t="s">
        <v>542</v>
      </c>
      <c r="F57" s="174" t="s">
        <v>542</v>
      </c>
      <c r="G57" s="174" t="s">
        <v>542</v>
      </c>
      <c r="H57" s="174" t="s">
        <v>542</v>
      </c>
      <c r="I57" s="174" t="s">
        <v>542</v>
      </c>
      <c r="J57" s="174" t="s">
        <v>542</v>
      </c>
      <c r="K57" s="174" t="s">
        <v>542</v>
      </c>
      <c r="L57" s="174" t="s">
        <v>542</v>
      </c>
      <c r="M57" s="174" t="s">
        <v>542</v>
      </c>
      <c r="N57" s="174" t="s">
        <v>542</v>
      </c>
      <c r="O57" s="172"/>
    </row>
    <row r="58" spans="1:15" s="173" customFormat="1">
      <c r="A58" s="171" t="s">
        <v>102</v>
      </c>
      <c r="B58" s="174">
        <v>84.8</v>
      </c>
      <c r="C58" s="174">
        <v>79.7</v>
      </c>
      <c r="D58" s="174">
        <v>74.3</v>
      </c>
      <c r="E58" s="174">
        <v>71.599999999999994</v>
      </c>
      <c r="F58" s="174">
        <v>71.7</v>
      </c>
      <c r="G58" s="174">
        <v>71.7</v>
      </c>
      <c r="H58" s="174">
        <v>71.2</v>
      </c>
      <c r="I58" s="174">
        <v>75.7</v>
      </c>
      <c r="J58" s="174">
        <v>80.599999999999994</v>
      </c>
      <c r="K58" s="174">
        <v>85.1</v>
      </c>
      <c r="L58" s="174">
        <v>86.1</v>
      </c>
      <c r="M58" s="174">
        <v>86.2</v>
      </c>
      <c r="N58" s="174">
        <v>78.2</v>
      </c>
      <c r="O58" s="172"/>
    </row>
    <row r="59" spans="1:15" s="173" customFormat="1">
      <c r="A59" s="171"/>
      <c r="B59" s="168" t="str">
        <f>Sprachen!A182</f>
        <v>Annahme: monatliche absolute maximale Temperatur 7,5 °C höher als monatliche mittlere maximale Temperatur; Quelle: MeteoSchweiz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72"/>
    </row>
    <row r="60" spans="1:15" s="173" customFormat="1">
      <c r="O60" s="172"/>
    </row>
    <row r="61" spans="1:15" s="173" customFormat="1">
      <c r="A61" s="171" t="s">
        <v>544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2"/>
    </row>
    <row r="62" spans="1:15" s="173" customFormat="1">
      <c r="A62" s="171"/>
      <c r="B62" s="174">
        <v>1</v>
      </c>
      <c r="C62" s="174">
        <v>2</v>
      </c>
      <c r="D62" s="174">
        <v>3</v>
      </c>
      <c r="E62" s="174">
        <v>4</v>
      </c>
      <c r="F62" s="174">
        <v>5</v>
      </c>
      <c r="G62" s="174">
        <v>6</v>
      </c>
      <c r="H62" s="174">
        <v>7</v>
      </c>
      <c r="I62" s="174">
        <v>8</v>
      </c>
      <c r="J62" s="174">
        <v>9</v>
      </c>
      <c r="K62" s="174">
        <v>10</v>
      </c>
      <c r="L62" s="174">
        <v>11</v>
      </c>
      <c r="M62" s="174">
        <v>12</v>
      </c>
      <c r="N62" s="171" t="s">
        <v>96</v>
      </c>
      <c r="O62" s="172"/>
    </row>
    <row r="63" spans="1:15" s="173" customFormat="1">
      <c r="A63" s="171" t="s">
        <v>97</v>
      </c>
      <c r="B63" s="174">
        <v>-0.5</v>
      </c>
      <c r="C63" s="174">
        <v>1.3</v>
      </c>
      <c r="D63" s="174">
        <v>4.8</v>
      </c>
      <c r="E63" s="174">
        <v>8.3000000000000007</v>
      </c>
      <c r="F63" s="174">
        <v>12.7</v>
      </c>
      <c r="G63" s="174">
        <v>15.6</v>
      </c>
      <c r="H63" s="174">
        <v>17.7</v>
      </c>
      <c r="I63" s="174">
        <v>16.899999999999999</v>
      </c>
      <c r="J63" s="174">
        <v>14.2</v>
      </c>
      <c r="K63" s="174">
        <v>9.6999999999999993</v>
      </c>
      <c r="L63" s="174">
        <v>3.9</v>
      </c>
      <c r="M63" s="174">
        <v>-0.1</v>
      </c>
      <c r="N63" s="174">
        <v>8.6999999999999993</v>
      </c>
      <c r="O63" s="172"/>
    </row>
    <row r="64" spans="1:15" s="173" customFormat="1">
      <c r="A64" s="171" t="s">
        <v>98</v>
      </c>
      <c r="B64" s="174">
        <v>4.0999999999999996</v>
      </c>
      <c r="C64" s="174">
        <v>6.3</v>
      </c>
      <c r="D64" s="174">
        <v>10.3</v>
      </c>
      <c r="E64" s="174">
        <v>14</v>
      </c>
      <c r="F64" s="174">
        <v>18.600000000000001</v>
      </c>
      <c r="G64" s="174">
        <v>21.5</v>
      </c>
      <c r="H64" s="174">
        <v>23.5</v>
      </c>
      <c r="I64" s="174">
        <v>22.7</v>
      </c>
      <c r="J64" s="174">
        <v>19.899999999999999</v>
      </c>
      <c r="K64" s="174">
        <v>15.5</v>
      </c>
      <c r="L64" s="174">
        <v>8.8000000000000007</v>
      </c>
      <c r="M64" s="174">
        <v>4.0999999999999996</v>
      </c>
      <c r="N64" s="174">
        <v>14.1</v>
      </c>
      <c r="O64" s="172"/>
    </row>
    <row r="65" spans="1:15" s="173" customFormat="1">
      <c r="A65" s="171" t="s">
        <v>99</v>
      </c>
      <c r="B65" s="174" t="s">
        <v>542</v>
      </c>
      <c r="C65" s="174" t="s">
        <v>542</v>
      </c>
      <c r="D65" s="174" t="s">
        <v>542</v>
      </c>
      <c r="E65" s="174" t="s">
        <v>542</v>
      </c>
      <c r="F65" s="174" t="s">
        <v>542</v>
      </c>
      <c r="G65" s="174" t="s">
        <v>542</v>
      </c>
      <c r="H65" s="174" t="s">
        <v>542</v>
      </c>
      <c r="I65" s="174" t="s">
        <v>542</v>
      </c>
      <c r="J65" s="174" t="s">
        <v>542</v>
      </c>
      <c r="K65" s="174" t="s">
        <v>542</v>
      </c>
      <c r="L65" s="174" t="s">
        <v>542</v>
      </c>
      <c r="M65" s="174" t="s">
        <v>542</v>
      </c>
      <c r="N65" s="174" t="s">
        <v>542</v>
      </c>
      <c r="O65" s="172"/>
    </row>
    <row r="66" spans="1:15" s="173" customFormat="1">
      <c r="A66" s="171" t="s">
        <v>100</v>
      </c>
      <c r="B66" s="174">
        <f t="shared" ref="B66:G66" si="2">B64+7.5</f>
        <v>11.6</v>
      </c>
      <c r="C66" s="174">
        <f t="shared" si="2"/>
        <v>13.8</v>
      </c>
      <c r="D66" s="174">
        <f t="shared" si="2"/>
        <v>17.8</v>
      </c>
      <c r="E66" s="174">
        <f t="shared" si="2"/>
        <v>21.5</v>
      </c>
      <c r="F66" s="174">
        <f t="shared" si="2"/>
        <v>26.1</v>
      </c>
      <c r="G66" s="174">
        <f t="shared" si="2"/>
        <v>29</v>
      </c>
      <c r="H66" s="174">
        <v>33.200000000000003</v>
      </c>
      <c r="I66" s="174">
        <f>I64+7.5</f>
        <v>30.2</v>
      </c>
      <c r="J66" s="174">
        <f>J64+7.5</f>
        <v>27.4</v>
      </c>
      <c r="K66" s="174">
        <f>K64+7.5</f>
        <v>23</v>
      </c>
      <c r="L66" s="174">
        <f>L64+7.5</f>
        <v>16.3</v>
      </c>
      <c r="M66" s="174">
        <f>M64+7.5</f>
        <v>11.6</v>
      </c>
      <c r="N66" s="174">
        <v>33.200000000000003</v>
      </c>
      <c r="O66" s="172"/>
    </row>
    <row r="67" spans="1:15" s="173" customFormat="1">
      <c r="A67" s="171" t="s">
        <v>101</v>
      </c>
      <c r="B67" s="174" t="s">
        <v>542</v>
      </c>
      <c r="C67" s="174" t="s">
        <v>542</v>
      </c>
      <c r="D67" s="174" t="s">
        <v>542</v>
      </c>
      <c r="E67" s="174" t="s">
        <v>542</v>
      </c>
      <c r="F67" s="174" t="s">
        <v>542</v>
      </c>
      <c r="G67" s="174" t="s">
        <v>542</v>
      </c>
      <c r="H67" s="174" t="s">
        <v>542</v>
      </c>
      <c r="I67" s="174" t="s">
        <v>542</v>
      </c>
      <c r="J67" s="174" t="s">
        <v>542</v>
      </c>
      <c r="K67" s="174" t="s">
        <v>542</v>
      </c>
      <c r="L67" s="174" t="s">
        <v>542</v>
      </c>
      <c r="M67" s="174" t="s">
        <v>542</v>
      </c>
      <c r="N67" s="174" t="s">
        <v>542</v>
      </c>
      <c r="O67" s="172"/>
    </row>
    <row r="68" spans="1:15" s="173" customFormat="1">
      <c r="A68" s="171" t="s">
        <v>102</v>
      </c>
      <c r="B68" s="174">
        <v>74.099999999999994</v>
      </c>
      <c r="C68" s="174">
        <v>70.400000000000006</v>
      </c>
      <c r="D68" s="174">
        <v>65.5</v>
      </c>
      <c r="E68" s="174">
        <v>63.9</v>
      </c>
      <c r="F68" s="174">
        <v>64.599999999999994</v>
      </c>
      <c r="G68" s="174">
        <v>67.400000000000006</v>
      </c>
      <c r="H68" s="174">
        <v>68.599999999999994</v>
      </c>
      <c r="I68" s="174">
        <v>71.3</v>
      </c>
      <c r="J68" s="174">
        <v>72.099999999999994</v>
      </c>
      <c r="K68" s="174">
        <v>71.900000000000006</v>
      </c>
      <c r="L68" s="174">
        <v>73.8</v>
      </c>
      <c r="M68" s="174">
        <v>76.2</v>
      </c>
      <c r="N68" s="174">
        <v>70</v>
      </c>
      <c r="O68" s="172"/>
    </row>
    <row r="69" spans="1:15" s="173" customFormat="1">
      <c r="A69" s="171"/>
      <c r="B69" s="168" t="str">
        <f>Sprachen!A182</f>
        <v>Annahme: monatliche absolute maximale Temperatur 7,5 °C höher als monatliche mittlere maximale Temperatur; Quelle: MeteoSchweiz</v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72"/>
    </row>
    <row r="70" spans="1:15" s="173" customFormat="1">
      <c r="O70" s="172"/>
    </row>
    <row r="71" spans="1:15" s="173" customFormat="1">
      <c r="A71" s="171" t="s">
        <v>545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</row>
    <row r="72" spans="1:15" s="173" customFormat="1">
      <c r="A72" s="171"/>
      <c r="B72" s="174">
        <v>1</v>
      </c>
      <c r="C72" s="174">
        <v>2</v>
      </c>
      <c r="D72" s="174">
        <v>3</v>
      </c>
      <c r="E72" s="174">
        <v>4</v>
      </c>
      <c r="F72" s="174">
        <v>5</v>
      </c>
      <c r="G72" s="174">
        <v>6</v>
      </c>
      <c r="H72" s="174">
        <v>7</v>
      </c>
      <c r="I72" s="174">
        <v>8</v>
      </c>
      <c r="J72" s="174">
        <v>9</v>
      </c>
      <c r="K72" s="174">
        <v>10</v>
      </c>
      <c r="L72" s="174">
        <v>11</v>
      </c>
      <c r="M72" s="174">
        <v>12</v>
      </c>
      <c r="N72" s="171" t="s">
        <v>96</v>
      </c>
      <c r="O72" s="172"/>
    </row>
    <row r="73" spans="1:15" s="173" customFormat="1">
      <c r="A73" s="171" t="s">
        <v>97</v>
      </c>
      <c r="B73" s="174">
        <v>1</v>
      </c>
      <c r="C73" s="174">
        <v>2.5</v>
      </c>
      <c r="D73" s="174">
        <v>5.3</v>
      </c>
      <c r="E73" s="174">
        <v>9</v>
      </c>
      <c r="F73" s="174">
        <v>13.2</v>
      </c>
      <c r="G73" s="174">
        <v>16.7</v>
      </c>
      <c r="H73" s="174">
        <v>19.3</v>
      </c>
      <c r="I73" s="174">
        <v>18.399999999999999</v>
      </c>
      <c r="J73" s="174">
        <v>15.1</v>
      </c>
      <c r="K73" s="174">
        <v>10.3</v>
      </c>
      <c r="L73" s="174">
        <v>5.2</v>
      </c>
      <c r="M73" s="174">
        <v>2</v>
      </c>
      <c r="N73" s="174">
        <v>9.8000000000000007</v>
      </c>
      <c r="O73" s="172"/>
    </row>
    <row r="74" spans="1:15" s="173" customFormat="1">
      <c r="A74" s="171" t="s">
        <v>98</v>
      </c>
      <c r="B74" s="174">
        <v>3.7</v>
      </c>
      <c r="C74" s="174">
        <v>5.9</v>
      </c>
      <c r="D74" s="174">
        <v>9.8000000000000007</v>
      </c>
      <c r="E74" s="174">
        <v>13.9</v>
      </c>
      <c r="F74" s="174">
        <v>18.399999999999999</v>
      </c>
      <c r="G74" s="174">
        <v>22.2</v>
      </c>
      <c r="H74" s="174">
        <v>25.3</v>
      </c>
      <c r="I74" s="174">
        <v>24.4</v>
      </c>
      <c r="J74" s="174">
        <v>20.8</v>
      </c>
      <c r="K74" s="174">
        <v>14.9</v>
      </c>
      <c r="L74" s="174">
        <v>8.4</v>
      </c>
      <c r="M74" s="174">
        <v>4.5</v>
      </c>
      <c r="N74" s="174">
        <v>14.4</v>
      </c>
      <c r="O74" s="172"/>
    </row>
    <row r="75" spans="1:15" s="173" customFormat="1">
      <c r="A75" s="171" t="s">
        <v>99</v>
      </c>
      <c r="B75" s="174" t="s">
        <v>542</v>
      </c>
      <c r="C75" s="174" t="s">
        <v>542</v>
      </c>
      <c r="D75" s="174" t="s">
        <v>542</v>
      </c>
      <c r="E75" s="174" t="s">
        <v>542</v>
      </c>
      <c r="F75" s="174" t="s">
        <v>542</v>
      </c>
      <c r="G75" s="174" t="s">
        <v>542</v>
      </c>
      <c r="H75" s="174" t="s">
        <v>542</v>
      </c>
      <c r="I75" s="174" t="s">
        <v>542</v>
      </c>
      <c r="J75" s="174" t="s">
        <v>542</v>
      </c>
      <c r="K75" s="174" t="s">
        <v>542</v>
      </c>
      <c r="L75" s="174" t="s">
        <v>542</v>
      </c>
      <c r="M75" s="174" t="s">
        <v>542</v>
      </c>
      <c r="N75" s="174" t="s">
        <v>542</v>
      </c>
      <c r="O75" s="172"/>
    </row>
    <row r="76" spans="1:15" s="173" customFormat="1">
      <c r="A76" s="171" t="s">
        <v>100</v>
      </c>
      <c r="B76" s="174">
        <f t="shared" ref="B76:G76" si="3">B74+7.5</f>
        <v>11.2</v>
      </c>
      <c r="C76" s="174">
        <f t="shared" si="3"/>
        <v>13.4</v>
      </c>
      <c r="D76" s="174">
        <f t="shared" si="3"/>
        <v>17.3</v>
      </c>
      <c r="E76" s="174">
        <f t="shared" si="3"/>
        <v>21.4</v>
      </c>
      <c r="F76" s="174">
        <f t="shared" si="3"/>
        <v>25.9</v>
      </c>
      <c r="G76" s="174">
        <f t="shared" si="3"/>
        <v>29.7</v>
      </c>
      <c r="H76" s="174">
        <v>32.700000000000003</v>
      </c>
      <c r="I76" s="174">
        <f>I74+7.5</f>
        <v>31.9</v>
      </c>
      <c r="J76" s="174">
        <f>J74+7.5</f>
        <v>28.3</v>
      </c>
      <c r="K76" s="174">
        <f>K74+7.5</f>
        <v>22.4</v>
      </c>
      <c r="L76" s="174">
        <f>L74+7.5</f>
        <v>15.9</v>
      </c>
      <c r="M76" s="174">
        <f>M74+7.5</f>
        <v>12</v>
      </c>
      <c r="N76" s="174">
        <v>32.700000000000003</v>
      </c>
      <c r="O76" s="172"/>
    </row>
    <row r="77" spans="1:15" s="173" customFormat="1">
      <c r="A77" s="171" t="s">
        <v>101</v>
      </c>
      <c r="B77" s="174" t="s">
        <v>542</v>
      </c>
      <c r="C77" s="174" t="s">
        <v>542</v>
      </c>
      <c r="D77" s="174" t="s">
        <v>542</v>
      </c>
      <c r="E77" s="174" t="s">
        <v>542</v>
      </c>
      <c r="F77" s="174" t="s">
        <v>542</v>
      </c>
      <c r="G77" s="174" t="s">
        <v>542</v>
      </c>
      <c r="H77" s="174" t="s">
        <v>542</v>
      </c>
      <c r="I77" s="174" t="s">
        <v>542</v>
      </c>
      <c r="J77" s="174" t="s">
        <v>542</v>
      </c>
      <c r="K77" s="174" t="s">
        <v>542</v>
      </c>
      <c r="L77" s="174" t="s">
        <v>542</v>
      </c>
      <c r="M77" s="174" t="s">
        <v>542</v>
      </c>
      <c r="N77" s="174" t="s">
        <v>542</v>
      </c>
      <c r="O77" s="172"/>
    </row>
    <row r="78" spans="1:15" s="173" customFormat="1">
      <c r="A78" s="171" t="s">
        <v>102</v>
      </c>
      <c r="B78" s="174">
        <v>81.5</v>
      </c>
      <c r="C78" s="174">
        <v>76.900000000000006</v>
      </c>
      <c r="D78" s="174">
        <v>72.099999999999994</v>
      </c>
      <c r="E78" s="174">
        <v>68.7</v>
      </c>
      <c r="F78" s="174">
        <v>70.400000000000006</v>
      </c>
      <c r="G78" s="174">
        <v>66.900000000000006</v>
      </c>
      <c r="H78" s="174">
        <v>63.8</v>
      </c>
      <c r="I78" s="174">
        <v>66.900000000000006</v>
      </c>
      <c r="J78" s="174">
        <v>72.8</v>
      </c>
      <c r="K78" s="174">
        <v>79.099999999999994</v>
      </c>
      <c r="L78" s="174">
        <v>79.099999999999994</v>
      </c>
      <c r="M78" s="174">
        <v>81</v>
      </c>
      <c r="N78" s="174">
        <v>73.3</v>
      </c>
      <c r="O78" s="172"/>
    </row>
    <row r="79" spans="1:15" s="173" customFormat="1">
      <c r="A79" s="171"/>
      <c r="B79" s="168" t="str">
        <f>Sprachen!A182</f>
        <v>Annahme: monatliche absolute maximale Temperatur 7,5 °C höher als monatliche mittlere maximale Temperatur; Quelle: MeteoSchweiz</v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72"/>
    </row>
    <row r="81" spans="1:15" s="173" customFormat="1">
      <c r="A81" s="171" t="s">
        <v>546</v>
      </c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2"/>
    </row>
    <row r="82" spans="1:15" s="173" customFormat="1">
      <c r="A82" s="171"/>
      <c r="B82" s="174">
        <v>1</v>
      </c>
      <c r="C82" s="174">
        <v>2</v>
      </c>
      <c r="D82" s="174">
        <v>3</v>
      </c>
      <c r="E82" s="174">
        <v>4</v>
      </c>
      <c r="F82" s="174">
        <v>5</v>
      </c>
      <c r="G82" s="174">
        <v>6</v>
      </c>
      <c r="H82" s="174">
        <v>7</v>
      </c>
      <c r="I82" s="174">
        <v>8</v>
      </c>
      <c r="J82" s="174">
        <v>9</v>
      </c>
      <c r="K82" s="174">
        <v>10</v>
      </c>
      <c r="L82" s="174">
        <v>11</v>
      </c>
      <c r="M82" s="174">
        <v>12</v>
      </c>
      <c r="N82" s="171" t="s">
        <v>96</v>
      </c>
      <c r="O82" s="172"/>
    </row>
    <row r="83" spans="1:15" s="173" customFormat="1">
      <c r="A83" s="171" t="s">
        <v>97</v>
      </c>
      <c r="B83" s="174">
        <v>2.6</v>
      </c>
      <c r="C83" s="174">
        <v>3.9</v>
      </c>
      <c r="D83" s="174">
        <v>7.1</v>
      </c>
      <c r="E83" s="174">
        <v>10.7</v>
      </c>
      <c r="F83" s="174">
        <v>14.5</v>
      </c>
      <c r="G83" s="174">
        <v>18.3</v>
      </c>
      <c r="H83" s="174">
        <v>21.1</v>
      </c>
      <c r="I83" s="174">
        <v>20.3</v>
      </c>
      <c r="J83" s="174">
        <v>17.2</v>
      </c>
      <c r="K83" s="174">
        <v>12.5</v>
      </c>
      <c r="L83" s="174">
        <v>7.4</v>
      </c>
      <c r="M83" s="174">
        <v>3.8</v>
      </c>
      <c r="N83" s="174">
        <v>11.6</v>
      </c>
      <c r="O83" s="172"/>
    </row>
    <row r="84" spans="1:15" s="173" customFormat="1">
      <c r="A84" s="171" t="s">
        <v>98</v>
      </c>
      <c r="B84" s="174">
        <v>6.1</v>
      </c>
      <c r="C84" s="174">
        <v>7.8</v>
      </c>
      <c r="D84" s="174">
        <v>11.6</v>
      </c>
      <c r="E84" s="174">
        <v>15.1</v>
      </c>
      <c r="F84" s="174">
        <v>18.899999999999999</v>
      </c>
      <c r="G84" s="174">
        <v>22.9</v>
      </c>
      <c r="H84" s="174">
        <v>25.8</v>
      </c>
      <c r="I84" s="174">
        <v>24.7</v>
      </c>
      <c r="J84" s="174">
        <v>21.4</v>
      </c>
      <c r="K84" s="174">
        <v>16.5</v>
      </c>
      <c r="L84" s="174">
        <v>10.6</v>
      </c>
      <c r="M84" s="174">
        <v>7.1</v>
      </c>
      <c r="N84" s="174">
        <v>15.7</v>
      </c>
      <c r="O84" s="172"/>
    </row>
    <row r="85" spans="1:15" s="173" customFormat="1">
      <c r="A85" s="171" t="s">
        <v>99</v>
      </c>
      <c r="B85" s="174" t="s">
        <v>542</v>
      </c>
      <c r="C85" s="174" t="s">
        <v>542</v>
      </c>
      <c r="D85" s="174" t="s">
        <v>542</v>
      </c>
      <c r="E85" s="174" t="s">
        <v>542</v>
      </c>
      <c r="F85" s="174" t="s">
        <v>542</v>
      </c>
      <c r="G85" s="174" t="s">
        <v>542</v>
      </c>
      <c r="H85" s="174" t="s">
        <v>542</v>
      </c>
      <c r="I85" s="174" t="s">
        <v>542</v>
      </c>
      <c r="J85" s="174" t="s">
        <v>542</v>
      </c>
      <c r="K85" s="174" t="s">
        <v>542</v>
      </c>
      <c r="L85" s="174" t="s">
        <v>542</v>
      </c>
      <c r="M85" s="174" t="s">
        <v>542</v>
      </c>
      <c r="N85" s="174" t="s">
        <v>542</v>
      </c>
      <c r="O85" s="172"/>
    </row>
    <row r="86" spans="1:15" s="173" customFormat="1">
      <c r="A86" s="171" t="s">
        <v>100</v>
      </c>
      <c r="B86" s="174">
        <f t="shared" ref="B86:G86" si="4">B84+5</f>
        <v>11.1</v>
      </c>
      <c r="C86" s="174">
        <f t="shared" si="4"/>
        <v>12.8</v>
      </c>
      <c r="D86" s="174">
        <f t="shared" si="4"/>
        <v>16.600000000000001</v>
      </c>
      <c r="E86" s="174">
        <f t="shared" si="4"/>
        <v>20.100000000000001</v>
      </c>
      <c r="F86" s="174">
        <f t="shared" si="4"/>
        <v>23.9</v>
      </c>
      <c r="G86" s="174">
        <f t="shared" si="4"/>
        <v>27.9</v>
      </c>
      <c r="H86" s="174">
        <v>30.2</v>
      </c>
      <c r="I86" s="174">
        <f>I84+5</f>
        <v>29.7</v>
      </c>
      <c r="J86" s="174">
        <f>J84+5</f>
        <v>26.4</v>
      </c>
      <c r="K86" s="174">
        <f>K84+5</f>
        <v>21.5</v>
      </c>
      <c r="L86" s="174">
        <f>L84+5</f>
        <v>15.6</v>
      </c>
      <c r="M86" s="174">
        <f>M84+5</f>
        <v>12.1</v>
      </c>
      <c r="N86" s="174">
        <v>30.2</v>
      </c>
      <c r="O86" s="172"/>
    </row>
    <row r="87" spans="1:15" s="173" customFormat="1">
      <c r="A87" s="171" t="s">
        <v>101</v>
      </c>
      <c r="B87" s="174" t="s">
        <v>542</v>
      </c>
      <c r="C87" s="174" t="s">
        <v>542</v>
      </c>
      <c r="D87" s="174" t="s">
        <v>542</v>
      </c>
      <c r="E87" s="174" t="s">
        <v>542</v>
      </c>
      <c r="F87" s="174" t="s">
        <v>542</v>
      </c>
      <c r="G87" s="174" t="s">
        <v>542</v>
      </c>
      <c r="H87" s="174" t="s">
        <v>542</v>
      </c>
      <c r="I87" s="174" t="s">
        <v>542</v>
      </c>
      <c r="J87" s="174" t="s">
        <v>542</v>
      </c>
      <c r="K87" s="174" t="s">
        <v>542</v>
      </c>
      <c r="L87" s="174" t="s">
        <v>542</v>
      </c>
      <c r="M87" s="174" t="s">
        <v>542</v>
      </c>
      <c r="N87" s="174" t="s">
        <v>542</v>
      </c>
      <c r="O87" s="172"/>
    </row>
    <row r="88" spans="1:15" s="173" customFormat="1">
      <c r="A88" s="171" t="s">
        <v>102</v>
      </c>
      <c r="B88" s="174">
        <v>70.900000000000006</v>
      </c>
      <c r="C88" s="174">
        <v>69.400000000000006</v>
      </c>
      <c r="D88" s="174">
        <v>65.400000000000006</v>
      </c>
      <c r="E88" s="174">
        <v>65.400000000000006</v>
      </c>
      <c r="F88" s="174">
        <v>70.3</v>
      </c>
      <c r="G88" s="174">
        <v>68.900000000000006</v>
      </c>
      <c r="H88" s="174">
        <v>66.599999999999994</v>
      </c>
      <c r="I88" s="174">
        <v>70.2</v>
      </c>
      <c r="J88" s="174">
        <v>74.2</v>
      </c>
      <c r="K88" s="174">
        <v>75.900000000000006</v>
      </c>
      <c r="L88" s="174">
        <v>72.5</v>
      </c>
      <c r="M88" s="174">
        <v>70.2</v>
      </c>
      <c r="N88" s="174">
        <v>70</v>
      </c>
      <c r="O88" s="172"/>
    </row>
    <row r="89" spans="1:15" s="173" customFormat="1">
      <c r="A89" s="171"/>
      <c r="B89" s="168" t="str">
        <f>Sprachen!A183</f>
        <v>Annahme: monatliche absolute maximale Temperatur 5 °C höher als monatliche mittlere maximale Temperatur; Quelle: MeteoSchweiz</v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72"/>
    </row>
    <row r="90" spans="1:15" s="173" customFormat="1">
      <c r="O90" s="172"/>
    </row>
    <row r="91" spans="1:15" s="173" customFormat="1">
      <c r="A91" s="171" t="s">
        <v>547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2"/>
    </row>
    <row r="92" spans="1:15" s="173" customFormat="1">
      <c r="A92" s="171"/>
      <c r="B92" s="174">
        <v>1</v>
      </c>
      <c r="C92" s="174">
        <v>2</v>
      </c>
      <c r="D92" s="174">
        <v>3</v>
      </c>
      <c r="E92" s="174">
        <v>4</v>
      </c>
      <c r="F92" s="174">
        <v>5</v>
      </c>
      <c r="G92" s="174">
        <v>6</v>
      </c>
      <c r="H92" s="174">
        <v>7</v>
      </c>
      <c r="I92" s="174">
        <v>8</v>
      </c>
      <c r="J92" s="174">
        <v>9</v>
      </c>
      <c r="K92" s="174">
        <v>10</v>
      </c>
      <c r="L92" s="174">
        <v>11</v>
      </c>
      <c r="M92" s="174">
        <v>12</v>
      </c>
      <c r="N92" s="171" t="s">
        <v>96</v>
      </c>
      <c r="O92" s="172"/>
    </row>
    <row r="93" spans="1:15" s="173" customFormat="1">
      <c r="A93" s="171" t="s">
        <v>97</v>
      </c>
      <c r="B93" s="174">
        <v>-0.2</v>
      </c>
      <c r="C93" s="174">
        <v>1.3</v>
      </c>
      <c r="D93" s="174">
        <v>4.5</v>
      </c>
      <c r="E93" s="174">
        <v>8.1999999999999993</v>
      </c>
      <c r="F93" s="174">
        <v>12.5</v>
      </c>
      <c r="G93" s="174">
        <v>15.6</v>
      </c>
      <c r="H93" s="174">
        <v>17.899999999999999</v>
      </c>
      <c r="I93" s="174">
        <v>17.100000000000001</v>
      </c>
      <c r="J93" s="174">
        <v>14.1</v>
      </c>
      <c r="K93" s="174">
        <v>9.3000000000000007</v>
      </c>
      <c r="L93" s="174">
        <v>4.0999999999999996</v>
      </c>
      <c r="M93" s="174">
        <v>0.8</v>
      </c>
      <c r="N93" s="174">
        <v>8.8000000000000007</v>
      </c>
      <c r="O93" s="172"/>
    </row>
    <row r="94" spans="1:15" s="173" customFormat="1">
      <c r="A94" s="171" t="s">
        <v>98</v>
      </c>
      <c r="B94" s="174">
        <v>2.6</v>
      </c>
      <c r="C94" s="174">
        <v>4.7</v>
      </c>
      <c r="D94" s="174">
        <v>9</v>
      </c>
      <c r="E94" s="174">
        <v>13.3</v>
      </c>
      <c r="F94" s="174">
        <v>17.899999999999999</v>
      </c>
      <c r="G94" s="174">
        <v>21</v>
      </c>
      <c r="H94" s="174">
        <v>23.5</v>
      </c>
      <c r="I94" s="174">
        <v>22.6</v>
      </c>
      <c r="J94" s="174">
        <v>19.399999999999999</v>
      </c>
      <c r="K94" s="174">
        <v>13.7</v>
      </c>
      <c r="L94" s="174">
        <v>7.3</v>
      </c>
      <c r="M94" s="174">
        <v>3.5</v>
      </c>
      <c r="N94" s="174">
        <v>13.2</v>
      </c>
      <c r="O94" s="172"/>
    </row>
    <row r="95" spans="1:15" s="173" customFormat="1">
      <c r="A95" s="171" t="s">
        <v>99</v>
      </c>
      <c r="B95" s="174" t="s">
        <v>542</v>
      </c>
      <c r="C95" s="174" t="s">
        <v>542</v>
      </c>
      <c r="D95" s="174" t="s">
        <v>542</v>
      </c>
      <c r="E95" s="174" t="s">
        <v>542</v>
      </c>
      <c r="F95" s="174" t="s">
        <v>542</v>
      </c>
      <c r="G95" s="174" t="s">
        <v>542</v>
      </c>
      <c r="H95" s="174" t="s">
        <v>542</v>
      </c>
      <c r="I95" s="174" t="s">
        <v>542</v>
      </c>
      <c r="J95" s="174" t="s">
        <v>542</v>
      </c>
      <c r="K95" s="174" t="s">
        <v>542</v>
      </c>
      <c r="L95" s="174" t="s">
        <v>542</v>
      </c>
      <c r="M95" s="174" t="s">
        <v>542</v>
      </c>
      <c r="N95" s="174" t="s">
        <v>542</v>
      </c>
      <c r="O95" s="172"/>
    </row>
    <row r="96" spans="1:15" s="173" customFormat="1">
      <c r="A96" s="171" t="s">
        <v>100</v>
      </c>
      <c r="B96" s="174">
        <f t="shared" ref="B96:G96" si="5">B94+7.5</f>
        <v>10.1</v>
      </c>
      <c r="C96" s="174">
        <f t="shared" si="5"/>
        <v>12.2</v>
      </c>
      <c r="D96" s="174">
        <f t="shared" si="5"/>
        <v>16.5</v>
      </c>
      <c r="E96" s="174">
        <f t="shared" si="5"/>
        <v>20.8</v>
      </c>
      <c r="F96" s="174">
        <f t="shared" si="5"/>
        <v>25.4</v>
      </c>
      <c r="G96" s="174">
        <f t="shared" si="5"/>
        <v>28.5</v>
      </c>
      <c r="H96" s="174">
        <v>31.6</v>
      </c>
      <c r="I96" s="174">
        <f>I94+7.5</f>
        <v>30.1</v>
      </c>
      <c r="J96" s="174">
        <f>J94+7.5</f>
        <v>26.9</v>
      </c>
      <c r="K96" s="174">
        <f>K94+7.5</f>
        <v>21.2</v>
      </c>
      <c r="L96" s="174">
        <f>L94+7.5</f>
        <v>14.8</v>
      </c>
      <c r="M96" s="174">
        <f>M94+7.5</f>
        <v>11</v>
      </c>
      <c r="N96" s="174">
        <v>31.6</v>
      </c>
      <c r="O96" s="172"/>
    </row>
    <row r="97" spans="1:15" s="173" customFormat="1">
      <c r="A97" s="171" t="s">
        <v>101</v>
      </c>
      <c r="B97" s="174" t="s">
        <v>542</v>
      </c>
      <c r="C97" s="174" t="s">
        <v>542</v>
      </c>
      <c r="D97" s="174" t="s">
        <v>542</v>
      </c>
      <c r="E97" s="174" t="s">
        <v>542</v>
      </c>
      <c r="F97" s="174" t="s">
        <v>542</v>
      </c>
      <c r="G97" s="174" t="s">
        <v>542</v>
      </c>
      <c r="H97" s="174" t="s">
        <v>542</v>
      </c>
      <c r="I97" s="174" t="s">
        <v>542</v>
      </c>
      <c r="J97" s="174" t="s">
        <v>542</v>
      </c>
      <c r="K97" s="174" t="s">
        <v>542</v>
      </c>
      <c r="L97" s="174" t="s">
        <v>542</v>
      </c>
      <c r="M97" s="174" t="s">
        <v>542</v>
      </c>
      <c r="N97" s="174" t="s">
        <v>542</v>
      </c>
      <c r="O97" s="172"/>
    </row>
    <row r="98" spans="1:15" s="173" customFormat="1">
      <c r="A98" s="171" t="s">
        <v>102</v>
      </c>
      <c r="B98" s="174">
        <v>83.9</v>
      </c>
      <c r="C98" s="174">
        <v>79.5</v>
      </c>
      <c r="D98" s="174">
        <v>74.599999999999994</v>
      </c>
      <c r="E98" s="174">
        <v>72</v>
      </c>
      <c r="F98" s="174">
        <v>71.8</v>
      </c>
      <c r="G98" s="174">
        <v>72.400000000000006</v>
      </c>
      <c r="H98" s="174">
        <v>71.5</v>
      </c>
      <c r="I98" s="174">
        <v>76.2</v>
      </c>
      <c r="J98" s="174">
        <v>80.400000000000006</v>
      </c>
      <c r="K98" s="174">
        <v>83.9</v>
      </c>
      <c r="L98" s="174">
        <v>84</v>
      </c>
      <c r="M98" s="174">
        <v>85</v>
      </c>
      <c r="N98" s="174">
        <v>77.900000000000006</v>
      </c>
      <c r="O98" s="172"/>
    </row>
    <row r="99" spans="1:15" s="173" customFormat="1">
      <c r="A99" s="171"/>
      <c r="B99" s="168" t="str">
        <f>Sprachen!A182</f>
        <v>Annahme: monatliche absolute maximale Temperatur 7,5 °C höher als monatliche mittlere maximale Temperatur; Quelle: MeteoSchweiz</v>
      </c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72"/>
    </row>
    <row r="100" spans="1:15" s="173" customFormat="1">
      <c r="O100" s="172"/>
    </row>
    <row r="101" spans="1:15" s="173" customFormat="1">
      <c r="A101" s="171" t="s">
        <v>548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2"/>
    </row>
    <row r="102" spans="1:15" s="173" customFormat="1">
      <c r="A102" s="171"/>
      <c r="B102" s="174">
        <v>1</v>
      </c>
      <c r="C102" s="174">
        <v>2</v>
      </c>
      <c r="D102" s="174">
        <v>3</v>
      </c>
      <c r="E102" s="174">
        <v>4</v>
      </c>
      <c r="F102" s="174">
        <v>5</v>
      </c>
      <c r="G102" s="174">
        <v>6</v>
      </c>
      <c r="H102" s="174">
        <v>7</v>
      </c>
      <c r="I102" s="174">
        <v>8</v>
      </c>
      <c r="J102" s="174">
        <v>9</v>
      </c>
      <c r="K102" s="174">
        <v>10</v>
      </c>
      <c r="L102" s="174">
        <v>11</v>
      </c>
      <c r="M102" s="174">
        <v>12</v>
      </c>
      <c r="N102" s="171" t="s">
        <v>96</v>
      </c>
      <c r="O102" s="172"/>
    </row>
    <row r="103" spans="1:15" s="173" customFormat="1">
      <c r="A103" s="171" t="s">
        <v>97</v>
      </c>
      <c r="B103" s="174">
        <v>-1</v>
      </c>
      <c r="C103" s="174">
        <v>0.8</v>
      </c>
      <c r="D103" s="174">
        <v>4.4000000000000004</v>
      </c>
      <c r="E103" s="174">
        <v>8.1999999999999993</v>
      </c>
      <c r="F103" s="174">
        <v>12.5</v>
      </c>
      <c r="G103" s="174">
        <v>15.6</v>
      </c>
      <c r="H103" s="174">
        <v>17.8</v>
      </c>
      <c r="I103" s="174">
        <v>17</v>
      </c>
      <c r="J103" s="174">
        <v>13.9</v>
      </c>
      <c r="K103" s="174">
        <v>8.9</v>
      </c>
      <c r="L103" s="174">
        <v>3.4</v>
      </c>
      <c r="M103" s="174">
        <v>0.1</v>
      </c>
      <c r="N103" s="174">
        <v>8.5</v>
      </c>
      <c r="O103" s="172"/>
    </row>
    <row r="104" spans="1:15" s="173" customFormat="1">
      <c r="A104" s="171" t="s">
        <v>98</v>
      </c>
      <c r="B104" s="174">
        <v>1.6</v>
      </c>
      <c r="C104" s="174">
        <v>4.3</v>
      </c>
      <c r="D104" s="174">
        <v>8.8000000000000007</v>
      </c>
      <c r="E104" s="174">
        <v>13.3</v>
      </c>
      <c r="F104" s="174">
        <v>17.899999999999999</v>
      </c>
      <c r="G104" s="174">
        <v>21.1</v>
      </c>
      <c r="H104" s="174">
        <v>23.6</v>
      </c>
      <c r="I104" s="174">
        <v>22.8</v>
      </c>
      <c r="J104" s="174">
        <v>19.399999999999999</v>
      </c>
      <c r="K104" s="174">
        <v>13.3</v>
      </c>
      <c r="L104" s="174">
        <v>6.5</v>
      </c>
      <c r="M104" s="174">
        <v>2.5</v>
      </c>
      <c r="N104" s="174">
        <v>12.9</v>
      </c>
      <c r="O104" s="172"/>
    </row>
    <row r="105" spans="1:15" s="173" customFormat="1">
      <c r="A105" s="171" t="s">
        <v>99</v>
      </c>
      <c r="B105" s="174" t="s">
        <v>542</v>
      </c>
      <c r="C105" s="174" t="s">
        <v>542</v>
      </c>
      <c r="D105" s="174" t="s">
        <v>542</v>
      </c>
      <c r="E105" s="174" t="s">
        <v>542</v>
      </c>
      <c r="F105" s="174" t="s">
        <v>542</v>
      </c>
      <c r="G105" s="174" t="s">
        <v>542</v>
      </c>
      <c r="H105" s="174" t="s">
        <v>542</v>
      </c>
      <c r="I105" s="174" t="s">
        <v>542</v>
      </c>
      <c r="J105" s="174" t="s">
        <v>542</v>
      </c>
      <c r="K105" s="174" t="s">
        <v>542</v>
      </c>
      <c r="L105" s="174" t="s">
        <v>542</v>
      </c>
      <c r="M105" s="174" t="s">
        <v>542</v>
      </c>
      <c r="N105" s="174" t="s">
        <v>542</v>
      </c>
      <c r="O105" s="172"/>
    </row>
    <row r="106" spans="1:15" s="173" customFormat="1">
      <c r="A106" s="171" t="s">
        <v>100</v>
      </c>
      <c r="B106" s="174">
        <f t="shared" ref="B106:G106" si="6">B104+7.5</f>
        <v>9.1</v>
      </c>
      <c r="C106" s="174">
        <f t="shared" si="6"/>
        <v>11.8</v>
      </c>
      <c r="D106" s="174">
        <f t="shared" si="6"/>
        <v>16.3</v>
      </c>
      <c r="E106" s="174">
        <f t="shared" si="6"/>
        <v>20.8</v>
      </c>
      <c r="F106" s="174">
        <f t="shared" si="6"/>
        <v>25.4</v>
      </c>
      <c r="G106" s="174">
        <f t="shared" si="6"/>
        <v>28.6</v>
      </c>
      <c r="H106" s="174">
        <v>31.7</v>
      </c>
      <c r="I106" s="174">
        <f>I104+7.5</f>
        <v>30.3</v>
      </c>
      <c r="J106" s="174">
        <f>J104+7.5</f>
        <v>26.9</v>
      </c>
      <c r="K106" s="174">
        <f>K104+7.5</f>
        <v>20.8</v>
      </c>
      <c r="L106" s="174">
        <f>L104+7.5</f>
        <v>14</v>
      </c>
      <c r="M106" s="174">
        <f>M104+7.5</f>
        <v>10</v>
      </c>
      <c r="N106" s="174">
        <v>31.7</v>
      </c>
      <c r="O106" s="172"/>
    </row>
    <row r="107" spans="1:15" s="173" customFormat="1">
      <c r="A107" s="171" t="s">
        <v>101</v>
      </c>
      <c r="B107" s="174" t="s">
        <v>542</v>
      </c>
      <c r="C107" s="174" t="s">
        <v>542</v>
      </c>
      <c r="D107" s="174" t="s">
        <v>542</v>
      </c>
      <c r="E107" s="174" t="s">
        <v>542</v>
      </c>
      <c r="F107" s="174" t="s">
        <v>542</v>
      </c>
      <c r="G107" s="174" t="s">
        <v>542</v>
      </c>
      <c r="H107" s="174" t="s">
        <v>542</v>
      </c>
      <c r="I107" s="174" t="s">
        <v>542</v>
      </c>
      <c r="J107" s="174" t="s">
        <v>542</v>
      </c>
      <c r="K107" s="174" t="s">
        <v>542</v>
      </c>
      <c r="L107" s="174" t="s">
        <v>542</v>
      </c>
      <c r="M107" s="174" t="s">
        <v>542</v>
      </c>
      <c r="N107" s="174" t="s">
        <v>542</v>
      </c>
      <c r="O107" s="172"/>
    </row>
    <row r="108" spans="1:15" s="173" customFormat="1">
      <c r="A108" s="171" t="s">
        <v>102</v>
      </c>
      <c r="B108" s="174">
        <v>85.5</v>
      </c>
      <c r="C108" s="174">
        <v>80.599999999999994</v>
      </c>
      <c r="D108" s="174">
        <v>74.8</v>
      </c>
      <c r="E108" s="174">
        <v>71.099999999999994</v>
      </c>
      <c r="F108" s="174">
        <v>71.2</v>
      </c>
      <c r="G108" s="174">
        <v>71.7</v>
      </c>
      <c r="H108" s="174">
        <v>70.900000000000006</v>
      </c>
      <c r="I108" s="174">
        <v>74.2</v>
      </c>
      <c r="J108" s="174">
        <v>78.599999999999994</v>
      </c>
      <c r="K108" s="174">
        <v>84.2</v>
      </c>
      <c r="L108" s="174">
        <v>85.9</v>
      </c>
      <c r="M108" s="174">
        <v>86.7</v>
      </c>
      <c r="N108" s="174">
        <v>77.900000000000006</v>
      </c>
      <c r="O108" s="172"/>
    </row>
    <row r="109" spans="1:15" s="173" customFormat="1">
      <c r="A109" s="171"/>
      <c r="B109" s="168" t="str">
        <f>Sprachen!A182</f>
        <v>Annahme: monatliche absolute maximale Temperatur 7,5 °C höher als monatliche mittlere maximale Temperatur; Quelle: MeteoSchweiz</v>
      </c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72"/>
    </row>
    <row r="110" spans="1:15" s="173" customFormat="1">
      <c r="O110" s="172"/>
    </row>
    <row r="111" spans="1:15" s="173" customFormat="1">
      <c r="A111" s="171" t="s">
        <v>549</v>
      </c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2"/>
    </row>
    <row r="112" spans="1:15" s="173" customFormat="1">
      <c r="A112" s="171"/>
      <c r="B112" s="174">
        <v>1</v>
      </c>
      <c r="C112" s="174">
        <v>2</v>
      </c>
      <c r="D112" s="174">
        <v>3</v>
      </c>
      <c r="E112" s="174">
        <v>4</v>
      </c>
      <c r="F112" s="174">
        <v>5</v>
      </c>
      <c r="G112" s="174">
        <v>6</v>
      </c>
      <c r="H112" s="174">
        <v>7</v>
      </c>
      <c r="I112" s="174">
        <v>8</v>
      </c>
      <c r="J112" s="174">
        <v>9</v>
      </c>
      <c r="K112" s="174">
        <v>10</v>
      </c>
      <c r="L112" s="174">
        <v>11</v>
      </c>
      <c r="M112" s="174">
        <v>12</v>
      </c>
      <c r="N112" s="171" t="s">
        <v>96</v>
      </c>
      <c r="O112" s="172"/>
    </row>
    <row r="113" spans="1:15" s="173" customFormat="1">
      <c r="A113" s="171" t="s">
        <v>97</v>
      </c>
      <c r="B113" s="174">
        <v>-0.5</v>
      </c>
      <c r="C113" s="174">
        <v>0.9</v>
      </c>
      <c r="D113" s="174">
        <v>4.2</v>
      </c>
      <c r="E113" s="174">
        <v>7.8</v>
      </c>
      <c r="F113" s="174">
        <v>12.1</v>
      </c>
      <c r="G113" s="174">
        <v>15.2</v>
      </c>
      <c r="H113" s="174">
        <v>17.600000000000001</v>
      </c>
      <c r="I113" s="174">
        <v>16.7</v>
      </c>
      <c r="J113" s="174">
        <v>13.8</v>
      </c>
      <c r="K113" s="174">
        <v>9.3000000000000007</v>
      </c>
      <c r="L113" s="174">
        <v>3.9</v>
      </c>
      <c r="M113" s="174">
        <v>0.6</v>
      </c>
      <c r="N113" s="174">
        <v>8.5</v>
      </c>
      <c r="O113" s="172"/>
    </row>
    <row r="114" spans="1:15" s="173" customFormat="1">
      <c r="A114" s="171" t="s">
        <v>98</v>
      </c>
      <c r="B114" s="174">
        <v>2</v>
      </c>
      <c r="C114" s="174">
        <v>4.2</v>
      </c>
      <c r="D114" s="174">
        <v>8.3000000000000007</v>
      </c>
      <c r="E114" s="174">
        <v>12.6</v>
      </c>
      <c r="F114" s="174">
        <v>17.3</v>
      </c>
      <c r="G114" s="174">
        <v>20.5</v>
      </c>
      <c r="H114" s="174">
        <v>23</v>
      </c>
      <c r="I114" s="174">
        <v>22</v>
      </c>
      <c r="J114" s="174">
        <v>18.8</v>
      </c>
      <c r="K114" s="174">
        <v>13.3</v>
      </c>
      <c r="L114" s="174">
        <v>6.9</v>
      </c>
      <c r="M114" s="174">
        <v>2.9</v>
      </c>
      <c r="N114" s="174">
        <v>12.7</v>
      </c>
      <c r="O114" s="172"/>
    </row>
    <row r="115" spans="1:15" s="173" customFormat="1">
      <c r="A115" s="171" t="s">
        <v>99</v>
      </c>
      <c r="B115" s="174" t="s">
        <v>542</v>
      </c>
      <c r="C115" s="174" t="s">
        <v>542</v>
      </c>
      <c r="D115" s="174" t="s">
        <v>542</v>
      </c>
      <c r="E115" s="174" t="s">
        <v>542</v>
      </c>
      <c r="F115" s="174" t="s">
        <v>542</v>
      </c>
      <c r="G115" s="174" t="s">
        <v>542</v>
      </c>
      <c r="H115" s="174" t="s">
        <v>542</v>
      </c>
      <c r="I115" s="174" t="s">
        <v>542</v>
      </c>
      <c r="J115" s="174" t="s">
        <v>542</v>
      </c>
      <c r="K115" s="174" t="s">
        <v>542</v>
      </c>
      <c r="L115" s="174" t="s">
        <v>542</v>
      </c>
      <c r="M115" s="174" t="s">
        <v>542</v>
      </c>
      <c r="N115" s="174" t="s">
        <v>542</v>
      </c>
      <c r="O115" s="172"/>
    </row>
    <row r="116" spans="1:15" s="173" customFormat="1">
      <c r="A116" s="171" t="s">
        <v>100</v>
      </c>
      <c r="B116" s="174">
        <f t="shared" ref="B116:G116" si="7">B114+7.5</f>
        <v>9.5</v>
      </c>
      <c r="C116" s="174">
        <f t="shared" si="7"/>
        <v>11.7</v>
      </c>
      <c r="D116" s="174">
        <f t="shared" si="7"/>
        <v>15.8</v>
      </c>
      <c r="E116" s="174">
        <f t="shared" si="7"/>
        <v>20.100000000000001</v>
      </c>
      <c r="F116" s="174">
        <f t="shared" si="7"/>
        <v>24.8</v>
      </c>
      <c r="G116" s="174">
        <f t="shared" si="7"/>
        <v>28</v>
      </c>
      <c r="H116" s="174">
        <v>31</v>
      </c>
      <c r="I116" s="174">
        <f>I114+7.5</f>
        <v>29.5</v>
      </c>
      <c r="J116" s="174">
        <f>J114+7.5</f>
        <v>26.3</v>
      </c>
      <c r="K116" s="174">
        <f>K114+7.5</f>
        <v>20.8</v>
      </c>
      <c r="L116" s="174">
        <f>L114+7.5</f>
        <v>14.4</v>
      </c>
      <c r="M116" s="174">
        <f>M114+7.5</f>
        <v>10.4</v>
      </c>
      <c r="N116" s="174">
        <v>31</v>
      </c>
      <c r="O116" s="172"/>
    </row>
    <row r="117" spans="1:15" s="173" customFormat="1">
      <c r="A117" s="171" t="s">
        <v>101</v>
      </c>
      <c r="B117" s="174" t="s">
        <v>542</v>
      </c>
      <c r="C117" s="174" t="s">
        <v>542</v>
      </c>
      <c r="D117" s="174" t="s">
        <v>542</v>
      </c>
      <c r="E117" s="174" t="s">
        <v>542</v>
      </c>
      <c r="F117" s="174" t="s">
        <v>542</v>
      </c>
      <c r="G117" s="174" t="s">
        <v>542</v>
      </c>
      <c r="H117" s="174" t="s">
        <v>542</v>
      </c>
      <c r="I117" s="174" t="s">
        <v>542</v>
      </c>
      <c r="J117" s="174" t="s">
        <v>542</v>
      </c>
      <c r="K117" s="174" t="s">
        <v>542</v>
      </c>
      <c r="L117" s="174" t="s">
        <v>542</v>
      </c>
      <c r="M117" s="174" t="s">
        <v>542</v>
      </c>
      <c r="N117" s="174" t="s">
        <v>542</v>
      </c>
      <c r="O117" s="172"/>
    </row>
    <row r="118" spans="1:15" s="173" customFormat="1">
      <c r="A118" s="171" t="s">
        <v>102</v>
      </c>
      <c r="B118" s="174">
        <v>84.2</v>
      </c>
      <c r="C118" s="174">
        <v>79.400000000000006</v>
      </c>
      <c r="D118" s="174">
        <v>73.900000000000006</v>
      </c>
      <c r="E118" s="174">
        <v>71.2</v>
      </c>
      <c r="F118" s="174">
        <v>71.8</v>
      </c>
      <c r="G118" s="174">
        <v>72.400000000000006</v>
      </c>
      <c r="H118" s="174">
        <v>71.3</v>
      </c>
      <c r="I118" s="174">
        <v>75.8</v>
      </c>
      <c r="J118" s="174">
        <v>78.900000000000006</v>
      </c>
      <c r="K118" s="174">
        <v>83.7</v>
      </c>
      <c r="L118" s="174">
        <v>83.8</v>
      </c>
      <c r="M118" s="174">
        <v>84.6</v>
      </c>
      <c r="N118" s="174">
        <v>77.599999999999994</v>
      </c>
      <c r="O118" s="172"/>
    </row>
    <row r="119" spans="1:15" s="173" customFormat="1">
      <c r="A119" s="171"/>
      <c r="B119" s="168" t="str">
        <f>Sprachen!A182</f>
        <v>Annahme: monatliche absolute maximale Temperatur 7,5 °C höher als monatliche mittlere maximale Temperatur; Quelle: MeteoSchweiz</v>
      </c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72"/>
    </row>
    <row r="120" spans="1:15" s="173" customFormat="1">
      <c r="O120" s="172"/>
    </row>
    <row r="121" spans="1:15" s="173" customFormat="1">
      <c r="A121" s="171" t="s">
        <v>160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2"/>
    </row>
    <row r="122" spans="1:15" s="173" customFormat="1">
      <c r="A122" s="171"/>
      <c r="B122" s="174">
        <v>1</v>
      </c>
      <c r="C122" s="174">
        <v>2</v>
      </c>
      <c r="D122" s="174">
        <v>3</v>
      </c>
      <c r="E122" s="174">
        <v>4</v>
      </c>
      <c r="F122" s="174">
        <v>5</v>
      </c>
      <c r="G122" s="174">
        <v>6</v>
      </c>
      <c r="H122" s="174">
        <v>7</v>
      </c>
      <c r="I122" s="174">
        <v>8</v>
      </c>
      <c r="J122" s="174">
        <v>9</v>
      </c>
      <c r="K122" s="174">
        <v>10</v>
      </c>
      <c r="L122" s="174">
        <v>11</v>
      </c>
      <c r="M122" s="174">
        <v>12</v>
      </c>
      <c r="N122" s="171" t="s">
        <v>96</v>
      </c>
      <c r="O122" s="172"/>
    </row>
    <row r="123" spans="1:15" s="173" customFormat="1">
      <c r="A123" s="171" t="s">
        <v>97</v>
      </c>
      <c r="B123" s="175">
        <v>1</v>
      </c>
      <c r="C123" s="176">
        <v>2</v>
      </c>
      <c r="D123" s="176">
        <v>3</v>
      </c>
      <c r="E123" s="176">
        <v>4</v>
      </c>
      <c r="F123" s="176">
        <v>5</v>
      </c>
      <c r="G123" s="176">
        <v>6</v>
      </c>
      <c r="H123" s="176">
        <v>7</v>
      </c>
      <c r="I123" s="176">
        <v>8</v>
      </c>
      <c r="J123" s="176">
        <v>9</v>
      </c>
      <c r="K123" s="176">
        <v>10</v>
      </c>
      <c r="L123" s="176">
        <v>11</v>
      </c>
      <c r="M123" s="177">
        <v>12</v>
      </c>
      <c r="N123" s="174">
        <v>7.6</v>
      </c>
      <c r="O123" s="172"/>
    </row>
    <row r="124" spans="1:15" s="173" customFormat="1">
      <c r="A124" s="171" t="s">
        <v>98</v>
      </c>
      <c r="B124" s="178">
        <v>1.1000000000000001</v>
      </c>
      <c r="C124" s="179">
        <v>2.9</v>
      </c>
      <c r="D124" s="179">
        <v>8.3000000000000007</v>
      </c>
      <c r="E124" s="179">
        <v>13.2</v>
      </c>
      <c r="F124" s="179">
        <v>17.600000000000001</v>
      </c>
      <c r="G124" s="179">
        <v>20.8</v>
      </c>
      <c r="H124" s="179">
        <v>22.9</v>
      </c>
      <c r="I124" s="179">
        <v>22.4</v>
      </c>
      <c r="J124" s="179">
        <v>19.2</v>
      </c>
      <c r="K124" s="179">
        <v>13.1</v>
      </c>
      <c r="L124" s="179">
        <v>6.5</v>
      </c>
      <c r="M124" s="180">
        <v>2.2999999999999998</v>
      </c>
      <c r="N124" s="174">
        <v>12.5</v>
      </c>
      <c r="O124" s="172"/>
    </row>
    <row r="125" spans="1:15" s="173" customFormat="1">
      <c r="A125" s="171" t="s">
        <v>99</v>
      </c>
      <c r="B125" s="178">
        <v>-5.7</v>
      </c>
      <c r="C125" s="179">
        <v>-4.9000000000000004</v>
      </c>
      <c r="D125" s="179">
        <v>-1.3</v>
      </c>
      <c r="E125" s="179">
        <v>2.9</v>
      </c>
      <c r="F125" s="179">
        <v>6.8</v>
      </c>
      <c r="G125" s="179">
        <v>10.3</v>
      </c>
      <c r="H125" s="179">
        <v>12.1</v>
      </c>
      <c r="I125" s="179">
        <v>11.8</v>
      </c>
      <c r="J125" s="179">
        <v>8.9</v>
      </c>
      <c r="K125" s="179">
        <v>3.9</v>
      </c>
      <c r="L125" s="179">
        <v>0.1</v>
      </c>
      <c r="M125" s="180">
        <v>-3.8</v>
      </c>
      <c r="N125" s="174">
        <v>3.4</v>
      </c>
      <c r="O125" s="172"/>
    </row>
    <row r="126" spans="1:15" s="173" customFormat="1">
      <c r="A126" s="171" t="s">
        <v>100</v>
      </c>
      <c r="B126" s="178">
        <v>15.5</v>
      </c>
      <c r="C126" s="179">
        <v>19.8</v>
      </c>
      <c r="D126" s="179">
        <v>22.5</v>
      </c>
      <c r="E126" s="179">
        <v>27.6</v>
      </c>
      <c r="F126" s="179">
        <v>28.9</v>
      </c>
      <c r="G126" s="179">
        <v>34.1</v>
      </c>
      <c r="H126" s="179">
        <v>34.700000000000003</v>
      </c>
      <c r="I126" s="179">
        <v>35.200000000000003</v>
      </c>
      <c r="J126" s="179">
        <v>30.4</v>
      </c>
      <c r="K126" s="179">
        <v>25.6</v>
      </c>
      <c r="L126" s="179">
        <v>22.6</v>
      </c>
      <c r="M126" s="180">
        <v>17.5</v>
      </c>
      <c r="N126" s="174">
        <v>35.200000000000003</v>
      </c>
      <c r="O126" s="172"/>
    </row>
    <row r="127" spans="1:15" s="173" customFormat="1">
      <c r="A127" s="171" t="s">
        <v>101</v>
      </c>
      <c r="B127" s="178">
        <v>-29.6</v>
      </c>
      <c r="C127" s="179">
        <v>-29.6</v>
      </c>
      <c r="D127" s="179">
        <v>-18</v>
      </c>
      <c r="E127" s="179">
        <v>-7.6</v>
      </c>
      <c r="F127" s="179">
        <v>-2.8</v>
      </c>
      <c r="G127" s="179">
        <v>0.5</v>
      </c>
      <c r="H127" s="179">
        <v>3.4</v>
      </c>
      <c r="I127" s="179">
        <v>3.9</v>
      </c>
      <c r="J127" s="179">
        <v>-2.5</v>
      </c>
      <c r="K127" s="179">
        <v>-6.2</v>
      </c>
      <c r="L127" s="179">
        <v>-14.7</v>
      </c>
      <c r="M127" s="180">
        <v>-23.2</v>
      </c>
      <c r="N127" s="174">
        <v>-29.6</v>
      </c>
      <c r="O127" s="172"/>
    </row>
    <row r="128" spans="1:15" s="173" customFormat="1">
      <c r="A128" s="171" t="s">
        <v>102</v>
      </c>
      <c r="B128" s="181">
        <v>20</v>
      </c>
      <c r="C128" s="182">
        <v>35</v>
      </c>
      <c r="D128" s="182">
        <v>40</v>
      </c>
      <c r="E128" s="182">
        <v>50</v>
      </c>
      <c r="F128" s="182">
        <v>60</v>
      </c>
      <c r="G128" s="182">
        <v>70</v>
      </c>
      <c r="H128" s="182">
        <v>80</v>
      </c>
      <c r="I128" s="182">
        <v>70</v>
      </c>
      <c r="J128" s="182">
        <v>60</v>
      </c>
      <c r="K128" s="182">
        <v>50</v>
      </c>
      <c r="L128" s="182">
        <v>40</v>
      </c>
      <c r="M128" s="183">
        <v>30</v>
      </c>
      <c r="N128" s="174">
        <v>79</v>
      </c>
      <c r="O128" s="172"/>
    </row>
    <row r="129" spans="1:15" s="173" customFormat="1">
      <c r="A129" s="171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72"/>
    </row>
    <row r="130" spans="1:15" s="173" customFormat="1">
      <c r="O130" s="172"/>
    </row>
    <row r="131" spans="1:15" s="173" customFormat="1">
      <c r="O131" s="17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C29"/>
  <sheetViews>
    <sheetView showGridLines="0" showRowColHeaders="0" workbookViewId="0"/>
  </sheetViews>
  <sheetFormatPr baseColWidth="10" defaultRowHeight="14.25"/>
  <cols>
    <col min="1" max="1" width="1.375" style="76" customWidth="1"/>
    <col min="2" max="2" width="13.25" style="76" customWidth="1"/>
    <col min="3" max="16384" width="11" style="76"/>
  </cols>
  <sheetData>
    <row r="1" spans="1:3" s="134" customFormat="1" ht="6.75" customHeight="1">
      <c r="A1" s="133"/>
    </row>
    <row r="2" spans="1:3" s="137" customFormat="1" ht="18.75">
      <c r="A2" s="135"/>
      <c r="B2" s="136" t="str">
        <f>Sprachen!A2</f>
        <v>Berechnung der jährlichen Druckluftverlustkosten am zeitgesteuerten Kondensatabscheider</v>
      </c>
    </row>
    <row r="3" spans="1:3">
      <c r="B3" s="86"/>
      <c r="C3" s="87"/>
    </row>
    <row r="4" spans="1:3">
      <c r="B4" s="88" t="str">
        <f>Sprachen!A3</f>
        <v>Ziel dieses Tools ist die Berechnung der Druckluftverlustkosten durch die Verwendung zeitgesteuerter Kondensatabscheider.</v>
      </c>
      <c r="C4" s="87"/>
    </row>
    <row r="5" spans="1:3">
      <c r="B5" s="88"/>
      <c r="C5" s="87"/>
    </row>
    <row r="6" spans="1:3">
      <c r="B6" s="88" t="str">
        <f>Sprachen!A5</f>
        <v>Folgende unternehmensspezifische Angaben sind erforderlich:</v>
      </c>
      <c r="C6" s="87"/>
    </row>
    <row r="7" spans="1:3">
      <c r="B7" s="86"/>
      <c r="C7" s="87"/>
    </row>
    <row r="8" spans="1:3">
      <c r="B8" s="86" t="str">
        <f>Sprachen!A6</f>
        <v>1. Auswahl der Klimazone: Hier können zum einen vorgegebene Klimawerte verwendet werden oder auch benutzerdefinierte Angaben gemacht werden.</v>
      </c>
      <c r="C8" s="87"/>
    </row>
    <row r="9" spans="1:3">
      <c r="B9" s="86" t="str">
        <f>Sprachen!A7</f>
        <v>2. Systemwerte wie durchschnittlicher Druckluftverbrauch, Betriebsdruck, minimale Ansaugtemperatur (optional)</v>
      </c>
      <c r="C9" s="87"/>
    </row>
    <row r="10" spans="1:3">
      <c r="B10" s="86" t="str">
        <f>Sprachen!A8</f>
        <v>3. Einstellungen der Kondensatabscheider am Nachkühler sowie am Kältetrockner wie Ventileinstellungen, Öffnungszeiten und Temperatur</v>
      </c>
      <c r="C10" s="87"/>
    </row>
    <row r="11" spans="1:3">
      <c r="B11" s="86" t="str">
        <f>Sprachen!A9</f>
        <v>4. Betriebszeit und Auslastung der Anlage</v>
      </c>
      <c r="C11" s="87"/>
    </row>
    <row r="12" spans="1:3">
      <c r="B12" s="86" t="str">
        <f>Sprachen!A10</f>
        <v>5. Druckluftkosten, welche direkt angegeben oder über Kompressorleistung und Strompreis berechnet werden können.</v>
      </c>
      <c r="C12" s="87"/>
    </row>
    <row r="13" spans="1:3">
      <c r="B13" s="86"/>
      <c r="C13" s="87"/>
    </row>
    <row r="14" spans="1:3">
      <c r="B14" s="88" t="str">
        <f>Sprachen!A11</f>
        <v>Aus diesen Angaben werden dann folgende Werte errechnet:</v>
      </c>
      <c r="C14" s="87"/>
    </row>
    <row r="15" spans="1:3">
      <c r="B15" s="86"/>
      <c r="C15" s="87"/>
    </row>
    <row r="16" spans="1:3">
      <c r="B16" s="86" t="str">
        <f>Sprachen!A12</f>
        <v>1. Maximale und durchschnittliche Gesamtkondensatmengen</v>
      </c>
      <c r="C16" s="87"/>
    </row>
    <row r="17" spans="2:3">
      <c r="B17" s="86" t="str">
        <f>Sprachen!A13</f>
        <v>2. Kondensatmengen und daraus resultierend erforderliche Einstellungen am den Kondensatabscheidern</v>
      </c>
      <c r="C17" s="87"/>
    </row>
    <row r="18" spans="2:3">
      <c r="B18" s="86" t="str">
        <f>Sprachen!A14</f>
        <v>3. Druckluftverlust und Kosten bei idealen und realen Einstellungen</v>
      </c>
      <c r="C18" s="87"/>
    </row>
    <row r="19" spans="2:3">
      <c r="B19" s="86"/>
      <c r="C19" s="87"/>
    </row>
    <row r="20" spans="2:3">
      <c r="B20" s="86"/>
      <c r="C20" s="87"/>
    </row>
    <row r="21" spans="2:3">
      <c r="B21" s="86"/>
      <c r="C21" s="87"/>
    </row>
    <row r="22" spans="2:3">
      <c r="B22" s="86"/>
      <c r="C22" s="87"/>
    </row>
    <row r="23" spans="2:3">
      <c r="B23" s="86"/>
      <c r="C23" s="87"/>
    </row>
    <row r="24" spans="2:3">
      <c r="C24" s="87"/>
    </row>
    <row r="25" spans="2:3">
      <c r="C25" s="87"/>
    </row>
    <row r="26" spans="2:3">
      <c r="C26" s="87"/>
    </row>
    <row r="27" spans="2:3">
      <c r="B27" s="86" t="str">
        <f>Sprachen!A17</f>
        <v>© Fraunhofer ISI, 76139 Karlsruhe 2005.</v>
      </c>
    </row>
    <row r="28" spans="2:3">
      <c r="B28" s="86" t="str">
        <f>Sprachen!A18</f>
        <v>Kontakt: Dr. Peter Radgen, Tel. +49/7216809295; peter.radgen@isi.fraunhofer.de</v>
      </c>
    </row>
    <row r="29" spans="2:3">
      <c r="B29" s="86" t="str">
        <f>Sprachen!A19</f>
        <v>Dieses Programm darf nicht entgeltpflichtig weitergegeben werden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8237" r:id="rId4" name="berechnung_CB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B1:I54"/>
  <sheetViews>
    <sheetView showRowColHeaders="0" workbookViewId="0"/>
  </sheetViews>
  <sheetFormatPr baseColWidth="10" defaultRowHeight="15"/>
  <cols>
    <col min="1" max="1" width="1.375" style="58" customWidth="1"/>
    <col min="2" max="2" width="41.5" style="58" customWidth="1"/>
    <col min="3" max="3" width="11.375" style="78" customWidth="1"/>
    <col min="4" max="4" width="9.375" style="58" customWidth="1"/>
    <col min="5" max="5" width="2.125" style="58" customWidth="1"/>
    <col min="6" max="6" width="39.125" style="58" customWidth="1"/>
    <col min="7" max="7" width="8.375" style="78" customWidth="1"/>
    <col min="8" max="8" width="8.625" style="58" customWidth="1"/>
    <col min="9" max="9" width="15.75" style="58" customWidth="1"/>
    <col min="10" max="16384" width="11" style="58"/>
  </cols>
  <sheetData>
    <row r="1" spans="2:8" s="114" customFormat="1" ht="6.75" customHeight="1">
      <c r="C1" s="115"/>
      <c r="G1" s="115"/>
    </row>
    <row r="2" spans="2:8" s="114" customFormat="1" ht="21" customHeight="1">
      <c r="B2" s="116" t="str">
        <f>Sprachen!A21</f>
        <v>Berechnung der jährlichen Druckluftverlustkosten</v>
      </c>
      <c r="C2" s="115"/>
      <c r="G2" s="115"/>
    </row>
    <row r="3" spans="2:8" ht="7.5" customHeight="1">
      <c r="B3" s="91"/>
    </row>
    <row r="4" spans="2:8" ht="25.5" customHeight="1">
      <c r="B4" s="89" t="str">
        <f>Sprachen!A22</f>
        <v>Währung</v>
      </c>
      <c r="C4" s="79"/>
      <c r="D4" s="59"/>
      <c r="F4" s="110" t="str">
        <f>Sprachen!A88</f>
        <v>Legende</v>
      </c>
      <c r="G4" s="67"/>
    </row>
    <row r="5" spans="2:8" ht="12.75" customHeight="1">
      <c r="C5" s="80"/>
      <c r="D5" s="67"/>
      <c r="F5" s="111" t="str">
        <f>Sprachen!A91</f>
        <v>muss ausgefüllt werden</v>
      </c>
      <c r="G5" s="67"/>
    </row>
    <row r="6" spans="2:8" ht="12.75" customHeight="1">
      <c r="B6" s="196" t="str">
        <f>Sprachen!A23</f>
        <v>Klimazone</v>
      </c>
      <c r="C6" s="81"/>
      <c r="D6" s="68"/>
      <c r="F6" s="112" t="str">
        <f>Sprachen!A92</f>
        <v>kann ausgefüllt werden</v>
      </c>
      <c r="G6" s="67"/>
    </row>
    <row r="7" spans="2:8" ht="12.75" customHeight="1">
      <c r="B7" s="197"/>
      <c r="C7" s="82"/>
      <c r="D7" s="69"/>
      <c r="F7" s="113" t="str">
        <f>Sprachen!A93</f>
        <v>wird berechnet</v>
      </c>
      <c r="G7" s="67"/>
    </row>
    <row r="8" spans="2:8" ht="7.5" customHeight="1">
      <c r="B8" s="70"/>
      <c r="C8" s="83"/>
      <c r="D8" s="70"/>
    </row>
    <row r="9" spans="2:8" ht="7.5" customHeight="1">
      <c r="B9" s="60"/>
      <c r="C9" s="80"/>
      <c r="D9" s="67"/>
      <c r="F9" s="60"/>
    </row>
    <row r="10" spans="2:8">
      <c r="B10" s="90" t="str">
        <f>Sprachen!A25</f>
        <v>Systemwerte</v>
      </c>
      <c r="C10" s="79"/>
      <c r="D10" s="59"/>
      <c r="F10" s="90" t="str">
        <f>Sprachen!A61</f>
        <v>Kondensatanfall</v>
      </c>
      <c r="G10" s="79"/>
      <c r="H10" s="59"/>
    </row>
    <row r="11" spans="2:8">
      <c r="B11" s="138" t="str">
        <f>Sprachen!A26</f>
        <v>durchschnittlicher Druckluftverbrauch</v>
      </c>
      <c r="C11" s="92" t="s">
        <v>21</v>
      </c>
      <c r="D11" s="93"/>
      <c r="E11" s="61"/>
      <c r="F11" s="138" t="str">
        <f>Sprachen!A62</f>
        <v>maximale Kondensatmenge</v>
      </c>
      <c r="G11" s="94" t="s">
        <v>19</v>
      </c>
      <c r="H11" s="121" t="str">
        <f>IF(NOT(ISERROR(MAX(intern!B21:M21))),MAX(intern!B21:M21),"")</f>
        <v/>
      </c>
    </row>
    <row r="12" spans="2:8">
      <c r="B12" s="138" t="str">
        <f>Sprachen!A27</f>
        <v>Betriebsdruck</v>
      </c>
      <c r="C12" s="92" t="s">
        <v>1</v>
      </c>
      <c r="D12" s="93"/>
      <c r="E12" s="61"/>
      <c r="F12" s="138" t="str">
        <f>Sprachen!A63</f>
        <v>durchschnittliche Kondensatmenge</v>
      </c>
      <c r="G12" s="94" t="s">
        <v>19</v>
      </c>
      <c r="H12" s="121" t="str">
        <f>IF(NOT(ISERROR(AVERAGE(intern!B17:M17))),AVERAGE(intern!B17:M17),"")</f>
        <v/>
      </c>
    </row>
    <row r="13" spans="2:8">
      <c r="B13" s="138" t="str">
        <f>Sprachen!A28</f>
        <v>minimale Ansaugtemperatur</v>
      </c>
      <c r="C13" s="94" t="s">
        <v>47</v>
      </c>
      <c r="D13" s="95"/>
      <c r="E13" s="61"/>
    </row>
    <row r="14" spans="2:8">
      <c r="B14" s="139" t="str">
        <f>Sprachen!A29</f>
        <v>verwendete Maximaltemperatur</v>
      </c>
      <c r="C14" s="96"/>
      <c r="D14" s="97"/>
      <c r="E14" s="61"/>
      <c r="F14" s="90" t="str">
        <f>Sprachen!A64</f>
        <v>Kondensatanfall am Verdichter</v>
      </c>
      <c r="G14" s="79"/>
      <c r="H14" s="59"/>
    </row>
    <row r="15" spans="2:8">
      <c r="B15" s="98"/>
      <c r="C15" s="99"/>
      <c r="D15" s="100"/>
      <c r="E15" s="61"/>
      <c r="F15" s="138" t="str">
        <f>Sprachen!A65</f>
        <v>maximale Kondensatmenge</v>
      </c>
      <c r="G15" s="94" t="s">
        <v>19</v>
      </c>
      <c r="H15" s="121" t="str">
        <f>IF(NOT(ISERROR(MAX(intern!B20:M20))),MAX(intern!B20:M20),"")</f>
        <v/>
      </c>
    </row>
    <row r="16" spans="2:8">
      <c r="B16" s="62"/>
      <c r="C16" s="84"/>
      <c r="D16" s="62"/>
      <c r="E16" s="61"/>
      <c r="F16" s="138" t="str">
        <f>Sprachen!A66</f>
        <v>durchschnittliche Kondensatmenge</v>
      </c>
      <c r="G16" s="94" t="s">
        <v>19</v>
      </c>
      <c r="H16" s="121" t="str">
        <f>IF(NOT(ISERROR(AVERAGE(intern!B16:M16))),AVERAGE(intern!B16:M16),"")</f>
        <v/>
      </c>
    </row>
    <row r="17" spans="2:9">
      <c r="B17" s="203" t="str">
        <f>Sprachen!A30</f>
        <v>Kondensatabscheidereinstellungen</v>
      </c>
      <c r="C17" s="81"/>
      <c r="D17" s="71"/>
      <c r="E17" s="63" t="b">
        <v>0</v>
      </c>
      <c r="F17" s="138" t="str">
        <f>Sprachen!A67</f>
        <v>notwendige Magnetventilöffnungszeit (max)</v>
      </c>
      <c r="G17" s="94" t="s">
        <v>20</v>
      </c>
      <c r="H17" s="122" t="str">
        <f>IF(AND(NOT(H15=""),NOT(ISBLANK(D20))),H15/(VLOOKUP(D20,Kv_water!A2:B21,2)*2/1000),"")</f>
        <v/>
      </c>
    </row>
    <row r="18" spans="2:9">
      <c r="B18" s="204"/>
      <c r="C18" s="117"/>
      <c r="D18" s="72"/>
      <c r="E18" s="61"/>
      <c r="F18" s="138" t="str">
        <f>Sprachen!A68</f>
        <v>notwendige Magnetventilöffnungszeit (Durchschnitt)</v>
      </c>
      <c r="G18" s="94" t="s">
        <v>20</v>
      </c>
      <c r="H18" s="122" t="str">
        <f>IF(AND(NOT(H16=""),NOT(ISBLANK(D20))),H16/(VLOOKUP(D20,Kv_water!A2:B21,2)*2/1000),"")</f>
        <v/>
      </c>
    </row>
    <row r="19" spans="2:9">
      <c r="B19" s="101" t="str">
        <f>Sprachen!A32</f>
        <v>Verdichter</v>
      </c>
      <c r="C19" s="118"/>
      <c r="D19" s="102"/>
      <c r="E19" s="61"/>
      <c r="F19" s="138" t="str">
        <f>Sprachen!A69</f>
        <v>durchschnittl. Druckluftverlust (Einstellung ideal)</v>
      </c>
      <c r="G19" s="94" t="s">
        <v>21</v>
      </c>
      <c r="H19" s="123" t="str">
        <f>IF(AND(NOT(H17=""),NOT(H18="")),(H17-H18)/60*(2/(E45+1))^((E45/(E45-1))-0.5)*(D20/2)^2*PI()/1000000*D12*100000*SQRT(E45/E46/(D24+273))/E47*60*1.073,"")</f>
        <v/>
      </c>
      <c r="I19" s="64"/>
    </row>
    <row r="20" spans="2:9" ht="15" customHeight="1">
      <c r="B20" s="138" t="str">
        <f>Sprachen!A33</f>
        <v>Nennweite des Magnetventiles (kleinster Durchmesser)</v>
      </c>
      <c r="C20" s="119" t="s">
        <v>6</v>
      </c>
      <c r="D20" s="132"/>
      <c r="E20" s="61"/>
      <c r="F20" s="138" t="str">
        <f>Sprachen!A70</f>
        <v>effektive Magnetventilöffnungszeit (aus Einstellung)</v>
      </c>
      <c r="G20" s="94" t="s">
        <v>20</v>
      </c>
      <c r="H20" s="122" t="str">
        <f>IF(AND(NOT(E17),NOT(ISBLANK(D21))),D21*3600/(D21+60*D22),"")</f>
        <v/>
      </c>
      <c r="I20" s="73" t="str">
        <f>IF(AND(NOT(H17=""),NOT(H20=""),H20&lt;H17),"Fehler","")</f>
        <v/>
      </c>
    </row>
    <row r="21" spans="2:9">
      <c r="B21" s="138" t="str">
        <f>Sprachen!A34</f>
        <v>Eingestellte Öffnungsungszeit am Magnetventil</v>
      </c>
      <c r="C21" s="92" t="s">
        <v>16</v>
      </c>
      <c r="D21" s="132"/>
      <c r="E21" s="61"/>
      <c r="F21" s="138" t="str">
        <f>Sprachen!A71</f>
        <v>durchschnittl. Druckluftverlust (aus Einstellung)</v>
      </c>
      <c r="G21" s="94" t="s">
        <v>21</v>
      </c>
      <c r="H21" s="123" t="str">
        <f>IF(AND(NOT(E17),NOT(H20=""),NOT(H18="")),(H20-H18)/60*(2/(E45+1))^((E45/(E45-1))-0.5)*(D20/2)^2*PI()/1000000*D12*100000*SQRT(E45/E46/(D24+273))/E47*60*1.073,"")</f>
        <v/>
      </c>
      <c r="I21" s="73" t="str">
        <f>IF(H21&lt;H19,"Fehler","")</f>
        <v/>
      </c>
    </row>
    <row r="22" spans="2:9">
      <c r="B22" s="138" t="str">
        <f>Sprachen!A35</f>
        <v>Eingestellte Schließzeit am Magnetventil</v>
      </c>
      <c r="C22" s="92" t="s">
        <v>17</v>
      </c>
      <c r="D22" s="132"/>
      <c r="E22" s="61"/>
      <c r="F22" s="198" t="str">
        <f>Sprachen!A72</f>
        <v>Druckluftverlustkosten gesamt (Summe aus ideal und real)</v>
      </c>
      <c r="G22" s="199" t="s">
        <v>579</v>
      </c>
      <c r="H22" s="201" t="str">
        <f>IF(AND(E17,NOT(H19="")),H19*D33*D34*B_EUR_m3,IF(AND(NOT(H21=""),H21&gt;=H19),H21*D33*D34*B_EUR_m3,""))</f>
        <v/>
      </c>
    </row>
    <row r="23" spans="2:9">
      <c r="B23" s="139" t="str">
        <f>Sprachen!A36</f>
        <v>Temperatur Nachkühler</v>
      </c>
      <c r="C23" s="96"/>
      <c r="D23" s="102"/>
      <c r="E23" s="61"/>
      <c r="F23" s="198"/>
      <c r="G23" s="200"/>
      <c r="H23" s="202"/>
    </row>
    <row r="24" spans="2:9">
      <c r="B24" s="141" t="str">
        <f>Sprachen!A37</f>
        <v>absolute Temperatur (immer gleichbleibend)</v>
      </c>
      <c r="C24" s="103" t="s">
        <v>47</v>
      </c>
      <c r="D24" s="93"/>
      <c r="E24" s="61"/>
    </row>
    <row r="25" spans="2:9">
      <c r="B25" s="142" t="str">
        <f>Sprachen!A38</f>
        <v>oder Temperarturunterschied ggü. Ansaugluft</v>
      </c>
      <c r="C25" s="120" t="s">
        <v>47</v>
      </c>
      <c r="D25" s="93"/>
      <c r="E25" s="61"/>
      <c r="F25" s="90" t="str">
        <f>Sprachen!A75</f>
        <v>Kondensatanfall am Kältetrockner</v>
      </c>
      <c r="G25" s="79"/>
      <c r="H25" s="59"/>
    </row>
    <row r="26" spans="2:9">
      <c r="B26" s="104" t="str">
        <f>Sprachen!A39</f>
        <v>Kältetrockner</v>
      </c>
      <c r="C26" s="118"/>
      <c r="D26" s="102"/>
      <c r="E26" s="61"/>
      <c r="F26" s="138" t="str">
        <f>Sprachen!A76</f>
        <v>maximale Kondensatmenge</v>
      </c>
      <c r="G26" s="94" t="s">
        <v>19</v>
      </c>
      <c r="H26" s="121" t="str">
        <f>IF(NOT(ISERROR(MAX(intern!B18:M18,intern!B22:M22))),MAX(intern!B18:M18,intern!B22:M22),"")</f>
        <v/>
      </c>
    </row>
    <row r="27" spans="2:9" ht="15" customHeight="1">
      <c r="B27" s="140" t="str">
        <f>Sprachen!A40</f>
        <v>Nennweite des Magnetventiles (kleinster Durchmesser)</v>
      </c>
      <c r="C27" s="119" t="s">
        <v>6</v>
      </c>
      <c r="D27" s="132"/>
      <c r="F27" s="138" t="str">
        <f>Sprachen!A77</f>
        <v>durchschnittliche Kondensatmenge</v>
      </c>
      <c r="G27" s="94" t="s">
        <v>19</v>
      </c>
      <c r="H27" s="121" t="str">
        <f>IF(NOT(ISERROR(AVERAGE(intern!B18:M18))),AVERAGE(intern!B18:M18),"")</f>
        <v/>
      </c>
    </row>
    <row r="28" spans="2:9">
      <c r="B28" s="140" t="str">
        <f>Sprachen!A41</f>
        <v>Eingestellte Öffnungsungszeit am Magnetventil</v>
      </c>
      <c r="C28" s="92" t="s">
        <v>16</v>
      </c>
      <c r="D28" s="132"/>
      <c r="F28" s="138" t="str">
        <f>Sprachen!A78</f>
        <v>notwendige Magnetventilöffnungszeit (max)</v>
      </c>
      <c r="G28" s="94" t="s">
        <v>20</v>
      </c>
      <c r="H28" s="122" t="str">
        <f>IF(AND(NOT(H26=""),NOT(ISBLANK(D27))),H26/(VLOOKUP(D27,Kv_water!A2:B21,2)*2/1000),"")</f>
        <v/>
      </c>
    </row>
    <row r="29" spans="2:9" ht="12.75" customHeight="1">
      <c r="B29" s="140" t="str">
        <f>Sprachen!A42</f>
        <v>Eingestellte Schließzeit am Magnetventil</v>
      </c>
      <c r="C29" s="92" t="s">
        <v>17</v>
      </c>
      <c r="D29" s="132"/>
      <c r="F29" s="138" t="str">
        <f>Sprachen!A79</f>
        <v>notwendige Magnetventilöffnungszeit (Durchschnitt)</v>
      </c>
      <c r="G29" s="94" t="s">
        <v>20</v>
      </c>
      <c r="H29" s="122" t="str">
        <f>IF(AND(NOT(H27=""),NOT(ISBLANK(D27))),H27/(VLOOKUP(D27,Kv_water!A2:B21,2)*2/1000),"")</f>
        <v/>
      </c>
    </row>
    <row r="30" spans="2:9">
      <c r="B30" s="140" t="str">
        <f>Sprachen!A43</f>
        <v>Temperatur Kältetrockner</v>
      </c>
      <c r="C30" s="94" t="s">
        <v>47</v>
      </c>
      <c r="D30" s="93"/>
      <c r="F30" s="138" t="str">
        <f>Sprachen!A80</f>
        <v>durchschnittl. Druckluftverlust (Einstellung ideal)</v>
      </c>
      <c r="G30" s="94" t="s">
        <v>21</v>
      </c>
      <c r="H30" s="123" t="str">
        <f>IF(AND(NOT(H28=""),NOT(H29="")),(H28-H29)/60*(2/(E45+1))^((E45/(E45-1))-0.5)*(D27/2)^2*PI()/1000000*D12*100000*SQRT(E45/E46/(D30+273))/E47*60*1.073,"")</f>
        <v/>
      </c>
    </row>
    <row r="31" spans="2:9">
      <c r="B31" s="65"/>
      <c r="C31" s="85"/>
      <c r="D31" s="74"/>
      <c r="F31" s="138" t="str">
        <f>Sprachen!A81</f>
        <v>effektive Magnetventilöffnungszeit (aus Einstellung)</v>
      </c>
      <c r="G31" s="94" t="s">
        <v>20</v>
      </c>
      <c r="H31" s="122" t="str">
        <f>IF(AND(NOT(E17),NOT(ISBLANK(D28))),D28*3600/(D28+(60*D29)),"")</f>
        <v/>
      </c>
      <c r="I31" s="73" t="str">
        <f>IF(AND(NOT(H31=""),NOT(H28=""),H31&lt;H28),"Fehler","")</f>
        <v/>
      </c>
    </row>
    <row r="32" spans="2:9">
      <c r="B32" s="90" t="str">
        <f>Sprachen!A44</f>
        <v>Betriebszeit</v>
      </c>
      <c r="C32" s="79"/>
      <c r="D32" s="59"/>
      <c r="F32" s="138" t="str">
        <f>Sprachen!A82</f>
        <v>durchschnittl. Druckluftverlust (aus Einstellung)</v>
      </c>
      <c r="G32" s="94" t="s">
        <v>21</v>
      </c>
      <c r="H32" s="123" t="str">
        <f>IF(AND(NOT(E17),NOT(H31=""),NOT(H29="")),(H31-H29)/60*(2/(E45+1))^((E45/(E45-1))-0.5)*(D27/2)^2*PI()/1000000*D12*100000*SQRT(E45/E46/(D30+273))/E47*60*1.073,"")</f>
        <v/>
      </c>
      <c r="I32" s="73" t="str">
        <f>IF(H32&lt;H30,"Fehler","")</f>
        <v/>
      </c>
    </row>
    <row r="33" spans="2:8">
      <c r="B33" s="138" t="str">
        <f>Sprachen!A45</f>
        <v>tägl. Betriebsstunden</v>
      </c>
      <c r="C33" s="92" t="s">
        <v>12</v>
      </c>
      <c r="D33" s="93"/>
      <c r="F33" s="198" t="str">
        <f>Sprachen!A83</f>
        <v>Druckluftverlustkosten gesamt (Summe aus ideal und real)</v>
      </c>
      <c r="G33" s="199" t="s">
        <v>579</v>
      </c>
      <c r="H33" s="195" t="str">
        <f>IF(AND(E17,NOT(H30="")),H30*D33*D34*B_EUR_m3,IF(AND(NOT(H32=""),H32&gt;=H30),H32*D33*D34*B_EUR_m3,""))</f>
        <v/>
      </c>
    </row>
    <row r="34" spans="2:8">
      <c r="B34" s="138" t="str">
        <f>Sprachen!A46</f>
        <v>Anzahl Betriebstage pro Jahr</v>
      </c>
      <c r="C34" s="92" t="s">
        <v>13</v>
      </c>
      <c r="D34" s="93"/>
      <c r="F34" s="198"/>
      <c r="G34" s="200"/>
      <c r="H34" s="195"/>
    </row>
    <row r="35" spans="2:8">
      <c r="G35" s="80"/>
      <c r="H35" s="67"/>
    </row>
    <row r="36" spans="2:8">
      <c r="B36" s="90" t="str">
        <f>Sprachen!A48</f>
        <v>Leistung und Kosten</v>
      </c>
      <c r="C36" s="79"/>
      <c r="D36" s="59"/>
      <c r="F36" s="90" t="str">
        <f>Sprachen!A86</f>
        <v>Kosten Luftverlust an Kondensatableitern</v>
      </c>
      <c r="G36" s="79"/>
      <c r="H36" s="59"/>
    </row>
    <row r="37" spans="2:8">
      <c r="B37" s="138" t="str">
        <f>Sprachen!A49</f>
        <v>Druckluftkosten</v>
      </c>
      <c r="C37" s="92" t="s">
        <v>577</v>
      </c>
      <c r="D37" s="93"/>
      <c r="F37" s="205" t="str">
        <f>Sprachen!A87</f>
        <v xml:space="preserve">Kosten des vermeidbaren Luftverlustes </v>
      </c>
      <c r="G37" s="207" t="s">
        <v>579</v>
      </c>
      <c r="H37" s="201" t="str">
        <f>IF(AND(NOT(H33=""),NOT(H22="")),H33+H22,"")</f>
        <v/>
      </c>
    </row>
    <row r="38" spans="2:8">
      <c r="B38" s="105" t="str">
        <f>Sprachen!A50</f>
        <v>oder</v>
      </c>
      <c r="C38" s="94"/>
      <c r="D38" s="102"/>
      <c r="F38" s="206"/>
      <c r="G38" s="208"/>
      <c r="H38" s="202"/>
    </row>
    <row r="39" spans="2:8">
      <c r="B39" s="139" t="str">
        <f>Sprachen!A51</f>
        <v>spezifische Leistung</v>
      </c>
      <c r="C39" s="106" t="s">
        <v>189</v>
      </c>
      <c r="D39" s="154"/>
      <c r="E39" s="77">
        <v>0</v>
      </c>
      <c r="F39" s="75"/>
      <c r="G39" s="83"/>
      <c r="H39" s="75"/>
    </row>
    <row r="40" spans="2:8">
      <c r="B40" s="107" t="str">
        <f>Sprachen!A50</f>
        <v>oder</v>
      </c>
      <c r="C40" s="103" t="s">
        <v>188</v>
      </c>
      <c r="D40" s="154"/>
      <c r="E40" s="66"/>
      <c r="F40" s="75"/>
      <c r="G40" s="83"/>
      <c r="H40" s="75"/>
    </row>
    <row r="41" spans="2:8">
      <c r="B41" s="108" t="str">
        <f>Sprachen!A50</f>
        <v>oder</v>
      </c>
      <c r="C41" s="109" t="s">
        <v>187</v>
      </c>
      <c r="D41" s="154"/>
      <c r="E41" s="66"/>
    </row>
    <row r="42" spans="2:8">
      <c r="B42" s="138" t="str">
        <f>Sprachen!A53</f>
        <v>Strompreis</v>
      </c>
      <c r="C42" s="92" t="s">
        <v>578</v>
      </c>
      <c r="D42" s="93"/>
      <c r="E42" s="66"/>
    </row>
    <row r="43" spans="2:8">
      <c r="E43" s="66"/>
    </row>
    <row r="44" spans="2:8">
      <c r="B44" s="90" t="str">
        <f>Sprachen!A54</f>
        <v>Konstanten</v>
      </c>
      <c r="C44" s="79"/>
      <c r="D44" s="59"/>
      <c r="F44" s="75"/>
      <c r="G44" s="83"/>
      <c r="H44" s="75"/>
    </row>
    <row r="45" spans="2:8">
      <c r="B45" s="138" t="str">
        <f>Sprachen!A55</f>
        <v>Adiabatenkoeffizient k</v>
      </c>
      <c r="C45" s="94"/>
      <c r="D45" s="158">
        <v>1.4</v>
      </c>
      <c r="E45" s="61">
        <f>IF(NOT(ISBLANK(D45)),D45,1.4)</f>
        <v>1.4</v>
      </c>
      <c r="F45" s="75"/>
      <c r="G45" s="83"/>
      <c r="H45" s="75"/>
    </row>
    <row r="46" spans="2:8">
      <c r="B46" s="138" t="str">
        <f>Sprachen!A56</f>
        <v>ind. Gaskonstante Ri</v>
      </c>
      <c r="C46" s="94" t="s">
        <v>146</v>
      </c>
      <c r="D46" s="158">
        <v>287</v>
      </c>
      <c r="E46" s="61">
        <f>IF(NOT(ISBLANK(D46)),D46,287)</f>
        <v>287</v>
      </c>
      <c r="F46" s="75"/>
      <c r="G46" s="83"/>
      <c r="H46" s="75"/>
    </row>
    <row r="47" spans="2:8">
      <c r="B47" s="138" t="str">
        <f>Sprachen!A57</f>
        <v>Normdichte (0°C, 1013,25mbar)</v>
      </c>
      <c r="C47" s="94" t="s">
        <v>190</v>
      </c>
      <c r="D47" s="155">
        <f>IF(NOT(ISBLANK(D46)),101325/D46/273.13,"")</f>
        <v>1.2926034506930946</v>
      </c>
      <c r="E47" s="156">
        <f>101325/E46/273.13</f>
        <v>1.2926034506930946</v>
      </c>
      <c r="F47" s="75"/>
      <c r="G47" s="83"/>
      <c r="H47" s="75"/>
    </row>
    <row r="48" spans="2:8">
      <c r="E48" s="61">
        <f>IF(NOT(ISBLANK(D48)),D48,1)</f>
        <v>1</v>
      </c>
      <c r="F48" s="75"/>
      <c r="G48" s="83"/>
      <c r="H48" s="75"/>
    </row>
    <row r="49" spans="6:8">
      <c r="F49" s="75"/>
      <c r="G49" s="83"/>
      <c r="H49" s="75"/>
    </row>
    <row r="50" spans="6:8">
      <c r="F50" s="75"/>
      <c r="G50" s="83"/>
      <c r="H50" s="75"/>
    </row>
    <row r="51" spans="6:8">
      <c r="F51" s="75"/>
      <c r="G51" s="83"/>
      <c r="H51" s="75"/>
    </row>
    <row r="52" spans="6:8">
      <c r="F52" s="75"/>
      <c r="G52" s="83"/>
      <c r="H52" s="75"/>
    </row>
    <row r="53" spans="6:8">
      <c r="F53" s="75"/>
      <c r="G53" s="83"/>
      <c r="H53" s="75"/>
    </row>
    <row r="54" spans="6:8">
      <c r="F54" s="75"/>
      <c r="G54" s="83"/>
      <c r="H54" s="75"/>
    </row>
  </sheetData>
  <sheetProtection password="CB96" sheet="1" objects="1" scenarios="1"/>
  <mergeCells count="11">
    <mergeCell ref="F37:F38"/>
    <mergeCell ref="G37:G38"/>
    <mergeCell ref="H37:H38"/>
    <mergeCell ref="F33:F34"/>
    <mergeCell ref="G33:G34"/>
    <mergeCell ref="H33:H34"/>
    <mergeCell ref="B6:B7"/>
    <mergeCell ref="F22:F23"/>
    <mergeCell ref="G22:G23"/>
    <mergeCell ref="H22:H23"/>
    <mergeCell ref="B17:B18"/>
  </mergeCells>
  <phoneticPr fontId="0" type="noConversion"/>
  <pageMargins left="0.78740157499999996" right="0.78740157499999996" top="0.984251969" bottom="0.984251969" header="0.4921259845" footer="0.4921259845"/>
  <pageSetup paperSize="9" scale="59" orientation="landscape" horizontalDpi="1200" verticalDpi="1200" r:id="rId1"/>
  <headerFooter alignWithMargins="0">
    <oddFooter>&amp;LCopyright Fraunhofer ISI, Karlsruhe, Germany, 2006&amp;RPrinted from &amp;C&amp;F: &amp;D  &amp;T</oddFooter>
  </headerFooter>
  <drawing r:id="rId2"/>
  <legacyDrawing r:id="rId3"/>
  <controls>
    <control shapeId="3077" r:id="rId4" name="kW_m3"/>
    <control shapeId="3078" r:id="rId5" name="kW_Nm3"/>
    <control shapeId="3079" r:id="rId6" name="kWh_m3"/>
    <control shapeId="3080" r:id="rId7" name="EUR_m3"/>
    <control shapeId="3083" r:id="rId8" name="EUR_kWh"/>
    <control shapeId="3088" r:id="rId9" name="ComboBox1"/>
    <control shapeId="3089" r:id="rId10" name="klima_CB"/>
    <control shapeId="3097" r:id="rId11" name="ComboBox2"/>
    <control shapeId="3098" r:id="rId12" name="einstellungen_optimal"/>
    <control shapeId="3101" r:id="rId13" name="Temp_abs"/>
    <control shapeId="3102" r:id="rId14" name="Temp_diff"/>
    <control shapeId="3115" r:id="rId15" name="waehrung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13"/>
  <dimension ref="A1:N60"/>
  <sheetViews>
    <sheetView workbookViewId="0">
      <selection activeCell="B18" sqref="B18"/>
    </sheetView>
  </sheetViews>
  <sheetFormatPr baseColWidth="10" defaultRowHeight="12.75"/>
  <cols>
    <col min="1" max="1" width="29.625" style="33" customWidth="1"/>
    <col min="2" max="13" width="9.5" style="33" customWidth="1"/>
    <col min="14" max="16384" width="11" style="33"/>
  </cols>
  <sheetData>
    <row r="1" spans="1:14" ht="15.75">
      <c r="A1" s="31" t="s">
        <v>151</v>
      </c>
    </row>
    <row r="3" spans="1:14">
      <c r="A3" s="33" t="s">
        <v>159</v>
      </c>
      <c r="B3" s="33" t="str">
        <f>IF(Berechnung!$D24&gt;0,Berechnung!$D24,IF(Berechnung!$D25&gt;0,intern!B8+Berechnung!$D25,"Error"))</f>
        <v>Error</v>
      </c>
      <c r="C3" s="33" t="str">
        <f>IF(Berechnung!$D24&gt;0,Berechnung!$D24,IF(Berechnung!$D25&gt;0,intern!C8+Berechnung!$D25,"Error"))</f>
        <v>Error</v>
      </c>
      <c r="D3" s="33" t="str">
        <f>IF(Berechnung!$D24&gt;0,Berechnung!$D24,IF(Berechnung!$D25&gt;0,intern!D8+Berechnung!$D25,"Error"))</f>
        <v>Error</v>
      </c>
      <c r="E3" s="33" t="str">
        <f>IF(Berechnung!$D24&gt;0,Berechnung!$D24,IF(Berechnung!$D25&gt;0,intern!E8+Berechnung!$D25,"Error"))</f>
        <v>Error</v>
      </c>
      <c r="F3" s="33" t="str">
        <f>IF(Berechnung!$D24&gt;0,Berechnung!$D24,IF(Berechnung!$D25&gt;0,intern!F8+Berechnung!$D25,"Error"))</f>
        <v>Error</v>
      </c>
      <c r="G3" s="33" t="str">
        <f>IF(Berechnung!$D24&gt;0,Berechnung!$D24,IF(Berechnung!$D25&gt;0,intern!G8+Berechnung!$D25,"Error"))</f>
        <v>Error</v>
      </c>
      <c r="H3" s="33" t="str">
        <f>IF(Berechnung!$D24&gt;0,Berechnung!$D24,IF(Berechnung!$D25&gt;0,intern!H8+Berechnung!$D25,"Error"))</f>
        <v>Error</v>
      </c>
      <c r="I3" s="33" t="str">
        <f>IF(Berechnung!$D24&gt;0,Berechnung!$D24,IF(Berechnung!$D25&gt;0,intern!I8+Berechnung!$D25,"Error"))</f>
        <v>Error</v>
      </c>
      <c r="J3" s="33" t="str">
        <f>IF(Berechnung!$D24&gt;0,Berechnung!$D24,IF(Berechnung!$D25&gt;0,intern!J8+Berechnung!$D25,"Error"))</f>
        <v>Error</v>
      </c>
      <c r="K3" s="33" t="str">
        <f>IF(Berechnung!$D24&gt;0,Berechnung!$D24,IF(Berechnung!$D25&gt;0,intern!K8+Berechnung!$D25,"Error"))</f>
        <v>Error</v>
      </c>
      <c r="L3" s="33" t="str">
        <f>IF(Berechnung!$D24&gt;0,Berechnung!$D24,IF(Berechnung!$D25&gt;0,intern!L8+Berechnung!$D25,"Error"))</f>
        <v>Error</v>
      </c>
      <c r="M3" s="33" t="str">
        <f>IF(Berechnung!$D24&gt;0,Berechnung!$D24,IF(Berechnung!$D25&gt;0,intern!M8+Berechnung!$D25,"Error"))</f>
        <v>Error</v>
      </c>
    </row>
    <row r="4" spans="1:14">
      <c r="A4" s="33" t="s">
        <v>52</v>
      </c>
      <c r="B4" s="33">
        <f>Berechnung!$D30</f>
        <v>0</v>
      </c>
      <c r="C4" s="33">
        <f>Berechnung!$D30</f>
        <v>0</v>
      </c>
      <c r="D4" s="33">
        <f>Berechnung!$D30</f>
        <v>0</v>
      </c>
      <c r="E4" s="33">
        <f>Berechnung!$D30</f>
        <v>0</v>
      </c>
      <c r="F4" s="33">
        <f>Berechnung!$D30</f>
        <v>0</v>
      </c>
      <c r="G4" s="33">
        <f>Berechnung!$D30</f>
        <v>0</v>
      </c>
      <c r="H4" s="33">
        <f>Berechnung!$D30</f>
        <v>0</v>
      </c>
      <c r="I4" s="33">
        <f>Berechnung!$D30</f>
        <v>0</v>
      </c>
      <c r="J4" s="33">
        <f>Berechnung!$D30</f>
        <v>0</v>
      </c>
      <c r="K4" s="33">
        <f>Berechnung!$D30</f>
        <v>0</v>
      </c>
      <c r="L4" s="33">
        <f>Berechnung!$D30</f>
        <v>0</v>
      </c>
      <c r="M4" s="33">
        <f>Berechnung!$D30</f>
        <v>0</v>
      </c>
    </row>
    <row r="5" spans="1:14">
      <c r="A5" s="32" t="s">
        <v>0</v>
      </c>
    </row>
    <row r="6" spans="1:14">
      <c r="A6" s="209" t="s">
        <v>124</v>
      </c>
      <c r="B6" s="210"/>
      <c r="C6" s="210"/>
      <c r="D6" s="210"/>
      <c r="E6" s="210"/>
      <c r="F6" s="34"/>
      <c r="G6" s="34"/>
      <c r="H6" s="35"/>
      <c r="I6" s="35"/>
      <c r="J6" s="35"/>
      <c r="K6" s="35"/>
      <c r="L6" s="35"/>
      <c r="M6" s="36"/>
    </row>
    <row r="7" spans="1:14">
      <c r="A7" s="46"/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 t="s">
        <v>67</v>
      </c>
      <c r="J7" s="38" t="s">
        <v>68</v>
      </c>
      <c r="K7" s="38" t="s">
        <v>69</v>
      </c>
      <c r="L7" s="38" t="s">
        <v>70</v>
      </c>
      <c r="M7" s="38" t="s">
        <v>71</v>
      </c>
      <c r="N7" s="39"/>
    </row>
    <row r="8" spans="1:14" ht="14.25" customHeight="1">
      <c r="A8" s="37" t="s">
        <v>123</v>
      </c>
      <c r="B8" s="40">
        <f>IF(Berechnung!$D13&gt;0,IF(Berechnung!$D13&gt;Klimawerte!B6,Berechnung!$D13,Klimawerte!B6),Klimawerte!B6)</f>
        <v>0.9</v>
      </c>
      <c r="C8" s="52">
        <f>IF(Berechnung!$D13&gt;0,IF(Berechnung!$D13&gt;Klimawerte!C6,Berechnung!$D13,Klimawerte!C6),Klimawerte!C6)</f>
        <v>2.4</v>
      </c>
      <c r="D8" s="52">
        <f>IF(Berechnung!$D13&gt;0,IF(Berechnung!$D13&gt;Klimawerte!D6,Berechnung!$D13,Klimawerte!D6),Klimawerte!D6)</f>
        <v>5.6</v>
      </c>
      <c r="E8" s="52">
        <f>IF(Berechnung!$D13&gt;0,IF(Berechnung!$D13&gt;Klimawerte!E6,Berechnung!$D13,Klimawerte!E6),Klimawerte!E6)</f>
        <v>9.1</v>
      </c>
      <c r="F8" s="52">
        <f>IF(Berechnung!$D13&gt;0,IF(Berechnung!$D13&gt;Klimawerte!F6,Berechnung!$D13,Klimawerte!F6),Klimawerte!F6)</f>
        <v>13.1</v>
      </c>
      <c r="G8" s="52">
        <f>IF(Berechnung!$D13&gt;0,IF(Berechnung!$D13&gt;Klimawerte!G6,Berechnung!$D13,Klimawerte!G6),Klimawerte!G6)</f>
        <v>16.3</v>
      </c>
      <c r="H8" s="52">
        <f>IF(Berechnung!$D13&gt;0,IF(Berechnung!$D13&gt;Klimawerte!H6,Berechnung!$D13,Klimawerte!H6),Klimawerte!H6)</f>
        <v>18.5</v>
      </c>
      <c r="I8" s="52">
        <f>IF(Berechnung!$D13&gt;0,IF(Berechnung!$D13&gt;Klimawerte!I6,Berechnung!$D13,Klimawerte!I6),Klimawerte!I6)</f>
        <v>17.7</v>
      </c>
      <c r="J8" s="52">
        <f>IF(Berechnung!$D13&gt;0,IF(Berechnung!$D13&gt;Klimawerte!J6,Berechnung!$D13,Klimawerte!J6),Klimawerte!J6)</f>
        <v>14.8</v>
      </c>
      <c r="K8" s="52">
        <f>IF(Berechnung!$D13&gt;0,IF(Berechnung!$D13&gt;Klimawerte!K6,Berechnung!$D13,Klimawerte!K6),Klimawerte!K6)</f>
        <v>10.1</v>
      </c>
      <c r="L8" s="52">
        <f>IF(Berechnung!$D13&gt;0,IF(Berechnung!$D13&gt;Klimawerte!L6,Berechnung!$D13,Klimawerte!L6),Klimawerte!L6)</f>
        <v>4.9000000000000004</v>
      </c>
      <c r="M8" s="53">
        <f>IF(Berechnung!$D13&gt;0,IF(Berechnung!$D13&gt;Klimawerte!M6,Berechnung!$D13,Klimawerte!M6),Klimawerte!M6)</f>
        <v>1.8</v>
      </c>
      <c r="N8" s="39"/>
    </row>
    <row r="9" spans="1:14" ht="14.25" customHeight="1">
      <c r="A9" s="37" t="s">
        <v>115</v>
      </c>
      <c r="B9" s="41">
        <f>Klimawerte!B7</f>
        <v>3.6</v>
      </c>
      <c r="C9" s="42">
        <f>Klimawerte!C7</f>
        <v>5.8</v>
      </c>
      <c r="D9" s="42">
        <f>Klimawerte!D7</f>
        <v>9.9</v>
      </c>
      <c r="E9" s="42">
        <f>Klimawerte!E7</f>
        <v>14</v>
      </c>
      <c r="F9" s="42">
        <f>Klimawerte!F7</f>
        <v>18.399999999999999</v>
      </c>
      <c r="G9" s="42">
        <f>Klimawerte!G7</f>
        <v>21.7</v>
      </c>
      <c r="H9" s="42">
        <f>Klimawerte!H7</f>
        <v>24.2</v>
      </c>
      <c r="I9" s="42">
        <f>Klimawerte!I7</f>
        <v>23.5</v>
      </c>
      <c r="J9" s="42">
        <f>Klimawerte!J7</f>
        <v>20.3</v>
      </c>
      <c r="K9" s="42">
        <f>Klimawerte!K7</f>
        <v>14.8</v>
      </c>
      <c r="L9" s="42">
        <f>Klimawerte!L7</f>
        <v>8.3000000000000007</v>
      </c>
      <c r="M9" s="43">
        <f>Klimawerte!M7</f>
        <v>4.5</v>
      </c>
      <c r="N9" s="39"/>
    </row>
    <row r="10" spans="1:14" ht="14.25" customHeight="1">
      <c r="A10" s="37" t="s">
        <v>116</v>
      </c>
      <c r="B10" s="41" t="str">
        <f>Klimawerte!B8</f>
        <v>n.r.</v>
      </c>
      <c r="C10" s="42" t="str">
        <f>Klimawerte!C8</f>
        <v>n.r.</v>
      </c>
      <c r="D10" s="42" t="str">
        <f>Klimawerte!D8</f>
        <v>n.r.</v>
      </c>
      <c r="E10" s="42" t="str">
        <f>Klimawerte!E8</f>
        <v>n.r.</v>
      </c>
      <c r="F10" s="42" t="str">
        <f>Klimawerte!F8</f>
        <v>n.r.</v>
      </c>
      <c r="G10" s="42" t="str">
        <f>Klimawerte!G8</f>
        <v>n.r.</v>
      </c>
      <c r="H10" s="42" t="str">
        <f>Klimawerte!H8</f>
        <v>n.r.</v>
      </c>
      <c r="I10" s="42" t="str">
        <f>Klimawerte!I8</f>
        <v>n.r.</v>
      </c>
      <c r="J10" s="42" t="str">
        <f>Klimawerte!J8</f>
        <v>n.r.</v>
      </c>
      <c r="K10" s="42" t="str">
        <f>Klimawerte!K8</f>
        <v>n.r.</v>
      </c>
      <c r="L10" s="42" t="str">
        <f>Klimawerte!L8</f>
        <v>n.r.</v>
      </c>
      <c r="M10" s="43" t="str">
        <f>Klimawerte!M8</f>
        <v>n.r.</v>
      </c>
      <c r="N10" s="39"/>
    </row>
    <row r="11" spans="1:14" ht="14.25" customHeight="1">
      <c r="A11" s="37" t="s">
        <v>117</v>
      </c>
      <c r="B11" s="41">
        <f>Klimawerte!B9</f>
        <v>11.1</v>
      </c>
      <c r="C11" s="42">
        <f>Klimawerte!C9</f>
        <v>13.3</v>
      </c>
      <c r="D11" s="42">
        <f>Klimawerte!D9</f>
        <v>17.399999999999999</v>
      </c>
      <c r="E11" s="42">
        <f>Klimawerte!E9</f>
        <v>21.5</v>
      </c>
      <c r="F11" s="42">
        <f>Klimawerte!F9</f>
        <v>25.9</v>
      </c>
      <c r="G11" s="42">
        <f>Klimawerte!G9</f>
        <v>29.2</v>
      </c>
      <c r="H11" s="42">
        <f>Klimawerte!H9</f>
        <v>32.200000000000003</v>
      </c>
      <c r="I11" s="42">
        <f>Klimawerte!I9</f>
        <v>31</v>
      </c>
      <c r="J11" s="42">
        <f>Klimawerte!J9</f>
        <v>27.8</v>
      </c>
      <c r="K11" s="42">
        <f>Klimawerte!K9</f>
        <v>22.3</v>
      </c>
      <c r="L11" s="42">
        <f>Klimawerte!L9</f>
        <v>15.8</v>
      </c>
      <c r="M11" s="43">
        <f>Klimawerte!M9</f>
        <v>12</v>
      </c>
      <c r="N11" s="39"/>
    </row>
    <row r="12" spans="1:14" ht="14.25" customHeight="1">
      <c r="A12" s="37" t="s">
        <v>118</v>
      </c>
      <c r="B12" s="41" t="str">
        <f>Klimawerte!B10</f>
        <v>n.r.</v>
      </c>
      <c r="C12" s="42" t="str">
        <f>Klimawerte!C10</f>
        <v>n.r.</v>
      </c>
      <c r="D12" s="42" t="str">
        <f>Klimawerte!D10</f>
        <v>n.r.</v>
      </c>
      <c r="E12" s="42" t="str">
        <f>Klimawerte!E10</f>
        <v>n.r.</v>
      </c>
      <c r="F12" s="42" t="str">
        <f>Klimawerte!F10</f>
        <v>n.r.</v>
      </c>
      <c r="G12" s="42" t="str">
        <f>Klimawerte!G10</f>
        <v>n.r.</v>
      </c>
      <c r="H12" s="42" t="str">
        <f>Klimawerte!H10</f>
        <v>n.r.</v>
      </c>
      <c r="I12" s="42" t="str">
        <f>Klimawerte!I10</f>
        <v>n.r.</v>
      </c>
      <c r="J12" s="42" t="str">
        <f>Klimawerte!J10</f>
        <v>n.r.</v>
      </c>
      <c r="K12" s="42" t="str">
        <f>Klimawerte!K10</f>
        <v>n.r.</v>
      </c>
      <c r="L12" s="42" t="str">
        <f>Klimawerte!L10</f>
        <v>n.r.</v>
      </c>
      <c r="M12" s="43" t="str">
        <f>Klimawerte!M10</f>
        <v>n.r.</v>
      </c>
      <c r="N12" s="39"/>
    </row>
    <row r="13" spans="1:14" ht="14.25" customHeight="1">
      <c r="A13" s="37" t="s">
        <v>119</v>
      </c>
      <c r="B13" s="41">
        <f>Klimawerte!B11</f>
        <v>82.3</v>
      </c>
      <c r="C13" s="42">
        <f>Klimawerte!C11</f>
        <v>78.400000000000006</v>
      </c>
      <c r="D13" s="42">
        <f>Klimawerte!D11</f>
        <v>73.400000000000006</v>
      </c>
      <c r="E13" s="42">
        <f>Klimawerte!E11</f>
        <v>71</v>
      </c>
      <c r="F13" s="42">
        <f>Klimawerte!F11</f>
        <v>72.599999999999994</v>
      </c>
      <c r="G13" s="42">
        <f>Klimawerte!G11</f>
        <v>71.8</v>
      </c>
      <c r="H13" s="42">
        <f>Klimawerte!H11</f>
        <v>70.599999999999994</v>
      </c>
      <c r="I13" s="42">
        <f>Klimawerte!I11</f>
        <v>73.8</v>
      </c>
      <c r="J13" s="42">
        <f>Klimawerte!J11</f>
        <v>78.099999999999994</v>
      </c>
      <c r="K13" s="42">
        <f>Klimawerte!K11</f>
        <v>81.7</v>
      </c>
      <c r="L13" s="42">
        <f>Klimawerte!L11</f>
        <v>82.2</v>
      </c>
      <c r="M13" s="43">
        <f>Klimawerte!M11</f>
        <v>82.4</v>
      </c>
      <c r="N13" s="39"/>
    </row>
    <row r="14" spans="1:14" ht="14.25" customHeight="1">
      <c r="A14" s="37" t="s">
        <v>154</v>
      </c>
      <c r="B14" s="44">
        <f>B11</f>
        <v>11.1</v>
      </c>
      <c r="C14" s="44">
        <f t="shared" ref="C14:M14" si="0">C11</f>
        <v>13.3</v>
      </c>
      <c r="D14" s="44">
        <f t="shared" si="0"/>
        <v>17.399999999999999</v>
      </c>
      <c r="E14" s="44">
        <f t="shared" si="0"/>
        <v>21.5</v>
      </c>
      <c r="F14" s="44">
        <f t="shared" si="0"/>
        <v>25.9</v>
      </c>
      <c r="G14" s="44">
        <f t="shared" si="0"/>
        <v>29.2</v>
      </c>
      <c r="H14" s="44">
        <f t="shared" si="0"/>
        <v>32.200000000000003</v>
      </c>
      <c r="I14" s="44">
        <f t="shared" si="0"/>
        <v>31</v>
      </c>
      <c r="J14" s="44">
        <f t="shared" si="0"/>
        <v>27.8</v>
      </c>
      <c r="K14" s="44">
        <f t="shared" si="0"/>
        <v>22.3</v>
      </c>
      <c r="L14" s="44">
        <f t="shared" si="0"/>
        <v>15.8</v>
      </c>
      <c r="M14" s="44">
        <f t="shared" si="0"/>
        <v>12</v>
      </c>
      <c r="N14" s="39"/>
    </row>
    <row r="16" spans="1:14">
      <c r="A16" s="33" t="s">
        <v>139</v>
      </c>
      <c r="B16" s="33" t="e">
        <f>IF(VLOOKUP(B8,wassermenge!$A3:$B55,2)*B13/100-VLOOKUP(B3,wassermenge!$A3:$B55,2)/Berechnung!$D12*(B3+273)/(B8+273)&gt;0,VLOOKUP(B8,wassermenge!$A3:$B55,2)*B13/100-VLOOKUP(B3,wassermenge!$A3:$B55,2)/Berechnung!$D12*(B3+273)/(B8+273),0)*Berechnung!$D11/1000</f>
        <v>#N/A</v>
      </c>
      <c r="C16" s="33" t="e">
        <f>IF(VLOOKUP(C8,wassermenge!$A3:$B55,2)*C13/100-VLOOKUP(C3,wassermenge!$A3:$B55,2)/Berechnung!$D12*(C3+273)/(C8+273)&gt;0,VLOOKUP(C8,wassermenge!$A3:$B55,2)*C13/100-VLOOKUP(C3,wassermenge!$A3:$B55,2)/Berechnung!$D12*(C3+273)/(C8+273),0)*Berechnung!$D11/1000</f>
        <v>#N/A</v>
      </c>
      <c r="D16" s="33" t="e">
        <f>IF(VLOOKUP(D8,wassermenge!$A3:$B55,2)*D13/100-VLOOKUP(D3,wassermenge!$A3:$B55,2)/Berechnung!$D12*(D3+273)/(D8+273)&gt;0,VLOOKUP(D8,wassermenge!$A3:$B55,2)*D13/100-VLOOKUP(D3,wassermenge!$A3:$B55,2)/Berechnung!$D12*(D3+273)/(D8+273),0)*Berechnung!$D11/1000</f>
        <v>#N/A</v>
      </c>
      <c r="E16" s="33" t="e">
        <f>IF(VLOOKUP(E8,wassermenge!$A3:$B55,2)*E13/100-VLOOKUP(E3,wassermenge!$A3:$B55,2)/Berechnung!$D12*(E3+273)/(E8+273)&gt;0,VLOOKUP(E8,wassermenge!$A3:$B55,2)*E13/100-VLOOKUP(E3,wassermenge!$A3:$B55,2)/Berechnung!$D12*(E3+273)/(E8+273),0)*Berechnung!$D11/1000</f>
        <v>#N/A</v>
      </c>
      <c r="F16" s="33" t="e">
        <f>IF(VLOOKUP(F8,wassermenge!$A3:$B55,2)*F13/100-VLOOKUP(F3,wassermenge!$A3:$B55,2)/Berechnung!$D12*(F3+273)/(F8+273)&gt;0,VLOOKUP(F8,wassermenge!$A3:$B55,2)*F13/100-VLOOKUP(F3,wassermenge!$A3:$B55,2)/Berechnung!$D12*(F3+273)/(F8+273),0)*Berechnung!$D11/1000</f>
        <v>#N/A</v>
      </c>
      <c r="G16" s="33" t="e">
        <f>IF(VLOOKUP(G8,wassermenge!$A3:$B55,2)*G13/100-VLOOKUP(G3,wassermenge!$A3:$B55,2)/Berechnung!$D12*(G3+273)/(G8+273)&gt;0,VLOOKUP(G8,wassermenge!$A3:$B55,2)*G13/100-VLOOKUP(G3,wassermenge!$A3:$B55,2)/Berechnung!$D12*(G3+273)/(G8+273),0)*Berechnung!$D11/1000</f>
        <v>#N/A</v>
      </c>
      <c r="H16" s="33" t="e">
        <f>IF(VLOOKUP(H8,wassermenge!$A3:$B55,2)*H13/100-VLOOKUP(H3,wassermenge!$A3:$B55,2)/Berechnung!$D12*(H3+273)/(H8+273)&gt;0,VLOOKUP(H8,wassermenge!$A3:$B55,2)*H13/100-VLOOKUP(H3,wassermenge!$A3:$B55,2)/Berechnung!$D12*(H3+273)/(H8+273),0)*Berechnung!$D11/1000</f>
        <v>#N/A</v>
      </c>
      <c r="I16" s="33" t="e">
        <f>IF(VLOOKUP(I8,wassermenge!$A3:$B55,2)*I13/100-VLOOKUP(I3,wassermenge!$A3:$B55,2)/Berechnung!$D12*(I3+273)/(I8+273)&gt;0,VLOOKUP(I8,wassermenge!$A3:$B55,2)*I13/100-VLOOKUP(I3,wassermenge!$A3:$B55,2)/Berechnung!$D12*(I3+273)/(I8+273),0)*Berechnung!$D11/1000</f>
        <v>#N/A</v>
      </c>
      <c r="J16" s="33" t="e">
        <f>IF(VLOOKUP(J8,wassermenge!$A3:$B55,2)*J13/100-VLOOKUP(J3,wassermenge!$A3:$B55,2)/Berechnung!$D12*(J3+273)/(J8+273)&gt;0,VLOOKUP(J8,wassermenge!$A3:$B55,2)*J13/100-VLOOKUP(J3,wassermenge!$A3:$B55,2)/Berechnung!$D12*(J3+273)/(J8+273),0)*Berechnung!$D11/1000</f>
        <v>#N/A</v>
      </c>
      <c r="K16" s="33" t="e">
        <f>IF(VLOOKUP(K8,wassermenge!$A3:$B55,2)*K13/100-VLOOKUP(K3,wassermenge!$A3:$B55,2)/Berechnung!$D12*(K3+273)/(K8+273)&gt;0,VLOOKUP(K8,wassermenge!$A3:$B55,2)*K13/100-VLOOKUP(K3,wassermenge!$A3:$B55,2)/Berechnung!$D12*(K3+273)/(K8+273),0)*Berechnung!$D11/1000</f>
        <v>#N/A</v>
      </c>
      <c r="L16" s="33" t="e">
        <f>IF(VLOOKUP(L8,wassermenge!$A3:$B55,2)*L13/100-VLOOKUP(L3,wassermenge!$A3:$B55,2)/Berechnung!$D12*(L3+273)/(L8+273)&gt;0,VLOOKUP(L8,wassermenge!$A3:$B55,2)*L13/100-VLOOKUP(L3,wassermenge!$A3:$B55,2)/Berechnung!$D12*(L3+273)/(L8+273),0)*Berechnung!$D11/1000</f>
        <v>#N/A</v>
      </c>
      <c r="M16" s="33" t="e">
        <f>IF(VLOOKUP(M8,wassermenge!$A3:$B55,2)*M13/100-VLOOKUP(M3,wassermenge!$A3:$B55,2)/Berechnung!$D12*(M3+273)/(M8+273)&gt;0,VLOOKUP(M8,wassermenge!$A3:$B55,2)*M13/100-VLOOKUP(M3,wassermenge!$A3:$B55,2)/Berechnung!$D12*(M3+273)/(M8+273),0)*Berechnung!$D11/1000</f>
        <v>#N/A</v>
      </c>
    </row>
    <row r="17" spans="1:13">
      <c r="A17" s="33" t="s">
        <v>140</v>
      </c>
      <c r="B17" s="33" t="e">
        <f>(VLOOKUP(B8,wassermenge!$A3:$B55,2)*B13/100-VLOOKUP(MIN(B3:B4),wassermenge!$A3:$B55,2)/Berechnung!$D12*(MIN(B3:B4)+273)/(B8+273))*Berechnung!$D11/1000</f>
        <v>#DIV/0!</v>
      </c>
      <c r="C17" s="33" t="e">
        <f>(VLOOKUP(C8,wassermenge!$A3:$B55,2)*C13/100-VLOOKUP(MIN(C3:C4),wassermenge!$A3:$B55,2)/Berechnung!$D12*(MIN(C3:C4)+273)/(C8+273))*Berechnung!$D11/1000</f>
        <v>#DIV/0!</v>
      </c>
      <c r="D17" s="33" t="e">
        <f>(VLOOKUP(D8,wassermenge!$A3:$B55,2)*D13/100-VLOOKUP(MIN(D3:D4),wassermenge!$A3:$B55,2)/Berechnung!$D12*(MIN(D3:D4)+273)/(D8+273))*Berechnung!$D11/1000</f>
        <v>#DIV/0!</v>
      </c>
      <c r="E17" s="33" t="e">
        <f>(VLOOKUP(E8,wassermenge!$A3:$B55,2)*E13/100-VLOOKUP(MIN(E3:E4),wassermenge!$A3:$B55,2)/Berechnung!$D12*(MIN(E3:E4)+273)/(E8+273))*Berechnung!$D11/1000</f>
        <v>#DIV/0!</v>
      </c>
      <c r="F17" s="33" t="e">
        <f>(VLOOKUP(F8,wassermenge!$A3:$B55,2)*F13/100-VLOOKUP(MIN(F3:F4),wassermenge!$A3:$B55,2)/Berechnung!$D12*(MIN(F3:F4)+273)/(F8+273))*Berechnung!$D11/1000</f>
        <v>#DIV/0!</v>
      </c>
      <c r="G17" s="33" t="e">
        <f>(VLOOKUP(G8,wassermenge!$A3:$B55,2)*G13/100-VLOOKUP(MIN(G3:G4),wassermenge!$A3:$B55,2)/Berechnung!$D12*(MIN(G3:G4)+273)/(G8+273))*Berechnung!$D11/1000</f>
        <v>#DIV/0!</v>
      </c>
      <c r="H17" s="33" t="e">
        <f>(VLOOKUP(H8,wassermenge!$A3:$B55,2)*H13/100-VLOOKUP(MIN(H3:H4),wassermenge!$A3:$B55,2)/Berechnung!$D12*(MIN(H3:H4)+273)/(H8+273))*Berechnung!$D11/1000</f>
        <v>#DIV/0!</v>
      </c>
      <c r="I17" s="33" t="e">
        <f>(VLOOKUP(I8,wassermenge!$A3:$B55,2)*I13/100-VLOOKUP(MIN(I3:I4),wassermenge!$A3:$B55,2)/Berechnung!$D12*(MIN(I3:I4)+273)/(I8+273))*Berechnung!$D11/1000</f>
        <v>#DIV/0!</v>
      </c>
      <c r="J17" s="33" t="e">
        <f>(VLOOKUP(J8,wassermenge!$A3:$B55,2)*J13/100-VLOOKUP(MIN(J3:J4),wassermenge!$A3:$B55,2)/Berechnung!$D12*(MIN(J3:J4)+273)/(J8+273))*Berechnung!$D11/1000</f>
        <v>#DIV/0!</v>
      </c>
      <c r="K17" s="33" t="e">
        <f>(VLOOKUP(K8,wassermenge!$A3:$B55,2)*K13/100-VLOOKUP(MIN(K3:K4),wassermenge!$A3:$B55,2)/Berechnung!$D12*(MIN(K3:K4)+273)/(K8+273))*Berechnung!$D11/1000</f>
        <v>#DIV/0!</v>
      </c>
      <c r="L17" s="33" t="e">
        <f>(VLOOKUP(L8,wassermenge!$A3:$B55,2)*L13/100-VLOOKUP(MIN(L3:L4),wassermenge!$A3:$B55,2)/Berechnung!$D12*(MIN(L3:L4)+273)/(L8+273))*Berechnung!$D11/1000</f>
        <v>#DIV/0!</v>
      </c>
      <c r="M17" s="33" t="e">
        <f>(VLOOKUP(M8,wassermenge!$A3:$B55,2)*M13/100-VLOOKUP(MIN(M3:M4),wassermenge!$A3:$B55,2)/Berechnung!$D12*(MIN(M3:M4)+273)/(M8+273))*Berechnung!$D11/1000</f>
        <v>#DIV/0!</v>
      </c>
    </row>
    <row r="18" spans="1:13">
      <c r="A18" s="33" t="s">
        <v>141</v>
      </c>
      <c r="B18" s="33" t="e">
        <f>B17-IF(B16&gt;0,B16,0)</f>
        <v>#DIV/0!</v>
      </c>
      <c r="C18" s="33" t="e">
        <f t="shared" ref="C18:M18" si="1">C17-IF(C16&gt;0,C16,0)</f>
        <v>#DIV/0!</v>
      </c>
      <c r="D18" s="33" t="e">
        <f t="shared" si="1"/>
        <v>#DIV/0!</v>
      </c>
      <c r="E18" s="33" t="e">
        <f t="shared" si="1"/>
        <v>#DIV/0!</v>
      </c>
      <c r="F18" s="33" t="e">
        <f t="shared" si="1"/>
        <v>#DIV/0!</v>
      </c>
      <c r="G18" s="33" t="e">
        <f t="shared" si="1"/>
        <v>#DIV/0!</v>
      </c>
      <c r="H18" s="33" t="e">
        <f t="shared" si="1"/>
        <v>#DIV/0!</v>
      </c>
      <c r="I18" s="33" t="e">
        <f t="shared" si="1"/>
        <v>#DIV/0!</v>
      </c>
      <c r="J18" s="33" t="e">
        <f t="shared" si="1"/>
        <v>#DIV/0!</v>
      </c>
      <c r="K18" s="33" t="e">
        <f t="shared" si="1"/>
        <v>#DIV/0!</v>
      </c>
      <c r="L18" s="33" t="e">
        <f t="shared" si="1"/>
        <v>#DIV/0!</v>
      </c>
      <c r="M18" s="33" t="e">
        <f t="shared" si="1"/>
        <v>#DIV/0!</v>
      </c>
    </row>
    <row r="20" spans="1:13">
      <c r="A20" s="33" t="s">
        <v>143</v>
      </c>
      <c r="B20" s="33" t="e">
        <f>IF(VLOOKUP(B14,wassermenge!$A3:$B55,2)*B13/100-VLOOKUP(B3,wassermenge!$A3:$B55,2)/Berechnung!$D12*(B3+273)/(B14+273)&gt;0,VLOOKUP(B14,wassermenge!$A3:$B55,2)*B13/100-VLOOKUP(B3,wassermenge!$A3:$B55,2)/Berechnung!$D12*(B3+273)/(B14+273),0)*Berechnung!$D11/1000</f>
        <v>#N/A</v>
      </c>
      <c r="C20" s="33" t="e">
        <f>IF(VLOOKUP(C14,wassermenge!$A3:$B55,2)*C13/100-VLOOKUP(C3,wassermenge!$A3:$B55,2)/Berechnung!$D12*(C3+273)/(C14+273)&gt;0,VLOOKUP(C14,wassermenge!$A3:$B55,2)*C13/100-VLOOKUP(C3,wassermenge!$A3:$B55,2)/Berechnung!$D12*(C3+273)/(C14+273),0)*Berechnung!$D11/1000</f>
        <v>#N/A</v>
      </c>
      <c r="D20" s="33" t="e">
        <f>IF(VLOOKUP(D14,wassermenge!$A3:$B55,2)*D13/100-VLOOKUP(D3,wassermenge!$A3:$B55,2)/Berechnung!$D12*(D3+273)/(D14+273)&gt;0,VLOOKUP(D14,wassermenge!$A3:$B55,2)*D13/100-VLOOKUP(D3,wassermenge!$A3:$B55,2)/Berechnung!$D12*(D3+273)/(D14+273),0)*Berechnung!$D11/1000</f>
        <v>#N/A</v>
      </c>
      <c r="E20" s="33" t="e">
        <f>IF(VLOOKUP(E14,wassermenge!$A3:$B55,2)*E13/100-VLOOKUP(E3,wassermenge!$A3:$B55,2)/Berechnung!$D12*(E3+273)/(E14+273)&gt;0,VLOOKUP(E14,wassermenge!$A3:$B55,2)*E13/100-VLOOKUP(E3,wassermenge!$A3:$B55,2)/Berechnung!$D12*(E3+273)/(E14+273),0)*Berechnung!$D11/1000</f>
        <v>#N/A</v>
      </c>
      <c r="F20" s="33" t="e">
        <f>IF(VLOOKUP(F14,wassermenge!$A3:$B55,2)*F13/100-VLOOKUP(F3,wassermenge!$A3:$B55,2)/Berechnung!$D12*(F3+273)/(F14+273)&gt;0,VLOOKUP(F14,wassermenge!$A3:$B55,2)*F13/100-VLOOKUP(F3,wassermenge!$A3:$B55,2)/Berechnung!$D12*(F3+273)/(F14+273),0)*Berechnung!$D11/1000</f>
        <v>#N/A</v>
      </c>
      <c r="G20" s="33" t="e">
        <f>IF(VLOOKUP(G14,wassermenge!$A3:$B55,2)*G13/100-VLOOKUP(G3,wassermenge!$A3:$B55,2)/Berechnung!$D12*(G3+273)/(G14+273)&gt;0,VLOOKUP(G14,wassermenge!$A3:$B55,2)*G13/100-VLOOKUP(G3,wassermenge!$A3:$B55,2)/Berechnung!$D12*(G3+273)/(G14+273),0)*Berechnung!$D11/1000</f>
        <v>#N/A</v>
      </c>
      <c r="H20" s="33" t="e">
        <f>IF(VLOOKUP(H14,wassermenge!$A3:$B55,2)*H13/100-VLOOKUP(H3,wassermenge!$A3:$B55,2)/Berechnung!$D12*(H3+273)/(H14+273)&gt;0,VLOOKUP(H14,wassermenge!$A3:$B55,2)*H13/100-VLOOKUP(H3,wassermenge!$A3:$B55,2)/Berechnung!$D12*(H3+273)/(H14+273),0)*Berechnung!$D11/1000</f>
        <v>#N/A</v>
      </c>
      <c r="I20" s="33" t="e">
        <f>IF(VLOOKUP(I14,wassermenge!$A3:$B55,2)*I13/100-VLOOKUP(I3,wassermenge!$A3:$B55,2)/Berechnung!$D12*(I3+273)/(I14+273)&gt;0,VLOOKUP(I14,wassermenge!$A3:$B55,2)*I13/100-VLOOKUP(I3,wassermenge!$A3:$B55,2)/Berechnung!$D12*(I3+273)/(I14+273),0)*Berechnung!$D11/1000</f>
        <v>#N/A</v>
      </c>
      <c r="J20" s="33" t="e">
        <f>IF(VLOOKUP(J14,wassermenge!$A3:$B55,2)*J13/100-VLOOKUP(J3,wassermenge!$A3:$B55,2)/Berechnung!$D12*(J3+273)/(J14+273)&gt;0,VLOOKUP(J14,wassermenge!$A3:$B55,2)*J13/100-VLOOKUP(J3,wassermenge!$A3:$B55,2)/Berechnung!$D12*(J3+273)/(J14+273),0)*Berechnung!$D11/1000</f>
        <v>#N/A</v>
      </c>
      <c r="K20" s="33" t="e">
        <f>IF(VLOOKUP(K14,wassermenge!$A3:$B55,2)*K13/100-VLOOKUP(K3,wassermenge!$A3:$B55,2)/Berechnung!$D12*(K3+273)/(K14+273)&gt;0,VLOOKUP(K14,wassermenge!$A3:$B55,2)*K13/100-VLOOKUP(K3,wassermenge!$A3:$B55,2)/Berechnung!$D12*(K3+273)/(K14+273),0)*Berechnung!$D11/1000</f>
        <v>#N/A</v>
      </c>
      <c r="L20" s="33" t="e">
        <f>IF(VLOOKUP(L14,wassermenge!$A3:$B55,2)*L13/100-VLOOKUP(L3,wassermenge!$A3:$B55,2)/Berechnung!$D12*(L3+273)/(L14+273)&gt;0,VLOOKUP(L14,wassermenge!$A3:$B55,2)*L13/100-VLOOKUP(L3,wassermenge!$A3:$B55,2)/Berechnung!$D12*(L3+273)/(L14+273),0)*Berechnung!$D11/1000</f>
        <v>#N/A</v>
      </c>
      <c r="M20" s="33" t="e">
        <f>IF(VLOOKUP(M14,wassermenge!$A3:$B55,2)*M13/100-VLOOKUP(M3,wassermenge!$A3:$B55,2)/Berechnung!$D12*(M3+273)/(M14+273)&gt;0,VLOOKUP(M14,wassermenge!$A3:$B55,2)*M13/100-VLOOKUP(M3,wassermenge!$A3:$B55,2)/Berechnung!$D12*(M3+273)/(M14+273),0)*Berechnung!$D11/1000</f>
        <v>#N/A</v>
      </c>
    </row>
    <row r="21" spans="1:13">
      <c r="A21" s="33" t="s">
        <v>144</v>
      </c>
      <c r="B21" s="33" t="e">
        <f>(VLOOKUP(B14,wassermenge!$A3:$B55,2)*B13/100-VLOOKUP(MIN(B3:B4),wassermenge!$A3:$B55,2)/Berechnung!$D12*(MIN(B3:B4)+273)/(B14+273))*Berechnung!$D11/1000</f>
        <v>#DIV/0!</v>
      </c>
      <c r="C21" s="33" t="e">
        <f>(VLOOKUP(C14,wassermenge!$A3:$B55,2)*C13/100-VLOOKUP(MIN(C3:C4),wassermenge!$A3:$B55,2)/Berechnung!$D12*(MIN(C3:C4)+273)/(C14+273))*Berechnung!$D11/1000</f>
        <v>#DIV/0!</v>
      </c>
      <c r="D21" s="33" t="e">
        <f>(VLOOKUP(D14,wassermenge!$A3:$B55,2)*D13/100-VLOOKUP(MIN(D3:D4),wassermenge!$A3:$B55,2)/Berechnung!$D12*(MIN(D3:D4)+273)/(D14+273))*Berechnung!$D11/1000</f>
        <v>#DIV/0!</v>
      </c>
      <c r="E21" s="33" t="e">
        <f>(VLOOKUP(E14,wassermenge!$A3:$B55,2)*E13/100-VLOOKUP(MIN(E3:E4),wassermenge!$A3:$B55,2)/Berechnung!$D12*(MIN(E3:E4)+273)/(E14+273))*Berechnung!$D11/1000</f>
        <v>#DIV/0!</v>
      </c>
      <c r="F21" s="33" t="e">
        <f>(VLOOKUP(F14,wassermenge!$A3:$B55,2)*F13/100-VLOOKUP(MIN(F3:F4),wassermenge!$A3:$B55,2)/Berechnung!$D12*(MIN(F3:F4)+273)/(F14+273))*Berechnung!$D11/1000</f>
        <v>#DIV/0!</v>
      </c>
      <c r="G21" s="33" t="e">
        <f>(VLOOKUP(G14,wassermenge!$A3:$B55,2)*G13/100-VLOOKUP(MIN(G3:G4),wassermenge!$A3:$B55,2)/Berechnung!$D12*(MIN(G3:G4)+273)/(G14+273))*Berechnung!$D11/1000</f>
        <v>#DIV/0!</v>
      </c>
      <c r="H21" s="33" t="e">
        <f>(VLOOKUP(H14,wassermenge!$A3:$B55,2)*H13/100-VLOOKUP(MIN(H3:H4),wassermenge!$A3:$B55,2)/Berechnung!$D12*(MIN(H3:H4)+273)/(H14+273))*Berechnung!$D11/1000</f>
        <v>#DIV/0!</v>
      </c>
      <c r="I21" s="33" t="e">
        <f>(VLOOKUP(I14,wassermenge!$A3:$B55,2)*I13/100-VLOOKUP(MIN(I3:I4),wassermenge!$A3:$B55,2)/Berechnung!$D12*(MIN(I3:I4)+273)/(I14+273))*Berechnung!$D11/1000</f>
        <v>#DIV/0!</v>
      </c>
      <c r="J21" s="33" t="e">
        <f>(VLOOKUP(J14,wassermenge!$A3:$B55,2)*J13/100-VLOOKUP(MIN(J3:J4),wassermenge!$A3:$B55,2)/Berechnung!$D12*(MIN(J3:J4)+273)/(J14+273))*Berechnung!$D11/1000</f>
        <v>#DIV/0!</v>
      </c>
      <c r="K21" s="33" t="e">
        <f>(VLOOKUP(K14,wassermenge!$A3:$B55,2)*K13/100-VLOOKUP(MIN(K3:K4),wassermenge!$A3:$B55,2)/Berechnung!$D12*(MIN(K3:K4)+273)/(K14+273))*Berechnung!$D11/1000</f>
        <v>#DIV/0!</v>
      </c>
      <c r="L21" s="33" t="e">
        <f>(VLOOKUP(L14,wassermenge!$A3:$B55,2)*L13/100-VLOOKUP(MIN(L3:L4),wassermenge!$A3:$B55,2)/Berechnung!$D12*(MIN(L3:L4)+273)/(L14+273))*Berechnung!$D11/1000</f>
        <v>#DIV/0!</v>
      </c>
      <c r="M21" s="33" t="e">
        <f>(VLOOKUP(M14,wassermenge!$A3:$B55,2)*M13/100-VLOOKUP(MIN(M3:M4),wassermenge!$A3:$B55,2)/Berechnung!$D12*(MIN(M3:M4)+273)/(M14+273))*Berechnung!$D11/1000</f>
        <v>#DIV/0!</v>
      </c>
    </row>
    <row r="22" spans="1:13">
      <c r="A22" s="33" t="s">
        <v>145</v>
      </c>
      <c r="B22" s="33" t="e">
        <f>B21-IF(B20&gt;0,B20,0)</f>
        <v>#DIV/0!</v>
      </c>
      <c r="C22" s="33" t="e">
        <f t="shared" ref="C22:M22" si="2">C21-IF(C20&gt;0,C20,0)</f>
        <v>#DIV/0!</v>
      </c>
      <c r="D22" s="33" t="e">
        <f t="shared" si="2"/>
        <v>#DIV/0!</v>
      </c>
      <c r="E22" s="33" t="e">
        <f t="shared" si="2"/>
        <v>#DIV/0!</v>
      </c>
      <c r="F22" s="33" t="e">
        <f t="shared" si="2"/>
        <v>#DIV/0!</v>
      </c>
      <c r="G22" s="33" t="e">
        <f t="shared" si="2"/>
        <v>#DIV/0!</v>
      </c>
      <c r="H22" s="33" t="e">
        <f t="shared" si="2"/>
        <v>#DIV/0!</v>
      </c>
      <c r="I22" s="33" t="e">
        <f t="shared" si="2"/>
        <v>#DIV/0!</v>
      </c>
      <c r="J22" s="33" t="e">
        <f t="shared" si="2"/>
        <v>#DIV/0!</v>
      </c>
      <c r="K22" s="33" t="e">
        <f t="shared" si="2"/>
        <v>#DIV/0!</v>
      </c>
      <c r="L22" s="33" t="e">
        <f t="shared" si="2"/>
        <v>#DIV/0!</v>
      </c>
      <c r="M22" s="33" t="e">
        <f t="shared" si="2"/>
        <v>#DIV/0!</v>
      </c>
    </row>
    <row r="25" spans="1:13">
      <c r="A25" s="32" t="s">
        <v>138</v>
      </c>
    </row>
    <row r="26" spans="1:13">
      <c r="A26" s="47" t="s">
        <v>125</v>
      </c>
      <c r="B26" s="36"/>
    </row>
    <row r="27" spans="1:13">
      <c r="A27" s="45" t="s">
        <v>120</v>
      </c>
      <c r="B27" s="48">
        <f>AVERAGE(B8:M8)</f>
        <v>9.6</v>
      </c>
    </row>
    <row r="28" spans="1:13">
      <c r="A28" s="45" t="s">
        <v>121</v>
      </c>
      <c r="B28" s="49">
        <f>AVERAGE(B13:M13)</f>
        <v>76.525000000000006</v>
      </c>
    </row>
    <row r="30" spans="1:13">
      <c r="A30" s="47" t="s">
        <v>126</v>
      </c>
      <c r="B30" s="36"/>
    </row>
    <row r="31" spans="1:13">
      <c r="A31" s="45" t="s">
        <v>135</v>
      </c>
      <c r="B31" s="48">
        <f>MAX(B9:M9)</f>
        <v>24.2</v>
      </c>
    </row>
    <row r="32" spans="1:13">
      <c r="A32" s="45" t="s">
        <v>127</v>
      </c>
      <c r="B32" s="50">
        <f>HLOOKUP(MAX(B11:M11),B11:M13,3,FALSE)</f>
        <v>70.599999999999994</v>
      </c>
    </row>
    <row r="33" spans="1:13">
      <c r="A33" s="45" t="s">
        <v>122</v>
      </c>
      <c r="B33" s="48">
        <f>VLOOKUP(B31,wassermenge!A3:B55,2)*B32/100</f>
        <v>15.390799999999999</v>
      </c>
    </row>
    <row r="36" spans="1:13">
      <c r="A36" s="33" t="s">
        <v>156</v>
      </c>
      <c r="B36" s="33" t="e">
        <f>B16*Berechnung!$D$33*Berechnung!$D$34*Berechnung!#REF!/100/12</f>
        <v>#N/A</v>
      </c>
      <c r="C36" s="33" t="e">
        <f>C16*Berechnung!$D$33*Berechnung!$D$34*Berechnung!#REF!/100/12</f>
        <v>#N/A</v>
      </c>
      <c r="D36" s="33" t="e">
        <f>D16*Berechnung!$D$33*Berechnung!$D$34*Berechnung!#REF!/100/12</f>
        <v>#N/A</v>
      </c>
      <c r="E36" s="33" t="e">
        <f>E16*Berechnung!$D$33*Berechnung!$D$34*Berechnung!#REF!/100/12</f>
        <v>#N/A</v>
      </c>
      <c r="F36" s="33" t="e">
        <f>F16*Berechnung!$D$33*Berechnung!$D$34*Berechnung!#REF!/100/12</f>
        <v>#N/A</v>
      </c>
      <c r="G36" s="33" t="e">
        <f>G16*Berechnung!$D$33*Berechnung!$D$34*Berechnung!#REF!/100/12</f>
        <v>#N/A</v>
      </c>
      <c r="H36" s="33" t="e">
        <f>H16*Berechnung!$D$33*Berechnung!$D$34*Berechnung!#REF!/100/12</f>
        <v>#N/A</v>
      </c>
      <c r="I36" s="33" t="e">
        <f>I16*Berechnung!$D$33*Berechnung!$D$34*Berechnung!#REF!/100/12</f>
        <v>#N/A</v>
      </c>
      <c r="J36" s="33" t="e">
        <f>J16*Berechnung!$D$33*Berechnung!$D$34*Berechnung!#REF!/100/12</f>
        <v>#N/A</v>
      </c>
      <c r="K36" s="33" t="e">
        <f>K16*Berechnung!$D$33*Berechnung!$D$34*Berechnung!#REF!/100/12</f>
        <v>#N/A</v>
      </c>
      <c r="L36" s="33" t="e">
        <f>L16*Berechnung!$D$33*Berechnung!$D$34*Berechnung!#REF!/100/12</f>
        <v>#N/A</v>
      </c>
      <c r="M36" s="33" t="e">
        <f>M16*Berechnung!$D$33*Berechnung!$D$34*Berechnung!#REF!/100/12</f>
        <v>#N/A</v>
      </c>
    </row>
    <row r="37" spans="1:13">
      <c r="A37" s="33" t="s">
        <v>157</v>
      </c>
      <c r="B37" s="33" t="e">
        <f>B17*Berechnung!$D$33*Berechnung!$D$34*Berechnung!#REF!/100/12</f>
        <v>#DIV/0!</v>
      </c>
      <c r="C37" s="33" t="e">
        <f>C17*Berechnung!$D$33*Berechnung!$D$34*Berechnung!#REF!/100/12</f>
        <v>#DIV/0!</v>
      </c>
      <c r="D37" s="33" t="e">
        <f>D17*Berechnung!$D$33*Berechnung!$D$34*Berechnung!#REF!/100/12</f>
        <v>#DIV/0!</v>
      </c>
      <c r="E37" s="33" t="e">
        <f>E17*Berechnung!$D$33*Berechnung!$D$34*Berechnung!#REF!/100/12</f>
        <v>#DIV/0!</v>
      </c>
      <c r="F37" s="33" t="e">
        <f>F17*Berechnung!$D$33*Berechnung!$D$34*Berechnung!#REF!/100/12</f>
        <v>#DIV/0!</v>
      </c>
      <c r="G37" s="33" t="e">
        <f>G17*Berechnung!$D$33*Berechnung!$D$34*Berechnung!#REF!/100/12</f>
        <v>#DIV/0!</v>
      </c>
      <c r="H37" s="33" t="e">
        <f>H17*Berechnung!$D$33*Berechnung!$D$34*Berechnung!#REF!/100/12</f>
        <v>#DIV/0!</v>
      </c>
      <c r="I37" s="33" t="e">
        <f>I17*Berechnung!$D$33*Berechnung!$D$34*Berechnung!#REF!/100/12</f>
        <v>#DIV/0!</v>
      </c>
      <c r="J37" s="33" t="e">
        <f>J17*Berechnung!$D$33*Berechnung!$D$34*Berechnung!#REF!/100/12</f>
        <v>#DIV/0!</v>
      </c>
      <c r="K37" s="33" t="e">
        <f>K17*Berechnung!$D$33*Berechnung!$D$34*Berechnung!#REF!/100/12</f>
        <v>#DIV/0!</v>
      </c>
      <c r="L37" s="33" t="e">
        <f>L17*Berechnung!$D$33*Berechnung!$D$34*Berechnung!#REF!/100/12</f>
        <v>#DIV/0!</v>
      </c>
      <c r="M37" s="33" t="e">
        <f>M17*Berechnung!$D$33*Berechnung!$D$34*Berechnung!#REF!/100/12</f>
        <v>#DIV/0!</v>
      </c>
    </row>
    <row r="38" spans="1:13">
      <c r="A38" s="33" t="s">
        <v>158</v>
      </c>
      <c r="B38" s="33" t="e">
        <f>B18*Berechnung!$D$33*Berechnung!$D$34*Berechnung!#REF!/100/12</f>
        <v>#DIV/0!</v>
      </c>
      <c r="C38" s="33" t="e">
        <f>C18*Berechnung!$D$33*Berechnung!$D$34*Berechnung!#REF!/100/12</f>
        <v>#DIV/0!</v>
      </c>
      <c r="D38" s="33" t="e">
        <f>D18*Berechnung!$D$33*Berechnung!$D$34*Berechnung!#REF!/100/12</f>
        <v>#DIV/0!</v>
      </c>
      <c r="E38" s="33" t="e">
        <f>E18*Berechnung!$D$33*Berechnung!$D$34*Berechnung!#REF!/100/12</f>
        <v>#DIV/0!</v>
      </c>
      <c r="F38" s="33" t="e">
        <f>F18*Berechnung!$D$33*Berechnung!$D$34*Berechnung!#REF!/100/12</f>
        <v>#DIV/0!</v>
      </c>
      <c r="G38" s="33" t="e">
        <f>G18*Berechnung!$D$33*Berechnung!$D$34*Berechnung!#REF!/100/12</f>
        <v>#DIV/0!</v>
      </c>
      <c r="H38" s="33" t="e">
        <f>H18*Berechnung!$D$33*Berechnung!$D$34*Berechnung!#REF!/100/12</f>
        <v>#DIV/0!</v>
      </c>
      <c r="I38" s="33" t="e">
        <f>I18*Berechnung!$D$33*Berechnung!$D$34*Berechnung!#REF!/100/12</f>
        <v>#DIV/0!</v>
      </c>
      <c r="J38" s="33" t="e">
        <f>J18*Berechnung!$D$33*Berechnung!$D$34*Berechnung!#REF!/100/12</f>
        <v>#DIV/0!</v>
      </c>
      <c r="K38" s="33" t="e">
        <f>K18*Berechnung!$D$33*Berechnung!$D$34*Berechnung!#REF!/100/12</f>
        <v>#DIV/0!</v>
      </c>
      <c r="L38" s="33" t="e">
        <f>L18*Berechnung!$D$33*Berechnung!$D$34*Berechnung!#REF!/100/12</f>
        <v>#DIV/0!</v>
      </c>
      <c r="M38" s="33" t="e">
        <f>M18*Berechnung!$D$33*Berechnung!$D$34*Berechnung!#REF!/100/12</f>
        <v>#DIV/0!</v>
      </c>
    </row>
    <row r="39" spans="1:13">
      <c r="A39" s="33" t="s">
        <v>136</v>
      </c>
      <c r="B39" s="54" t="e">
        <f>0.0074*Berechnung!D11*Berechnung!D33*Berechnung!D34*Berechnung!#REF!/100</f>
        <v>#REF!</v>
      </c>
    </row>
    <row r="41" spans="1:13">
      <c r="A41" s="33" t="s">
        <v>137</v>
      </c>
      <c r="B41" s="32" t="e">
        <f>SUM(B37:M37)*1.1</f>
        <v>#DIV/0!</v>
      </c>
    </row>
    <row r="43" spans="1:13">
      <c r="A43" s="56" t="str">
        <f>Sprachen!C113</f>
        <v>Karlsruhe</v>
      </c>
    </row>
    <row r="44" spans="1:13">
      <c r="A44" s="56" t="str">
        <f>Sprachen!C114</f>
        <v>Hamburg</v>
      </c>
    </row>
    <row r="45" spans="1:13">
      <c r="A45" s="56" t="str">
        <f>Sprachen!C115</f>
        <v>Berlin</v>
      </c>
    </row>
    <row r="46" spans="1:13">
      <c r="A46" s="56" t="str">
        <f>Sprachen!C116</f>
        <v>München</v>
      </c>
    </row>
    <row r="47" spans="1:13">
      <c r="A47" s="56" t="str">
        <f>Sprachen!C117</f>
        <v>Benutzerdefiniert</v>
      </c>
    </row>
    <row r="49" spans="1:2" ht="14.25">
      <c r="A49" s="57" t="str">
        <f>Sprachen!C122</f>
        <v>EUR</v>
      </c>
    </row>
    <row r="50" spans="1:2" ht="14.25">
      <c r="A50" s="57" t="str">
        <f>Sprachen!C123</f>
        <v>CHF</v>
      </c>
    </row>
    <row r="51" spans="1:2" ht="14.25">
      <c r="A51" s="57" t="str">
        <f>Sprachen!C124</f>
        <v>GBP</v>
      </c>
    </row>
    <row r="52" spans="1:2" ht="14.25">
      <c r="A52" s="57" t="str">
        <f>Sprachen!C125</f>
        <v>USD</v>
      </c>
    </row>
    <row r="53" spans="1:2" ht="14.25">
      <c r="A53" s="57" t="str">
        <f>Sprachen!C126</f>
        <v>JPY</v>
      </c>
    </row>
    <row r="54" spans="1:2" ht="14.25">
      <c r="A54" s="55"/>
    </row>
    <row r="55" spans="1:2" ht="14.25">
      <c r="A55" s="55" t="s">
        <v>209</v>
      </c>
    </row>
    <row r="56" spans="1:2" ht="14.25">
      <c r="A56" s="55" t="s">
        <v>179</v>
      </c>
      <c r="B56" s="33">
        <v>1</v>
      </c>
    </row>
    <row r="57" spans="1:2" ht="14.25">
      <c r="A57" s="55" t="s">
        <v>180</v>
      </c>
      <c r="B57" s="33">
        <v>1.5549999999999999</v>
      </c>
    </row>
    <row r="58" spans="1:2" ht="14.25">
      <c r="A58" s="55" t="s">
        <v>181</v>
      </c>
      <c r="B58" s="33">
        <v>0.68400000000000005</v>
      </c>
    </row>
    <row r="59" spans="1:2">
      <c r="A59" s="33" t="s">
        <v>182</v>
      </c>
      <c r="B59" s="33">
        <v>1.194</v>
      </c>
    </row>
    <row r="60" spans="1:2">
      <c r="A60" s="33" t="s">
        <v>183</v>
      </c>
      <c r="B60" s="33">
        <v>138.273</v>
      </c>
    </row>
  </sheetData>
  <mergeCells count="1">
    <mergeCell ref="A6:E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14"/>
  <dimension ref="A1:P12"/>
  <sheetViews>
    <sheetView showGridLines="0" showRowColHeaders="0" workbookViewId="0"/>
  </sheetViews>
  <sheetFormatPr baseColWidth="10" defaultRowHeight="15"/>
  <cols>
    <col min="1" max="1" width="29.625" style="145" customWidth="1"/>
    <col min="2" max="13" width="8.5" style="145" customWidth="1"/>
    <col min="14" max="16384" width="11" style="145"/>
  </cols>
  <sheetData>
    <row r="1" spans="1:16" ht="18.75">
      <c r="A1" s="143" t="str">
        <f>Sprachen!A135</f>
        <v>Klimadaten für den Ort:</v>
      </c>
      <c r="B1" s="144" t="s">
        <v>554</v>
      </c>
    </row>
    <row r="2" spans="1:16" ht="6" customHeight="1">
      <c r="A2" s="146"/>
      <c r="B2" s="146"/>
    </row>
    <row r="3" spans="1:16" ht="6" customHeight="1">
      <c r="A3" s="147"/>
      <c r="B3" s="146"/>
    </row>
    <row r="4" spans="1:16" s="149" customFormat="1" ht="6" customHeight="1">
      <c r="A4" s="211"/>
      <c r="B4" s="211"/>
      <c r="C4" s="211"/>
      <c r="D4" s="211"/>
      <c r="E4" s="211"/>
      <c r="F4" s="148"/>
      <c r="G4" s="148"/>
      <c r="H4" s="148"/>
      <c r="I4" s="148"/>
      <c r="J4" s="148"/>
      <c r="K4" s="148"/>
      <c r="L4" s="148"/>
      <c r="M4" s="148"/>
    </row>
    <row r="5" spans="1:16" ht="15.75">
      <c r="A5" s="150" t="str">
        <f>Sprachen!A136</f>
        <v>Monatswerte</v>
      </c>
      <c r="B5" s="151" t="str">
        <f>Sprachen!A144</f>
        <v>Januar</v>
      </c>
      <c r="C5" s="151" t="str">
        <f>Sprachen!A145</f>
        <v>Februar</v>
      </c>
      <c r="D5" s="151" t="str">
        <f>Sprachen!A146</f>
        <v>März</v>
      </c>
      <c r="E5" s="151" t="str">
        <f>Sprachen!A147</f>
        <v>April</v>
      </c>
      <c r="F5" s="151" t="str">
        <f>Sprachen!A148</f>
        <v>Mai</v>
      </c>
      <c r="G5" s="151" t="str">
        <f>Sprachen!A149</f>
        <v>Juni</v>
      </c>
      <c r="H5" s="151" t="str">
        <f>Sprachen!A150</f>
        <v>Juli</v>
      </c>
      <c r="I5" s="151" t="str">
        <f>Sprachen!A151</f>
        <v>August</v>
      </c>
      <c r="J5" s="151" t="str">
        <f>Sprachen!A152</f>
        <v>September</v>
      </c>
      <c r="K5" s="151" t="str">
        <f>Sprachen!A153</f>
        <v>Oktober</v>
      </c>
      <c r="L5" s="151" t="str">
        <f>Sprachen!A154</f>
        <v>November</v>
      </c>
      <c r="M5" s="151" t="str">
        <f>Sprachen!A155</f>
        <v>Dezember</v>
      </c>
      <c r="N5" s="152"/>
    </row>
    <row r="6" spans="1:16" ht="14.25" customHeight="1">
      <c r="A6" s="150" t="str">
        <f>Sprachen!A137</f>
        <v>mittlere Temperatur</v>
      </c>
      <c r="B6" s="185">
        <v>0.9</v>
      </c>
      <c r="C6" s="186">
        <v>2.4</v>
      </c>
      <c r="D6" s="186">
        <v>5.6</v>
      </c>
      <c r="E6" s="186">
        <v>9.1</v>
      </c>
      <c r="F6" s="186">
        <v>13.1</v>
      </c>
      <c r="G6" s="186">
        <v>16.3</v>
      </c>
      <c r="H6" s="186">
        <v>18.5</v>
      </c>
      <c r="I6" s="186">
        <v>17.7</v>
      </c>
      <c r="J6" s="186">
        <v>14.8</v>
      </c>
      <c r="K6" s="186">
        <v>10.1</v>
      </c>
      <c r="L6" s="186">
        <v>4.9000000000000004</v>
      </c>
      <c r="M6" s="187">
        <v>1.8</v>
      </c>
      <c r="N6" s="152"/>
    </row>
    <row r="7" spans="1:16" ht="14.25" customHeight="1">
      <c r="A7" s="150" t="str">
        <f>Sprachen!A138</f>
        <v>mittlere maximale Temperatur</v>
      </c>
      <c r="B7" s="188">
        <v>3.6</v>
      </c>
      <c r="C7" s="189">
        <v>5.8</v>
      </c>
      <c r="D7" s="189">
        <v>9.9</v>
      </c>
      <c r="E7" s="189">
        <v>14</v>
      </c>
      <c r="F7" s="189">
        <v>18.399999999999999</v>
      </c>
      <c r="G7" s="189">
        <v>21.7</v>
      </c>
      <c r="H7" s="189">
        <v>24.2</v>
      </c>
      <c r="I7" s="189">
        <v>23.5</v>
      </c>
      <c r="J7" s="189">
        <v>20.3</v>
      </c>
      <c r="K7" s="189">
        <v>14.8</v>
      </c>
      <c r="L7" s="189">
        <v>8.3000000000000007</v>
      </c>
      <c r="M7" s="190">
        <v>4.5</v>
      </c>
      <c r="N7" s="152"/>
    </row>
    <row r="8" spans="1:16" ht="14.25" customHeight="1">
      <c r="A8" s="150" t="str">
        <f>Sprachen!A139</f>
        <v>mittlere minimale Temperatur</v>
      </c>
      <c r="B8" s="188" t="s">
        <v>542</v>
      </c>
      <c r="C8" s="189" t="s">
        <v>542</v>
      </c>
      <c r="D8" s="189" t="s">
        <v>542</v>
      </c>
      <c r="E8" s="189" t="s">
        <v>542</v>
      </c>
      <c r="F8" s="189" t="s">
        <v>542</v>
      </c>
      <c r="G8" s="189" t="s">
        <v>542</v>
      </c>
      <c r="H8" s="189" t="s">
        <v>542</v>
      </c>
      <c r="I8" s="189" t="s">
        <v>542</v>
      </c>
      <c r="J8" s="189" t="s">
        <v>542</v>
      </c>
      <c r="K8" s="189" t="s">
        <v>542</v>
      </c>
      <c r="L8" s="189" t="s">
        <v>542</v>
      </c>
      <c r="M8" s="190" t="s">
        <v>542</v>
      </c>
      <c r="N8" s="152"/>
    </row>
    <row r="9" spans="1:16" ht="14.25" customHeight="1">
      <c r="A9" s="150" t="str">
        <f>Sprachen!A140</f>
        <v>absolute maximale Temperatur</v>
      </c>
      <c r="B9" s="188">
        <v>11.1</v>
      </c>
      <c r="C9" s="189">
        <v>13.3</v>
      </c>
      <c r="D9" s="189">
        <v>17.399999999999999</v>
      </c>
      <c r="E9" s="189">
        <v>21.5</v>
      </c>
      <c r="F9" s="189">
        <v>25.9</v>
      </c>
      <c r="G9" s="189">
        <v>29.2</v>
      </c>
      <c r="H9" s="189">
        <v>32.200000000000003</v>
      </c>
      <c r="I9" s="189">
        <v>31</v>
      </c>
      <c r="J9" s="189">
        <v>27.8</v>
      </c>
      <c r="K9" s="189">
        <v>22.3</v>
      </c>
      <c r="L9" s="189">
        <v>15.8</v>
      </c>
      <c r="M9" s="190">
        <v>12</v>
      </c>
      <c r="N9" s="152"/>
    </row>
    <row r="10" spans="1:16" ht="14.25" customHeight="1">
      <c r="A10" s="150" t="str">
        <f>Sprachen!A141</f>
        <v>absolute minimale Temperatur</v>
      </c>
      <c r="B10" s="188" t="s">
        <v>542</v>
      </c>
      <c r="C10" s="189" t="s">
        <v>542</v>
      </c>
      <c r="D10" s="189" t="s">
        <v>542</v>
      </c>
      <c r="E10" s="189" t="s">
        <v>542</v>
      </c>
      <c r="F10" s="189" t="s">
        <v>542</v>
      </c>
      <c r="G10" s="189" t="s">
        <v>542</v>
      </c>
      <c r="H10" s="189" t="s">
        <v>542</v>
      </c>
      <c r="I10" s="189" t="s">
        <v>542</v>
      </c>
      <c r="J10" s="189" t="s">
        <v>542</v>
      </c>
      <c r="K10" s="189" t="s">
        <v>542</v>
      </c>
      <c r="L10" s="189" t="s">
        <v>542</v>
      </c>
      <c r="M10" s="190" t="s">
        <v>542</v>
      </c>
      <c r="N10" s="152"/>
    </row>
    <row r="11" spans="1:16" ht="14.25" customHeight="1">
      <c r="A11" s="150" t="str">
        <f>Sprachen!A142</f>
        <v>mittlere relative Luftfeuchte</v>
      </c>
      <c r="B11" s="191">
        <v>82.3</v>
      </c>
      <c r="C11" s="192">
        <v>78.400000000000006</v>
      </c>
      <c r="D11" s="192">
        <v>73.400000000000006</v>
      </c>
      <c r="E11" s="192">
        <v>71</v>
      </c>
      <c r="F11" s="192">
        <v>72.599999999999994</v>
      </c>
      <c r="G11" s="192">
        <v>71.8</v>
      </c>
      <c r="H11" s="192">
        <v>70.599999999999994</v>
      </c>
      <c r="I11" s="192">
        <v>73.8</v>
      </c>
      <c r="J11" s="192">
        <v>78.099999999999994</v>
      </c>
      <c r="K11" s="192">
        <v>81.7</v>
      </c>
      <c r="L11" s="192">
        <v>82.2</v>
      </c>
      <c r="M11" s="193">
        <v>82.4</v>
      </c>
      <c r="N11" s="152"/>
    </row>
    <row r="12" spans="1:16" ht="14.25" customHeight="1">
      <c r="A12" s="153"/>
      <c r="B12" s="184" t="s">
        <v>569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</row>
  </sheetData>
  <sheetProtection password="CB96" sheet="1" objects="1" scenarios="1"/>
  <mergeCells count="1">
    <mergeCell ref="A4:E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6145" r:id="rId4" name="zurueck_CB"/>
    <control shapeId="6146" r:id="rId5" name="zuruecksetzen_CB"/>
    <control shapeId="6147" r:id="rId6" name="speichern_CB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2"/>
  <dimension ref="A1:B8"/>
  <sheetViews>
    <sheetView workbookViewId="0"/>
  </sheetViews>
  <sheetFormatPr baseColWidth="10" defaultRowHeight="14.25"/>
  <sheetData>
    <row r="1" spans="1:2">
      <c r="A1" s="2" t="s">
        <v>23</v>
      </c>
      <c r="B1" s="2" t="s">
        <v>24</v>
      </c>
    </row>
    <row r="2" spans="1:2">
      <c r="A2" s="2"/>
      <c r="B2" s="2"/>
    </row>
    <row r="3" spans="1:2">
      <c r="A3" s="2" t="s">
        <v>25</v>
      </c>
      <c r="B3" s="3">
        <v>152</v>
      </c>
    </row>
    <row r="4" spans="1:2">
      <c r="A4" s="2" t="s">
        <v>26</v>
      </c>
      <c r="B4" s="3">
        <v>180</v>
      </c>
    </row>
    <row r="5" spans="1:2">
      <c r="A5" s="2" t="s">
        <v>27</v>
      </c>
      <c r="B5" s="3">
        <v>256</v>
      </c>
    </row>
    <row r="6" spans="1:2">
      <c r="A6" s="2" t="s">
        <v>28</v>
      </c>
      <c r="B6" s="3">
        <v>372</v>
      </c>
    </row>
    <row r="7" spans="1:2" ht="25.5">
      <c r="A7" s="4" t="s">
        <v>29</v>
      </c>
      <c r="B7" s="5" t="e">
        <f>Berechnung!#REF!</f>
        <v>#REF!</v>
      </c>
    </row>
    <row r="8" spans="1:2">
      <c r="A8" s="2" t="s">
        <v>30</v>
      </c>
      <c r="B8" s="5" t="e">
        <f>Berechnung!#REF!</f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/>
  <dimension ref="A1:G21"/>
  <sheetViews>
    <sheetView workbookViewId="0"/>
  </sheetViews>
  <sheetFormatPr baseColWidth="10" defaultRowHeight="14.25"/>
  <cols>
    <col min="4" max="4" width="33.75" customWidth="1"/>
  </cols>
  <sheetData>
    <row r="1" spans="1:7" ht="69.75" customHeight="1">
      <c r="A1" s="6" t="s">
        <v>31</v>
      </c>
      <c r="B1" s="7" t="s">
        <v>32</v>
      </c>
      <c r="C1" s="8" t="s">
        <v>21</v>
      </c>
      <c r="D1" s="9" t="s">
        <v>33</v>
      </c>
    </row>
    <row r="2" spans="1:7">
      <c r="A2" s="10">
        <v>1</v>
      </c>
      <c r="B2" s="11">
        <v>8.3333333333333321</v>
      </c>
      <c r="C2" s="12">
        <v>0.03</v>
      </c>
      <c r="D2" s="10">
        <f>C2*2</f>
        <v>0.06</v>
      </c>
      <c r="G2" s="16"/>
    </row>
    <row r="3" spans="1:7">
      <c r="A3" s="10">
        <v>1.2</v>
      </c>
      <c r="B3" s="11">
        <v>10.416666666666666</v>
      </c>
      <c r="C3" s="12">
        <v>3.7499999999999999E-2</v>
      </c>
      <c r="D3" s="10">
        <f t="shared" ref="D3:D21" si="0">C3*2</f>
        <v>7.4999999999999997E-2</v>
      </c>
      <c r="G3" s="16"/>
    </row>
    <row r="4" spans="1:7">
      <c r="A4" s="10">
        <v>1.6</v>
      </c>
      <c r="B4" s="11">
        <v>16.666666666666664</v>
      </c>
      <c r="C4" s="12">
        <v>0.06</v>
      </c>
      <c r="D4" s="10">
        <f t="shared" si="0"/>
        <v>0.12</v>
      </c>
      <c r="G4" s="16"/>
    </row>
    <row r="5" spans="1:7">
      <c r="A5" s="10">
        <v>2</v>
      </c>
      <c r="B5" s="11">
        <v>31.111111111111107</v>
      </c>
      <c r="C5" s="12">
        <v>0.11199999999999999</v>
      </c>
      <c r="D5" s="10">
        <f t="shared" si="0"/>
        <v>0.22399999999999998</v>
      </c>
      <c r="G5" s="16"/>
    </row>
    <row r="6" spans="1:7">
      <c r="A6" s="10">
        <v>2.4</v>
      </c>
      <c r="B6" s="11">
        <v>36.111111111111114</v>
      </c>
      <c r="C6" s="12">
        <v>0.13</v>
      </c>
      <c r="D6" s="10">
        <f t="shared" si="0"/>
        <v>0.26</v>
      </c>
      <c r="G6" s="16"/>
    </row>
    <row r="7" spans="1:7">
      <c r="A7" s="10">
        <v>2.5</v>
      </c>
      <c r="B7" s="11">
        <v>44.444444444444443</v>
      </c>
      <c r="C7" s="12">
        <v>0.16</v>
      </c>
      <c r="D7" s="10">
        <f t="shared" si="0"/>
        <v>0.32</v>
      </c>
      <c r="G7" s="16"/>
    </row>
    <row r="8" spans="1:7">
      <c r="A8" s="10">
        <v>3</v>
      </c>
      <c r="B8" s="11">
        <v>66.666666666666657</v>
      </c>
      <c r="C8" s="12">
        <v>0.24</v>
      </c>
      <c r="D8" s="10">
        <f t="shared" si="0"/>
        <v>0.48</v>
      </c>
      <c r="G8" s="16"/>
    </row>
    <row r="9" spans="1:7">
      <c r="A9" s="10">
        <v>4</v>
      </c>
      <c r="B9" s="11">
        <v>112.5</v>
      </c>
      <c r="C9" s="12">
        <v>0.40500000000000003</v>
      </c>
      <c r="D9" s="10">
        <f t="shared" si="0"/>
        <v>0.81</v>
      </c>
      <c r="G9" s="16"/>
    </row>
    <row r="10" spans="1:7">
      <c r="A10" s="10">
        <v>5</v>
      </c>
      <c r="B10" s="11">
        <v>180.55555555555557</v>
      </c>
      <c r="C10" s="12">
        <v>0.65</v>
      </c>
      <c r="D10" s="10">
        <f t="shared" si="0"/>
        <v>1.3</v>
      </c>
      <c r="G10" s="16"/>
    </row>
    <row r="11" spans="1:7">
      <c r="A11" s="10">
        <v>6</v>
      </c>
      <c r="B11" s="11">
        <v>202.77777777777774</v>
      </c>
      <c r="C11" s="12">
        <v>0.73</v>
      </c>
      <c r="D11" s="10">
        <f t="shared" si="0"/>
        <v>1.46</v>
      </c>
      <c r="G11" s="16"/>
    </row>
    <row r="12" spans="1:7">
      <c r="A12" s="10">
        <v>7</v>
      </c>
      <c r="B12" s="11">
        <v>226.38888888888886</v>
      </c>
      <c r="C12" s="12">
        <v>0.81499999999999995</v>
      </c>
      <c r="D12" s="10">
        <f t="shared" si="0"/>
        <v>1.63</v>
      </c>
      <c r="G12" s="16"/>
    </row>
    <row r="13" spans="1:7">
      <c r="A13" s="10">
        <v>8</v>
      </c>
      <c r="B13" s="11">
        <v>250</v>
      </c>
      <c r="C13" s="12">
        <v>0.9</v>
      </c>
      <c r="D13" s="10">
        <f t="shared" si="0"/>
        <v>1.8</v>
      </c>
      <c r="G13" s="16"/>
    </row>
    <row r="14" spans="1:7">
      <c r="A14" s="10">
        <v>9</v>
      </c>
      <c r="B14" s="11">
        <v>333.33333333333331</v>
      </c>
      <c r="C14" s="12">
        <v>1.2</v>
      </c>
      <c r="D14" s="10">
        <f t="shared" si="0"/>
        <v>2.4</v>
      </c>
      <c r="G14" s="16"/>
    </row>
    <row r="15" spans="1:7">
      <c r="A15" s="10">
        <v>10</v>
      </c>
      <c r="B15" s="11">
        <v>416.66666666666663</v>
      </c>
      <c r="C15" s="12">
        <v>1.5</v>
      </c>
      <c r="D15" s="10">
        <f t="shared" si="0"/>
        <v>3</v>
      </c>
      <c r="G15" s="16"/>
    </row>
    <row r="16" spans="1:7">
      <c r="A16" s="10">
        <v>11</v>
      </c>
      <c r="B16" s="11">
        <v>476.85185185185185</v>
      </c>
      <c r="C16" s="12">
        <v>1.7166666666666668</v>
      </c>
      <c r="D16" s="10">
        <f t="shared" si="0"/>
        <v>3.4333333333333336</v>
      </c>
      <c r="G16" s="16"/>
    </row>
    <row r="17" spans="1:7">
      <c r="A17" s="10">
        <v>12</v>
      </c>
      <c r="B17" s="11">
        <v>537.03703703703707</v>
      </c>
      <c r="C17" s="12">
        <v>1.9333333333333336</v>
      </c>
      <c r="D17" s="10">
        <f t="shared" si="0"/>
        <v>3.8666666666666671</v>
      </c>
      <c r="G17" s="16"/>
    </row>
    <row r="18" spans="1:7">
      <c r="A18" s="10">
        <v>16</v>
      </c>
      <c r="B18" s="11">
        <v>777.77777777777771</v>
      </c>
      <c r="C18" s="12">
        <v>2.8</v>
      </c>
      <c r="D18" s="10">
        <f t="shared" si="0"/>
        <v>5.6</v>
      </c>
      <c r="G18" s="16"/>
    </row>
    <row r="19" spans="1:7">
      <c r="A19" s="10">
        <v>18</v>
      </c>
      <c r="B19" s="11">
        <v>1083.3333333333333</v>
      </c>
      <c r="C19" s="12">
        <v>3.9</v>
      </c>
      <c r="D19" s="10">
        <f t="shared" si="0"/>
        <v>7.8</v>
      </c>
      <c r="G19" s="16"/>
    </row>
    <row r="20" spans="1:7">
      <c r="A20" s="10">
        <v>20</v>
      </c>
      <c r="B20" s="11">
        <v>1388.8888888888889</v>
      </c>
      <c r="C20" s="12">
        <v>5</v>
      </c>
      <c r="D20" s="10">
        <f t="shared" si="0"/>
        <v>10</v>
      </c>
      <c r="G20" s="16"/>
    </row>
    <row r="21" spans="1:7">
      <c r="A21" s="10">
        <v>25</v>
      </c>
      <c r="B21" s="11">
        <v>2777.7777777777778</v>
      </c>
      <c r="C21" s="12">
        <v>10</v>
      </c>
      <c r="D21" s="10">
        <f t="shared" si="0"/>
        <v>20</v>
      </c>
      <c r="G21" s="1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7"/>
  <dimension ref="A1:O10"/>
  <sheetViews>
    <sheetView workbookViewId="0">
      <selection sqref="A1:M1"/>
    </sheetView>
  </sheetViews>
  <sheetFormatPr baseColWidth="10" defaultRowHeight="14.25"/>
  <cols>
    <col min="1" max="14" width="7.375" customWidth="1"/>
  </cols>
  <sheetData>
    <row r="1" spans="1:15">
      <c r="A1" s="212" t="s">
        <v>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10"/>
    </row>
    <row r="2" spans="1:15">
      <c r="A2" s="213" t="s">
        <v>35</v>
      </c>
      <c r="B2" s="214" t="s">
        <v>36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10"/>
    </row>
    <row r="3" spans="1:15">
      <c r="A3" s="213"/>
      <c r="B3" s="13">
        <v>0.5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10</v>
      </c>
      <c r="L3" s="13">
        <v>12</v>
      </c>
      <c r="M3" s="13">
        <v>15</v>
      </c>
      <c r="N3" s="10"/>
    </row>
    <row r="4" spans="1:15">
      <c r="A4" s="14">
        <v>1.5</v>
      </c>
      <c r="B4" s="15">
        <v>0.03</v>
      </c>
      <c r="C4" s="15">
        <v>4.2000000000000003E-2</v>
      </c>
      <c r="D4" s="15">
        <v>6.3E-2</v>
      </c>
      <c r="E4" s="15">
        <v>8.4000000000000005E-2</v>
      </c>
      <c r="F4" s="15">
        <v>0.104</v>
      </c>
      <c r="G4" s="15">
        <v>0.125</v>
      </c>
      <c r="H4" s="15">
        <v>0.14599999999999999</v>
      </c>
      <c r="I4" s="15">
        <v>0.16700000000000001</v>
      </c>
      <c r="J4" s="15">
        <v>0.188</v>
      </c>
      <c r="K4" s="15">
        <v>0.23</v>
      </c>
      <c r="L4" s="15">
        <v>0.27200000000000002</v>
      </c>
      <c r="M4" s="15">
        <v>0.33500000000000002</v>
      </c>
      <c r="N4" s="10"/>
    </row>
    <row r="5" spans="1:15">
      <c r="A5" s="14">
        <v>2</v>
      </c>
      <c r="B5" s="15">
        <v>5.3999999999999999E-2</v>
      </c>
      <c r="C5" s="15">
        <v>7.3999999999999996E-2</v>
      </c>
      <c r="D5" s="15">
        <v>0.111</v>
      </c>
      <c r="E5" s="15">
        <v>0.14799999999999999</v>
      </c>
      <c r="F5" s="15">
        <v>0.185</v>
      </c>
      <c r="G5" s="15">
        <v>0.222</v>
      </c>
      <c r="H5" s="15">
        <v>0.26</v>
      </c>
      <c r="I5" s="15">
        <v>0.29599999999999999</v>
      </c>
      <c r="J5" s="15">
        <v>0.33400000000000002</v>
      </c>
      <c r="K5" s="15">
        <v>0.40799999999999997</v>
      </c>
      <c r="L5" s="15">
        <v>0.48199999999999998</v>
      </c>
      <c r="M5" s="15">
        <v>0.59399999999999997</v>
      </c>
      <c r="N5" s="10"/>
    </row>
    <row r="6" spans="1:15">
      <c r="A6" s="14">
        <v>3</v>
      </c>
      <c r="B6" s="15">
        <v>0.121</v>
      </c>
      <c r="C6" s="15">
        <v>0.16700000000000001</v>
      </c>
      <c r="D6" s="15">
        <v>0.251</v>
      </c>
      <c r="E6" s="15">
        <v>0.33400000000000002</v>
      </c>
      <c r="F6" s="15">
        <v>0.41799999999999998</v>
      </c>
      <c r="G6" s="15">
        <v>0.501</v>
      </c>
      <c r="H6" s="15">
        <v>0.58499999999999996</v>
      </c>
      <c r="I6" s="15">
        <v>0.66800000000000004</v>
      </c>
      <c r="J6" s="15">
        <v>0.752</v>
      </c>
      <c r="K6" s="15">
        <v>0.91900000000000004</v>
      </c>
      <c r="L6" s="15">
        <v>1.0900000000000001</v>
      </c>
      <c r="M6" s="15">
        <v>1.34</v>
      </c>
      <c r="N6" s="10"/>
      <c r="O6" t="s">
        <v>46</v>
      </c>
    </row>
    <row r="7" spans="1:15">
      <c r="A7" s="14">
        <v>4</v>
      </c>
      <c r="B7" s="15">
        <v>0.216</v>
      </c>
      <c r="C7" s="15">
        <v>0.29699999999999999</v>
      </c>
      <c r="D7" s="15">
        <v>0.44700000000000001</v>
      </c>
      <c r="E7" s="15">
        <v>0.59499999999999997</v>
      </c>
      <c r="F7" s="15">
        <v>0.745</v>
      </c>
      <c r="G7" s="15">
        <v>0.89400000000000002</v>
      </c>
      <c r="H7" s="15">
        <v>1.04</v>
      </c>
      <c r="I7" s="15">
        <v>1.19</v>
      </c>
      <c r="J7" s="15">
        <v>1.34</v>
      </c>
      <c r="K7" s="15">
        <v>1.64</v>
      </c>
      <c r="L7" s="15">
        <v>1.94</v>
      </c>
      <c r="M7" s="15">
        <v>2.38</v>
      </c>
      <c r="N7" s="10"/>
    </row>
    <row r="8" spans="1:15">
      <c r="A8" s="14">
        <v>5</v>
      </c>
      <c r="B8" s="15">
        <v>0.33300000000000002</v>
      </c>
      <c r="C8" s="15">
        <v>0.46500000000000002</v>
      </c>
      <c r="D8" s="15">
        <v>0.69499999999999995</v>
      </c>
      <c r="E8" s="15">
        <v>0.92700000000000005</v>
      </c>
      <c r="F8" s="15">
        <v>1.1599999999999999</v>
      </c>
      <c r="G8" s="15">
        <v>1.39</v>
      </c>
      <c r="H8" s="15">
        <v>1.62</v>
      </c>
      <c r="I8" s="15">
        <v>1.86</v>
      </c>
      <c r="J8" s="15">
        <v>2.09</v>
      </c>
      <c r="K8" s="15">
        <v>2.5499999999999998</v>
      </c>
      <c r="L8" s="15">
        <v>3.01</v>
      </c>
      <c r="M8" s="15">
        <v>3.71</v>
      </c>
      <c r="N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3">
    <mergeCell ref="A1:M1"/>
    <mergeCell ref="A2:A3"/>
    <mergeCell ref="B2:M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8"/>
  <dimension ref="A1:C55"/>
  <sheetViews>
    <sheetView workbookViewId="0"/>
  </sheetViews>
  <sheetFormatPr baseColWidth="10" defaultRowHeight="14.25"/>
  <cols>
    <col min="1" max="1" width="21.875" customWidth="1"/>
    <col min="2" max="2" width="24.875" customWidth="1"/>
  </cols>
  <sheetData>
    <row r="1" spans="1:3" ht="28.5">
      <c r="A1" s="17" t="s">
        <v>48</v>
      </c>
      <c r="B1" s="17" t="s">
        <v>50</v>
      </c>
    </row>
    <row r="2" spans="1:3">
      <c r="A2" s="18" t="s">
        <v>49</v>
      </c>
      <c r="B2" s="18" t="s">
        <v>51</v>
      </c>
    </row>
    <row r="3" spans="1:3">
      <c r="A3" s="19">
        <v>-20</v>
      </c>
      <c r="B3" s="19">
        <v>0.9</v>
      </c>
    </row>
    <row r="4" spans="1:3">
      <c r="A4" s="19">
        <v>-15</v>
      </c>
      <c r="B4" s="19">
        <v>1.4</v>
      </c>
    </row>
    <row r="5" spans="1:3">
      <c r="A5" s="19">
        <v>-10</v>
      </c>
      <c r="B5" s="19">
        <v>2.1</v>
      </c>
    </row>
    <row r="6" spans="1:3">
      <c r="A6" s="19">
        <v>-8</v>
      </c>
      <c r="B6" s="19">
        <v>2.5</v>
      </c>
    </row>
    <row r="7" spans="1:3">
      <c r="A7" s="19">
        <v>-6</v>
      </c>
      <c r="B7" s="19">
        <v>3</v>
      </c>
    </row>
    <row r="8" spans="1:3">
      <c r="A8" s="19">
        <v>-4</v>
      </c>
      <c r="B8" s="19">
        <v>3.5</v>
      </c>
    </row>
    <row r="9" spans="1:3">
      <c r="A9" s="19">
        <v>-3</v>
      </c>
      <c r="B9" s="19">
        <v>3.8889999999999998</v>
      </c>
    </row>
    <row r="10" spans="1:3">
      <c r="A10" s="19">
        <v>-2</v>
      </c>
      <c r="B10" s="19">
        <v>4.0999999999999996</v>
      </c>
    </row>
    <row r="11" spans="1:3">
      <c r="A11" s="19">
        <v>-1</v>
      </c>
      <c r="B11" s="19">
        <v>4.4870000000000001</v>
      </c>
    </row>
    <row r="12" spans="1:3">
      <c r="A12" s="19">
        <v>0</v>
      </c>
      <c r="B12" s="19">
        <v>4.8680000000000003</v>
      </c>
    </row>
    <row r="13" spans="1:3">
      <c r="A13" s="19">
        <v>2</v>
      </c>
      <c r="B13" s="19">
        <v>5.6</v>
      </c>
    </row>
    <row r="14" spans="1:3">
      <c r="A14" s="19">
        <v>4</v>
      </c>
      <c r="B14" s="19">
        <v>6.359</v>
      </c>
    </row>
    <row r="15" spans="1:3">
      <c r="A15" s="19">
        <v>6</v>
      </c>
      <c r="B15" s="19">
        <v>7.3</v>
      </c>
    </row>
    <row r="16" spans="1:3">
      <c r="A16" s="19">
        <v>8</v>
      </c>
      <c r="B16" s="19">
        <v>8.2430000000000003</v>
      </c>
      <c r="C16">
        <v>8.3000000000000007</v>
      </c>
    </row>
    <row r="17" spans="1:3">
      <c r="A17" s="19">
        <v>9</v>
      </c>
      <c r="B17" s="19">
        <v>8.7840000000000007</v>
      </c>
    </row>
    <row r="18" spans="1:3">
      <c r="A18" s="19">
        <v>10</v>
      </c>
      <c r="B18" s="19">
        <v>9.3559999999999999</v>
      </c>
    </row>
    <row r="19" spans="1:3">
      <c r="A19" s="19">
        <v>11</v>
      </c>
      <c r="B19" s="19">
        <v>9.9610000000000003</v>
      </c>
    </row>
    <row r="20" spans="1:3">
      <c r="A20" s="19">
        <v>12</v>
      </c>
      <c r="B20" s="19">
        <v>10.7</v>
      </c>
    </row>
    <row r="21" spans="1:3">
      <c r="A21" s="19">
        <v>13</v>
      </c>
      <c r="B21" s="19">
        <v>11.276</v>
      </c>
    </row>
    <row r="22" spans="1:3">
      <c r="A22" s="19">
        <v>14</v>
      </c>
      <c r="B22" s="19">
        <v>11.987</v>
      </c>
    </row>
    <row r="23" spans="1:3">
      <c r="A23" s="19">
        <v>15</v>
      </c>
      <c r="B23" s="19">
        <v>12.739000000000001</v>
      </c>
      <c r="C23">
        <v>12.9</v>
      </c>
    </row>
    <row r="24" spans="1:3">
      <c r="A24" s="19">
        <v>16</v>
      </c>
      <c r="B24" s="19">
        <v>13.531000000000001</v>
      </c>
    </row>
    <row r="25" spans="1:3">
      <c r="A25" s="19">
        <v>17</v>
      </c>
      <c r="B25" s="19">
        <v>14.367000000000001</v>
      </c>
    </row>
    <row r="26" spans="1:3">
      <c r="A26" s="19">
        <v>18</v>
      </c>
      <c r="B26" s="19">
        <v>15.246</v>
      </c>
    </row>
    <row r="27" spans="1:3">
      <c r="A27" s="19">
        <v>19</v>
      </c>
      <c r="B27" s="19">
        <v>16.3</v>
      </c>
    </row>
    <row r="28" spans="1:3">
      <c r="A28" s="19">
        <v>20</v>
      </c>
      <c r="B28" s="19">
        <v>17.148</v>
      </c>
      <c r="C28">
        <v>17.3</v>
      </c>
    </row>
    <row r="29" spans="1:3">
      <c r="A29" s="19">
        <v>21</v>
      </c>
      <c r="B29" s="19">
        <v>18.399999999999999</v>
      </c>
    </row>
    <row r="30" spans="1:3">
      <c r="A30" s="19">
        <v>22</v>
      </c>
      <c r="B30" s="19">
        <v>19.5</v>
      </c>
    </row>
    <row r="31" spans="1:3">
      <c r="A31" s="19">
        <v>23</v>
      </c>
      <c r="B31" s="19">
        <v>20.6</v>
      </c>
    </row>
    <row r="32" spans="1:3">
      <c r="A32" s="19">
        <v>24</v>
      </c>
      <c r="B32" s="19">
        <v>21.8</v>
      </c>
    </row>
    <row r="33" spans="1:3">
      <c r="A33" s="19">
        <v>25</v>
      </c>
      <c r="B33" s="19">
        <v>23.1</v>
      </c>
    </row>
    <row r="34" spans="1:3">
      <c r="A34" s="19">
        <v>26</v>
      </c>
      <c r="B34" s="19">
        <v>24.4</v>
      </c>
    </row>
    <row r="35" spans="1:3">
      <c r="A35" s="19">
        <v>28</v>
      </c>
      <c r="B35" s="19">
        <v>27.2</v>
      </c>
    </row>
    <row r="36" spans="1:3">
      <c r="A36" s="19">
        <v>30</v>
      </c>
      <c r="B36" s="19">
        <v>30.4</v>
      </c>
    </row>
    <row r="37" spans="1:3">
      <c r="A37" s="19">
        <v>32</v>
      </c>
      <c r="B37" s="19">
        <v>33.799999999999997</v>
      </c>
    </row>
    <row r="38" spans="1:3">
      <c r="A38" s="19">
        <v>34</v>
      </c>
      <c r="B38" s="19">
        <v>37.6</v>
      </c>
      <c r="C38" s="19"/>
    </row>
    <row r="39" spans="1:3">
      <c r="A39" s="19">
        <v>35</v>
      </c>
      <c r="B39" s="19">
        <v>39.29</v>
      </c>
      <c r="C39" s="51"/>
    </row>
    <row r="40" spans="1:3">
      <c r="A40" s="19">
        <v>36</v>
      </c>
      <c r="B40" s="19">
        <v>41.7</v>
      </c>
    </row>
    <row r="41" spans="1:3">
      <c r="A41" s="19">
        <v>38</v>
      </c>
      <c r="B41" s="19">
        <v>46.2</v>
      </c>
    </row>
    <row r="42" spans="1:3">
      <c r="A42" s="19">
        <v>40</v>
      </c>
      <c r="B42" s="19">
        <v>51.1</v>
      </c>
    </row>
    <row r="43" spans="1:3">
      <c r="A43" s="19">
        <v>42</v>
      </c>
      <c r="B43" s="19">
        <v>55.99</v>
      </c>
      <c r="C43">
        <v>56</v>
      </c>
    </row>
    <row r="44" spans="1:3">
      <c r="A44" s="19">
        <v>45</v>
      </c>
      <c r="B44" s="19">
        <v>65.400000000000006</v>
      </c>
    </row>
    <row r="45" spans="1:3">
      <c r="A45" s="19">
        <v>50</v>
      </c>
      <c r="B45" s="19">
        <v>82.3</v>
      </c>
    </row>
    <row r="46" spans="1:3">
      <c r="A46" s="19">
        <v>55</v>
      </c>
      <c r="B46" s="19">
        <v>104</v>
      </c>
    </row>
    <row r="47" spans="1:3">
      <c r="A47" s="19">
        <v>60</v>
      </c>
      <c r="B47" s="19">
        <v>130</v>
      </c>
    </row>
    <row r="48" spans="1:3">
      <c r="A48" s="19">
        <v>65</v>
      </c>
      <c r="B48" s="19">
        <v>160</v>
      </c>
    </row>
    <row r="49" spans="1:2">
      <c r="A49" s="19">
        <v>70</v>
      </c>
      <c r="B49" s="19">
        <v>197</v>
      </c>
    </row>
    <row r="50" spans="1:2">
      <c r="A50" s="19">
        <v>75</v>
      </c>
      <c r="B50" s="19">
        <v>240</v>
      </c>
    </row>
    <row r="51" spans="1:2">
      <c r="A51" s="19">
        <v>80</v>
      </c>
      <c r="B51" s="19">
        <v>291</v>
      </c>
    </row>
    <row r="52" spans="1:2">
      <c r="A52" s="19">
        <v>85</v>
      </c>
      <c r="B52" s="19">
        <v>350</v>
      </c>
    </row>
    <row r="53" spans="1:2">
      <c r="A53" s="19">
        <v>90</v>
      </c>
      <c r="B53" s="19">
        <v>419</v>
      </c>
    </row>
    <row r="54" spans="1:2">
      <c r="A54" s="19">
        <v>95</v>
      </c>
      <c r="B54" s="19">
        <v>498</v>
      </c>
    </row>
    <row r="55" spans="1:2">
      <c r="A55" s="19">
        <v>100</v>
      </c>
      <c r="B55" s="19">
        <v>589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Sprache wählen</vt:lpstr>
      <vt:lpstr>Einführung</vt:lpstr>
      <vt:lpstr>Berechnung</vt:lpstr>
      <vt:lpstr>Klimawerte</vt:lpstr>
      <vt:lpstr>Sprachen</vt:lpstr>
      <vt:lpstr>B_EUR_m3</vt:lpstr>
      <vt:lpstr>Cell_Temp_abs</vt:lpstr>
      <vt:lpstr>Cell_Temp_diff</vt:lpstr>
      <vt:lpstr>L_EUR_kWh</vt:lpstr>
      <vt:lpstr>L_EUR_m3</vt:lpstr>
      <vt:lpstr>L_kW_m3</vt:lpstr>
      <vt:lpstr>L_kW_Nm3</vt:lpstr>
      <vt:lpstr>L_kWh_m3</vt:lpstr>
      <vt:lpstr>w_CHF</vt:lpstr>
      <vt:lpstr>w_EUR</vt:lpstr>
      <vt:lpstr>w_GBP</vt:lpstr>
      <vt:lpstr>w_JPY</vt:lpstr>
      <vt:lpstr>w_USD</vt:lpstr>
    </vt:vector>
  </TitlesOfParts>
  <Company>Fraunhofer-Institut ISI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Wolf</dc:creator>
  <cp:lastModifiedBy>Diethelm</cp:lastModifiedBy>
  <cp:lastPrinted>2006-02-17T15:17:03Z</cp:lastPrinted>
  <dcterms:created xsi:type="dcterms:W3CDTF">2005-06-27T14:33:02Z</dcterms:created>
  <dcterms:modified xsi:type="dcterms:W3CDTF">2012-10-02T09:42:35Z</dcterms:modified>
</cp:coreProperties>
</file>