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89604622\Downloads\"/>
    </mc:Choice>
  </mc:AlternateContent>
  <xr:revisionPtr revIDLastSave="0" documentId="13_ncr:1_{2EEEE2A3-325F-4027-9CCC-FA8B8FEBEFCD}" xr6:coauthVersionLast="47" xr6:coauthVersionMax="47" xr10:uidLastSave="{00000000-0000-0000-0000-000000000000}"/>
  <bookViews>
    <workbookView xWindow="46905" yWindow="5385" windowWidth="14400" windowHeight="8175" xr2:uid="{00000000-000D-0000-FFFF-FFFF00000000}"/>
  </bookViews>
  <sheets>
    <sheet name="Modus Basic" sheetId="6" r:id="rId1"/>
    <sheet name="Modus Advanced" sheetId="5" r:id="rId2"/>
    <sheet name="Daten" sheetId="4" r:id="rId3"/>
  </sheets>
  <definedNames>
    <definedName name="Bas_NetGrund">Daten!$E$20</definedName>
    <definedName name="Bas_Netzkosten">Daten!$E$19</definedName>
    <definedName name="Basic_Basis_Inv100kW">'Modus Basic'!$D$26</definedName>
    <definedName name="Basic_Basis_inv11kW">'Modus Basic'!$D$24</definedName>
    <definedName name="Basic_Basis_Inv350kW">Daten!$E$32</definedName>
    <definedName name="Basic_Basis_Inv50kW">'Modus Basic'!$D$25</definedName>
    <definedName name="Basis_Contracting">Daten!$E$26</definedName>
    <definedName name="Basis_Lastmaneg">Daten!$E$25</definedName>
    <definedName name="Basis_NetGrund">Daten!$E$20</definedName>
    <definedName name="Basis_Netzkosten">Daten!$E$19</definedName>
    <definedName name="Basis_NetzMeter">Daten!$E$21</definedName>
    <definedName name="Basis_Projekt">Daten!$E$24</definedName>
    <definedName name="Basis_VertMeter">Daten!$E$22</definedName>
    <definedName name="Basis_Zwisch">Daten!$E$23</definedName>
    <definedName name="Bet_Basis">Daten!$E$11</definedName>
    <definedName name="Bet_Basis_AD">Daten!$E$12</definedName>
    <definedName name="Bet_Betrieb">Daten!$G$11</definedName>
    <definedName name="Bet_Betrieb_AD">Daten!$G$12</definedName>
    <definedName name="Bet_LIS">Daten!$F$11</definedName>
    <definedName name="Bet_LIS_AD">Daten!$F$12</definedName>
    <definedName name="Betreibermodell">'Modus Basic'!$C$13</definedName>
    <definedName name="Betreibermodell_Advanced">'Modus Advanced'!$C$13</definedName>
    <definedName name="Betrieb_AbLP">Daten!$E$48</definedName>
    <definedName name="Betrieb_AbrkWh">Daten!$E$47</definedName>
    <definedName name="Betrieb_Contracting">Daten!$E$51</definedName>
    <definedName name="Betrieb_Wartung_AC">Daten!$E$49</definedName>
    <definedName name="Betrieb_Wartung_DC">Daten!$E$50</definedName>
    <definedName name="Erweiterung_Anschluss">'Modus Advanced'!$C$22</definedName>
    <definedName name="Jahr_Advenced">'Modus Advanced'!$C$16</definedName>
    <definedName name="Jahr_Basic">'Modus Basic'!$C$16</definedName>
    <definedName name="Lastmanagement_Lebensdauer">Daten!$E$27</definedName>
    <definedName name="Leistungsfaktor">Daten!$E$18</definedName>
    <definedName name="LIS_Contracting">Daten!$E$43</definedName>
    <definedName name="LIS_Inst100kW">Daten!$E$41</definedName>
    <definedName name="LIS_Inst11kW">Daten!$E$39</definedName>
    <definedName name="LIS_Inst350kW">Daten!$E$42</definedName>
    <definedName name="LIS_Inst50kW">Daten!$E$40</definedName>
    <definedName name="LIS_Kauf100kW">Daten!$E$37</definedName>
    <definedName name="LIS_Kauf11kW">Daten!$E$35</definedName>
    <definedName name="LIS_Kauf350kW">Daten!$E$38</definedName>
    <definedName name="LIS_Kauf50kW">Daten!$E$36</definedName>
    <definedName name="LIS_Lebensdauer">Daten!$E$44</definedName>
    <definedName name="LIS_LebensdauerAC">Daten!$E$44</definedName>
    <definedName name="LIS_LebensdauerDC">Daten!#REF!</definedName>
    <definedName name="Strompreis">Daten!$E$66</definedName>
    <definedName name="Verbrauch_100km">Daten!$E$67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6" l="1"/>
  <c r="D24" i="6"/>
  <c r="C56" i="5"/>
  <c r="C57" i="5"/>
  <c r="O12" i="6"/>
  <c r="D27" i="6"/>
  <c r="G27" i="6"/>
  <c r="G160" i="5"/>
  <c r="G161" i="5"/>
  <c r="G159" i="5"/>
  <c r="E32" i="4" l="1"/>
  <c r="G167" i="5"/>
  <c r="D167" i="5"/>
  <c r="O12" i="5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39" i="6"/>
  <c r="G35" i="6"/>
  <c r="G62" i="6"/>
  <c r="G61" i="6"/>
  <c r="F73" i="4"/>
  <c r="G74" i="6" s="1"/>
  <c r="F71" i="4"/>
  <c r="F72" i="4"/>
  <c r="F70" i="4"/>
  <c r="Q77" i="6" a="1"/>
  <c r="Q77" i="6" s="1"/>
  <c r="Q78" i="6" a="1"/>
  <c r="Q78" i="6" s="1"/>
  <c r="Q79" i="6" a="1"/>
  <c r="Q79" i="6" s="1"/>
  <c r="Q80" i="6" a="1"/>
  <c r="Q80" i="6" s="1"/>
  <c r="Q81" i="6" a="1"/>
  <c r="Q81" i="6" s="1"/>
  <c r="Q82" i="6" a="1"/>
  <c r="Q82" i="6" s="1"/>
  <c r="Q76" i="6" a="1"/>
  <c r="Q76" i="6" s="1"/>
  <c r="Q86" i="5" a="1"/>
  <c r="Q86" i="5" s="1"/>
  <c r="Q87" i="5" a="1"/>
  <c r="Q87" i="5" s="1"/>
  <c r="Q88" i="5" a="1"/>
  <c r="Q88" i="5" s="1"/>
  <c r="Q89" i="5" a="1"/>
  <c r="Q89" i="5" s="1"/>
  <c r="Q90" i="5" a="1"/>
  <c r="Q90" i="5" s="1"/>
  <c r="Q91" i="5" a="1"/>
  <c r="Q91" i="5" s="1"/>
  <c r="Q85" i="5" a="1"/>
  <c r="Q85" i="5" s="1"/>
  <c r="G165" i="5"/>
  <c r="G107" i="5"/>
  <c r="G106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84" i="5"/>
  <c r="G80" i="5"/>
  <c r="G29" i="5" s="1"/>
  <c r="F62" i="6"/>
  <c r="E62" i="6"/>
  <c r="D62" i="6"/>
  <c r="F61" i="6"/>
  <c r="E61" i="6"/>
  <c r="D61" i="6"/>
  <c r="C125" i="5"/>
  <c r="E28" i="4"/>
  <c r="G166" i="5" l="1"/>
  <c r="G171" i="5"/>
  <c r="G172" i="5" s="1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75" i="6"/>
  <c r="G79" i="6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63" i="6"/>
  <c r="G108" i="5"/>
  <c r="G30" i="5"/>
  <c r="G31" i="5"/>
  <c r="E63" i="6"/>
  <c r="F63" i="6"/>
  <c r="D63" i="6"/>
  <c r="G32" i="5" l="1"/>
  <c r="E106" i="5"/>
  <c r="C121" i="5"/>
  <c r="C124" i="5"/>
  <c r="E29" i="4"/>
  <c r="G24" i="6" s="1"/>
  <c r="E31" i="4"/>
  <c r="D26" i="6" s="1"/>
  <c r="G26" i="6" s="1"/>
  <c r="E30" i="4"/>
  <c r="D25" i="6" s="1"/>
  <c r="G25" i="6" s="1"/>
  <c r="D12" i="4"/>
  <c r="E12" i="4" s="1"/>
  <c r="F137" i="5"/>
  <c r="E167" i="5"/>
  <c r="F167" i="5"/>
  <c r="C171" i="5"/>
  <c r="C172" i="5" s="1"/>
  <c r="C173" i="5" s="1"/>
  <c r="C174" i="5" s="1"/>
  <c r="C175" i="5" s="1"/>
  <c r="C176" i="5" s="1"/>
  <c r="C177" i="5" s="1"/>
  <c r="C178" i="5" s="1"/>
  <c r="C179" i="5" s="1"/>
  <c r="C180" i="5" s="1"/>
  <c r="C181" i="5" s="1"/>
  <c r="C182" i="5" s="1"/>
  <c r="C183" i="5" s="1"/>
  <c r="C184" i="5" s="1"/>
  <c r="C185" i="5" s="1"/>
  <c r="C138" i="5"/>
  <c r="C139" i="5" s="1"/>
  <c r="C140" i="5" s="1"/>
  <c r="C141" i="5" s="1"/>
  <c r="C142" i="5" s="1"/>
  <c r="C143" i="5" s="1"/>
  <c r="C144" i="5" s="1"/>
  <c r="C145" i="5" s="1"/>
  <c r="C146" i="5" s="1"/>
  <c r="C147" i="5" s="1"/>
  <c r="C148" i="5" s="1"/>
  <c r="C149" i="5" s="1"/>
  <c r="C150" i="5" s="1"/>
  <c r="C151" i="5" s="1"/>
  <c r="C152" i="5" s="1"/>
  <c r="N84" i="5"/>
  <c r="N85" i="5" s="1"/>
  <c r="C84" i="5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D139" i="5"/>
  <c r="F139" i="5" s="1"/>
  <c r="D140" i="5"/>
  <c r="F140" i="5" s="1"/>
  <c r="D141" i="5"/>
  <c r="F141" i="5" s="1"/>
  <c r="D142" i="5"/>
  <c r="F142" i="5" s="1"/>
  <c r="D143" i="5"/>
  <c r="F143" i="5" s="1"/>
  <c r="D144" i="5"/>
  <c r="F144" i="5" s="1"/>
  <c r="D145" i="5"/>
  <c r="F145" i="5" s="1"/>
  <c r="D146" i="5"/>
  <c r="F146" i="5" s="1"/>
  <c r="D147" i="5"/>
  <c r="F147" i="5" s="1"/>
  <c r="D148" i="5"/>
  <c r="F148" i="5" s="1"/>
  <c r="D149" i="5"/>
  <c r="F149" i="5" s="1"/>
  <c r="D150" i="5"/>
  <c r="F150" i="5" s="1"/>
  <c r="D151" i="5"/>
  <c r="F151" i="5" s="1"/>
  <c r="D152" i="5"/>
  <c r="F152" i="5" s="1"/>
  <c r="D138" i="5"/>
  <c r="F138" i="5" s="1"/>
  <c r="C129" i="5"/>
  <c r="C120" i="5"/>
  <c r="C112" i="5"/>
  <c r="F107" i="5"/>
  <c r="F106" i="5"/>
  <c r="E107" i="5"/>
  <c r="D107" i="5"/>
  <c r="D106" i="5"/>
  <c r="C69" i="5"/>
  <c r="C63" i="5"/>
  <c r="C48" i="5"/>
  <c r="C47" i="5"/>
  <c r="C39" i="5"/>
  <c r="D11" i="4"/>
  <c r="G11" i="4" s="1"/>
  <c r="C79" i="6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N75" i="6"/>
  <c r="N76" i="6" s="1"/>
  <c r="N77" i="6" s="1"/>
  <c r="N78" i="6" s="1"/>
  <c r="N79" i="6" s="1"/>
  <c r="N80" i="6" s="1"/>
  <c r="N81" i="6" s="1"/>
  <c r="N82" i="6" s="1"/>
  <c r="N83" i="6" s="1"/>
  <c r="N84" i="6" s="1"/>
  <c r="N85" i="6" s="1"/>
  <c r="N86" i="6" s="1"/>
  <c r="N87" i="6" s="1"/>
  <c r="N88" i="6" s="1"/>
  <c r="N89" i="6" s="1"/>
  <c r="C39" i="6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E71" i="4"/>
  <c r="E72" i="4"/>
  <c r="F161" i="5" s="1"/>
  <c r="E70" i="4"/>
  <c r="F159" i="5" s="1"/>
  <c r="D71" i="4"/>
  <c r="E160" i="5" s="1"/>
  <c r="D72" i="4"/>
  <c r="E161" i="5" s="1"/>
  <c r="D70" i="4"/>
  <c r="E159" i="5" s="1"/>
  <c r="C71" i="4"/>
  <c r="D160" i="5" s="1"/>
  <c r="C72" i="4"/>
  <c r="D161" i="5" s="1"/>
  <c r="C70" i="4"/>
  <c r="D159" i="5" s="1"/>
  <c r="P15" i="6" l="1"/>
  <c r="R75" i="6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O86" i="5"/>
  <c r="O87" i="5"/>
  <c r="O85" i="5"/>
  <c r="O93" i="5"/>
  <c r="O95" i="5"/>
  <c r="O89" i="5"/>
  <c r="O91" i="5"/>
  <c r="O94" i="5"/>
  <c r="O96" i="5"/>
  <c r="O90" i="5"/>
  <c r="O97" i="5"/>
  <c r="O98" i="5"/>
  <c r="O88" i="5"/>
  <c r="O92" i="5"/>
  <c r="N15" i="5"/>
  <c r="N86" i="5"/>
  <c r="C73" i="4"/>
  <c r="E73" i="4"/>
  <c r="F160" i="5"/>
  <c r="F165" i="5" s="1"/>
  <c r="D73" i="4"/>
  <c r="D165" i="5"/>
  <c r="D166" i="5" s="1"/>
  <c r="G12" i="4"/>
  <c r="F12" i="4"/>
  <c r="O15" i="5" s="1"/>
  <c r="E11" i="4"/>
  <c r="F11" i="4"/>
  <c r="E165" i="5"/>
  <c r="C54" i="5"/>
  <c r="D129" i="5"/>
  <c r="D112" i="5"/>
  <c r="D69" i="5"/>
  <c r="E108" i="5"/>
  <c r="F108" i="5"/>
  <c r="D108" i="5"/>
  <c r="F35" i="6"/>
  <c r="E35" i="6"/>
  <c r="D35" i="6"/>
  <c r="D13" i="6"/>
  <c r="E80" i="5"/>
  <c r="F80" i="5"/>
  <c r="D80" i="5"/>
  <c r="P94" i="5" a="1"/>
  <c r="P93" i="5" a="1"/>
  <c r="P97" i="5" a="1"/>
  <c r="P95" i="5" a="1"/>
  <c r="P98" i="5" a="1"/>
  <c r="P92" i="5" a="1"/>
  <c r="P96" i="5" a="1"/>
  <c r="O75" i="6" l="1"/>
  <c r="O15" i="6"/>
  <c r="P76" i="6"/>
  <c r="P88" i="6"/>
  <c r="P81" i="6"/>
  <c r="P84" i="6"/>
  <c r="P87" i="6"/>
  <c r="P77" i="6"/>
  <c r="P89" i="6"/>
  <c r="P82" i="6"/>
  <c r="P86" i="6"/>
  <c r="P78" i="6"/>
  <c r="P75" i="6"/>
  <c r="P85" i="6"/>
  <c r="P79" i="6"/>
  <c r="P83" i="6"/>
  <c r="P80" i="6"/>
  <c r="N15" i="6"/>
  <c r="U75" i="6"/>
  <c r="U76" i="6" s="1"/>
  <c r="U77" i="6" s="1"/>
  <c r="U78" i="6" s="1"/>
  <c r="U79" i="6" s="1"/>
  <c r="U80" i="6" s="1"/>
  <c r="U81" i="6" s="1"/>
  <c r="U82" i="6" s="1"/>
  <c r="U83" i="6" s="1"/>
  <c r="U84" i="6" s="1"/>
  <c r="U85" i="6" s="1"/>
  <c r="U86" i="6" s="1"/>
  <c r="U87" i="6" s="1"/>
  <c r="U88" i="6" s="1"/>
  <c r="U89" i="6" s="1"/>
  <c r="P15" i="5"/>
  <c r="R84" i="5"/>
  <c r="R85" i="5" s="1"/>
  <c r="R86" i="5" s="1"/>
  <c r="R87" i="5" s="1"/>
  <c r="R88" i="5" s="1"/>
  <c r="R89" i="5" s="1"/>
  <c r="R90" i="5" s="1"/>
  <c r="R91" i="5" s="1"/>
  <c r="R92" i="5" s="1"/>
  <c r="R93" i="5" s="1"/>
  <c r="R94" i="5" s="1"/>
  <c r="R95" i="5" s="1"/>
  <c r="R96" i="5" s="1"/>
  <c r="R97" i="5" s="1"/>
  <c r="R98" i="5" s="1"/>
  <c r="U84" i="5"/>
  <c r="U85" i="5" s="1"/>
  <c r="U86" i="5" s="1"/>
  <c r="U87" i="5" s="1"/>
  <c r="U88" i="5" s="1"/>
  <c r="U89" i="5" s="1"/>
  <c r="U90" i="5" s="1"/>
  <c r="U91" i="5" s="1"/>
  <c r="U92" i="5" s="1"/>
  <c r="U93" i="5" s="1"/>
  <c r="U94" i="5" s="1"/>
  <c r="U95" i="5" s="1"/>
  <c r="U96" i="5" s="1"/>
  <c r="U97" i="5" s="1"/>
  <c r="U98" i="5" s="1"/>
  <c r="P92" i="5"/>
  <c r="P98" i="5"/>
  <c r="P93" i="5"/>
  <c r="P94" i="5"/>
  <c r="P96" i="5"/>
  <c r="P97" i="5"/>
  <c r="P95" i="5"/>
  <c r="P91" i="5" a="1"/>
  <c r="P91" i="5" s="1"/>
  <c r="P85" i="5" a="1"/>
  <c r="P85" i="5" s="1"/>
  <c r="P84" i="5"/>
  <c r="P87" i="5" a="1"/>
  <c r="P87" i="5" s="1"/>
  <c r="P88" i="5" a="1"/>
  <c r="P88" i="5" s="1"/>
  <c r="P90" i="5" a="1"/>
  <c r="P90" i="5" s="1"/>
  <c r="P89" i="5" a="1"/>
  <c r="P89" i="5" s="1"/>
  <c r="P86" i="5" a="1"/>
  <c r="P86" i="5" s="1"/>
  <c r="I80" i="5"/>
  <c r="F29" i="5"/>
  <c r="F30" i="5"/>
  <c r="F31" i="5"/>
  <c r="E29" i="5"/>
  <c r="E31" i="5"/>
  <c r="E30" i="5"/>
  <c r="D31" i="5"/>
  <c r="D30" i="5"/>
  <c r="D29" i="5"/>
  <c r="E171" i="5"/>
  <c r="E172" i="5" s="1"/>
  <c r="E173" i="5" s="1"/>
  <c r="E174" i="5" s="1"/>
  <c r="E175" i="5" s="1"/>
  <c r="E176" i="5" s="1"/>
  <c r="E177" i="5" s="1"/>
  <c r="E178" i="5" s="1"/>
  <c r="E179" i="5" s="1"/>
  <c r="E180" i="5" s="1"/>
  <c r="E181" i="5" s="1"/>
  <c r="E182" i="5" s="1"/>
  <c r="E183" i="5" s="1"/>
  <c r="E184" i="5" s="1"/>
  <c r="E185" i="5" s="1"/>
  <c r="E166" i="5"/>
  <c r="F171" i="5"/>
  <c r="F172" i="5" s="1"/>
  <c r="F173" i="5" s="1"/>
  <c r="F174" i="5" s="1"/>
  <c r="F175" i="5" s="1"/>
  <c r="F176" i="5" s="1"/>
  <c r="F177" i="5" s="1"/>
  <c r="F178" i="5" s="1"/>
  <c r="F179" i="5" s="1"/>
  <c r="F180" i="5" s="1"/>
  <c r="F181" i="5" s="1"/>
  <c r="F182" i="5" s="1"/>
  <c r="F183" i="5" s="1"/>
  <c r="F184" i="5" s="1"/>
  <c r="F185" i="5" s="1"/>
  <c r="F166" i="5"/>
  <c r="N87" i="5"/>
  <c r="F74" i="6"/>
  <c r="F79" i="6" s="1"/>
  <c r="F80" i="6" s="1"/>
  <c r="D74" i="6"/>
  <c r="D79" i="6" s="1"/>
  <c r="E74" i="6"/>
  <c r="E79" i="6" s="1"/>
  <c r="E80" i="6" s="1"/>
  <c r="E81" i="6" s="1"/>
  <c r="E82" i="6" s="1"/>
  <c r="E83" i="6" s="1"/>
  <c r="E84" i="6" s="1"/>
  <c r="E85" i="6" s="1"/>
  <c r="E86" i="6" s="1"/>
  <c r="E87" i="6" s="1"/>
  <c r="E88" i="6" s="1"/>
  <c r="E89" i="6" s="1"/>
  <c r="E90" i="6" s="1"/>
  <c r="E91" i="6" s="1"/>
  <c r="E92" i="6" s="1"/>
  <c r="E93" i="6" s="1"/>
  <c r="D171" i="5"/>
  <c r="I39" i="6"/>
  <c r="I84" i="5"/>
  <c r="D13" i="5"/>
  <c r="Q87" i="6" a="1"/>
  <c r="Q89" i="6" a="1"/>
  <c r="Q86" i="6" a="1"/>
  <c r="Q97" i="5" a="1"/>
  <c r="Q94" i="5" a="1"/>
  <c r="Q95" i="5" a="1"/>
  <c r="Q83" i="6" a="1"/>
  <c r="Q85" i="6" a="1"/>
  <c r="Q98" i="5" a="1"/>
  <c r="Q84" i="6" a="1"/>
  <c r="Q88" i="6" a="1"/>
  <c r="Q93" i="5" a="1"/>
  <c r="Q92" i="5" a="1"/>
  <c r="Q96" i="5" a="1"/>
  <c r="D80" i="6" l="1"/>
  <c r="H80" i="6" s="1"/>
  <c r="T76" i="6" s="1"/>
  <c r="H79" i="6"/>
  <c r="T75" i="6" s="1"/>
  <c r="D172" i="5"/>
  <c r="H172" i="5" s="1"/>
  <c r="T85" i="5" s="1"/>
  <c r="H171" i="5"/>
  <c r="T84" i="5" s="1"/>
  <c r="Q83" i="6"/>
  <c r="Q96" i="5"/>
  <c r="Q95" i="5"/>
  <c r="Q92" i="5"/>
  <c r="Q93" i="5"/>
  <c r="Q86" i="6"/>
  <c r="Q84" i="6"/>
  <c r="Q87" i="6"/>
  <c r="Q88" i="6"/>
  <c r="Q94" i="5"/>
  <c r="Q85" i="6"/>
  <c r="Q97" i="5"/>
  <c r="Q89" i="6"/>
  <c r="Q98" i="5"/>
  <c r="H29" i="5"/>
  <c r="H31" i="5"/>
  <c r="H30" i="5"/>
  <c r="N88" i="5"/>
  <c r="E32" i="5"/>
  <c r="F32" i="5"/>
  <c r="D32" i="5"/>
  <c r="E75" i="6"/>
  <c r="F81" i="6"/>
  <c r="F82" i="6" s="1"/>
  <c r="F83" i="6" s="1"/>
  <c r="F84" i="6" s="1"/>
  <c r="F85" i="6" s="1"/>
  <c r="F86" i="6" s="1"/>
  <c r="F87" i="6" s="1"/>
  <c r="F88" i="6" s="1"/>
  <c r="F89" i="6" s="1"/>
  <c r="F90" i="6" s="1"/>
  <c r="F91" i="6" s="1"/>
  <c r="F92" i="6" s="1"/>
  <c r="F93" i="6" s="1"/>
  <c r="F75" i="6"/>
  <c r="D75" i="6"/>
  <c r="I85" i="5"/>
  <c r="I86" i="5" s="1"/>
  <c r="U71" i="6"/>
  <c r="R80" i="5"/>
  <c r="O71" i="6"/>
  <c r="I40" i="6"/>
  <c r="D173" i="5" l="1"/>
  <c r="D174" i="5" s="1"/>
  <c r="D81" i="6"/>
  <c r="H81" i="6" s="1"/>
  <c r="T77" i="6" s="1"/>
  <c r="Q71" i="6"/>
  <c r="N89" i="5"/>
  <c r="H32" i="5"/>
  <c r="C38" i="5" s="1"/>
  <c r="S75" i="6"/>
  <c r="V75" i="6" s="1"/>
  <c r="S76" i="6"/>
  <c r="S84" i="5"/>
  <c r="S85" i="5"/>
  <c r="I41" i="6"/>
  <c r="I87" i="5"/>
  <c r="H173" i="5" l="1"/>
  <c r="T86" i="5" s="1"/>
  <c r="D82" i="6"/>
  <c r="D83" i="6" s="1"/>
  <c r="D175" i="5"/>
  <c r="H174" i="5"/>
  <c r="S87" i="5" s="1"/>
  <c r="S77" i="6"/>
  <c r="N90" i="5"/>
  <c r="C37" i="5"/>
  <c r="C45" i="5"/>
  <c r="I42" i="6"/>
  <c r="I88" i="5"/>
  <c r="T87" i="5" l="1"/>
  <c r="H82" i="6"/>
  <c r="T78" i="6" s="1"/>
  <c r="S86" i="5"/>
  <c r="D84" i="6"/>
  <c r="H83" i="6"/>
  <c r="T79" i="6" s="1"/>
  <c r="D176" i="5"/>
  <c r="H175" i="5"/>
  <c r="N91" i="5"/>
  <c r="C60" i="5"/>
  <c r="C72" i="5" s="1"/>
  <c r="T88" i="5"/>
  <c r="S88" i="5"/>
  <c r="I43" i="6"/>
  <c r="I89" i="5"/>
  <c r="S78" i="6" l="1"/>
  <c r="S79" i="6"/>
  <c r="D85" i="6"/>
  <c r="H84" i="6"/>
  <c r="T80" i="6" s="1"/>
  <c r="D177" i="5"/>
  <c r="H176" i="5"/>
  <c r="T89" i="5" s="1"/>
  <c r="N92" i="5"/>
  <c r="V87" i="5"/>
  <c r="O84" i="5"/>
  <c r="V88" i="5"/>
  <c r="V85" i="5"/>
  <c r="S89" i="5"/>
  <c r="I44" i="6"/>
  <c r="I90" i="5"/>
  <c r="S80" i="6" l="1"/>
  <c r="D86" i="6"/>
  <c r="H85" i="6"/>
  <c r="T81" i="6" s="1"/>
  <c r="D178" i="5"/>
  <c r="H177" i="5"/>
  <c r="Q80" i="5"/>
  <c r="N93" i="5"/>
  <c r="V86" i="5"/>
  <c r="V84" i="5"/>
  <c r="T90" i="5"/>
  <c r="S90" i="5"/>
  <c r="V89" i="5"/>
  <c r="I45" i="6"/>
  <c r="I91" i="5"/>
  <c r="S81" i="6" l="1"/>
  <c r="D87" i="6"/>
  <c r="H86" i="6"/>
  <c r="T82" i="6" s="1"/>
  <c r="D179" i="5"/>
  <c r="H178" i="5"/>
  <c r="T91" i="5" s="1"/>
  <c r="N94" i="5"/>
  <c r="P80" i="5"/>
  <c r="S91" i="5"/>
  <c r="V90" i="5"/>
  <c r="I46" i="6"/>
  <c r="I92" i="5"/>
  <c r="S82" i="6" l="1"/>
  <c r="D88" i="6"/>
  <c r="H87" i="6"/>
  <c r="T83" i="6" s="1"/>
  <c r="D180" i="5"/>
  <c r="H179" i="5"/>
  <c r="T92" i="5" s="1"/>
  <c r="N95" i="5"/>
  <c r="S92" i="5"/>
  <c r="V91" i="5"/>
  <c r="I47" i="6"/>
  <c r="I93" i="5"/>
  <c r="S83" i="6" l="1"/>
  <c r="D89" i="6"/>
  <c r="H88" i="6"/>
  <c r="T84" i="6" s="1"/>
  <c r="D181" i="5"/>
  <c r="H180" i="5"/>
  <c r="T93" i="5" s="1"/>
  <c r="N96" i="5"/>
  <c r="S93" i="5"/>
  <c r="V92" i="5"/>
  <c r="I48" i="6"/>
  <c r="I94" i="5"/>
  <c r="S84" i="6" l="1"/>
  <c r="D90" i="6"/>
  <c r="H89" i="6"/>
  <c r="T85" i="6" s="1"/>
  <c r="D182" i="5"/>
  <c r="H181" i="5"/>
  <c r="T94" i="5" s="1"/>
  <c r="N97" i="5"/>
  <c r="S94" i="5"/>
  <c r="V93" i="5"/>
  <c r="I49" i="6"/>
  <c r="I95" i="5"/>
  <c r="S85" i="6" l="1"/>
  <c r="D91" i="6"/>
  <c r="H90" i="6"/>
  <c r="T86" i="6" s="1"/>
  <c r="D183" i="5"/>
  <c r="H182" i="5"/>
  <c r="T95" i="5" s="1"/>
  <c r="N98" i="5"/>
  <c r="S95" i="5"/>
  <c r="V94" i="5"/>
  <c r="I50" i="6"/>
  <c r="I96" i="5"/>
  <c r="S86" i="6" l="1"/>
  <c r="D92" i="6"/>
  <c r="H91" i="6"/>
  <c r="T87" i="6" s="1"/>
  <c r="D184" i="5"/>
  <c r="H183" i="5"/>
  <c r="T96" i="5" s="1"/>
  <c r="O80" i="5"/>
  <c r="V95" i="5"/>
  <c r="I51" i="6"/>
  <c r="I97" i="5"/>
  <c r="S87" i="6" l="1"/>
  <c r="S96" i="5"/>
  <c r="V96" i="5" s="1"/>
  <c r="D93" i="6"/>
  <c r="H93" i="6" s="1"/>
  <c r="T89" i="6" s="1"/>
  <c r="H92" i="6"/>
  <c r="T88" i="6" s="1"/>
  <c r="D185" i="5"/>
  <c r="H185" i="5" s="1"/>
  <c r="T98" i="5" s="1"/>
  <c r="H184" i="5"/>
  <c r="T97" i="5" s="1"/>
  <c r="I52" i="6"/>
  <c r="I98" i="5"/>
  <c r="S98" i="5" s="1"/>
  <c r="S88" i="6" l="1"/>
  <c r="S97" i="5"/>
  <c r="V97" i="5" s="1"/>
  <c r="T71" i="6"/>
  <c r="T80" i="5"/>
  <c r="U80" i="5"/>
  <c r="I53" i="6"/>
  <c r="S89" i="6" s="1"/>
  <c r="V98" i="5"/>
  <c r="S71" i="6" l="1"/>
  <c r="S80" i="5"/>
  <c r="V80" i="5" s="1"/>
  <c r="I35" i="6"/>
  <c r="R71" i="6" l="1"/>
  <c r="V88" i="6"/>
  <c r="V87" i="6"/>
  <c r="V89" i="6"/>
  <c r="V76" i="6"/>
  <c r="V80" i="6"/>
  <c r="V79" i="6"/>
  <c r="V83" i="6"/>
  <c r="V85" i="6"/>
  <c r="V82" i="6"/>
  <c r="V81" i="6"/>
  <c r="V78" i="6"/>
  <c r="V84" i="6"/>
  <c r="V77" i="6"/>
  <c r="P71" i="6"/>
  <c r="V86" i="6"/>
  <c r="V71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<sst xmlns="http://schemas.openxmlformats.org/spreadsheetml/2006/main" count="485" uniqueCount="209">
  <si>
    <t>Berechnungsmodus "Basic"</t>
  </si>
  <si>
    <t>Eingabe</t>
  </si>
  <si>
    <t>Resultate</t>
  </si>
  <si>
    <t>Eingabefeld</t>
  </si>
  <si>
    <t>Bitte füllen Sie diese Felder aus bzw. wählen Sie eine Option. Es werden Standardwerte angezeigt.</t>
  </si>
  <si>
    <t>Ausgabefeld</t>
  </si>
  <si>
    <t>Werte in diesen Feldern werden berechnet und können nicht bearbeitet werden.</t>
  </si>
  <si>
    <t>Auswahl des Betreibermodells</t>
  </si>
  <si>
    <t>Ausgewähltes Betreibermodell</t>
  </si>
  <si>
    <t>Wählen Sie das Betreibermodell aus. Es entscheidet welche Komponente Sie besitzen oder via Contracting beziehen.</t>
  </si>
  <si>
    <t>Variante</t>
  </si>
  <si>
    <t>V1</t>
  </si>
  <si>
    <t>Basisinfrastruktur</t>
  </si>
  <si>
    <t>Ladestationen</t>
  </si>
  <si>
    <t>Betrieb &amp; Abrechnung</t>
  </si>
  <si>
    <t>Wählen Sie das Startjahr der Berechnung aus. Es sollte das erste Jahr mit getätigten Investitionen sein.</t>
  </si>
  <si>
    <t>Startjahr Investitionsplanung</t>
  </si>
  <si>
    <r>
      <t xml:space="preserve">Hier werden die </t>
    </r>
    <r>
      <rPr>
        <b/>
        <i/>
        <sz val="10"/>
        <color theme="1"/>
        <rFont val="Arial"/>
        <family val="2"/>
        <scheme val="minor"/>
      </rPr>
      <t>Basisinfrastrukturkosten pro Ladepunkt</t>
    </r>
    <r>
      <rPr>
        <i/>
        <sz val="10"/>
        <color theme="1"/>
        <rFont val="Arial"/>
        <family val="2"/>
        <scheme val="minor"/>
      </rPr>
      <t xml:space="preserve"> definiert nach Ladeleistungskategorie. Die Daten setzen sich zusammen aus Schätzungen aus Erfahrungs- und Durchschnittswerten. Für eine genauere Abschätzung dient der Modus Advanced.</t>
    </r>
  </si>
  <si>
    <t>Investitionskosten Basisinfrastruktur (pro Ladepunkt)</t>
  </si>
  <si>
    <t>Standardwert</t>
  </si>
  <si>
    <t>11-22kW AC</t>
  </si>
  <si>
    <t>CHF/Ladepunkt</t>
  </si>
  <si>
    <t>22-80kW DC</t>
  </si>
  <si>
    <t>80-150kW DC</t>
  </si>
  <si>
    <t>&gt;150kW DC</t>
  </si>
  <si>
    <t>Dimensionierung Ladeinfrastruktur</t>
  </si>
  <si>
    <r>
      <t>Geben Sie die</t>
    </r>
    <r>
      <rPr>
        <b/>
        <i/>
        <sz val="10"/>
        <color theme="1"/>
        <rFont val="Arial"/>
        <family val="2"/>
        <scheme val="minor"/>
      </rPr>
      <t xml:space="preserve"> Etappierung des Ausbaus der Ladepunkte</t>
    </r>
    <r>
      <rPr>
        <i/>
        <sz val="10"/>
        <color theme="1"/>
        <rFont val="Arial"/>
        <family val="2"/>
        <scheme val="minor"/>
      </rPr>
      <t xml:space="preserve"> an. Geben Sie pro Jahr und Ladeleistungskategorie die Anzahl Ladepunkte an, die Sie planen zu realisieren.
</t>
    </r>
    <r>
      <rPr>
        <b/>
        <i/>
        <sz val="10"/>
        <color theme="1"/>
        <rFont val="Arial"/>
        <family val="2"/>
        <scheme val="minor"/>
      </rPr>
      <t>Für Flotten:</t>
    </r>
    <r>
      <rPr>
        <i/>
        <sz val="10"/>
        <color theme="1"/>
        <rFont val="Arial"/>
        <family val="2"/>
        <scheme val="minor"/>
      </rPr>
      <t xml:space="preserve"> </t>
    </r>
    <r>
      <rPr>
        <b/>
        <i/>
        <sz val="10"/>
        <color theme="1"/>
        <rFont val="Arial"/>
        <family val="2"/>
        <scheme val="minor"/>
      </rPr>
      <t>Der Ladebedarfsrechner für Flotten</t>
    </r>
    <r>
      <rPr>
        <i/>
        <sz val="10"/>
        <color theme="1"/>
        <rFont val="Arial"/>
        <family val="2"/>
        <scheme val="minor"/>
      </rPr>
      <t xml:space="preserve"> gibt eine detaillierte Möglichkeit zur Bedarfsabschätzung, die hier eingetragen werden kann.</t>
    </r>
  </si>
  <si>
    <t>Total pro Jahr</t>
  </si>
  <si>
    <t>Gesamt Bestand</t>
  </si>
  <si>
    <t>Anzahl Ladepunkte</t>
  </si>
  <si>
    <t>Etappierung</t>
  </si>
  <si>
    <t>Anschaffungskosten Ladestationen</t>
  </si>
  <si>
    <r>
      <t xml:space="preserve">Geben Sie die Kosten für die </t>
    </r>
    <r>
      <rPr>
        <b/>
        <i/>
        <sz val="10"/>
        <color theme="1"/>
        <rFont val="Arial"/>
        <family val="2"/>
        <scheme val="minor"/>
      </rPr>
      <t xml:space="preserve">Anschaffung und Installation der Ladepunkte pro Leistungskategorie </t>
    </r>
    <r>
      <rPr>
        <i/>
        <sz val="10"/>
        <color theme="1"/>
        <rFont val="Arial"/>
        <family val="2"/>
        <scheme val="minor"/>
      </rPr>
      <t>an.</t>
    </r>
  </si>
  <si>
    <t>Anschaffungskosten</t>
  </si>
  <si>
    <t>Kosten Installation</t>
  </si>
  <si>
    <t>Gesamtkosten</t>
  </si>
  <si>
    <t>Ladebedarf &amp; Strombeschaffung</t>
  </si>
  <si>
    <t>Kosten pro Jahr [CHF]</t>
  </si>
  <si>
    <r>
      <t xml:space="preserve">Geben Sie den </t>
    </r>
    <r>
      <rPr>
        <b/>
        <i/>
        <sz val="10"/>
        <color theme="1"/>
        <rFont val="Arial"/>
        <family val="2"/>
        <scheme val="minor"/>
      </rPr>
      <t>Strompreis</t>
    </r>
    <r>
      <rPr>
        <i/>
        <sz val="10"/>
        <color theme="1"/>
        <rFont val="Arial"/>
        <family val="2"/>
        <scheme val="minor"/>
      </rPr>
      <t xml:space="preserve"> für Ihren Ladestrom an. Definieren Sie den </t>
    </r>
    <r>
      <rPr>
        <b/>
        <i/>
        <sz val="10"/>
        <color theme="1"/>
        <rFont val="Arial"/>
        <family val="2"/>
        <scheme val="minor"/>
      </rPr>
      <t>jährlichen Ladebedarf pro Ladepunkt</t>
    </r>
    <r>
      <rPr>
        <i/>
        <sz val="10"/>
        <color theme="1"/>
        <rFont val="Arial"/>
        <family val="2"/>
        <scheme val="minor"/>
      </rPr>
      <t xml:space="preserve"> nach Leistungskategorie.
</t>
    </r>
    <r>
      <rPr>
        <b/>
        <i/>
        <sz val="10"/>
        <color theme="1"/>
        <rFont val="Arial"/>
        <family val="2"/>
        <scheme val="minor"/>
      </rPr>
      <t>Für Flotten:</t>
    </r>
    <r>
      <rPr>
        <i/>
        <sz val="10"/>
        <color theme="1"/>
        <rFont val="Arial"/>
        <family val="2"/>
        <scheme val="minor"/>
      </rPr>
      <t xml:space="preserve"> Der </t>
    </r>
    <r>
      <rPr>
        <b/>
        <i/>
        <sz val="10"/>
        <color theme="1"/>
        <rFont val="Arial"/>
        <family val="2"/>
        <scheme val="minor"/>
      </rPr>
      <t>Ladebedarfsrechner für Flotten</t>
    </r>
    <r>
      <rPr>
        <i/>
        <sz val="10"/>
        <color theme="1"/>
        <rFont val="Arial"/>
        <family val="2"/>
        <scheme val="minor"/>
      </rPr>
      <t xml:space="preserve"> gibt eine detaillierte Möglichkeit zur Bedarfsabschätzung, die hier eingetragen werden kann.</t>
    </r>
  </si>
  <si>
    <t>Investitionskosten</t>
  </si>
  <si>
    <t>Betriebskosten</t>
  </si>
  <si>
    <t>Strompreis für Ladestrom</t>
  </si>
  <si>
    <t>Basis-infrastruktur</t>
  </si>
  <si>
    <t>Ersatz Ladestationen</t>
  </si>
  <si>
    <t>Wartung &amp; Betrieb</t>
  </si>
  <si>
    <t>Abrechnungs-gebühren</t>
  </si>
  <si>
    <t>Strom</t>
  </si>
  <si>
    <t>Contracting</t>
  </si>
  <si>
    <t>Gesamt</t>
  </si>
  <si>
    <t>CHF/kWh</t>
  </si>
  <si>
    <t>Summe</t>
  </si>
  <si>
    <t>Ladebedarf</t>
  </si>
  <si>
    <t>kWh/Ladepunkt/Jahr</t>
  </si>
  <si>
    <t>Äquivalent in km</t>
  </si>
  <si>
    <t>km/Jahr</t>
  </si>
  <si>
    <t>kWh</t>
  </si>
  <si>
    <t>Abrechnungsgebühren</t>
  </si>
  <si>
    <t>Berechnungsmodus "Advanced"</t>
  </si>
  <si>
    <r>
      <t xml:space="preserve">Wählen Sie das </t>
    </r>
    <r>
      <rPr>
        <b/>
        <i/>
        <sz val="10"/>
        <color theme="1"/>
        <rFont val="Arial"/>
        <family val="2"/>
        <scheme val="minor"/>
      </rPr>
      <t>Betreibermodell</t>
    </r>
    <r>
      <rPr>
        <i/>
        <sz val="10"/>
        <color theme="1"/>
        <rFont val="Arial"/>
        <family val="2"/>
        <scheme val="minor"/>
      </rPr>
      <t xml:space="preserve"> aus. Es entscheidet welche Komponente Sie besitzen oder via Contracting beziehen.</t>
    </r>
  </si>
  <si>
    <r>
      <t xml:space="preserve">Wählen Sie das </t>
    </r>
    <r>
      <rPr>
        <b/>
        <i/>
        <sz val="10"/>
        <color theme="1"/>
        <rFont val="Arial"/>
        <family val="2"/>
        <scheme val="minor"/>
      </rPr>
      <t>Startjahr</t>
    </r>
    <r>
      <rPr>
        <i/>
        <sz val="10"/>
        <color theme="1"/>
        <rFont val="Arial"/>
        <family val="2"/>
        <scheme val="minor"/>
      </rPr>
      <t xml:space="preserve"> der Berechnung aus. Es sollte das erste Jahr mit getätigten Investitionen sein.</t>
    </r>
  </si>
  <si>
    <t>Startjahr Investitionsrechner</t>
  </si>
  <si>
    <t>Erweiterung Netzanschluss benötigt?</t>
  </si>
  <si>
    <t>Ja</t>
  </si>
  <si>
    <r>
      <t xml:space="preserve">Zur automatischen Abschätzung der zusätzlich benötigten Netzanschlusskapazität, füllen Sie zuerst die Abschnitte </t>
    </r>
    <r>
      <rPr>
        <b/>
        <i/>
        <sz val="10"/>
        <color theme="1"/>
        <rFont val="Arial"/>
        <family val="2"/>
        <scheme val="minor"/>
      </rPr>
      <t>Dimensionierung der Ladeinfrastruktur</t>
    </r>
    <r>
      <rPr>
        <i/>
        <sz val="10"/>
        <color theme="1"/>
        <rFont val="Arial"/>
        <family val="2"/>
        <scheme val="minor"/>
      </rPr>
      <t xml:space="preserve"> und </t>
    </r>
    <r>
      <rPr>
        <b/>
        <i/>
        <sz val="10"/>
        <color theme="1"/>
        <rFont val="Arial"/>
        <family val="2"/>
        <scheme val="minor"/>
      </rPr>
      <t>Ladebedarf</t>
    </r>
    <r>
      <rPr>
        <i/>
        <sz val="10"/>
        <color theme="1"/>
        <rFont val="Arial"/>
        <family val="2"/>
        <scheme val="minor"/>
      </rPr>
      <t xml:space="preserve"> aus.</t>
    </r>
  </si>
  <si>
    <t>Zusätzlich benötigte Netzanschlusskapazität im Endzustand (Scheinleistung in kVA)</t>
  </si>
  <si>
    <t>Flotte</t>
  </si>
  <si>
    <t>kVA</t>
  </si>
  <si>
    <t>Pendler</t>
  </si>
  <si>
    <t>Besucher &amp; Kunden</t>
  </si>
  <si>
    <t>Neuer Netzkostenbeitrag</t>
  </si>
  <si>
    <r>
      <t xml:space="preserve">Grundlage für die Berechnung des Netzkostenbeitrags ist die </t>
    </r>
    <r>
      <rPr>
        <b/>
        <i/>
        <sz val="10"/>
        <color theme="1"/>
        <rFont val="Arial"/>
        <family val="2"/>
        <scheme val="minor"/>
      </rPr>
      <t>Netzanschlusskapazität in kVA</t>
    </r>
    <r>
      <rPr>
        <i/>
        <sz val="10"/>
        <color theme="1"/>
        <rFont val="Arial"/>
        <family val="2"/>
        <scheme val="minor"/>
      </rPr>
      <t xml:space="preserve">. Je nach Verteilnetzbetreiber unterscheiden sich die </t>
    </r>
    <r>
      <rPr>
        <b/>
        <i/>
        <sz val="10"/>
        <color theme="1"/>
        <rFont val="Arial"/>
        <family val="2"/>
        <scheme val="minor"/>
      </rPr>
      <t>Netzkostenbeiträge</t>
    </r>
    <r>
      <rPr>
        <i/>
        <sz val="10"/>
        <color theme="1"/>
        <rFont val="Arial"/>
        <family val="2"/>
        <scheme val="minor"/>
      </rPr>
      <t xml:space="preserve">. Informieren Sie sich über die Webseite oder telefonisch bei Ihrem Netzbetreiber und tragen Sie den Netzkostenbeitrag pro kVA und falls anwendbar den </t>
    </r>
    <r>
      <rPr>
        <b/>
        <i/>
        <sz val="10"/>
        <color theme="1"/>
        <rFont val="Arial"/>
        <family val="2"/>
        <scheme val="minor"/>
      </rPr>
      <t>Grundbetrag</t>
    </r>
    <r>
      <rPr>
        <i/>
        <sz val="10"/>
        <color theme="1"/>
        <rFont val="Arial"/>
        <family val="2"/>
        <scheme val="minor"/>
      </rPr>
      <t xml:space="preserve"> ein.</t>
    </r>
  </si>
  <si>
    <t>Neuer Netzkostenbeitrag (CHF)</t>
  </si>
  <si>
    <t>Zusätzlich benötigte Netzanschlusskapazität (kVA)</t>
  </si>
  <si>
    <t>Netzkostenbeitrag pro kVA (CHF/kVA)</t>
  </si>
  <si>
    <t>Grundbetrag / Pauschale (CHF)</t>
  </si>
  <si>
    <t>Neuer Netzanschlussbeitrag</t>
  </si>
  <si>
    <r>
      <t xml:space="preserve">Der Netzanschlussbeitrag deckt die </t>
    </r>
    <r>
      <rPr>
        <b/>
        <i/>
        <sz val="10"/>
        <color theme="1"/>
        <rFont val="Arial"/>
        <family val="2"/>
        <scheme val="minor"/>
      </rPr>
      <t>Kosten zur Erstellung des Netzanschlusses</t>
    </r>
    <r>
      <rPr>
        <i/>
        <sz val="10"/>
        <color theme="1"/>
        <rFont val="Arial"/>
        <family val="2"/>
        <scheme val="minor"/>
      </rPr>
      <t xml:space="preserve"> und unterscheidet sich je nach Netzbetreiber und Liegenschaft. Informieren Sie sich bei Ihrem Netzbetreiber bzgl. der </t>
    </r>
    <r>
      <rPr>
        <b/>
        <i/>
        <sz val="10"/>
        <color theme="1"/>
        <rFont val="Arial"/>
        <family val="2"/>
        <scheme val="minor"/>
      </rPr>
      <t>Kosten zur Verstärkung des Netzanschlusses</t>
    </r>
    <r>
      <rPr>
        <i/>
        <sz val="10"/>
        <color theme="1"/>
        <rFont val="Arial"/>
        <family val="2"/>
        <scheme val="minor"/>
      </rPr>
      <t xml:space="preserve"> und ergänzen Sie die untenstehenden Angaben.</t>
    </r>
  </si>
  <si>
    <t>Neuer Netzanschlussbeitrag (CHF)</t>
  </si>
  <si>
    <t>Netzanschlussbeitrag pro kVA (CHF/kVA)</t>
  </si>
  <si>
    <t>Meterpauschale (CHF/m Anschlussleitung)</t>
  </si>
  <si>
    <t>Distanz Anschlussleitung (m)</t>
  </si>
  <si>
    <t>Erschliessung der Parkfelder (Ausbaustufen C1-C2)</t>
  </si>
  <si>
    <r>
      <t xml:space="preserve">Geben Sie die </t>
    </r>
    <r>
      <rPr>
        <b/>
        <i/>
        <sz val="10"/>
        <color theme="1"/>
        <rFont val="Arial"/>
        <family val="2"/>
        <scheme val="minor"/>
      </rPr>
      <t>kumulative Distanz</t>
    </r>
    <r>
      <rPr>
        <i/>
        <sz val="10"/>
        <color theme="1"/>
        <rFont val="Arial"/>
        <family val="2"/>
        <scheme val="minor"/>
      </rPr>
      <t xml:space="preserve"> zwischen der Hauptverteilung und den Ladestationen an und passen Sie die restlichen Kostenannahmen an, falls Sie genauere Schätzungen vorliegen haben.</t>
    </r>
  </si>
  <si>
    <t>Gesamtkosten Erschliessung (CHF)</t>
  </si>
  <si>
    <t>Kumulative Distanz zwischen Hauptverteilung und Ladestationen (m)</t>
  </si>
  <si>
    <t>Kosten Verteilung pro Meter (CHF/m)</t>
  </si>
  <si>
    <t>Zwischenverteilung und weitere Komponenten (z.B. Zähler), einmalig (CHF)</t>
  </si>
  <si>
    <t>Kosten Projektierung</t>
  </si>
  <si>
    <t>CHF</t>
  </si>
  <si>
    <t>10% der Gesamtkosten der Basisinfrastruktur</t>
  </si>
  <si>
    <t>Anschaffungskosten Lastmanagement</t>
  </si>
  <si>
    <r>
      <t xml:space="preserve">Geben Sie an wie hoch die monatliche </t>
    </r>
    <r>
      <rPr>
        <b/>
        <i/>
        <sz val="10"/>
        <color theme="1"/>
        <rFont val="Arial"/>
        <family val="2"/>
        <scheme val="minor"/>
      </rPr>
      <t>Contracting-Gebühr</t>
    </r>
    <r>
      <rPr>
        <i/>
        <sz val="10"/>
        <color theme="1"/>
        <rFont val="Arial"/>
        <family val="2"/>
        <scheme val="minor"/>
      </rPr>
      <t xml:space="preserve"> ist für die </t>
    </r>
    <r>
      <rPr>
        <b/>
        <i/>
        <sz val="10"/>
        <color theme="1"/>
        <rFont val="Arial"/>
        <family val="2"/>
        <scheme val="minor"/>
      </rPr>
      <t>Basisinfrastruktur</t>
    </r>
    <r>
      <rPr>
        <i/>
        <sz val="10"/>
        <color theme="1"/>
        <rFont val="Arial"/>
        <family val="2"/>
        <scheme val="minor"/>
      </rPr>
      <t xml:space="preserve"> pro Ladepunkt.</t>
    </r>
  </si>
  <si>
    <t>Gebühr Contracting</t>
  </si>
  <si>
    <t>Monatlich</t>
  </si>
  <si>
    <t>Jährlich</t>
  </si>
  <si>
    <t>CHF/Ladepunkt 11kW-Äquivalent</t>
  </si>
  <si>
    <t>Total Investitionskosten Basisinfrastruktur</t>
  </si>
  <si>
    <r>
      <t>Geben Sie die</t>
    </r>
    <r>
      <rPr>
        <b/>
        <i/>
        <sz val="10"/>
        <color theme="1"/>
        <rFont val="Arial"/>
        <family val="2"/>
        <scheme val="minor"/>
      </rPr>
      <t xml:space="preserve"> Etappierung des Ausbaus der Ladepunkte</t>
    </r>
    <r>
      <rPr>
        <i/>
        <sz val="10"/>
        <color theme="1"/>
        <rFont val="Arial"/>
        <family val="2"/>
        <scheme val="minor"/>
      </rPr>
      <t xml:space="preserve"> an. Geben Sie pro Jahr und Ladeleistungskategorie die Anzahl Ladepunkte an, die Sie planen zu realisieren.
</t>
    </r>
    <r>
      <rPr>
        <b/>
        <i/>
        <sz val="10"/>
        <color theme="1"/>
        <rFont val="Arial"/>
        <family val="2"/>
        <scheme val="minor"/>
      </rPr>
      <t>Für Flotten:</t>
    </r>
    <r>
      <rPr>
        <i/>
        <sz val="10"/>
        <color theme="1"/>
        <rFont val="Arial"/>
        <family val="2"/>
        <scheme val="minor"/>
      </rPr>
      <t xml:space="preserve"> Der </t>
    </r>
    <r>
      <rPr>
        <b/>
        <i/>
        <sz val="10"/>
        <color theme="1"/>
        <rFont val="Arial"/>
        <family val="2"/>
        <scheme val="minor"/>
      </rPr>
      <t>Ladebedarfsrechner für Flotten</t>
    </r>
    <r>
      <rPr>
        <i/>
        <sz val="10"/>
        <color theme="1"/>
        <rFont val="Arial"/>
        <family val="2"/>
        <scheme val="minor"/>
      </rPr>
      <t xml:space="preserve"> gibt eine detaillierte Möglichkeit zur Bedarfsabschätzung, die hier eingetragen werden kann.</t>
    </r>
  </si>
  <si>
    <t>Gesamt pro Jahr</t>
  </si>
  <si>
    <r>
      <t xml:space="preserve">Geben Sie die Kosten für die </t>
    </r>
    <r>
      <rPr>
        <b/>
        <i/>
        <sz val="10"/>
        <color theme="1"/>
        <rFont val="Arial"/>
        <family val="2"/>
        <scheme val="minor"/>
      </rPr>
      <t>Anschaffung und Installation</t>
    </r>
    <r>
      <rPr>
        <i/>
        <sz val="10"/>
        <color theme="1"/>
        <rFont val="Arial"/>
        <family val="2"/>
        <scheme val="minor"/>
      </rPr>
      <t xml:space="preserve"> bzw. das </t>
    </r>
    <r>
      <rPr>
        <b/>
        <i/>
        <sz val="10"/>
        <color theme="1"/>
        <rFont val="Arial"/>
        <family val="2"/>
        <scheme val="minor"/>
      </rPr>
      <t>Contracting</t>
    </r>
    <r>
      <rPr>
        <i/>
        <sz val="10"/>
        <color theme="1"/>
        <rFont val="Arial"/>
        <family val="2"/>
        <scheme val="minor"/>
      </rPr>
      <t xml:space="preserve"> der </t>
    </r>
    <r>
      <rPr>
        <b/>
        <i/>
        <sz val="10"/>
        <color theme="1"/>
        <rFont val="Arial"/>
        <family val="2"/>
        <scheme val="minor"/>
      </rPr>
      <t>Ladestationen pro Ladepunkt</t>
    </r>
    <r>
      <rPr>
        <i/>
        <sz val="10"/>
        <color theme="1"/>
        <rFont val="Arial"/>
        <family val="2"/>
        <scheme val="minor"/>
      </rPr>
      <t xml:space="preserve"> an.</t>
    </r>
  </si>
  <si>
    <r>
      <t xml:space="preserve">Geben Sie an wie hoch die </t>
    </r>
    <r>
      <rPr>
        <b/>
        <i/>
        <sz val="10"/>
        <color theme="1"/>
        <rFont val="Arial"/>
        <family val="2"/>
        <scheme val="minor"/>
      </rPr>
      <t>Abrechnungsgebühren</t>
    </r>
    <r>
      <rPr>
        <i/>
        <sz val="10"/>
        <color theme="1"/>
        <rFont val="Arial"/>
        <family val="2"/>
        <scheme val="minor"/>
      </rPr>
      <t xml:space="preserve">, die </t>
    </r>
    <r>
      <rPr>
        <b/>
        <i/>
        <sz val="10"/>
        <color theme="1"/>
        <rFont val="Arial"/>
        <family val="2"/>
        <scheme val="minor"/>
      </rPr>
      <t>Wartungs- &amp; Betriebskosten</t>
    </r>
    <r>
      <rPr>
        <i/>
        <sz val="10"/>
        <color theme="1"/>
        <rFont val="Arial"/>
        <family val="2"/>
        <scheme val="minor"/>
      </rPr>
      <t xml:space="preserve"> oder die </t>
    </r>
    <r>
      <rPr>
        <b/>
        <i/>
        <sz val="10"/>
        <color theme="1"/>
        <rFont val="Arial"/>
        <family val="2"/>
        <scheme val="minor"/>
      </rPr>
      <t>Contracting-Gebühren</t>
    </r>
    <r>
      <rPr>
        <i/>
        <sz val="10"/>
        <color theme="1"/>
        <rFont val="Arial"/>
        <family val="2"/>
        <scheme val="minor"/>
      </rPr>
      <t xml:space="preserve"> für Betrieb &amp; Abrechnung sind.</t>
    </r>
  </si>
  <si>
    <t>Abrechnungsgebühr</t>
  </si>
  <si>
    <t>typischerweise nur relevant bei öffentlichen Ladestationen</t>
  </si>
  <si>
    <t>CHF/Ladepunkt und Monat</t>
  </si>
  <si>
    <t>relevant bei privaten Ladestationen</t>
  </si>
  <si>
    <t>Wartungs- &amp; Betriebskosten pro Ladepunkt</t>
  </si>
  <si>
    <t>CHF/Ladepunkt AC</t>
  </si>
  <si>
    <t>CHF/Ladepunkt DC</t>
  </si>
  <si>
    <t>Strombeschaffung</t>
  </si>
  <si>
    <r>
      <t xml:space="preserve">Geben Sie an wie hoch Ihr </t>
    </r>
    <r>
      <rPr>
        <b/>
        <i/>
        <sz val="10"/>
        <color theme="1"/>
        <rFont val="Arial"/>
        <family val="2"/>
        <scheme val="minor"/>
      </rPr>
      <t>Stromtarif aus dem Netzbezug ist (Strompreis A)</t>
    </r>
    <r>
      <rPr>
        <i/>
        <sz val="10"/>
        <color theme="1"/>
        <rFont val="Arial"/>
        <family val="2"/>
        <scheme val="minor"/>
      </rPr>
      <t xml:space="preserve">. Falls Sie </t>
    </r>
    <r>
      <rPr>
        <b/>
        <i/>
        <sz val="10"/>
        <color theme="1"/>
        <rFont val="Arial"/>
        <family val="2"/>
        <scheme val="minor"/>
      </rPr>
      <t>eigenen Strom</t>
    </r>
    <r>
      <rPr>
        <i/>
        <sz val="10"/>
        <color theme="1"/>
        <rFont val="Arial"/>
        <family val="2"/>
        <scheme val="minor"/>
      </rPr>
      <t xml:space="preserve"> (z.B. PV) produzieren, geben Sie eine Schätzung für diesen Tarif beim </t>
    </r>
    <r>
      <rPr>
        <b/>
        <i/>
        <sz val="10"/>
        <color theme="1"/>
        <rFont val="Arial"/>
        <family val="2"/>
        <scheme val="minor"/>
      </rPr>
      <t>Strompreis B</t>
    </r>
    <r>
      <rPr>
        <i/>
        <sz val="10"/>
        <color theme="1"/>
        <rFont val="Arial"/>
        <family val="2"/>
        <scheme val="minor"/>
      </rPr>
      <t xml:space="preserve"> an. Geben Sie anschliessend die </t>
    </r>
    <r>
      <rPr>
        <b/>
        <i/>
        <sz val="10"/>
        <color theme="1"/>
        <rFont val="Arial"/>
        <family val="2"/>
        <scheme val="minor"/>
      </rPr>
      <t>ungefähren Anteile</t>
    </r>
    <r>
      <rPr>
        <i/>
        <sz val="10"/>
        <color theme="1"/>
        <rFont val="Arial"/>
        <family val="2"/>
        <scheme val="minor"/>
      </rPr>
      <t xml:space="preserve"> der jeweiligen Strombezüge am Gesamtverbrauch an.</t>
    </r>
  </si>
  <si>
    <t>Strompreis A</t>
  </si>
  <si>
    <t>Strompreis B</t>
  </si>
  <si>
    <t>Gemittlerer Strompreis</t>
  </si>
  <si>
    <t>Jahr</t>
  </si>
  <si>
    <r>
      <t xml:space="preserve">Definieren Sie den </t>
    </r>
    <r>
      <rPr>
        <b/>
        <i/>
        <sz val="10"/>
        <color theme="1"/>
        <rFont val="Arial"/>
        <family val="2"/>
        <scheme val="minor"/>
      </rPr>
      <t>jährlichen Ladebedarf</t>
    </r>
    <r>
      <rPr>
        <i/>
        <sz val="10"/>
        <color theme="1"/>
        <rFont val="Arial"/>
        <family val="2"/>
        <scheme val="minor"/>
      </rPr>
      <t xml:space="preserve"> pro Ladepunkt nach Leistungskategorie und Nutzergruppe. Anschliessend legen Sie fest wie sich die </t>
    </r>
    <r>
      <rPr>
        <b/>
        <i/>
        <sz val="10"/>
        <color theme="1"/>
        <rFont val="Arial"/>
        <family val="2"/>
        <scheme val="minor"/>
      </rPr>
      <t>Nutzung pro Ladeleistungskategorie nach Nutzergruppe</t>
    </r>
    <r>
      <rPr>
        <i/>
        <sz val="10"/>
        <color theme="1"/>
        <rFont val="Arial"/>
        <family val="2"/>
        <scheme val="minor"/>
      </rPr>
      <t xml:space="preserve"> verteilt. Die Summen müssen dabei stets 100% ergeben.
</t>
    </r>
    <r>
      <rPr>
        <b/>
        <i/>
        <sz val="10"/>
        <color theme="1"/>
        <rFont val="Arial"/>
        <family val="2"/>
        <scheme val="minor"/>
      </rPr>
      <t>Für Flotten:</t>
    </r>
    <r>
      <rPr>
        <i/>
        <sz val="10"/>
        <color theme="1"/>
        <rFont val="Arial"/>
        <family val="2"/>
        <scheme val="minor"/>
      </rPr>
      <t xml:space="preserve"> Der </t>
    </r>
    <r>
      <rPr>
        <b/>
        <i/>
        <sz val="10"/>
        <color theme="1"/>
        <rFont val="Arial"/>
        <family val="2"/>
        <scheme val="minor"/>
      </rPr>
      <t>Ladebedarfsrechner für Flotten</t>
    </r>
    <r>
      <rPr>
        <i/>
        <sz val="10"/>
        <color theme="1"/>
        <rFont val="Arial"/>
        <family val="2"/>
        <scheme val="minor"/>
      </rPr>
      <t xml:space="preserve"> gibt eine detaillierte Möglichkeit zur Bedarfsabschätzung, die hier eingetragen werden kann.</t>
    </r>
  </si>
  <si>
    <t>kWh/Ladepunkt und Jahr</t>
  </si>
  <si>
    <t>Anteil Flotte</t>
  </si>
  <si>
    <t>Anteil Pendler</t>
  </si>
  <si>
    <t>Anteil Besucher &amp; Kunden</t>
  </si>
  <si>
    <t>Daten und Berechnungen</t>
  </si>
  <si>
    <t>Betreibermodelle</t>
  </si>
  <si>
    <t>Name</t>
  </si>
  <si>
    <t>Basis-
infrastruktur</t>
  </si>
  <si>
    <t xml:space="preserve">Lade-
infrastruktur </t>
  </si>
  <si>
    <t>Betrieb</t>
  </si>
  <si>
    <t>Besitz der Ladeinfrastruktur und eigenständiger Betrieb</t>
  </si>
  <si>
    <t>V2</t>
  </si>
  <si>
    <t>Besitz der Ladeinfrastruktur und Betriebscontracting</t>
  </si>
  <si>
    <t>V3</t>
  </si>
  <si>
    <t>Besitz der Basisinfrastruktur und Contracting der Ladestation und des Betriebs</t>
  </si>
  <si>
    <t>V4</t>
  </si>
  <si>
    <t>Contracting der Ladeinfrastruktur und des Betriebs</t>
  </si>
  <si>
    <t>Ausgewählte Variante Basis</t>
  </si>
  <si>
    <t>Ausgewählte Variante Advanced</t>
  </si>
  <si>
    <t>Komponente</t>
  </si>
  <si>
    <t>Präzisierung</t>
  </si>
  <si>
    <t>Einheit</t>
  </si>
  <si>
    <t>Wert</t>
  </si>
  <si>
    <t>Basisinfrastruktur (A-C2)</t>
  </si>
  <si>
    <t>Leistungsfaktor zur Berechnung der Blindleistung</t>
  </si>
  <si>
    <t>Basisinfrastruktur B</t>
  </si>
  <si>
    <t>Technischer Erfahrungswert für Ladeinfrastruktur</t>
  </si>
  <si>
    <t>Durchschnittlicher Netzkostenbeitrag pro kVA</t>
  </si>
  <si>
    <t>CHF/kVA</t>
  </si>
  <si>
    <t>Durchschnittlicher Wert verschiedener EVU</t>
  </si>
  <si>
    <t>Netzanschlussbeitrag Grundbetrag / Pauschale</t>
  </si>
  <si>
    <t>Netzanschlussbeitrag Meterpauschale</t>
  </si>
  <si>
    <t>CHF/m Anschlussleitung</t>
  </si>
  <si>
    <t>Kosten Verteilung pro Meter</t>
  </si>
  <si>
    <t>Basisinfrastruktur C1-C2</t>
  </si>
  <si>
    <t>CHF/m Unterverteilung</t>
  </si>
  <si>
    <t>Zwischenverteilung und weitere Komponenten (z.B. Zähler)</t>
  </si>
  <si>
    <t>Pauschale Kosten für die Projektierung</t>
  </si>
  <si>
    <t>% der Gesamtkosten (A-C2)</t>
  </si>
  <si>
    <t>Durchschnittlicher Erfahrungswert; 10% der Gesamtkosten der Basisinfrastruktur</t>
  </si>
  <si>
    <t>Durchschnittlicher Wert verschiedener Lastmanagementprodukte</t>
  </si>
  <si>
    <t>Gebühr Basisinfrastruktur bei Contracting</t>
  </si>
  <si>
    <t>Basisinfrastruktur A-C2</t>
  </si>
  <si>
    <t>CHF/Monat/11kW-äq</t>
  </si>
  <si>
    <t>Durchschnittlicher Wert verschiedener Anbieter</t>
  </si>
  <si>
    <t>Lebensdauer Lastmanagement</t>
  </si>
  <si>
    <t>Jahre</t>
  </si>
  <si>
    <t>Ersatzinvestition Lastmanagement</t>
  </si>
  <si>
    <t>Durchschnittlicher Wert verschiedener Lastmanagementprodukte, reduziert im Vgl. zu Erstinvestition</t>
  </si>
  <si>
    <t>Standard Investitionskosten Basisinfrastruktur, Basic</t>
  </si>
  <si>
    <t>CHF/LP</t>
  </si>
  <si>
    <t>Durschnittlicher Wert für Modus Basic auf Grundlage obenstehender Werte</t>
  </si>
  <si>
    <t>Ladestation (D)</t>
  </si>
  <si>
    <t>Anschaffungskosten Ladestation</t>
  </si>
  <si>
    <t>Ladestation D, 11-22 kW AC</t>
  </si>
  <si>
    <t>Ladestation D, 22-80 kW DC</t>
  </si>
  <si>
    <t>Ladestation D, 80-150 kW DC</t>
  </si>
  <si>
    <t>Ladestation D, &gt;150 kW DC</t>
  </si>
  <si>
    <t>Kosten Installation Ladestation</t>
  </si>
  <si>
    <t>Gebühr Ladestation bei Contracting</t>
  </si>
  <si>
    <t>Ladestation D</t>
  </si>
  <si>
    <t>CHF/Monat/11kWeq</t>
  </si>
  <si>
    <t>Lebensdauer Ladestation</t>
  </si>
  <si>
    <t>Betrieb und Abrechnung</t>
  </si>
  <si>
    <t>Abrechnungsgebühr pro kWh</t>
  </si>
  <si>
    <t>Typischerweise nur relevant bei öffentlich zugänglichen Ladestationen</t>
  </si>
  <si>
    <t>Abrechnungsgebühr pro Ladepunkt</t>
  </si>
  <si>
    <t>CHF/Monat/LP</t>
  </si>
  <si>
    <t>Durchschnittlicher Wert verschiedener Anbieter; relevant bei privaten Ladestationen</t>
  </si>
  <si>
    <t>Wartungs- und Betriebskosten Ladestation AC</t>
  </si>
  <si>
    <t>CHF/Jahr</t>
  </si>
  <si>
    <t>Wartungs- und Betriebskosten Ladestation DC</t>
  </si>
  <si>
    <t>Gebühr Betrieb und Abrechnung bei Contracting</t>
  </si>
  <si>
    <t>Ladebedarf und Strombeschaffung</t>
  </si>
  <si>
    <t>Ladebedarf Flottenfahrzeuge</t>
  </si>
  <si>
    <t>11-22 kW AC</t>
  </si>
  <si>
    <t>kWh/LP/Jahr</t>
  </si>
  <si>
    <t>1 Ladepunkt pro Fahrzeug, 50km pro Tag</t>
  </si>
  <si>
    <t>Ladebedarf Pendler</t>
  </si>
  <si>
    <t>1 Ladevorgang pro Tag, jeweils 30kWh geladen</t>
  </si>
  <si>
    <t>Ladebedarf Besucher &amp; Kunden</t>
  </si>
  <si>
    <t>Auslastungsgrad 6%</t>
  </si>
  <si>
    <t>22-80 kW DC</t>
  </si>
  <si>
    <t>4 Ladevorgänge pro Tag, jeweils 30kWh geladen</t>
  </si>
  <si>
    <t>Auslastungsgrad 8%</t>
  </si>
  <si>
    <t>80-150 kW DC</t>
  </si>
  <si>
    <t>6 Ladevorgänge pro Tag, jeweils 30kWh geladen</t>
  </si>
  <si>
    <t>&gt;150 kW DC</t>
  </si>
  <si>
    <t>12 Ladevorgänge pro Tag, jeweils 30kWh geladen</t>
  </si>
  <si>
    <t>Durchschnittlicher Stromtarif</t>
  </si>
  <si>
    <t>Durchschnittlicher Stromverbrauch BEV-Personenwagen</t>
  </si>
  <si>
    <t>kWh/100km</t>
  </si>
  <si>
    <t>Anteil</t>
  </si>
  <si>
    <t>Bedarf gemittelt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</si>
</sst>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#,##0.0"/>
    <numFmt numFmtId="167" formatCode="#,##0.00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Arial Bold"/>
      <scheme val="major"/>
    </font>
    <font>
      <b/>
      <sz val="12"/>
      <color theme="0"/>
      <name val="Arial Bold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dotted">
        <color theme="3"/>
      </top>
      <bottom style="dotted">
        <color theme="3"/>
      </bottom>
      <diagonal/>
    </border>
    <border>
      <left style="dotted">
        <color theme="3"/>
      </left>
      <right style="dotted">
        <color theme="3"/>
      </right>
      <top/>
      <bottom style="dotted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/>
      <top style="dotted">
        <color theme="3"/>
      </top>
      <bottom style="dotted">
        <color theme="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3"/>
      </bottom>
      <diagonal/>
    </border>
    <border>
      <left/>
      <right style="thin">
        <color indexed="64"/>
      </right>
      <top style="dotted">
        <color theme="3"/>
      </top>
      <bottom style="dotted">
        <color theme="3"/>
      </bottom>
      <diagonal/>
    </border>
    <border>
      <left/>
      <right/>
      <top/>
      <bottom style="dotted">
        <color theme="3"/>
      </bottom>
      <diagonal/>
    </border>
    <border>
      <left style="dotted">
        <color theme="3"/>
      </left>
      <right style="dotted">
        <color theme="3"/>
      </right>
      <top/>
      <bottom style="thin">
        <color indexed="64"/>
      </bottom>
      <diagonal/>
    </border>
    <border>
      <left style="thin">
        <color indexed="64"/>
      </left>
      <right style="dotted">
        <color theme="3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</borders>
  <cellStyleXfs count="9">
    <xf numFmtId="0" fontId="0" fillId="0" borderId="0"/>
    <xf numFmtId="0" fontId="1" fillId="5" borderId="1">
      <alignment horizontal="center"/>
    </xf>
    <xf numFmtId="4" fontId="1" fillId="5" borderId="1">
      <alignment horizontal="right"/>
    </xf>
    <xf numFmtId="3" fontId="1" fillId="3" borderId="5"/>
    <xf numFmtId="0" fontId="6" fillId="4" borderId="0"/>
    <xf numFmtId="3" fontId="1" fillId="5" borderId="1">
      <alignment horizontal="right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" borderId="0"/>
  </cellStyleXfs>
  <cellXfs count="77">
    <xf numFmtId="0" fontId="0" fillId="0" borderId="0" xfId="0"/>
    <xf numFmtId="0" fontId="0" fillId="2" borderId="0" xfId="0" applyFill="1"/>
    <xf numFmtId="0" fontId="0" fillId="3" borderId="0" xfId="0" applyFill="1"/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5" borderId="1" xfId="1">
      <alignment horizontal="center"/>
    </xf>
    <xf numFmtId="4" fontId="1" fillId="5" borderId="1" xfId="2">
      <alignment horizontal="right"/>
    </xf>
    <xf numFmtId="0" fontId="0" fillId="3" borderId="3" xfId="0" applyFill="1" applyBorder="1"/>
    <xf numFmtId="0" fontId="2" fillId="3" borderId="4" xfId="0" applyFont="1" applyFill="1" applyBorder="1"/>
    <xf numFmtId="0" fontId="2" fillId="3" borderId="3" xfId="0" applyFont="1" applyFill="1" applyBorder="1"/>
    <xf numFmtId="3" fontId="1" fillId="3" borderId="5" xfId="3"/>
    <xf numFmtId="3" fontId="1" fillId="3" borderId="1" xfId="3" applyBorder="1" applyAlignment="1">
      <alignment horizontal="center"/>
    </xf>
    <xf numFmtId="0" fontId="6" fillId="4" borderId="0" xfId="4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1" fillId="3" borderId="5" xfId="3" applyNumberFormat="1"/>
    <xf numFmtId="0" fontId="2" fillId="3" borderId="0" xfId="0" applyFont="1" applyFill="1" applyAlignment="1">
      <alignment horizontal="right"/>
    </xf>
    <xf numFmtId="0" fontId="4" fillId="3" borderId="0" xfId="0" applyFont="1" applyFill="1"/>
    <xf numFmtId="167" fontId="1" fillId="3" borderId="5" xfId="3" applyNumberFormat="1"/>
    <xf numFmtId="0" fontId="2" fillId="3" borderId="9" xfId="0" applyFont="1" applyFill="1" applyBorder="1" applyAlignment="1">
      <alignment horizontal="center" wrapText="1"/>
    </xf>
    <xf numFmtId="3" fontId="1" fillId="3" borderId="10" xfId="3" applyBorder="1"/>
    <xf numFmtId="0" fontId="0" fillId="3" borderId="8" xfId="0" applyFill="1" applyBorder="1"/>
    <xf numFmtId="0" fontId="2" fillId="3" borderId="12" xfId="0" applyFont="1" applyFill="1" applyBorder="1" applyAlignment="1">
      <alignment horizontal="center" wrapText="1"/>
    </xf>
    <xf numFmtId="3" fontId="1" fillId="3" borderId="13" xfId="3" applyBorder="1"/>
    <xf numFmtId="0" fontId="0" fillId="3" borderId="11" xfId="0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wrapText="1"/>
    </xf>
    <xf numFmtId="167" fontId="1" fillId="3" borderId="14" xfId="3" applyNumberFormat="1" applyBorder="1"/>
    <xf numFmtId="9" fontId="4" fillId="3" borderId="7" xfId="0" applyNumberFormat="1" applyFont="1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3" fontId="1" fillId="3" borderId="0" xfId="3" applyBorder="1"/>
    <xf numFmtId="0" fontId="2" fillId="3" borderId="7" xfId="0" applyFont="1" applyFill="1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0" fontId="7" fillId="3" borderId="0" xfId="0" applyFont="1" applyFill="1"/>
    <xf numFmtId="0" fontId="8" fillId="3" borderId="0" xfId="0" applyFont="1" applyFill="1"/>
    <xf numFmtId="0" fontId="2" fillId="3" borderId="7" xfId="0" applyFont="1" applyFill="1" applyBorder="1" applyAlignment="1">
      <alignment wrapText="1"/>
    </xf>
    <xf numFmtId="0" fontId="9" fillId="3" borderId="0" xfId="0" applyFont="1" applyFill="1" applyAlignment="1">
      <alignment horizontal="center"/>
    </xf>
    <xf numFmtId="9" fontId="4" fillId="3" borderId="0" xfId="0" applyNumberFormat="1" applyFont="1" applyFill="1"/>
    <xf numFmtId="3" fontId="1" fillId="3" borderId="0" xfId="3" applyBorder="1" applyAlignment="1">
      <alignment horizontal="center"/>
    </xf>
    <xf numFmtId="0" fontId="9" fillId="3" borderId="0" xfId="0" applyFont="1" applyFill="1"/>
    <xf numFmtId="0" fontId="11" fillId="3" borderId="0" xfId="8"/>
    <xf numFmtId="0" fontId="10" fillId="3" borderId="0" xfId="8" applyFont="1"/>
    <xf numFmtId="0" fontId="2" fillId="3" borderId="17" xfId="0" applyFont="1" applyFill="1" applyBorder="1"/>
    <xf numFmtId="0" fontId="0" fillId="3" borderId="17" xfId="0" applyFill="1" applyBorder="1"/>
    <xf numFmtId="9" fontId="1" fillId="3" borderId="5" xfId="7" applyFill="1" applyBorder="1"/>
    <xf numFmtId="4" fontId="1" fillId="3" borderId="5" xfId="3" applyNumberFormat="1"/>
    <xf numFmtId="0" fontId="0" fillId="5" borderId="1" xfId="0" applyFill="1" applyBorder="1" applyAlignment="1" applyProtection="1">
      <alignment horizontal="center"/>
      <protection locked="0"/>
    </xf>
    <xf numFmtId="1" fontId="1" fillId="5" borderId="1" xfId="6" applyNumberFormat="1" applyFill="1" applyBorder="1" applyAlignment="1" applyProtection="1">
      <alignment horizontal="right"/>
      <protection locked="0"/>
    </xf>
    <xf numFmtId="3" fontId="1" fillId="5" borderId="1" xfId="2" applyNumberFormat="1" applyProtection="1">
      <alignment horizontal="right"/>
      <protection locked="0"/>
    </xf>
    <xf numFmtId="3" fontId="1" fillId="5" borderId="1" xfId="5" applyProtection="1">
      <alignment horizontal="right"/>
      <protection locked="0"/>
    </xf>
    <xf numFmtId="4" fontId="1" fillId="5" borderId="1" xfId="2" applyProtection="1">
      <alignment horizontal="right"/>
      <protection locked="0"/>
    </xf>
    <xf numFmtId="1" fontId="1" fillId="5" borderId="1" xfId="5" applyNumberFormat="1" applyProtection="1">
      <alignment horizontal="right"/>
      <protection locked="0"/>
    </xf>
    <xf numFmtId="0" fontId="1" fillId="5" borderId="1" xfId="1" applyProtection="1">
      <alignment horizontal="center"/>
      <protection locked="0"/>
    </xf>
    <xf numFmtId="166" fontId="1" fillId="5" borderId="1" xfId="2" applyNumberFormat="1" applyProtection="1">
      <alignment horizontal="right"/>
      <protection locked="0"/>
    </xf>
    <xf numFmtId="165" fontId="1" fillId="5" borderId="1" xfId="6" applyNumberFormat="1" applyFill="1" applyBorder="1" applyAlignment="1" applyProtection="1">
      <alignment horizontal="right"/>
      <protection locked="0"/>
    </xf>
    <xf numFmtId="2" fontId="1" fillId="5" borderId="1" xfId="1" applyNumberFormat="1" applyAlignment="1" applyProtection="1">
      <alignment horizontal="right"/>
      <protection locked="0"/>
    </xf>
    <xf numFmtId="9" fontId="1" fillId="5" borderId="16" xfId="7" applyFill="1" applyBorder="1" applyAlignment="1" applyProtection="1">
      <alignment horizontal="right"/>
      <protection locked="0"/>
    </xf>
    <xf numFmtId="9" fontId="1" fillId="5" borderId="15" xfId="7" applyFill="1" applyBorder="1" applyAlignment="1" applyProtection="1">
      <alignment horizontal="right"/>
      <protection locked="0"/>
    </xf>
    <xf numFmtId="2" fontId="1" fillId="5" borderId="6" xfId="2" applyNumberFormat="1" applyBorder="1" applyProtection="1">
      <alignment horizontal="right"/>
      <protection locked="0"/>
    </xf>
    <xf numFmtId="9" fontId="1" fillId="5" borderId="1" xfId="7" applyFill="1" applyBorder="1" applyAlignment="1" applyProtection="1">
      <alignment horizontal="right"/>
      <protection locked="0"/>
    </xf>
    <xf numFmtId="0" fontId="10" fillId="3" borderId="0" xfId="0" applyFont="1" applyFill="1" applyAlignment="1">
      <alignment horizont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11" xfId="0" applyFont="1" applyFill="1" applyBorder="1" applyAlignment="1">
      <alignment horizontal="center"/>
    </xf>
  </cellXfs>
  <cellStyles count="9">
    <cellStyle name="Anleitung_klein" xfId="8" xr:uid="{ECC02082-C3ED-4330-8061-6CC2239418A4}"/>
    <cellStyle name="Input_String" xfId="1" xr:uid="{776FAE1B-C855-4E44-B5F9-6AACB0FEA2DD}"/>
    <cellStyle name="Input_Zahl" xfId="2" xr:uid="{65DE935E-32EF-477D-92EE-E96C338C5399}"/>
    <cellStyle name="Input_Zahl_Integer" xfId="5" xr:uid="{A653BF68-6AA0-452F-8D10-02A93B03EA61}"/>
    <cellStyle name="Milliers" xfId="6" builtinId="3"/>
    <cellStyle name="Normal" xfId="0" builtinId="0"/>
    <cellStyle name="Output_Zahl" xfId="3" xr:uid="{992DB012-A784-4356-AFD1-2A4146E38A2B}"/>
    <cellStyle name="Pourcentage" xfId="7" builtinId="5"/>
    <cellStyle name="Titel_Abschnitt" xfId="4" xr:uid="{885D1645-5579-499A-856B-636E6B9A9273}"/>
  </cellStyles>
  <dxfs count="17">
    <dxf>
      <font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Jährliche Investitionskosten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Basisinfrastruktur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Basic'!$O$75:$O$89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CD-4DA2-B984-A84D09805037}"/>
            </c:ext>
          </c:extLst>
        </c:ser>
        <c:ser>
          <c:idx val="1"/>
          <c:order val="1"/>
          <c:tx>
            <c:strRef>
              <c:f>'Modus Basic'!$P$70</c:f>
              <c:strCache>
                <c:ptCount val="1"/>
                <c:pt idx="0">
                  <c:v>Ladestationen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Basic'!$P$75:$P$89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CD-4DA2-B984-A84D09805037}"/>
            </c:ext>
          </c:extLst>
        </c:ser>
        <c:ser>
          <c:idx val="2"/>
          <c:order val="2"/>
          <c:tx>
            <c:strRef>
              <c:f>'Modus Basic'!$Q$70</c:f>
              <c:strCache>
                <c:ptCount val="1"/>
                <c:pt idx="0">
                  <c:v>Ersatz Ladestationen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'Modus Basic'!$Q$75:$Q$89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1-4577-AEDB-CD8E359E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Jährliche Betriebskosten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'Modus Basic'!$R$70</c:f>
              <c:strCache>
                <c:ptCount val="1"/>
                <c:pt idx="0">
                  <c:v>Wartung &amp; Betrieb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Basic'!$R$75:$R$89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9-4820-87C9-62717BC18539}"/>
            </c:ext>
          </c:extLst>
        </c:ser>
        <c:ser>
          <c:idx val="3"/>
          <c:order val="1"/>
          <c:tx>
            <c:v>Abrechnungsgebühren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Basic'!$S$75:$S$89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69-4820-87C9-62717BC18539}"/>
            </c:ext>
          </c:extLst>
        </c:ser>
        <c:ser>
          <c:idx val="0"/>
          <c:order val="2"/>
          <c:tx>
            <c:strRef>
              <c:f>'Modus Basic'!$T$70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Basic'!$T$75:$T$89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9-4820-87C9-62717BC18539}"/>
            </c:ext>
          </c:extLst>
        </c:ser>
        <c:ser>
          <c:idx val="1"/>
          <c:order val="3"/>
          <c:tx>
            <c:strRef>
              <c:f>'Modus Basic'!$U$70</c:f>
              <c:strCache>
                <c:ptCount val="1"/>
                <c:pt idx="0">
                  <c:v>Contracting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'Modus Basic'!$N$75:$N$89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Basic'!$U$75:$U$89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69-4820-87C9-62717BC1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CH" sz="1400" b="1"/>
              <a:t>Gesamtkosten kumuliert </a:t>
            </a:r>
          </a:p>
          <a:p>
            <a:pPr>
              <a:defRPr sz="1400"/>
            </a:pPr>
            <a:r>
              <a:rPr lang="de-CH" sz="1400" b="0"/>
              <a:t>[CHF]</a:t>
            </a:r>
          </a:p>
        </c:rich>
      </c:tx>
      <c:layout>
        <c:manualLayout>
          <c:xMode val="edge"/>
          <c:yMode val="edge"/>
          <c:x val="2.1475095785440605E-2"/>
          <c:y val="3.52941176470588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230708812260537"/>
          <c:y val="0.28617446348618186"/>
          <c:w val="0.36629367816091957"/>
          <c:h val="0.590413154238073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5F-4313-9F7D-F6A8DFEDB0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5F-4313-9F7D-F6A8DFEDB06F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5F-4313-9F7D-F6A8DFEDB06F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5F-4313-9F7D-F6A8DFEDB06F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5F-4313-9F7D-F6A8DFEDB06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5F-4313-9F7D-F6A8DFEDB06F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FE-4FE6-972B-E8F6355D04C5}"/>
              </c:ext>
            </c:extLst>
          </c:dPt>
          <c:dLbls>
            <c:dLbl>
              <c:idx val="0"/>
              <c:layout>
                <c:manualLayout>
                  <c:x val="-1.3618798795300223E-2"/>
                  <c:y val="-5.09803921568627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5F-4313-9F7D-F6A8DFEDB06F}"/>
                </c:ext>
              </c:extLst>
            </c:dLbl>
            <c:dLbl>
              <c:idx val="1"/>
              <c:layout>
                <c:manualLayout>
                  <c:x val="2.5198412698412699E-2"/>
                  <c:y val="-3.5947297152056452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5F-4313-9F7D-F6A8DFEDB06F}"/>
                </c:ext>
              </c:extLst>
            </c:dLbl>
            <c:dLbl>
              <c:idx val="2"/>
              <c:layout>
                <c:manualLayout>
                  <c:x val="2.0089415739500203E-2"/>
                  <c:y val="-6.66666666666666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5F-4313-9F7D-F6A8DFEDB06F}"/>
                </c:ext>
              </c:extLst>
            </c:dLbl>
            <c:dLbl>
              <c:idx val="3"/>
              <c:layout>
                <c:manualLayout>
                  <c:x val="6.7195767195767198E-2"/>
                  <c:y val="-4.70588235294117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5F-4313-9F7D-F6A8DFEDB06F}"/>
                </c:ext>
              </c:extLst>
            </c:dLbl>
            <c:dLbl>
              <c:idx val="4"/>
              <c:layout>
                <c:manualLayout>
                  <c:x val="6.4395943562610233E-2"/>
                  <c:y val="7.8431372549019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5F-4313-9F7D-F6A8DFEDB06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'Modus Basic'!$O$90:$U$90</c:f>
              <c:strCache>
                <c:ptCount val="7"/>
                <c:pt idx="0">
                  <c:v>Basisinfrastruktur</c:v>
                </c:pt>
                <c:pt idx="1">
                  <c:v>Ladestationen</c:v>
                </c:pt>
                <c:pt idx="2">
                  <c:v>Ersatz Ladestationen</c:v>
                </c:pt>
                <c:pt idx="3">
                  <c:v>Wartung &amp; Betrieb</c:v>
                </c:pt>
                <c:pt idx="4">
                  <c:v>Abrechnungsgebühren</c:v>
                </c:pt>
                <c:pt idx="5">
                  <c:v>Strom</c:v>
                </c:pt>
                <c:pt idx="6">
                  <c:v>Contracting</c:v>
                </c:pt>
              </c:strCache>
            </c:strRef>
          </c:cat>
          <c:val>
            <c:numRef>
              <c:f>'Modus Basic'!$O$71:$U$71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7-4AD9-BCD8-3C9BB8AFE03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531841972422221"/>
          <c:y val="0.35769301334180953"/>
          <c:w val="0.32840414313724559"/>
          <c:h val="0.585000718683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accent1"/>
      </a:solidFill>
      <a:round/>
    </a:ln>
    <a:effectLst/>
  </c:spPr>
  <c:txPr>
    <a:bodyPr/>
    <a:lstStyle/>
    <a:p>
      <a:pPr>
        <a:defRPr sz="1000" baseline="0"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Jährliche Investitionskosten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Basisinfrastruktur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Advanced'!$O$84:$O$98</c:f>
              <c:numCache>
                <c:formatCode>#,##0</c:formatCode>
                <c:ptCount val="15"/>
                <c:pt idx="0">
                  <c:v>18667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1375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1D-40A1-86E3-D75E0B6ABD65}"/>
            </c:ext>
          </c:extLst>
        </c:ser>
        <c:ser>
          <c:idx val="1"/>
          <c:order val="1"/>
          <c:tx>
            <c:strRef>
              <c:f>'Modus Advanced'!$P$79</c:f>
              <c:strCache>
                <c:ptCount val="1"/>
                <c:pt idx="0">
                  <c:v>Ladestationen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Advanced'!$P$84:$P$98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1D-40A1-86E3-D75E0B6ABD65}"/>
            </c:ext>
          </c:extLst>
        </c:ser>
        <c:ser>
          <c:idx val="2"/>
          <c:order val="2"/>
          <c:tx>
            <c:strRef>
              <c:f>'Modus Advanced'!$Q$79</c:f>
              <c:strCache>
                <c:ptCount val="1"/>
                <c:pt idx="0">
                  <c:v>Ersatz Ladestationen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'Modus Advanced'!$Q$84:$Q$98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5-46D9-9EC9-62486CB1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Gesamtkosten kumuliert </a:t>
            </a:r>
            <a:br>
              <a:rPr lang="de-CH" b="1"/>
            </a:br>
            <a:r>
              <a:rPr lang="de-CH" b="0"/>
              <a:t>[CHF]</a:t>
            </a:r>
          </a:p>
        </c:rich>
      </c:tx>
      <c:layout>
        <c:manualLayout>
          <c:xMode val="edge"/>
          <c:yMode val="edge"/>
          <c:x val="3.3639846743295017E-2"/>
          <c:y val="3.52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4916130268199235"/>
          <c:y val="0.27661635802469137"/>
          <c:w val="0.38970613026819922"/>
          <c:h val="0.6278598765432098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CC-4013-BFA4-8C12E8D28B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CC-4013-BFA4-8C12E8D28B5D}"/>
              </c:ext>
            </c:extLst>
          </c:dPt>
          <c:dPt>
            <c:idx val="2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CC-4013-BFA4-8C12E8D28B5D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CC-4013-BFA4-8C12E8D28B5D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CC-4013-BFA4-8C12E8D28B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CC-4013-BFA4-8C12E8D28B5D}"/>
              </c:ext>
            </c:extLst>
          </c:dPt>
          <c:dPt>
            <c:idx val="6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031-4ED4-A0BE-A526B375E04A}"/>
              </c:ext>
            </c:extLst>
          </c:dPt>
          <c:dLbls>
            <c:dLbl>
              <c:idx val="0"/>
              <c:layout>
                <c:manualLayout>
                  <c:x val="-6.9995590828924162E-2"/>
                  <c:y val="-6.17361111111111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CC-4013-BFA4-8C12E8D28B5D}"/>
                </c:ext>
              </c:extLst>
            </c:dLbl>
            <c:dLbl>
              <c:idx val="1"/>
              <c:layout>
                <c:manualLayout>
                  <c:x val="2.2398659003831419E-2"/>
                  <c:y val="7.6925308641975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CC-4013-BFA4-8C12E8D28B5D}"/>
                </c:ext>
              </c:extLst>
            </c:dLbl>
            <c:dLbl>
              <c:idx val="2"/>
              <c:layout>
                <c:manualLayout>
                  <c:x val="6.4029118773946264E-2"/>
                  <c:y val="-4.7037037037037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CC-4013-BFA4-8C12E8D28B5D}"/>
                </c:ext>
              </c:extLst>
            </c:dLbl>
            <c:dLbl>
              <c:idx val="3"/>
              <c:layout>
                <c:manualLayout>
                  <c:x val="5.8820987654320936E-2"/>
                  <c:y val="1.3353472222222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CC-4013-BFA4-8C12E8D28B5D}"/>
                </c:ext>
              </c:extLst>
            </c:dLbl>
            <c:dLbl>
              <c:idx val="4"/>
              <c:layout>
                <c:manualLayout>
                  <c:x val="-6.0325670498084741E-3"/>
                  <c:y val="6.307407407407407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CC-4013-BFA4-8C12E8D28B5D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'Modus Advanced'!$O$99:$U$99</c:f>
              <c:strCache>
                <c:ptCount val="7"/>
                <c:pt idx="0">
                  <c:v>Basisinfrastruktur</c:v>
                </c:pt>
                <c:pt idx="1">
                  <c:v>Ladestationen</c:v>
                </c:pt>
                <c:pt idx="2">
                  <c:v>Ersatz Ladestationen</c:v>
                </c:pt>
                <c:pt idx="3">
                  <c:v>Wartung &amp; Betrieb</c:v>
                </c:pt>
                <c:pt idx="4">
                  <c:v>Abrechnungsgebühren</c:v>
                </c:pt>
                <c:pt idx="5">
                  <c:v>Strom</c:v>
                </c:pt>
                <c:pt idx="6">
                  <c:v>Contracting</c:v>
                </c:pt>
              </c:strCache>
            </c:strRef>
          </c:cat>
          <c:val>
            <c:numRef>
              <c:f>'Modus Advanced'!$O$80:$U$80</c:f>
              <c:numCache>
                <c:formatCode>#,##0</c:formatCode>
                <c:ptCount val="7"/>
                <c:pt idx="0">
                  <c:v>20042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2AE-9C1E-D7DAAB76AC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299674329501924"/>
          <c:y val="0.39030740740740733"/>
          <c:w val="0.31240555555555555"/>
          <c:h val="0.498471296296296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de-CH" b="1"/>
              <a:t>Jährliche Betriebskosten</a:t>
            </a:r>
          </a:p>
        </c:rich>
      </c:tx>
      <c:layout>
        <c:manualLayout>
          <c:xMode val="edge"/>
          <c:yMode val="edge"/>
          <c:x val="5.1655155558371732E-2"/>
          <c:y val="2.5196846227813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'Modus Advanced'!$R$79</c:f>
              <c:strCache>
                <c:ptCount val="1"/>
                <c:pt idx="0">
                  <c:v>Wartung &amp; Betrieb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Advanced'!$R$84:$R$98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9-4CE2-9981-C2161B0C2712}"/>
            </c:ext>
          </c:extLst>
        </c:ser>
        <c:ser>
          <c:idx val="2"/>
          <c:order val="1"/>
          <c:tx>
            <c:strRef>
              <c:f>'Modus Advanced'!$S$99</c:f>
              <c:strCache>
                <c:ptCount val="1"/>
                <c:pt idx="0">
                  <c:v>Abrechnungsgebühren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Advanced'!$S$84:$S$98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9-4CE2-9981-C2161B0C2712}"/>
            </c:ext>
          </c:extLst>
        </c:ser>
        <c:ser>
          <c:idx val="3"/>
          <c:order val="2"/>
          <c:tx>
            <c:strRef>
              <c:f>'Modus Advanced'!$T$79</c:f>
              <c:strCache>
                <c:ptCount val="1"/>
                <c:pt idx="0">
                  <c:v>Strom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Advanced'!$T$84:$T$98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9-4CE2-9981-C2161B0C2712}"/>
            </c:ext>
          </c:extLst>
        </c:ser>
        <c:ser>
          <c:idx val="5"/>
          <c:order val="3"/>
          <c:tx>
            <c:strRef>
              <c:f>'Modus Advanced'!$U$79</c:f>
              <c:strCache>
                <c:ptCount val="1"/>
                <c:pt idx="0">
                  <c:v>Contracting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'Modus Advanced'!$N$84:$N$98</c:f>
              <c:numCache>
                <c:formatCode>General</c:formatCode>
                <c:ptCount val="1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</c:numCache>
            </c:numRef>
          </c:cat>
          <c:val>
            <c:numRef>
              <c:f>'Modus Advanced'!$U$84:$U$98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99-4CE2-9981-C2161B0C2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068432"/>
        <c:axId val="1648068912"/>
      </c:barChart>
      <c:catAx>
        <c:axId val="16480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912"/>
        <c:crosses val="autoZero"/>
        <c:auto val="1"/>
        <c:lblAlgn val="ctr"/>
        <c:lblOffset val="100"/>
        <c:noMultiLvlLbl val="0"/>
      </c:catAx>
      <c:valAx>
        <c:axId val="164806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CH"/>
                  <a:t>CHF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480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2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31910</xdr:colOff>
      <xdr:row>32</xdr:row>
      <xdr:rowOff>65968</xdr:rowOff>
    </xdr:from>
    <xdr:to>
      <xdr:col>18</xdr:col>
      <xdr:colOff>551210</xdr:colOff>
      <xdr:row>47</xdr:row>
      <xdr:rowOff>87493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300E689-6999-42A3-9774-1B8E01D1A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57697</xdr:colOff>
      <xdr:row>48</xdr:row>
      <xdr:rowOff>38633</xdr:rowOff>
    </xdr:from>
    <xdr:to>
      <xdr:col>18</xdr:col>
      <xdr:colOff>576997</xdr:colOff>
      <xdr:row>64</xdr:row>
      <xdr:rowOff>50633</xdr:rowOff>
    </xdr:to>
    <xdr:graphicFrame macro="">
      <xdr:nvGraphicFramePr>
        <xdr:cNvPr id="5" name="Diagramm 5">
          <a:extLst>
            <a:ext uri="{FF2B5EF4-FFF2-40B4-BE49-F238E27FC236}">
              <a16:creationId xmlns:a16="http://schemas.microsoft.com/office/drawing/2014/main" id="{F9213D60-24E6-475D-8E64-4387089D5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23968</xdr:colOff>
      <xdr:row>18</xdr:row>
      <xdr:rowOff>57150</xdr:rowOff>
    </xdr:from>
    <xdr:to>
      <xdr:col>17</xdr:col>
      <xdr:colOff>691018</xdr:colOff>
      <xdr:row>31</xdr:row>
      <xdr:rowOff>571500</xdr:rowOff>
    </xdr:to>
    <xdr:graphicFrame macro="">
      <xdr:nvGraphicFramePr>
        <xdr:cNvPr id="3" name="Diagramm 7">
          <a:extLst>
            <a:ext uri="{FF2B5EF4-FFF2-40B4-BE49-F238E27FC236}">
              <a16:creationId xmlns:a16="http://schemas.microsoft.com/office/drawing/2014/main" id="{12D5CCA0-2A20-7F84-850B-7EA5E88F4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521369</xdr:colOff>
      <xdr:row>19</xdr:row>
      <xdr:rowOff>38100</xdr:rowOff>
    </xdr:from>
    <xdr:to>
      <xdr:col>17</xdr:col>
      <xdr:colOff>450292</xdr:colOff>
      <xdr:row>20</xdr:row>
      <xdr:rowOff>217125</xdr:rowOff>
    </xdr:to>
    <xdr:sp macro="" textlink="V71">
      <xdr:nvSpPr>
        <xdr:cNvPr id="4" name="Textfeld 3">
          <a:extLst>
            <a:ext uri="{FF2B5EF4-FFF2-40B4-BE49-F238E27FC236}">
              <a16:creationId xmlns:a16="http://schemas.microsoft.com/office/drawing/2014/main" id="{A6F78193-9D96-42A6-908D-E463361DC20E}"/>
            </a:ext>
          </a:extLst>
        </xdr:cNvPr>
        <xdr:cNvSpPr txBox="1"/>
      </xdr:nvSpPr>
      <xdr:spPr>
        <a:xfrm>
          <a:off x="13846844" y="3600450"/>
          <a:ext cx="976673" cy="36000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B7AE3A4A-B3F6-4336-86E1-51307F99E775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0</a:t>
          </a:fld>
          <a:endParaRPr lang="de-CH" sz="1100" b="1"/>
        </a:p>
      </xdr:txBody>
    </xdr:sp>
    <xdr:clientData/>
  </xdr:twoCellAnchor>
  <xdr:twoCellAnchor>
    <xdr:from>
      <xdr:col>15</xdr:col>
      <xdr:colOff>676275</xdr:colOff>
      <xdr:row>19</xdr:row>
      <xdr:rowOff>39104</xdr:rowOff>
    </xdr:from>
    <xdr:to>
      <xdr:col>16</xdr:col>
      <xdr:colOff>348525</xdr:colOff>
      <xdr:row>20</xdr:row>
      <xdr:rowOff>218129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116D619-EE34-49AB-8873-87348570DE01}"/>
            </a:ext>
          </a:extLst>
        </xdr:cNvPr>
        <xdr:cNvSpPr txBox="1"/>
      </xdr:nvSpPr>
      <xdr:spPr>
        <a:xfrm>
          <a:off x="12954000" y="3601454"/>
          <a:ext cx="720000" cy="36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100" b="1"/>
            <a:t>Gesamt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778332</xdr:colOff>
      <xdr:row>37</xdr:row>
      <xdr:rowOff>62719</xdr:rowOff>
    </xdr:from>
    <xdr:to>
      <xdr:col>18</xdr:col>
      <xdr:colOff>478482</xdr:colOff>
      <xdr:row>51</xdr:row>
      <xdr:rowOff>74719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55D6697-6B1D-0AA6-F519-9C0675BBD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782902</xdr:colOff>
      <xdr:row>21</xdr:row>
      <xdr:rowOff>2812</xdr:rowOff>
    </xdr:from>
    <xdr:to>
      <xdr:col>17</xdr:col>
      <xdr:colOff>630802</xdr:colOff>
      <xdr:row>35</xdr:row>
      <xdr:rowOff>23362</xdr:rowOff>
    </xdr:to>
    <xdr:graphicFrame macro="">
      <xdr:nvGraphicFramePr>
        <xdr:cNvPr id="11" name="Diagramm 4">
          <a:extLst>
            <a:ext uri="{FF2B5EF4-FFF2-40B4-BE49-F238E27FC236}">
              <a16:creationId xmlns:a16="http://schemas.microsoft.com/office/drawing/2014/main" id="{909FFB71-8CFE-E7B1-6245-E56CA18050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782163</xdr:colOff>
      <xdr:row>55</xdr:row>
      <xdr:rowOff>137803</xdr:rowOff>
    </xdr:from>
    <xdr:to>
      <xdr:col>18</xdr:col>
      <xdr:colOff>482313</xdr:colOff>
      <xdr:row>71</xdr:row>
      <xdr:rowOff>149803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0461790-FB56-4945-ACF6-5539F42AE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413005</xdr:colOff>
      <xdr:row>22</xdr:row>
      <xdr:rowOff>0</xdr:rowOff>
    </xdr:from>
    <xdr:to>
      <xdr:col>17</xdr:col>
      <xdr:colOff>341928</xdr:colOff>
      <xdr:row>23</xdr:row>
      <xdr:rowOff>169500</xdr:rowOff>
    </xdr:to>
    <xdr:sp macro="" textlink="V80">
      <xdr:nvSpPr>
        <xdr:cNvPr id="3" name="Textfeld 2">
          <a:extLst>
            <a:ext uri="{FF2B5EF4-FFF2-40B4-BE49-F238E27FC236}">
              <a16:creationId xmlns:a16="http://schemas.microsoft.com/office/drawing/2014/main" id="{58E777AF-4F92-56C9-0256-A3890D96E4E6}"/>
            </a:ext>
          </a:extLst>
        </xdr:cNvPr>
        <xdr:cNvSpPr txBox="1"/>
      </xdr:nvSpPr>
      <xdr:spPr>
        <a:xfrm>
          <a:off x="13833730" y="4124325"/>
          <a:ext cx="976673" cy="36000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fld id="{94772CC7-6E28-498B-A93D-54DB6BFC652E}" type="TxLink">
            <a:rPr lang="en-US" sz="1100" b="1" i="0" u="none" strike="noStrike">
              <a:solidFill>
                <a:srgbClr val="000000"/>
              </a:solidFill>
              <a:latin typeface="Arial"/>
              <a:cs typeface="Arial"/>
            </a:rPr>
            <a:pPr algn="r"/>
            <a:t>20'042</a:t>
          </a:fld>
          <a:endParaRPr lang="de-CH" sz="1100" b="1"/>
        </a:p>
      </xdr:txBody>
    </xdr:sp>
    <xdr:clientData/>
  </xdr:twoCellAnchor>
  <xdr:twoCellAnchor>
    <xdr:from>
      <xdr:col>15</xdr:col>
      <xdr:colOff>567911</xdr:colOff>
      <xdr:row>22</xdr:row>
      <xdr:rowOff>1004</xdr:rowOff>
    </xdr:from>
    <xdr:to>
      <xdr:col>16</xdr:col>
      <xdr:colOff>240161</xdr:colOff>
      <xdr:row>23</xdr:row>
      <xdr:rowOff>170504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8CFC39A-A0D8-5B60-DA00-E03DD61C3308}"/>
            </a:ext>
          </a:extLst>
        </xdr:cNvPr>
        <xdr:cNvSpPr txBox="1"/>
      </xdr:nvSpPr>
      <xdr:spPr>
        <a:xfrm>
          <a:off x="12940886" y="4125329"/>
          <a:ext cx="720000" cy="36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CH" sz="1100" b="1"/>
            <a:t>Gesamt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440690</xdr:colOff>
      <xdr:row>6</xdr:row>
      <xdr:rowOff>48260</xdr:rowOff>
    </xdr:from>
    <xdr:to>
      <xdr:col>7</xdr:col>
      <xdr:colOff>1788160</xdr:colOff>
      <xdr:row>7</xdr:row>
      <xdr:rowOff>114300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9974E21-9223-DDA1-B861-6B72DB1634EC}"/>
            </a:ext>
          </a:extLst>
        </xdr:cNvPr>
        <xdr:cNvSpPr/>
      </xdr:nvSpPr>
      <xdr:spPr>
        <a:xfrm>
          <a:off x="11680190" y="1372235"/>
          <a:ext cx="1347470" cy="42799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1 = Besitz</a:t>
          </a:r>
        </a:p>
        <a:p>
          <a:pPr algn="l"/>
          <a:r>
            <a:rPr lang="de-CH" sz="1100"/>
            <a:t>0 = Contracting</a:t>
          </a:r>
        </a:p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LadenPunkt">
      <a:dk1>
        <a:sysClr val="windowText" lastClr="000000"/>
      </a:dk1>
      <a:lt1>
        <a:sysClr val="window" lastClr="FFFFFF"/>
      </a:lt1>
      <a:dk2>
        <a:srgbClr val="592147"/>
      </a:dk2>
      <a:lt2>
        <a:srgbClr val="FFEACD"/>
      </a:lt2>
      <a:accent1>
        <a:srgbClr val="592147"/>
      </a:accent1>
      <a:accent2>
        <a:srgbClr val="F7A823"/>
      </a:accent2>
      <a:accent3>
        <a:srgbClr val="12385F"/>
      </a:accent3>
      <a:accent4>
        <a:srgbClr val="99A93A"/>
      </a:accent4>
      <a:accent5>
        <a:srgbClr val="EA5B0C"/>
      </a:accent5>
      <a:accent6>
        <a:srgbClr val="69ACDF"/>
      </a:accent6>
      <a:hlink>
        <a:srgbClr val="F7A823"/>
      </a:hlink>
      <a:folHlink>
        <a:srgbClr val="954F72"/>
      </a:folHlink>
    </a:clrScheme>
    <a:fontScheme name="LadenPunkt_Arial">
      <a:majorFont>
        <a:latin typeface="Arial Bold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23F9-CF44-4F2A-8956-F9CE1A5D4C5D}">
  <sheetPr codeName="Sheet1">
    <tabColor theme="3"/>
  </sheetPr>
  <dimension ref="B2:W94"/>
  <sheetViews>
    <sheetView tabSelected="1" zoomScale="85" zoomScaleNormal="85" workbookViewId="0">
      <selection activeCell="D46" sqref="D46"/>
    </sheetView>
  </sheetViews>
  <sheetFormatPr baseColWidth="10" defaultColWidth="11" defaultRowHeight="14" x14ac:dyDescent="0.3"/>
  <cols>
    <col min="1" max="1" width="11" style="1"/>
    <col min="2" max="2" width="1.75" style="1" customWidth="1"/>
    <col min="3" max="3" width="18.33203125" style="1" customWidth="1"/>
    <col min="4" max="4" width="11.75" style="1" customWidth="1"/>
    <col min="5" max="5" width="12.25" style="1" customWidth="1"/>
    <col min="6" max="6" width="12.5" style="1" bestFit="1" customWidth="1"/>
    <col min="7" max="7" width="12.5" style="1" customWidth="1"/>
    <col min="8" max="8" width="11" style="1"/>
    <col min="9" max="9" width="13.5" style="1" bestFit="1" customWidth="1"/>
    <col min="10" max="10" width="2.25" style="1" customWidth="1"/>
    <col min="11" max="12" width="11" style="1"/>
    <col min="13" max="13" width="1.75" style="1" customWidth="1"/>
    <col min="14" max="14" width="16.75" style="1" customWidth="1"/>
    <col min="15" max="22" width="13.75" style="1" customWidth="1"/>
    <col min="23" max="23" width="1.83203125" style="1" customWidth="1"/>
    <col min="24" max="16384" width="11" style="1"/>
  </cols>
  <sheetData>
    <row r="2" spans="2:23" ht="18" x14ac:dyDescent="0.4">
      <c r="B2" s="4"/>
      <c r="C2" s="4" t="s">
        <v>0</v>
      </c>
      <c r="D2" s="3"/>
      <c r="E2" s="3"/>
      <c r="F2" s="3"/>
      <c r="G2" s="3"/>
      <c r="H2" s="3"/>
      <c r="I2" s="3"/>
      <c r="J2" s="3"/>
    </row>
    <row r="4" spans="2:23" ht="15.5" x14ac:dyDescent="0.35">
      <c r="B4" s="5"/>
      <c r="C4" s="5" t="s">
        <v>1</v>
      </c>
      <c r="D4" s="3"/>
      <c r="E4" s="3"/>
      <c r="F4" s="3"/>
      <c r="G4" s="3"/>
      <c r="H4" s="3"/>
      <c r="I4" s="3"/>
      <c r="J4" s="3"/>
      <c r="M4" s="15"/>
      <c r="N4" s="15" t="s">
        <v>2</v>
      </c>
      <c r="O4" s="15"/>
      <c r="P4" s="15"/>
      <c r="Q4" s="15"/>
      <c r="R4" s="15"/>
      <c r="S4" s="15"/>
      <c r="T4" s="15"/>
      <c r="U4" s="15"/>
      <c r="V4" s="15"/>
      <c r="W4" s="15"/>
    </row>
    <row r="5" spans="2:23" x14ac:dyDescent="0.3">
      <c r="B5" s="2"/>
      <c r="C5" s="2"/>
      <c r="D5" s="2"/>
      <c r="E5" s="2"/>
      <c r="F5" s="2"/>
      <c r="G5" s="2"/>
      <c r="H5" s="2"/>
      <c r="I5" s="2"/>
      <c r="J5" s="2"/>
    </row>
    <row r="6" spans="2:23" x14ac:dyDescent="0.3">
      <c r="B6" s="2"/>
      <c r="C6" s="8" t="s">
        <v>3</v>
      </c>
      <c r="D6" s="49" t="s">
        <v>4</v>
      </c>
      <c r="E6" s="2"/>
      <c r="F6" s="2"/>
      <c r="G6" s="2"/>
      <c r="H6" s="2"/>
      <c r="I6" s="2"/>
      <c r="J6" s="2"/>
    </row>
    <row r="7" spans="2:23" x14ac:dyDescent="0.3">
      <c r="B7" s="2"/>
      <c r="C7" s="14" t="s">
        <v>5</v>
      </c>
      <c r="D7" s="49" t="s">
        <v>6</v>
      </c>
      <c r="E7" s="2"/>
      <c r="F7" s="2"/>
      <c r="G7" s="2"/>
      <c r="H7" s="2"/>
      <c r="I7" s="2"/>
      <c r="J7" s="2"/>
    </row>
    <row r="8" spans="2:23" x14ac:dyDescent="0.3">
      <c r="B8" s="2"/>
      <c r="C8" s="47"/>
      <c r="D8" s="2"/>
      <c r="E8" s="2"/>
      <c r="F8" s="2"/>
      <c r="G8" s="2"/>
      <c r="H8" s="2"/>
      <c r="I8" s="2"/>
      <c r="J8" s="2"/>
    </row>
    <row r="10" spans="2:23" ht="15.5" x14ac:dyDescent="0.35">
      <c r="B10" s="15"/>
      <c r="C10" s="15" t="s">
        <v>7</v>
      </c>
      <c r="D10" s="15"/>
      <c r="E10" s="15"/>
      <c r="F10" s="15"/>
      <c r="G10" s="15"/>
      <c r="H10" s="15"/>
      <c r="I10" s="15"/>
      <c r="J10" s="15"/>
      <c r="M10" s="15"/>
      <c r="N10" s="15" t="s">
        <v>8</v>
      </c>
      <c r="O10" s="15"/>
      <c r="P10" s="15"/>
      <c r="Q10" s="15"/>
    </row>
    <row r="11" spans="2:23" x14ac:dyDescent="0.3">
      <c r="B11" s="2"/>
      <c r="C11" s="2"/>
      <c r="D11" s="2"/>
      <c r="E11" s="2"/>
      <c r="F11" s="2"/>
      <c r="G11" s="2"/>
      <c r="H11" s="2"/>
      <c r="I11" s="2"/>
      <c r="J11" s="2"/>
      <c r="M11" s="2"/>
      <c r="N11" s="2"/>
      <c r="O11" s="2"/>
      <c r="P11" s="2"/>
      <c r="Q11" s="2"/>
    </row>
    <row r="12" spans="2:23" x14ac:dyDescent="0.3">
      <c r="B12" s="2"/>
      <c r="C12" s="50" t="s">
        <v>9</v>
      </c>
      <c r="D12" s="2"/>
      <c r="E12" s="2"/>
      <c r="F12" s="2"/>
      <c r="G12" s="2"/>
      <c r="H12" s="2"/>
      <c r="I12" s="2"/>
      <c r="J12" s="2"/>
      <c r="M12" s="2"/>
      <c r="N12" s="6" t="s">
        <v>10</v>
      </c>
      <c r="O12" s="14" t="str">
        <f>Betreibermodell</f>
        <v>V1</v>
      </c>
      <c r="P12" s="2"/>
      <c r="Q12" s="2"/>
    </row>
    <row r="13" spans="2:23" x14ac:dyDescent="0.3">
      <c r="B13" s="2"/>
      <c r="C13" s="55" t="s">
        <v>11</v>
      </c>
      <c r="D13" t="str">
        <f>_xlfn.XLOOKUP($C$13,Daten!B7:B10,Daten!C7:C10)</f>
        <v>Besitz der Ladeinfrastruktur und eigenständiger Betrieb</v>
      </c>
      <c r="E13" s="2"/>
      <c r="F13" s="2"/>
      <c r="G13" s="2"/>
      <c r="H13" s="2"/>
      <c r="I13" s="2"/>
      <c r="J13" s="2"/>
      <c r="M13" s="2"/>
      <c r="N13" s="2"/>
      <c r="O13" s="2"/>
      <c r="P13" s="2"/>
      <c r="Q13" s="2"/>
    </row>
    <row r="14" spans="2:23" x14ac:dyDescent="0.3">
      <c r="B14" s="2"/>
      <c r="C14" s="2"/>
      <c r="D14" s="2"/>
      <c r="E14" s="2"/>
      <c r="F14" s="2"/>
      <c r="G14" s="2"/>
      <c r="H14" s="2"/>
      <c r="I14" s="2"/>
      <c r="J14" s="2"/>
      <c r="M14" s="2"/>
      <c r="N14" s="51" t="s">
        <v>12</v>
      </c>
      <c r="O14" s="51" t="s">
        <v>13</v>
      </c>
      <c r="P14" s="51" t="s">
        <v>14</v>
      </c>
      <c r="Q14" s="52"/>
    </row>
    <row r="15" spans="2:23" x14ac:dyDescent="0.3">
      <c r="B15" s="2"/>
      <c r="C15" s="50" t="s">
        <v>15</v>
      </c>
      <c r="D15" s="2"/>
      <c r="E15" s="2"/>
      <c r="F15" s="2"/>
      <c r="G15" s="2"/>
      <c r="H15" s="2"/>
      <c r="I15" s="2"/>
      <c r="J15" s="2"/>
      <c r="M15" s="2"/>
      <c r="N15" s="2" t="str">
        <f>IF(Bet_Basis=1,"Besitz","Contracting")</f>
        <v>Besitz</v>
      </c>
      <c r="O15" s="2" t="str">
        <f>IF(Bet_LIS=1,"Besitz","Contracting")</f>
        <v>Besitz</v>
      </c>
      <c r="P15" s="2" t="str">
        <f>IF(Bet_Betrieb=1,"Besitz","Contracting")</f>
        <v>Besitz</v>
      </c>
      <c r="Q15" s="2"/>
    </row>
    <row r="16" spans="2:23" x14ac:dyDescent="0.3">
      <c r="B16" s="2"/>
      <c r="C16" s="56">
        <v>2026</v>
      </c>
      <c r="D16" s="2" t="s">
        <v>16</v>
      </c>
      <c r="E16" s="2"/>
      <c r="F16" s="2"/>
      <c r="G16" s="2"/>
      <c r="H16" s="2"/>
      <c r="I16" s="2"/>
      <c r="J16" s="2"/>
      <c r="M16" s="2"/>
      <c r="N16" s="2"/>
      <c r="O16" s="2"/>
      <c r="P16" s="2"/>
      <c r="Q16" s="2"/>
    </row>
    <row r="17" spans="2:10" x14ac:dyDescent="0.3">
      <c r="B17" s="2"/>
      <c r="C17" s="2"/>
      <c r="D17" s="2"/>
      <c r="E17" s="2"/>
      <c r="F17" s="2"/>
      <c r="G17" s="2"/>
      <c r="H17" s="2"/>
      <c r="I17" s="2"/>
      <c r="J17" s="2"/>
    </row>
    <row r="19" spans="2:10" ht="15.5" x14ac:dyDescent="0.35">
      <c r="B19" s="15"/>
      <c r="C19" s="15" t="s">
        <v>12</v>
      </c>
      <c r="D19" s="15"/>
      <c r="E19" s="15"/>
      <c r="F19" s="15"/>
      <c r="G19" s="15"/>
      <c r="H19" s="15"/>
      <c r="I19" s="15"/>
      <c r="J19" s="15"/>
    </row>
    <row r="20" spans="2:10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39.75" customHeight="1" x14ac:dyDescent="0.3">
      <c r="B21" s="2"/>
      <c r="C21" s="69" t="s">
        <v>17</v>
      </c>
      <c r="D21" s="69"/>
      <c r="E21" s="69"/>
      <c r="F21" s="69"/>
      <c r="G21" s="69"/>
      <c r="H21" s="69"/>
      <c r="I21" s="69"/>
      <c r="J21" s="2"/>
    </row>
    <row r="22" spans="2:10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x14ac:dyDescent="0.3">
      <c r="B23" s="6"/>
      <c r="C23" s="6" t="s">
        <v>18</v>
      </c>
      <c r="D23" s="2"/>
      <c r="E23" s="2"/>
      <c r="F23" s="2"/>
      <c r="G23" s="6" t="s">
        <v>19</v>
      </c>
      <c r="H23" s="2"/>
      <c r="I23" s="2"/>
      <c r="J23" s="2"/>
    </row>
    <row r="24" spans="2:10" x14ac:dyDescent="0.3">
      <c r="B24" s="2"/>
      <c r="C24" s="2" t="s">
        <v>20</v>
      </c>
      <c r="D24" s="57">
        <f>Daten!E29</f>
        <v>2300</v>
      </c>
      <c r="E24" s="2" t="s">
        <v>21</v>
      </c>
      <c r="F24" s="2"/>
      <c r="G24" s="13">
        <f>Basic_Basis_inv11kW</f>
        <v>2300</v>
      </c>
      <c r="H24" s="2" t="s">
        <v>21</v>
      </c>
      <c r="I24" s="2"/>
      <c r="J24" s="2"/>
    </row>
    <row r="25" spans="2:10" x14ac:dyDescent="0.3">
      <c r="B25" s="2"/>
      <c r="C25" s="2" t="s">
        <v>22</v>
      </c>
      <c r="D25" s="57">
        <f>Daten!E30</f>
        <v>10300</v>
      </c>
      <c r="E25" s="2" t="s">
        <v>21</v>
      </c>
      <c r="F25" s="2"/>
      <c r="G25" s="13">
        <f>Basic_Basis_Inv50kW</f>
        <v>10300</v>
      </c>
      <c r="H25" s="2" t="s">
        <v>21</v>
      </c>
      <c r="I25" s="2"/>
      <c r="J25" s="2"/>
    </row>
    <row r="26" spans="2:10" x14ac:dyDescent="0.3">
      <c r="B26" s="2"/>
      <c r="C26" s="2" t="s">
        <v>23</v>
      </c>
      <c r="D26" s="57">
        <f>Daten!E31</f>
        <v>16400</v>
      </c>
      <c r="E26" s="2" t="s">
        <v>21</v>
      </c>
      <c r="F26" s="2"/>
      <c r="G26" s="13">
        <f>Basic_Basis_Inv100kW</f>
        <v>16400</v>
      </c>
      <c r="H26" s="2" t="s">
        <v>21</v>
      </c>
      <c r="I26" s="2"/>
      <c r="J26" s="2"/>
    </row>
    <row r="27" spans="2:10" x14ac:dyDescent="0.3">
      <c r="B27" s="2"/>
      <c r="C27" s="2" t="s">
        <v>24</v>
      </c>
      <c r="D27" s="57">
        <f>Basic_Basis_Inv350kW</f>
        <v>20800</v>
      </c>
      <c r="E27" s="2" t="s">
        <v>21</v>
      </c>
      <c r="F27" s="2"/>
      <c r="G27" s="13">
        <f>Basic_Basis_Inv350kW</f>
        <v>20800</v>
      </c>
      <c r="H27" s="2" t="s">
        <v>21</v>
      </c>
      <c r="I27" s="2"/>
      <c r="J27" s="2"/>
    </row>
    <row r="28" spans="2:10" x14ac:dyDescent="0.3">
      <c r="B28" s="2"/>
      <c r="C28" s="2"/>
      <c r="D28" s="2"/>
      <c r="E28" s="2"/>
      <c r="F28" s="2"/>
      <c r="G28" s="2"/>
      <c r="H28" s="2"/>
      <c r="I28" s="2"/>
      <c r="J28" s="2"/>
    </row>
    <row r="30" spans="2:10" ht="15.5" x14ac:dyDescent="0.35">
      <c r="B30" s="15"/>
      <c r="C30" s="15" t="s">
        <v>25</v>
      </c>
      <c r="D30" s="15"/>
      <c r="E30" s="15"/>
      <c r="F30" s="15"/>
      <c r="G30" s="15"/>
      <c r="H30" s="15"/>
      <c r="I30" s="15"/>
      <c r="J30" s="15"/>
    </row>
    <row r="31" spans="2:10" x14ac:dyDescent="0.3">
      <c r="B31" s="2"/>
      <c r="C31" s="2"/>
      <c r="D31" s="2"/>
      <c r="E31" s="2"/>
      <c r="F31" s="2"/>
      <c r="G31" s="2"/>
      <c r="H31" s="2"/>
      <c r="I31" s="2"/>
      <c r="J31" s="2"/>
    </row>
    <row r="32" spans="2:10" ht="57" customHeight="1" x14ac:dyDescent="0.3">
      <c r="B32" s="2"/>
      <c r="C32" s="69" t="s">
        <v>26</v>
      </c>
      <c r="D32" s="69"/>
      <c r="E32" s="69"/>
      <c r="F32" s="69"/>
      <c r="G32" s="69"/>
      <c r="H32" s="69"/>
      <c r="I32" s="69"/>
      <c r="J32" s="2"/>
    </row>
    <row r="33" spans="2:10" x14ac:dyDescent="0.3">
      <c r="B33" s="2"/>
      <c r="C33" s="2"/>
      <c r="D33" s="2"/>
      <c r="E33" s="2"/>
      <c r="F33" s="2"/>
      <c r="G33" s="2"/>
      <c r="H33" s="2"/>
      <c r="I33" s="2"/>
      <c r="J33" s="2"/>
    </row>
    <row r="34" spans="2:10" ht="28" x14ac:dyDescent="0.3">
      <c r="B34" s="2"/>
      <c r="C34" s="10"/>
      <c r="D34" s="16" t="s">
        <v>20</v>
      </c>
      <c r="E34" s="16" t="s">
        <v>22</v>
      </c>
      <c r="F34" s="16" t="s">
        <v>23</v>
      </c>
      <c r="G34" s="16" t="s">
        <v>24</v>
      </c>
      <c r="H34" s="16" t="s">
        <v>27</v>
      </c>
      <c r="I34" s="16" t="s">
        <v>28</v>
      </c>
      <c r="J34" s="37"/>
    </row>
    <row r="35" spans="2:10" x14ac:dyDescent="0.3">
      <c r="B35" s="2"/>
      <c r="C35" s="11" t="s">
        <v>29</v>
      </c>
      <c r="D35" s="13">
        <f>SUM(D39:D53)</f>
        <v>0</v>
      </c>
      <c r="E35" s="13">
        <f t="shared" ref="E35:G35" si="0">SUM(E39:E53)</f>
        <v>0</v>
      </c>
      <c r="F35" s="13">
        <f t="shared" si="0"/>
        <v>0</v>
      </c>
      <c r="G35" s="13">
        <f t="shared" si="0"/>
        <v>0</v>
      </c>
      <c r="H35" s="13"/>
      <c r="I35" s="13">
        <f>I53</f>
        <v>0</v>
      </c>
      <c r="J35" s="37"/>
    </row>
    <row r="36" spans="2:10" x14ac:dyDescent="0.3">
      <c r="B36" s="2"/>
      <c r="C36" s="10"/>
      <c r="D36" s="2"/>
      <c r="E36" s="2"/>
      <c r="F36" s="2"/>
      <c r="G36" s="2"/>
      <c r="H36" s="2"/>
      <c r="I36" s="2"/>
      <c r="J36" s="37"/>
    </row>
    <row r="37" spans="2:10" x14ac:dyDescent="0.3">
      <c r="B37" s="2"/>
      <c r="C37" s="18" t="s">
        <v>30</v>
      </c>
      <c r="D37" s="2"/>
      <c r="E37" s="2"/>
      <c r="F37" s="2"/>
      <c r="G37" s="2"/>
      <c r="H37" s="2"/>
      <c r="I37" s="2"/>
      <c r="J37" s="37"/>
    </row>
    <row r="38" spans="2:10" x14ac:dyDescent="0.3">
      <c r="B38" s="2"/>
      <c r="C38" s="10"/>
      <c r="D38" s="2"/>
      <c r="E38" s="2"/>
      <c r="F38" s="2"/>
      <c r="G38" s="2"/>
      <c r="H38" s="2"/>
      <c r="I38" s="2"/>
      <c r="J38" s="37"/>
    </row>
    <row r="39" spans="2:10" x14ac:dyDescent="0.3">
      <c r="B39" s="2"/>
      <c r="C39" s="7">
        <f>Jahr_Basic</f>
        <v>2026</v>
      </c>
      <c r="D39" s="58"/>
      <c r="E39" s="58"/>
      <c r="F39" s="58"/>
      <c r="G39" s="58"/>
      <c r="H39" s="13">
        <f>SUM(D39:G39)</f>
        <v>0</v>
      </c>
      <c r="I39" s="13">
        <f>H39</f>
        <v>0</v>
      </c>
      <c r="J39" s="37"/>
    </row>
    <row r="40" spans="2:10" x14ac:dyDescent="0.3">
      <c r="B40" s="2"/>
      <c r="C40" s="7">
        <f>C39+1</f>
        <v>2027</v>
      </c>
      <c r="D40" s="58"/>
      <c r="E40" s="58"/>
      <c r="F40" s="58"/>
      <c r="G40" s="58"/>
      <c r="H40" s="13">
        <f t="shared" ref="H40:H53" si="1">SUM(D40:G40)</f>
        <v>0</v>
      </c>
      <c r="I40" s="13">
        <f>I39+H40</f>
        <v>0</v>
      </c>
      <c r="J40" s="37"/>
    </row>
    <row r="41" spans="2:10" x14ac:dyDescent="0.3">
      <c r="B41" s="2"/>
      <c r="C41" s="7">
        <f t="shared" ref="C41:C53" si="2">C40+1</f>
        <v>2028</v>
      </c>
      <c r="D41" s="58"/>
      <c r="E41" s="58"/>
      <c r="F41" s="58"/>
      <c r="G41" s="58"/>
      <c r="H41" s="13">
        <f t="shared" si="1"/>
        <v>0</v>
      </c>
      <c r="I41" s="13">
        <f t="shared" ref="I41:I53" si="3">I40+H41</f>
        <v>0</v>
      </c>
      <c r="J41" s="37"/>
    </row>
    <row r="42" spans="2:10" x14ac:dyDescent="0.3">
      <c r="B42" s="2"/>
      <c r="C42" s="7">
        <f t="shared" si="2"/>
        <v>2029</v>
      </c>
      <c r="D42" s="58"/>
      <c r="E42" s="58"/>
      <c r="F42" s="58"/>
      <c r="G42" s="58"/>
      <c r="H42" s="13">
        <f t="shared" si="1"/>
        <v>0</v>
      </c>
      <c r="I42" s="13">
        <f t="shared" si="3"/>
        <v>0</v>
      </c>
      <c r="J42" s="37"/>
    </row>
    <row r="43" spans="2:10" x14ac:dyDescent="0.3">
      <c r="B43" s="2"/>
      <c r="C43" s="7">
        <f t="shared" si="2"/>
        <v>2030</v>
      </c>
      <c r="D43" s="58"/>
      <c r="E43" s="58"/>
      <c r="F43" s="58"/>
      <c r="G43" s="58"/>
      <c r="H43" s="13">
        <f t="shared" si="1"/>
        <v>0</v>
      </c>
      <c r="I43" s="13">
        <f t="shared" si="3"/>
        <v>0</v>
      </c>
      <c r="J43" s="37"/>
    </row>
    <row r="44" spans="2:10" x14ac:dyDescent="0.3">
      <c r="B44" s="2"/>
      <c r="C44" s="7">
        <f t="shared" si="2"/>
        <v>2031</v>
      </c>
      <c r="D44" s="58"/>
      <c r="E44" s="58"/>
      <c r="F44" s="58"/>
      <c r="G44" s="58"/>
      <c r="H44" s="13">
        <f t="shared" si="1"/>
        <v>0</v>
      </c>
      <c r="I44" s="13">
        <f t="shared" si="3"/>
        <v>0</v>
      </c>
      <c r="J44" s="37"/>
    </row>
    <row r="45" spans="2:10" x14ac:dyDescent="0.3">
      <c r="B45" s="2"/>
      <c r="C45" s="7">
        <f t="shared" si="2"/>
        <v>2032</v>
      </c>
      <c r="D45" s="58"/>
      <c r="E45" s="58"/>
      <c r="F45" s="58"/>
      <c r="G45" s="58"/>
      <c r="H45" s="13">
        <f t="shared" si="1"/>
        <v>0</v>
      </c>
      <c r="I45" s="13">
        <f t="shared" si="3"/>
        <v>0</v>
      </c>
      <c r="J45" s="37"/>
    </row>
    <row r="46" spans="2:10" x14ac:dyDescent="0.3">
      <c r="B46" s="2"/>
      <c r="C46" s="7">
        <f t="shared" si="2"/>
        <v>2033</v>
      </c>
      <c r="D46" s="58"/>
      <c r="E46" s="58"/>
      <c r="F46" s="58"/>
      <c r="G46" s="58"/>
      <c r="H46" s="13">
        <f t="shared" si="1"/>
        <v>0</v>
      </c>
      <c r="I46" s="13">
        <f t="shared" si="3"/>
        <v>0</v>
      </c>
      <c r="J46" s="37"/>
    </row>
    <row r="47" spans="2:10" x14ac:dyDescent="0.3">
      <c r="B47" s="2"/>
      <c r="C47" s="7">
        <f t="shared" si="2"/>
        <v>2034</v>
      </c>
      <c r="D47" s="58"/>
      <c r="E47" s="58"/>
      <c r="F47" s="58"/>
      <c r="G47" s="58"/>
      <c r="H47" s="13">
        <f t="shared" si="1"/>
        <v>0</v>
      </c>
      <c r="I47" s="13">
        <f t="shared" si="3"/>
        <v>0</v>
      </c>
      <c r="J47" s="37"/>
    </row>
    <row r="48" spans="2:10" x14ac:dyDescent="0.3">
      <c r="B48" s="2"/>
      <c r="C48" s="7">
        <f t="shared" si="2"/>
        <v>2035</v>
      </c>
      <c r="D48" s="58"/>
      <c r="E48" s="58"/>
      <c r="F48" s="58"/>
      <c r="G48" s="58"/>
      <c r="H48" s="13">
        <f t="shared" si="1"/>
        <v>0</v>
      </c>
      <c r="I48" s="13">
        <f t="shared" si="3"/>
        <v>0</v>
      </c>
      <c r="J48" s="37"/>
    </row>
    <row r="49" spans="2:10" x14ac:dyDescent="0.3">
      <c r="B49" s="2"/>
      <c r="C49" s="7">
        <f t="shared" si="2"/>
        <v>2036</v>
      </c>
      <c r="D49" s="58"/>
      <c r="E49" s="58"/>
      <c r="F49" s="58"/>
      <c r="G49" s="58"/>
      <c r="H49" s="13">
        <f t="shared" si="1"/>
        <v>0</v>
      </c>
      <c r="I49" s="13">
        <f t="shared" si="3"/>
        <v>0</v>
      </c>
      <c r="J49" s="37"/>
    </row>
    <row r="50" spans="2:10" x14ac:dyDescent="0.3">
      <c r="B50" s="2"/>
      <c r="C50" s="7">
        <f t="shared" si="2"/>
        <v>2037</v>
      </c>
      <c r="D50" s="58"/>
      <c r="E50" s="58"/>
      <c r="F50" s="58"/>
      <c r="G50" s="58"/>
      <c r="H50" s="13">
        <f t="shared" si="1"/>
        <v>0</v>
      </c>
      <c r="I50" s="13">
        <f t="shared" si="3"/>
        <v>0</v>
      </c>
      <c r="J50" s="37"/>
    </row>
    <row r="51" spans="2:10" x14ac:dyDescent="0.3">
      <c r="B51" s="2"/>
      <c r="C51" s="7">
        <f t="shared" si="2"/>
        <v>2038</v>
      </c>
      <c r="D51" s="58"/>
      <c r="E51" s="58"/>
      <c r="F51" s="58"/>
      <c r="G51" s="58"/>
      <c r="H51" s="13">
        <f t="shared" si="1"/>
        <v>0</v>
      </c>
      <c r="I51" s="13">
        <f t="shared" si="3"/>
        <v>0</v>
      </c>
      <c r="J51" s="37"/>
    </row>
    <row r="52" spans="2:10" x14ac:dyDescent="0.3">
      <c r="B52" s="2"/>
      <c r="C52" s="7">
        <f t="shared" si="2"/>
        <v>2039</v>
      </c>
      <c r="D52" s="58"/>
      <c r="E52" s="58"/>
      <c r="F52" s="58"/>
      <c r="G52" s="58"/>
      <c r="H52" s="13">
        <f t="shared" si="1"/>
        <v>0</v>
      </c>
      <c r="I52" s="13">
        <f t="shared" si="3"/>
        <v>0</v>
      </c>
      <c r="J52" s="37"/>
    </row>
    <row r="53" spans="2:10" x14ac:dyDescent="0.3">
      <c r="B53" s="2"/>
      <c r="C53" s="7">
        <f t="shared" si="2"/>
        <v>2040</v>
      </c>
      <c r="D53" s="58"/>
      <c r="E53" s="58"/>
      <c r="F53" s="58"/>
      <c r="G53" s="58"/>
      <c r="H53" s="13">
        <f t="shared" si="1"/>
        <v>0</v>
      </c>
      <c r="I53" s="13">
        <f t="shared" si="3"/>
        <v>0</v>
      </c>
      <c r="J53" s="37"/>
    </row>
    <row r="54" spans="2:10" x14ac:dyDescent="0.3">
      <c r="B54" s="2"/>
      <c r="C54" s="6"/>
      <c r="D54" s="2"/>
      <c r="E54" s="2"/>
      <c r="F54" s="2"/>
      <c r="G54" s="2"/>
      <c r="H54" s="2"/>
      <c r="I54" s="2"/>
      <c r="J54" s="37"/>
    </row>
    <row r="56" spans="2:10" ht="15.5" x14ac:dyDescent="0.35">
      <c r="B56" s="15"/>
      <c r="C56" s="15" t="s">
        <v>31</v>
      </c>
      <c r="D56" s="15"/>
      <c r="E56" s="15"/>
      <c r="F56" s="15"/>
      <c r="G56" s="15"/>
      <c r="H56" s="15"/>
      <c r="I56" s="15"/>
      <c r="J56" s="15"/>
    </row>
    <row r="57" spans="2:10" x14ac:dyDescent="0.3">
      <c r="B57" s="2"/>
      <c r="C57" s="6"/>
      <c r="D57" s="2"/>
      <c r="E57" s="2"/>
      <c r="F57" s="2"/>
      <c r="G57" s="2"/>
      <c r="H57" s="2"/>
      <c r="I57" s="2"/>
      <c r="J57" s="37"/>
    </row>
    <row r="58" spans="2:10" x14ac:dyDescent="0.3">
      <c r="B58" s="2"/>
      <c r="C58" s="73" t="s">
        <v>32</v>
      </c>
      <c r="D58" s="73"/>
      <c r="E58" s="73"/>
      <c r="F58" s="73"/>
      <c r="G58" s="73"/>
      <c r="H58" s="73"/>
      <c r="I58" s="73"/>
      <c r="J58" s="37"/>
    </row>
    <row r="59" spans="2:10" x14ac:dyDescent="0.3">
      <c r="B59" s="2"/>
      <c r="C59" s="6"/>
      <c r="D59" s="2"/>
      <c r="E59" s="2"/>
      <c r="F59" s="2"/>
      <c r="G59" s="2"/>
      <c r="H59" s="2"/>
      <c r="I59" s="2"/>
      <c r="J59" s="37"/>
    </row>
    <row r="60" spans="2:10" x14ac:dyDescent="0.3">
      <c r="B60" s="2"/>
      <c r="C60" s="6"/>
      <c r="D60" s="16" t="s">
        <v>20</v>
      </c>
      <c r="E60" s="16" t="s">
        <v>22</v>
      </c>
      <c r="F60" s="16" t="s">
        <v>23</v>
      </c>
      <c r="G60" s="16" t="s">
        <v>24</v>
      </c>
      <c r="H60" s="2"/>
      <c r="I60" s="2"/>
      <c r="J60" s="37"/>
    </row>
    <row r="61" spans="2:10" x14ac:dyDescent="0.3">
      <c r="B61" s="2"/>
      <c r="C61" s="12" t="s">
        <v>33</v>
      </c>
      <c r="D61" s="57">
        <f>LIS_Kauf11kW</f>
        <v>2000</v>
      </c>
      <c r="E61" s="57">
        <f>LIS_Kauf50kW</f>
        <v>25000</v>
      </c>
      <c r="F61" s="57">
        <f>LIS_Kauf100kW</f>
        <v>50000</v>
      </c>
      <c r="G61" s="57">
        <f>LIS_Kauf350kW</f>
        <v>80000</v>
      </c>
      <c r="H61" s="2" t="s">
        <v>21</v>
      </c>
      <c r="I61" s="2"/>
      <c r="J61" s="37"/>
    </row>
    <row r="62" spans="2:10" x14ac:dyDescent="0.3">
      <c r="B62" s="2"/>
      <c r="C62" s="12" t="s">
        <v>34</v>
      </c>
      <c r="D62" s="57">
        <f>LIS_Inst11kW</f>
        <v>750</v>
      </c>
      <c r="E62" s="57">
        <f>LIS_Inst50kW</f>
        <v>900</v>
      </c>
      <c r="F62" s="57">
        <f>LIS_Inst100kW</f>
        <v>1000</v>
      </c>
      <c r="G62" s="57">
        <f>LIS_Inst350kW</f>
        <v>1000</v>
      </c>
      <c r="H62" s="2" t="s">
        <v>21</v>
      </c>
      <c r="I62" s="2"/>
      <c r="J62" s="37"/>
    </row>
    <row r="63" spans="2:10" x14ac:dyDescent="0.3">
      <c r="B63" s="2"/>
      <c r="C63" s="12" t="s">
        <v>35</v>
      </c>
      <c r="D63" s="13">
        <f>SUM(D61:D62)</f>
        <v>2750</v>
      </c>
      <c r="E63" s="13">
        <f t="shared" ref="E63:F63" si="4">SUM(E61:E62)</f>
        <v>25900</v>
      </c>
      <c r="F63" s="13">
        <f t="shared" si="4"/>
        <v>51000</v>
      </c>
      <c r="G63" s="13">
        <f>SUM(G61:G62)</f>
        <v>81000</v>
      </c>
      <c r="H63" s="2" t="s">
        <v>21</v>
      </c>
      <c r="I63" s="2"/>
      <c r="J63" s="37"/>
    </row>
    <row r="64" spans="2:10" x14ac:dyDescent="0.3">
      <c r="B64" s="2"/>
      <c r="C64" s="6"/>
      <c r="D64" s="2"/>
      <c r="E64" s="2"/>
      <c r="F64" s="2"/>
      <c r="G64" s="2"/>
      <c r="H64" s="2"/>
      <c r="I64" s="2"/>
      <c r="J64" s="37"/>
    </row>
    <row r="67" spans="2:23" ht="15.5" x14ac:dyDescent="0.35">
      <c r="B67" s="15"/>
      <c r="C67" s="15" t="s">
        <v>36</v>
      </c>
      <c r="D67" s="15"/>
      <c r="E67" s="15"/>
      <c r="F67" s="15"/>
      <c r="G67" s="15"/>
      <c r="H67" s="15"/>
      <c r="I67" s="15"/>
      <c r="J67" s="15"/>
      <c r="M67" s="15"/>
      <c r="N67" s="15" t="s">
        <v>37</v>
      </c>
      <c r="O67" s="15"/>
      <c r="P67" s="15"/>
      <c r="Q67" s="15"/>
      <c r="R67" s="15"/>
      <c r="S67" s="15"/>
      <c r="T67" s="15"/>
      <c r="U67" s="15"/>
      <c r="V67" s="15"/>
      <c r="W67" s="15"/>
    </row>
    <row r="68" spans="2:23" ht="14.5" x14ac:dyDescent="0.35">
      <c r="B68" s="2"/>
      <c r="C68" s="2"/>
      <c r="D68" s="2"/>
      <c r="E68" s="2"/>
      <c r="F68" s="2"/>
      <c r="G68" s="2"/>
      <c r="H68" s="2"/>
      <c r="I68" s="2"/>
      <c r="J68" s="2"/>
      <c r="M68" s="2"/>
      <c r="N68" s="2"/>
      <c r="O68" s="45"/>
      <c r="P68" s="45"/>
      <c r="Q68" s="45"/>
      <c r="R68" s="45"/>
      <c r="S68" s="45"/>
      <c r="T68" s="45"/>
      <c r="U68" s="45"/>
      <c r="V68" s="2"/>
      <c r="W68" s="2"/>
    </row>
    <row r="69" spans="2:23" ht="54" customHeight="1" x14ac:dyDescent="0.3">
      <c r="B69" s="2"/>
      <c r="C69" s="69" t="s">
        <v>38</v>
      </c>
      <c r="D69" s="69"/>
      <c r="E69" s="69"/>
      <c r="F69" s="69"/>
      <c r="G69" s="69"/>
      <c r="H69" s="69"/>
      <c r="I69" s="69"/>
      <c r="J69" s="2"/>
      <c r="M69" s="2"/>
      <c r="N69" s="2"/>
      <c r="O69" s="70" t="s">
        <v>39</v>
      </c>
      <c r="P69" s="71"/>
      <c r="Q69" s="72"/>
      <c r="R69" s="70" t="s">
        <v>40</v>
      </c>
      <c r="S69" s="71"/>
      <c r="T69" s="71"/>
      <c r="U69" s="72"/>
      <c r="V69" s="2"/>
      <c r="W69" s="2"/>
    </row>
    <row r="70" spans="2:23" ht="28" x14ac:dyDescent="0.3">
      <c r="B70" s="6"/>
      <c r="C70" s="6" t="s">
        <v>41</v>
      </c>
      <c r="D70" s="2"/>
      <c r="E70" s="2"/>
      <c r="F70" s="2"/>
      <c r="G70" s="2"/>
      <c r="H70" s="2"/>
      <c r="I70" s="2"/>
      <c r="J70" s="2"/>
      <c r="M70" s="2"/>
      <c r="N70" s="10"/>
      <c r="O70" s="16" t="s">
        <v>42</v>
      </c>
      <c r="P70" s="16" t="s">
        <v>13</v>
      </c>
      <c r="Q70" s="16" t="s">
        <v>43</v>
      </c>
      <c r="R70" s="25" t="s">
        <v>44</v>
      </c>
      <c r="S70" s="16" t="s">
        <v>45</v>
      </c>
      <c r="T70" s="16" t="s">
        <v>46</v>
      </c>
      <c r="U70" s="28" t="s">
        <v>47</v>
      </c>
      <c r="V70" s="16" t="s">
        <v>48</v>
      </c>
      <c r="W70" s="37"/>
    </row>
    <row r="71" spans="2:23" x14ac:dyDescent="0.3">
      <c r="B71" s="6"/>
      <c r="C71" s="59">
        <f>Strompreis</f>
        <v>0.25</v>
      </c>
      <c r="D71" s="2" t="s">
        <v>49</v>
      </c>
      <c r="E71" s="2"/>
      <c r="F71" s="2"/>
      <c r="G71" s="2"/>
      <c r="H71" s="2"/>
      <c r="I71" s="2"/>
      <c r="J71" s="2"/>
      <c r="M71" s="7"/>
      <c r="N71" s="19" t="s">
        <v>50</v>
      </c>
      <c r="O71" s="13">
        <f>SUM(O75:O89)</f>
        <v>0</v>
      </c>
      <c r="P71" s="13">
        <f t="shared" ref="P71:U71" si="5">SUM(P75:P89)</f>
        <v>0</v>
      </c>
      <c r="Q71" s="13">
        <f t="shared" ca="1" si="5"/>
        <v>0</v>
      </c>
      <c r="R71" s="26">
        <f t="shared" si="5"/>
        <v>0</v>
      </c>
      <c r="S71" s="13">
        <f t="shared" si="5"/>
        <v>0</v>
      </c>
      <c r="T71" s="13">
        <f t="shared" si="5"/>
        <v>0</v>
      </c>
      <c r="U71" s="29">
        <f t="shared" si="5"/>
        <v>0</v>
      </c>
      <c r="V71" s="13">
        <f ca="1">SUM(O71:U71)</f>
        <v>0</v>
      </c>
      <c r="W71" s="37"/>
    </row>
    <row r="72" spans="2:23" x14ac:dyDescent="0.3">
      <c r="B72" s="6"/>
      <c r="C72" s="2"/>
      <c r="D72" s="2"/>
      <c r="E72" s="2"/>
      <c r="F72" s="2"/>
      <c r="G72" s="2"/>
      <c r="H72" s="2"/>
      <c r="I72" s="2"/>
      <c r="J72" s="2"/>
      <c r="M72" s="31"/>
      <c r="N72" s="20"/>
      <c r="O72" s="2"/>
      <c r="P72" s="2"/>
      <c r="Q72" s="2"/>
      <c r="R72" s="27"/>
      <c r="S72" s="2"/>
      <c r="T72" s="2"/>
      <c r="U72" s="30"/>
      <c r="V72" s="2"/>
      <c r="W72" s="37"/>
    </row>
    <row r="73" spans="2:23" x14ac:dyDescent="0.3">
      <c r="B73" s="6"/>
      <c r="C73" s="2"/>
      <c r="D73" s="6" t="s">
        <v>20</v>
      </c>
      <c r="E73" s="6" t="s">
        <v>22</v>
      </c>
      <c r="F73" s="6" t="s">
        <v>23</v>
      </c>
      <c r="G73" s="6" t="s">
        <v>24</v>
      </c>
      <c r="H73" s="6"/>
      <c r="I73" s="2"/>
      <c r="J73" s="2"/>
      <c r="M73" s="7"/>
      <c r="N73" s="18" t="s">
        <v>30</v>
      </c>
      <c r="O73" s="2"/>
      <c r="P73" s="2"/>
      <c r="Q73" s="2"/>
      <c r="R73" s="27"/>
      <c r="S73" s="2"/>
      <c r="T73" s="2"/>
      <c r="U73" s="30"/>
      <c r="V73" s="2"/>
      <c r="W73" s="37"/>
    </row>
    <row r="74" spans="2:23" x14ac:dyDescent="0.3">
      <c r="B74" s="6"/>
      <c r="C74" s="6" t="s">
        <v>51</v>
      </c>
      <c r="D74" s="58">
        <f>Daten!C73</f>
        <v>3500</v>
      </c>
      <c r="E74" s="58">
        <f>Daten!D73</f>
        <v>25900</v>
      </c>
      <c r="F74" s="58">
        <f>Daten!E73</f>
        <v>39900</v>
      </c>
      <c r="G74" s="58">
        <f>Daten!F73</f>
        <v>86100</v>
      </c>
      <c r="H74" s="2" t="s">
        <v>52</v>
      </c>
      <c r="I74" s="2"/>
      <c r="J74" s="2"/>
      <c r="M74" s="2"/>
      <c r="N74" s="10"/>
      <c r="O74" s="2"/>
      <c r="P74" s="2"/>
      <c r="Q74" s="2"/>
      <c r="R74" s="27"/>
      <c r="S74" s="2"/>
      <c r="T74" s="2"/>
      <c r="U74" s="30"/>
      <c r="V74" s="2"/>
      <c r="W74" s="37"/>
    </row>
    <row r="75" spans="2:23" x14ac:dyDescent="0.3">
      <c r="B75" s="6"/>
      <c r="C75" s="6" t="s">
        <v>53</v>
      </c>
      <c r="D75" s="13">
        <f>D74/Verbrauch_100km*100</f>
        <v>20588.235294117647</v>
      </c>
      <c r="E75" s="13">
        <f>E74/Verbrauch_100km*100</f>
        <v>152352.94117647057</v>
      </c>
      <c r="F75" s="13">
        <f>F74/Verbrauch_100km*100</f>
        <v>234705.88235294117</v>
      </c>
      <c r="G75" s="13">
        <f>G74/Verbrauch_100km*100</f>
        <v>506470.58823529416</v>
      </c>
      <c r="H75" s="2" t="s">
        <v>54</v>
      </c>
      <c r="I75" s="2"/>
      <c r="J75" s="2"/>
      <c r="M75" s="7"/>
      <c r="N75" s="18">
        <f>Jahr_Basic</f>
        <v>2026</v>
      </c>
      <c r="O75" s="13">
        <f>IF(Bet_Basis, $D$35*Basic_Basis_inv11kW +$E$35*Basic_Basis_Inv50kW + $F$35 *Basic_Basis_Inv100kW+$G$35*D27,0)</f>
        <v>0</v>
      </c>
      <c r="P75" s="13">
        <f t="shared" ref="P75:P89" si="6">IF(Bet_LIS,D39* ($D$61+$D$62) + E39 * ($E$61+$E$62) + F39 * ($F$61+$F$62) + G39 * ($G$61+$G$62),0)</f>
        <v>0</v>
      </c>
      <c r="Q75" s="13">
        <v>0</v>
      </c>
      <c r="R75" s="26">
        <f xml:space="preserve"> IF(Bet_Betrieb,(D39+E39*50/11+F39*100/11+G39*350/11)*Betrieb_Wartung_AC,0)</f>
        <v>0</v>
      </c>
      <c r="S75" s="13">
        <f t="shared" ref="S75:S89" si="7">IF(Bet_Betrieb, H79 *Betrieb_AbrkWh + I39 *Betrieb_AbLP * 12,0)</f>
        <v>0</v>
      </c>
      <c r="T75" s="13">
        <f t="shared" ref="T75:T89" si="8">H79*C$71</f>
        <v>0</v>
      </c>
      <c r="U75" s="29">
        <f>IF(Bet_Basis,0, (D39 + E39 * 50/11 + F39 * 100/11 + G39 * 350/11)*Basis_Contracting * 12) +
IF(Bet_LIS,0, (D39 + E39 * 50/11 + F39 * 100/11 + G39 * 350/11)*LIS_Contracting* 12 ) +
IF(Bet_Betrieb,0, (D39 + E39 * 50/11 + F39 * 100/11 + G39 * 350/11)*Betrieb_Contracting* 12 )</f>
        <v>0</v>
      </c>
      <c r="V75" s="13">
        <f t="shared" ref="V75:V89" si="9">SUM(O75:U75)</f>
        <v>0</v>
      </c>
      <c r="W75" s="37"/>
    </row>
    <row r="76" spans="2:23" x14ac:dyDescent="0.3">
      <c r="B76" s="6"/>
      <c r="C76" s="2"/>
      <c r="D76" s="2"/>
      <c r="E76" s="2"/>
      <c r="F76" s="2"/>
      <c r="G76" s="2"/>
      <c r="H76" s="2"/>
      <c r="I76" s="2"/>
      <c r="J76" s="2"/>
      <c r="M76" s="7"/>
      <c r="N76" s="18">
        <f>N75+1</f>
        <v>2027</v>
      </c>
      <c r="O76" s="13">
        <v>0</v>
      </c>
      <c r="P76" s="13">
        <f t="shared" si="6"/>
        <v>0</v>
      </c>
      <c r="Q76" s="13" cm="1">
        <f t="array" aca="1" ref="Q76" ca="1">IF(ROW()-LIS_Lebensdauer &gt; ROW(Q$74), INDIRECT("P" &amp; (ROW()-LIS_Lebensdauer)),0)</f>
        <v>0</v>
      </c>
      <c r="R76" s="26">
        <f t="shared" ref="R76:R89" si="10">IF(Bet_Betrieb,(D40+E40*50/11+F40*100/11+G40*350/11)*Betrieb_Wartung_AC+R75,0)</f>
        <v>0</v>
      </c>
      <c r="S76" s="13">
        <f t="shared" si="7"/>
        <v>0</v>
      </c>
      <c r="T76" s="13">
        <f t="shared" si="8"/>
        <v>0</v>
      </c>
      <c r="U76" s="29">
        <f t="shared" ref="U76:U89" si="11">U75+IF(Bet_Basis,0, (D40 + E40 * 50/11 + F40 * 100/11 + G40 * 350/11)*Basis_Contracting * 12) +
IF(Bet_LIS,0, (D40 + E40 * 50/11 + F40 * 100/11 + G40 * 350/11)*LIS_Contracting* 12 ) +
IF(Bet_Betrieb,0, (D40 + E40 * 50/11 + F40 * 100/11 + G40 * 350/11)*Betrieb_Contracting* 12 )</f>
        <v>0</v>
      </c>
      <c r="V76" s="13">
        <f t="shared" ca="1" si="9"/>
        <v>0</v>
      </c>
      <c r="W76" s="37"/>
    </row>
    <row r="77" spans="2:23" x14ac:dyDescent="0.3">
      <c r="B77" s="6"/>
      <c r="C77" s="18" t="s">
        <v>30</v>
      </c>
      <c r="D77" s="2"/>
      <c r="E77" s="2"/>
      <c r="F77" s="2"/>
      <c r="G77" s="2"/>
      <c r="H77" s="2"/>
      <c r="I77" s="2"/>
      <c r="J77" s="2"/>
      <c r="M77" s="7"/>
      <c r="N77" s="18">
        <f t="shared" ref="N77:N89" si="12">N76+1</f>
        <v>2028</v>
      </c>
      <c r="O77" s="13">
        <v>0</v>
      </c>
      <c r="P77" s="13">
        <f t="shared" si="6"/>
        <v>0</v>
      </c>
      <c r="Q77" s="13" cm="1">
        <f t="array" aca="1" ref="Q77" ca="1">IF(ROW()-LIS_Lebensdauer &gt; ROW(Q$74), INDIRECT("P" &amp; (ROW()-LIS_Lebensdauer)),0)</f>
        <v>0</v>
      </c>
      <c r="R77" s="26">
        <f t="shared" si="10"/>
        <v>0</v>
      </c>
      <c r="S77" s="13">
        <f t="shared" si="7"/>
        <v>0</v>
      </c>
      <c r="T77" s="13">
        <f t="shared" si="8"/>
        <v>0</v>
      </c>
      <c r="U77" s="29">
        <f t="shared" si="11"/>
        <v>0</v>
      </c>
      <c r="V77" s="13">
        <f t="shared" ca="1" si="9"/>
        <v>0</v>
      </c>
      <c r="W77" s="37"/>
    </row>
    <row r="78" spans="2:23" x14ac:dyDescent="0.3">
      <c r="B78" s="6"/>
      <c r="C78" s="10"/>
      <c r="D78" s="2"/>
      <c r="E78" s="2"/>
      <c r="F78" s="2"/>
      <c r="G78" s="2"/>
      <c r="H78" s="22" t="s">
        <v>48</v>
      </c>
      <c r="I78" s="2"/>
      <c r="J78" s="2"/>
      <c r="M78" s="7"/>
      <c r="N78" s="18">
        <f t="shared" si="12"/>
        <v>2029</v>
      </c>
      <c r="O78" s="13">
        <v>0</v>
      </c>
      <c r="P78" s="13">
        <f t="shared" si="6"/>
        <v>0</v>
      </c>
      <c r="Q78" s="13" cm="1">
        <f t="array" aca="1" ref="Q78" ca="1">IF(ROW()-LIS_Lebensdauer &gt; ROW(Q$74), INDIRECT("P" &amp; (ROW()-LIS_Lebensdauer)),0)</f>
        <v>0</v>
      </c>
      <c r="R78" s="26">
        <f t="shared" si="10"/>
        <v>0</v>
      </c>
      <c r="S78" s="13">
        <f t="shared" si="7"/>
        <v>0</v>
      </c>
      <c r="T78" s="13">
        <f t="shared" si="8"/>
        <v>0</v>
      </c>
      <c r="U78" s="29">
        <f t="shared" si="11"/>
        <v>0</v>
      </c>
      <c r="V78" s="13">
        <f t="shared" ca="1" si="9"/>
        <v>0</v>
      </c>
      <c r="W78" s="37"/>
    </row>
    <row r="79" spans="2:23" x14ac:dyDescent="0.3">
      <c r="B79" s="6"/>
      <c r="C79" s="18">
        <f>Jahr_Basic</f>
        <v>2026</v>
      </c>
      <c r="D79" s="13">
        <f>D$74*D39</f>
        <v>0</v>
      </c>
      <c r="E79" s="13">
        <f>E$74*E39</f>
        <v>0</v>
      </c>
      <c r="F79" s="13">
        <f>F$74*F39</f>
        <v>0</v>
      </c>
      <c r="G79" s="13">
        <f>G$74*G39</f>
        <v>0</v>
      </c>
      <c r="H79" s="13">
        <f>SUM(D79:G79)</f>
        <v>0</v>
      </c>
      <c r="I79" s="2" t="s">
        <v>55</v>
      </c>
      <c r="J79" s="2"/>
      <c r="M79" s="7"/>
      <c r="N79" s="18">
        <f t="shared" si="12"/>
        <v>2030</v>
      </c>
      <c r="O79" s="13">
        <v>0</v>
      </c>
      <c r="P79" s="13">
        <f t="shared" si="6"/>
        <v>0</v>
      </c>
      <c r="Q79" s="13" cm="1">
        <f t="array" aca="1" ref="Q79" ca="1">IF(ROW()-LIS_Lebensdauer &gt; ROW(Q$74), INDIRECT("P" &amp; (ROW()-LIS_Lebensdauer)),0)</f>
        <v>0</v>
      </c>
      <c r="R79" s="26">
        <f t="shared" si="10"/>
        <v>0</v>
      </c>
      <c r="S79" s="13">
        <f t="shared" si="7"/>
        <v>0</v>
      </c>
      <c r="T79" s="13">
        <f t="shared" si="8"/>
        <v>0</v>
      </c>
      <c r="U79" s="29">
        <f t="shared" si="11"/>
        <v>0</v>
      </c>
      <c r="V79" s="13">
        <f t="shared" ca="1" si="9"/>
        <v>0</v>
      </c>
      <c r="W79" s="37"/>
    </row>
    <row r="80" spans="2:23" x14ac:dyDescent="0.3">
      <c r="B80" s="6"/>
      <c r="C80" s="18">
        <f>C79+1</f>
        <v>2027</v>
      </c>
      <c r="D80" s="13">
        <f t="shared" ref="D80:D93" si="13">D$74*D40+D79</f>
        <v>0</v>
      </c>
      <c r="E80" s="13">
        <f t="shared" ref="E80:E93" si="14">E$74*E40+E79</f>
        <v>0</v>
      </c>
      <c r="F80" s="13">
        <f t="shared" ref="F80:F93" si="15">F$74*F40+F79</f>
        <v>0</v>
      </c>
      <c r="G80" s="13">
        <f t="shared" ref="G80:G93" si="16">G$74*G40+G79</f>
        <v>0</v>
      </c>
      <c r="H80" s="13">
        <f t="shared" ref="H80:H93" si="17">SUM(D80:G80)</f>
        <v>0</v>
      </c>
      <c r="I80" s="2" t="s">
        <v>55</v>
      </c>
      <c r="J80" s="2"/>
      <c r="M80" s="7"/>
      <c r="N80" s="18">
        <f t="shared" si="12"/>
        <v>2031</v>
      </c>
      <c r="O80" s="13">
        <v>0</v>
      </c>
      <c r="P80" s="13">
        <f t="shared" si="6"/>
        <v>0</v>
      </c>
      <c r="Q80" s="13" cm="1">
        <f t="array" aca="1" ref="Q80" ca="1">IF(ROW()-LIS_Lebensdauer &gt; ROW(Q$74), INDIRECT("P" &amp; (ROW()-LIS_Lebensdauer)),0)</f>
        <v>0</v>
      </c>
      <c r="R80" s="26">
        <f t="shared" si="10"/>
        <v>0</v>
      </c>
      <c r="S80" s="13">
        <f t="shared" si="7"/>
        <v>0</v>
      </c>
      <c r="T80" s="13">
        <f t="shared" si="8"/>
        <v>0</v>
      </c>
      <c r="U80" s="29">
        <f t="shared" si="11"/>
        <v>0</v>
      </c>
      <c r="V80" s="13">
        <f t="shared" ca="1" si="9"/>
        <v>0</v>
      </c>
      <c r="W80" s="37"/>
    </row>
    <row r="81" spans="2:23" x14ac:dyDescent="0.3">
      <c r="B81" s="6"/>
      <c r="C81" s="18">
        <f t="shared" ref="C81:C93" si="18">C80+1</f>
        <v>2028</v>
      </c>
      <c r="D81" s="13">
        <f t="shared" si="13"/>
        <v>0</v>
      </c>
      <c r="E81" s="13">
        <f t="shared" si="14"/>
        <v>0</v>
      </c>
      <c r="F81" s="13">
        <f t="shared" si="15"/>
        <v>0</v>
      </c>
      <c r="G81" s="13">
        <f t="shared" si="16"/>
        <v>0</v>
      </c>
      <c r="H81" s="13">
        <f t="shared" si="17"/>
        <v>0</v>
      </c>
      <c r="I81" s="2" t="s">
        <v>55</v>
      </c>
      <c r="J81" s="2"/>
      <c r="M81" s="7"/>
      <c r="N81" s="18">
        <f t="shared" si="12"/>
        <v>2032</v>
      </c>
      <c r="O81" s="13">
        <v>0</v>
      </c>
      <c r="P81" s="13">
        <f t="shared" si="6"/>
        <v>0</v>
      </c>
      <c r="Q81" s="13" cm="1">
        <f t="array" aca="1" ref="Q81" ca="1">IF(ROW()-LIS_Lebensdauer &gt; ROW(Q$74), INDIRECT("P" &amp; (ROW()-LIS_Lebensdauer)),0)</f>
        <v>0</v>
      </c>
      <c r="R81" s="26">
        <f t="shared" si="10"/>
        <v>0</v>
      </c>
      <c r="S81" s="13">
        <f t="shared" si="7"/>
        <v>0</v>
      </c>
      <c r="T81" s="13">
        <f t="shared" si="8"/>
        <v>0</v>
      </c>
      <c r="U81" s="29">
        <f t="shared" si="11"/>
        <v>0</v>
      </c>
      <c r="V81" s="13">
        <f t="shared" ca="1" si="9"/>
        <v>0</v>
      </c>
      <c r="W81" s="37"/>
    </row>
    <row r="82" spans="2:23" x14ac:dyDescent="0.3">
      <c r="B82" s="6"/>
      <c r="C82" s="18">
        <f t="shared" si="18"/>
        <v>2029</v>
      </c>
      <c r="D82" s="13">
        <f t="shared" si="13"/>
        <v>0</v>
      </c>
      <c r="E82" s="13">
        <f t="shared" si="14"/>
        <v>0</v>
      </c>
      <c r="F82" s="13">
        <f t="shared" si="15"/>
        <v>0</v>
      </c>
      <c r="G82" s="13">
        <f t="shared" si="16"/>
        <v>0</v>
      </c>
      <c r="H82" s="13">
        <f t="shared" si="17"/>
        <v>0</v>
      </c>
      <c r="I82" s="2" t="s">
        <v>55</v>
      </c>
      <c r="J82" s="2"/>
      <c r="M82" s="7"/>
      <c r="N82" s="18">
        <f t="shared" si="12"/>
        <v>2033</v>
      </c>
      <c r="O82" s="13">
        <v>0</v>
      </c>
      <c r="P82" s="13">
        <f t="shared" si="6"/>
        <v>0</v>
      </c>
      <c r="Q82" s="13" cm="1">
        <f t="array" aca="1" ref="Q82" ca="1">IF(ROW()-LIS_Lebensdauer &gt; ROW(Q$74), INDIRECT("P" &amp; (ROW()-LIS_Lebensdauer)),0)</f>
        <v>0</v>
      </c>
      <c r="R82" s="26">
        <f t="shared" si="10"/>
        <v>0</v>
      </c>
      <c r="S82" s="13">
        <f t="shared" si="7"/>
        <v>0</v>
      </c>
      <c r="T82" s="13">
        <f t="shared" si="8"/>
        <v>0</v>
      </c>
      <c r="U82" s="29">
        <f t="shared" si="11"/>
        <v>0</v>
      </c>
      <c r="V82" s="13">
        <f t="shared" ca="1" si="9"/>
        <v>0</v>
      </c>
      <c r="W82" s="37"/>
    </row>
    <row r="83" spans="2:23" x14ac:dyDescent="0.3">
      <c r="B83" s="6"/>
      <c r="C83" s="18">
        <f t="shared" si="18"/>
        <v>2030</v>
      </c>
      <c r="D83" s="13">
        <f t="shared" si="13"/>
        <v>0</v>
      </c>
      <c r="E83" s="13">
        <f t="shared" si="14"/>
        <v>0</v>
      </c>
      <c r="F83" s="13">
        <f t="shared" si="15"/>
        <v>0</v>
      </c>
      <c r="G83" s="13">
        <f t="shared" si="16"/>
        <v>0</v>
      </c>
      <c r="H83" s="13">
        <f t="shared" si="17"/>
        <v>0</v>
      </c>
      <c r="I83" s="2" t="s">
        <v>55</v>
      </c>
      <c r="J83" s="2"/>
      <c r="M83" s="7"/>
      <c r="N83" s="18">
        <f t="shared" si="12"/>
        <v>2034</v>
      </c>
      <c r="O83" s="13">
        <v>0</v>
      </c>
      <c r="P83" s="13">
        <f t="shared" si="6"/>
        <v>0</v>
      </c>
      <c r="Q83" s="13" cm="1">
        <f t="array" aca="1" ref="Q83" ca="1">IF(ROW()-LIS_Lebensdauer &gt; ROW(Q$74), INDIRECT("P" &amp; (ROW()-LIS_Lebensdauer)),0)</f>
        <v>0</v>
      </c>
      <c r="R83" s="26">
        <f t="shared" si="10"/>
        <v>0</v>
      </c>
      <c r="S83" s="13">
        <f t="shared" si="7"/>
        <v>0</v>
      </c>
      <c r="T83" s="13">
        <f t="shared" si="8"/>
        <v>0</v>
      </c>
      <c r="U83" s="29">
        <f t="shared" si="11"/>
        <v>0</v>
      </c>
      <c r="V83" s="13">
        <f t="shared" ca="1" si="9"/>
        <v>0</v>
      </c>
      <c r="W83" s="37"/>
    </row>
    <row r="84" spans="2:23" x14ac:dyDescent="0.3">
      <c r="B84" s="6"/>
      <c r="C84" s="18">
        <f t="shared" si="18"/>
        <v>2031</v>
      </c>
      <c r="D84" s="13">
        <f t="shared" si="13"/>
        <v>0</v>
      </c>
      <c r="E84" s="13">
        <f t="shared" si="14"/>
        <v>0</v>
      </c>
      <c r="F84" s="13">
        <f t="shared" si="15"/>
        <v>0</v>
      </c>
      <c r="G84" s="13">
        <f t="shared" si="16"/>
        <v>0</v>
      </c>
      <c r="H84" s="13">
        <f t="shared" si="17"/>
        <v>0</v>
      </c>
      <c r="I84" s="2" t="s">
        <v>55</v>
      </c>
      <c r="J84" s="2"/>
      <c r="M84" s="7"/>
      <c r="N84" s="18">
        <f t="shared" si="12"/>
        <v>2035</v>
      </c>
      <c r="O84" s="13">
        <v>0</v>
      </c>
      <c r="P84" s="13">
        <f t="shared" si="6"/>
        <v>0</v>
      </c>
      <c r="Q84" s="13" cm="1">
        <f t="array" aca="1" ref="Q84" ca="1">IF(ROW()-LIS_Lebensdauer &gt; ROW(Q$74), INDIRECT("P" &amp; (ROW()-LIS_Lebensdauer)),0)</f>
        <v>0</v>
      </c>
      <c r="R84" s="26">
        <f t="shared" si="10"/>
        <v>0</v>
      </c>
      <c r="S84" s="13">
        <f t="shared" si="7"/>
        <v>0</v>
      </c>
      <c r="T84" s="13">
        <f t="shared" si="8"/>
        <v>0</v>
      </c>
      <c r="U84" s="29">
        <f t="shared" si="11"/>
        <v>0</v>
      </c>
      <c r="V84" s="13">
        <f t="shared" ca="1" si="9"/>
        <v>0</v>
      </c>
      <c r="W84" s="37"/>
    </row>
    <row r="85" spans="2:23" x14ac:dyDescent="0.3">
      <c r="B85" s="6"/>
      <c r="C85" s="18">
        <f t="shared" si="18"/>
        <v>2032</v>
      </c>
      <c r="D85" s="13">
        <f t="shared" si="13"/>
        <v>0</v>
      </c>
      <c r="E85" s="13">
        <f t="shared" si="14"/>
        <v>0</v>
      </c>
      <c r="F85" s="13">
        <f t="shared" si="15"/>
        <v>0</v>
      </c>
      <c r="G85" s="13">
        <f t="shared" si="16"/>
        <v>0</v>
      </c>
      <c r="H85" s="13">
        <f t="shared" si="17"/>
        <v>0</v>
      </c>
      <c r="I85" s="2" t="s">
        <v>55</v>
      </c>
      <c r="J85" s="2"/>
      <c r="M85" s="7"/>
      <c r="N85" s="18">
        <f t="shared" si="12"/>
        <v>2036</v>
      </c>
      <c r="O85" s="13">
        <v>0</v>
      </c>
      <c r="P85" s="13">
        <f t="shared" si="6"/>
        <v>0</v>
      </c>
      <c r="Q85" s="13" cm="1">
        <f t="array" aca="1" ref="Q85" ca="1">IF(ROW()-LIS_Lebensdauer &gt; ROW(Q$74), INDIRECT("P" &amp; (ROW()-LIS_Lebensdauer)),0)</f>
        <v>0</v>
      </c>
      <c r="R85" s="26">
        <f t="shared" si="10"/>
        <v>0</v>
      </c>
      <c r="S85" s="13">
        <f t="shared" si="7"/>
        <v>0</v>
      </c>
      <c r="T85" s="13">
        <f t="shared" si="8"/>
        <v>0</v>
      </c>
      <c r="U85" s="29">
        <f t="shared" si="11"/>
        <v>0</v>
      </c>
      <c r="V85" s="13">
        <f t="shared" ca="1" si="9"/>
        <v>0</v>
      </c>
      <c r="W85" s="37"/>
    </row>
    <row r="86" spans="2:23" x14ac:dyDescent="0.3">
      <c r="B86" s="6"/>
      <c r="C86" s="18">
        <f t="shared" si="18"/>
        <v>2033</v>
      </c>
      <c r="D86" s="13">
        <f t="shared" si="13"/>
        <v>0</v>
      </c>
      <c r="E86" s="13">
        <f t="shared" si="14"/>
        <v>0</v>
      </c>
      <c r="F86" s="13">
        <f t="shared" si="15"/>
        <v>0</v>
      </c>
      <c r="G86" s="13">
        <f t="shared" si="16"/>
        <v>0</v>
      </c>
      <c r="H86" s="13">
        <f t="shared" si="17"/>
        <v>0</v>
      </c>
      <c r="I86" s="2" t="s">
        <v>55</v>
      </c>
      <c r="J86" s="2"/>
      <c r="M86" s="7"/>
      <c r="N86" s="18">
        <f t="shared" si="12"/>
        <v>2037</v>
      </c>
      <c r="O86" s="13">
        <v>0</v>
      </c>
      <c r="P86" s="13">
        <f t="shared" si="6"/>
        <v>0</v>
      </c>
      <c r="Q86" s="13" cm="1">
        <f t="array" aca="1" ref="Q86" ca="1">IF(ROW()-LIS_Lebensdauer &gt; ROW(Q$74), INDIRECT("P" &amp; (ROW()-LIS_Lebensdauer)),0)</f>
        <v>0</v>
      </c>
      <c r="R86" s="26">
        <f t="shared" si="10"/>
        <v>0</v>
      </c>
      <c r="S86" s="13">
        <f t="shared" si="7"/>
        <v>0</v>
      </c>
      <c r="T86" s="13">
        <f t="shared" si="8"/>
        <v>0</v>
      </c>
      <c r="U86" s="29">
        <f t="shared" si="11"/>
        <v>0</v>
      </c>
      <c r="V86" s="13">
        <f t="shared" ca="1" si="9"/>
        <v>0</v>
      </c>
      <c r="W86" s="37"/>
    </row>
    <row r="87" spans="2:23" x14ac:dyDescent="0.3">
      <c r="B87" s="6"/>
      <c r="C87" s="18">
        <f t="shared" si="18"/>
        <v>2034</v>
      </c>
      <c r="D87" s="13">
        <f t="shared" si="13"/>
        <v>0</v>
      </c>
      <c r="E87" s="13">
        <f t="shared" si="14"/>
        <v>0</v>
      </c>
      <c r="F87" s="13">
        <f t="shared" si="15"/>
        <v>0</v>
      </c>
      <c r="G87" s="13">
        <f t="shared" si="16"/>
        <v>0</v>
      </c>
      <c r="H87" s="13">
        <f t="shared" si="17"/>
        <v>0</v>
      </c>
      <c r="I87" s="2" t="s">
        <v>55</v>
      </c>
      <c r="J87" s="2"/>
      <c r="M87" s="7"/>
      <c r="N87" s="18">
        <f t="shared" si="12"/>
        <v>2038</v>
      </c>
      <c r="O87" s="13">
        <v>0</v>
      </c>
      <c r="P87" s="13">
        <f t="shared" si="6"/>
        <v>0</v>
      </c>
      <c r="Q87" s="13" cm="1">
        <f t="array" aca="1" ref="Q87" ca="1">IF(ROW()-LIS_Lebensdauer &gt; ROW(Q$74), INDIRECT("P" &amp; (ROW()-LIS_Lebensdauer)),0)</f>
        <v>0</v>
      </c>
      <c r="R87" s="26">
        <f t="shared" si="10"/>
        <v>0</v>
      </c>
      <c r="S87" s="13">
        <f t="shared" si="7"/>
        <v>0</v>
      </c>
      <c r="T87" s="13">
        <f t="shared" si="8"/>
        <v>0</v>
      </c>
      <c r="U87" s="29">
        <f t="shared" si="11"/>
        <v>0</v>
      </c>
      <c r="V87" s="13">
        <f t="shared" ca="1" si="9"/>
        <v>0</v>
      </c>
      <c r="W87" s="37"/>
    </row>
    <row r="88" spans="2:23" x14ac:dyDescent="0.3">
      <c r="B88" s="6"/>
      <c r="C88" s="18">
        <f t="shared" si="18"/>
        <v>2035</v>
      </c>
      <c r="D88" s="13">
        <f t="shared" si="13"/>
        <v>0</v>
      </c>
      <c r="E88" s="13">
        <f t="shared" si="14"/>
        <v>0</v>
      </c>
      <c r="F88" s="13">
        <f t="shared" si="15"/>
        <v>0</v>
      </c>
      <c r="G88" s="13">
        <f t="shared" si="16"/>
        <v>0</v>
      </c>
      <c r="H88" s="13">
        <f t="shared" si="17"/>
        <v>0</v>
      </c>
      <c r="I88" s="2" t="s">
        <v>55</v>
      </c>
      <c r="J88" s="2"/>
      <c r="M88" s="7"/>
      <c r="N88" s="18">
        <f t="shared" si="12"/>
        <v>2039</v>
      </c>
      <c r="O88" s="13">
        <v>0</v>
      </c>
      <c r="P88" s="13">
        <f t="shared" si="6"/>
        <v>0</v>
      </c>
      <c r="Q88" s="13" cm="1">
        <f t="array" aca="1" ref="Q88" ca="1">IF(ROW()-LIS_Lebensdauer &gt; ROW(Q$74), INDIRECT("P" &amp; (ROW()-LIS_Lebensdauer)),0)</f>
        <v>0</v>
      </c>
      <c r="R88" s="26">
        <f t="shared" si="10"/>
        <v>0</v>
      </c>
      <c r="S88" s="13">
        <f t="shared" si="7"/>
        <v>0</v>
      </c>
      <c r="T88" s="13">
        <f t="shared" si="8"/>
        <v>0</v>
      </c>
      <c r="U88" s="29">
        <f t="shared" si="11"/>
        <v>0</v>
      </c>
      <c r="V88" s="13">
        <f t="shared" ca="1" si="9"/>
        <v>0</v>
      </c>
      <c r="W88" s="37"/>
    </row>
    <row r="89" spans="2:23" x14ac:dyDescent="0.3">
      <c r="B89" s="6"/>
      <c r="C89" s="18">
        <f t="shared" si="18"/>
        <v>2036</v>
      </c>
      <c r="D89" s="13">
        <f t="shared" si="13"/>
        <v>0</v>
      </c>
      <c r="E89" s="13">
        <f t="shared" si="14"/>
        <v>0</v>
      </c>
      <c r="F89" s="13">
        <f t="shared" si="15"/>
        <v>0</v>
      </c>
      <c r="G89" s="13">
        <f t="shared" si="16"/>
        <v>0</v>
      </c>
      <c r="H89" s="13">
        <f t="shared" si="17"/>
        <v>0</v>
      </c>
      <c r="I89" s="2" t="s">
        <v>55</v>
      </c>
      <c r="J89" s="2"/>
      <c r="M89" s="7"/>
      <c r="N89" s="18">
        <f t="shared" si="12"/>
        <v>2040</v>
      </c>
      <c r="O89" s="13">
        <v>0</v>
      </c>
      <c r="P89" s="13">
        <f t="shared" si="6"/>
        <v>0</v>
      </c>
      <c r="Q89" s="13" cm="1">
        <f t="array" aca="1" ref="Q89" ca="1">IF(ROW()-LIS_Lebensdauer &gt; ROW(Q$74), INDIRECT("P" &amp; (ROW()-LIS_Lebensdauer)),0)</f>
        <v>0</v>
      </c>
      <c r="R89" s="26">
        <f t="shared" si="10"/>
        <v>0</v>
      </c>
      <c r="S89" s="13">
        <f t="shared" si="7"/>
        <v>0</v>
      </c>
      <c r="T89" s="13">
        <f t="shared" si="8"/>
        <v>0</v>
      </c>
      <c r="U89" s="29">
        <f t="shared" si="11"/>
        <v>0</v>
      </c>
      <c r="V89" s="13">
        <f t="shared" ca="1" si="9"/>
        <v>0</v>
      </c>
      <c r="W89" s="37"/>
    </row>
    <row r="90" spans="2:23" x14ac:dyDescent="0.3">
      <c r="B90" s="6"/>
      <c r="C90" s="18">
        <f t="shared" si="18"/>
        <v>2037</v>
      </c>
      <c r="D90" s="13">
        <f t="shared" si="13"/>
        <v>0</v>
      </c>
      <c r="E90" s="13">
        <f t="shared" si="14"/>
        <v>0</v>
      </c>
      <c r="F90" s="13">
        <f t="shared" si="15"/>
        <v>0</v>
      </c>
      <c r="G90" s="13">
        <f t="shared" si="16"/>
        <v>0</v>
      </c>
      <c r="H90" s="13">
        <f t="shared" si="17"/>
        <v>0</v>
      </c>
      <c r="I90" s="2" t="s">
        <v>55</v>
      </c>
      <c r="J90" s="2"/>
      <c r="M90" s="2"/>
      <c r="N90" s="2"/>
      <c r="O90" s="23" t="s">
        <v>12</v>
      </c>
      <c r="P90" s="23" t="s">
        <v>13</v>
      </c>
      <c r="Q90" s="23" t="s">
        <v>43</v>
      </c>
      <c r="R90" s="23" t="s">
        <v>44</v>
      </c>
      <c r="S90" s="23" t="s">
        <v>56</v>
      </c>
      <c r="T90" s="23" t="s">
        <v>46</v>
      </c>
      <c r="U90" s="23" t="s">
        <v>47</v>
      </c>
      <c r="V90" s="2"/>
      <c r="W90" s="37"/>
    </row>
    <row r="91" spans="2:23" x14ac:dyDescent="0.3">
      <c r="B91" s="6"/>
      <c r="C91" s="18">
        <f t="shared" si="18"/>
        <v>2038</v>
      </c>
      <c r="D91" s="13">
        <f t="shared" si="13"/>
        <v>0</v>
      </c>
      <c r="E91" s="13">
        <f t="shared" si="14"/>
        <v>0</v>
      </c>
      <c r="F91" s="13">
        <f t="shared" si="15"/>
        <v>0</v>
      </c>
      <c r="G91" s="13">
        <f t="shared" si="16"/>
        <v>0</v>
      </c>
      <c r="H91" s="13">
        <f t="shared" si="17"/>
        <v>0</v>
      </c>
      <c r="I91" s="2" t="s">
        <v>55</v>
      </c>
      <c r="J91" s="2"/>
    </row>
    <row r="92" spans="2:23" x14ac:dyDescent="0.3">
      <c r="B92" s="6"/>
      <c r="C92" s="18">
        <f t="shared" si="18"/>
        <v>2039</v>
      </c>
      <c r="D92" s="13">
        <f t="shared" si="13"/>
        <v>0</v>
      </c>
      <c r="E92" s="13">
        <f t="shared" si="14"/>
        <v>0</v>
      </c>
      <c r="F92" s="13">
        <f t="shared" si="15"/>
        <v>0</v>
      </c>
      <c r="G92" s="13">
        <f t="shared" si="16"/>
        <v>0</v>
      </c>
      <c r="H92" s="13">
        <f t="shared" si="17"/>
        <v>0</v>
      </c>
      <c r="I92" s="2" t="s">
        <v>55</v>
      </c>
      <c r="J92" s="2"/>
    </row>
    <row r="93" spans="2:23" x14ac:dyDescent="0.3">
      <c r="B93" s="6"/>
      <c r="C93" s="18">
        <f t="shared" si="18"/>
        <v>2040</v>
      </c>
      <c r="D93" s="13">
        <f t="shared" si="13"/>
        <v>0</v>
      </c>
      <c r="E93" s="13">
        <f t="shared" si="14"/>
        <v>0</v>
      </c>
      <c r="F93" s="13">
        <f t="shared" si="15"/>
        <v>0</v>
      </c>
      <c r="G93" s="13">
        <f t="shared" si="16"/>
        <v>0</v>
      </c>
      <c r="H93" s="13">
        <f t="shared" si="17"/>
        <v>0</v>
      </c>
      <c r="I93" s="2" t="s">
        <v>55</v>
      </c>
      <c r="J93" s="2"/>
    </row>
    <row r="94" spans="2:23" x14ac:dyDescent="0.3">
      <c r="B94" s="6"/>
      <c r="C94" s="6"/>
      <c r="D94" s="2"/>
      <c r="E94" s="2"/>
      <c r="F94" s="2"/>
      <c r="G94" s="2"/>
      <c r="H94" s="2"/>
      <c r="I94" s="2"/>
      <c r="J94" s="2"/>
    </row>
  </sheetData>
  <sheetProtection algorithmName="SHA-512" hashValue="AE/vKFSNiXd0t5isuOQeAnrZuW+FjTTIUWJ5QA+iEylHaC7o3Roh4cfkt2DSRnXQ+uVA7kwYAu5W3U8a9TCb3Q==" saltValue="9jcieLVodkpiRAZFFOlqwA==" spinCount="100000" sheet="1" objects="1" scenarios="1"/>
  <mergeCells count="6">
    <mergeCell ref="C21:I21"/>
    <mergeCell ref="R69:U69"/>
    <mergeCell ref="O69:Q69"/>
    <mergeCell ref="C32:I32"/>
    <mergeCell ref="C58:I58"/>
    <mergeCell ref="C69:I69"/>
  </mergeCells>
  <conditionalFormatting sqref="C23:I27">
    <cfRule type="expression" dxfId="16" priority="4">
      <formula>NOT(Bet_Basis)</formula>
    </cfRule>
  </conditionalFormatting>
  <conditionalFormatting sqref="C58:I63">
    <cfRule type="expression" dxfId="15" priority="3">
      <formula>NOT(Bet_LIS)</formula>
    </cfRule>
  </conditionalFormatting>
  <conditionalFormatting sqref="G25">
    <cfRule type="expression" dxfId="14" priority="1">
      <formula>NOT(Bet_Basis)</formula>
    </cfRule>
  </conditionalFormatting>
  <conditionalFormatting sqref="H24:H27">
    <cfRule type="expression" dxfId="13" priority="2">
      <formula>NOT(Bet_Basis)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7CF511-A87C-4522-A1DA-5BAF92735901}">
          <x14:formula1>
            <xm:f>Daten!$B$7:$B$10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4771-A42D-4FE7-B3A7-CACD287E0AF6}">
  <sheetPr codeName="Sheet2">
    <tabColor theme="5"/>
  </sheetPr>
  <dimension ref="B2:W186"/>
  <sheetViews>
    <sheetView zoomScaleNormal="100" workbookViewId="0"/>
  </sheetViews>
  <sheetFormatPr baseColWidth="10" defaultColWidth="11" defaultRowHeight="14" x14ac:dyDescent="0.3"/>
  <cols>
    <col min="1" max="1" width="11" style="1" customWidth="1"/>
    <col min="2" max="2" width="2.08203125" style="1" customWidth="1"/>
    <col min="3" max="3" width="18.58203125" style="1" customWidth="1"/>
    <col min="4" max="4" width="11.83203125" style="1" customWidth="1"/>
    <col min="5" max="5" width="12.25" style="1" customWidth="1"/>
    <col min="6" max="6" width="12.5" style="1" bestFit="1" customWidth="1"/>
    <col min="7" max="7" width="12.5" style="1" customWidth="1"/>
    <col min="8" max="8" width="11" style="1"/>
    <col min="9" max="9" width="14.08203125" style="1" customWidth="1"/>
    <col min="10" max="10" width="2.33203125" style="1" customWidth="1"/>
    <col min="11" max="12" width="11" style="1"/>
    <col min="13" max="13" width="1.58203125" style="1" customWidth="1"/>
    <col min="14" max="14" width="16.58203125" style="1" customWidth="1"/>
    <col min="15" max="22" width="13.75" style="1" customWidth="1"/>
    <col min="23" max="23" width="1.75" style="1" customWidth="1"/>
    <col min="24" max="16384" width="11" style="1"/>
  </cols>
  <sheetData>
    <row r="2" spans="2:23" ht="18" x14ac:dyDescent="0.4">
      <c r="B2" s="4"/>
      <c r="C2" s="4" t="s">
        <v>57</v>
      </c>
      <c r="D2" s="3"/>
      <c r="E2" s="3"/>
      <c r="F2" s="3"/>
      <c r="G2" s="3"/>
      <c r="H2" s="3"/>
      <c r="I2" s="3"/>
      <c r="J2" s="3"/>
    </row>
    <row r="4" spans="2:23" ht="15.5" x14ac:dyDescent="0.35">
      <c r="B4" s="5"/>
      <c r="C4" s="5" t="s">
        <v>1</v>
      </c>
      <c r="D4" s="3"/>
      <c r="E4" s="3"/>
      <c r="F4" s="3"/>
      <c r="G4" s="3"/>
      <c r="H4" s="3"/>
      <c r="I4" s="3"/>
      <c r="J4" s="3"/>
      <c r="M4" s="15"/>
      <c r="N4" s="15" t="s">
        <v>2</v>
      </c>
      <c r="O4" s="15"/>
      <c r="P4" s="15"/>
      <c r="Q4" s="15"/>
      <c r="R4" s="15"/>
      <c r="S4" s="15"/>
      <c r="T4" s="15"/>
      <c r="U4" s="15"/>
      <c r="V4" s="15"/>
      <c r="W4" s="15"/>
    </row>
    <row r="5" spans="2:23" x14ac:dyDescent="0.3">
      <c r="B5" s="2"/>
      <c r="C5" s="2"/>
      <c r="D5" s="2"/>
      <c r="E5" s="2"/>
      <c r="F5" s="2"/>
      <c r="G5" s="2"/>
      <c r="H5" s="2"/>
      <c r="I5" s="2"/>
      <c r="J5" s="2"/>
    </row>
    <row r="6" spans="2:23" x14ac:dyDescent="0.3">
      <c r="B6" s="2"/>
      <c r="C6" s="8" t="s">
        <v>3</v>
      </c>
      <c r="D6" s="49" t="s">
        <v>4</v>
      </c>
      <c r="E6" s="2"/>
      <c r="F6" s="2"/>
      <c r="G6" s="2"/>
      <c r="H6" s="2"/>
      <c r="I6" s="2"/>
      <c r="J6" s="2"/>
    </row>
    <row r="7" spans="2:23" x14ac:dyDescent="0.3">
      <c r="B7" s="2"/>
      <c r="C7" s="14" t="s">
        <v>5</v>
      </c>
      <c r="D7" s="49" t="s">
        <v>6</v>
      </c>
      <c r="E7" s="2"/>
      <c r="F7" s="2"/>
      <c r="G7" s="2"/>
      <c r="H7" s="2"/>
      <c r="I7" s="2"/>
      <c r="J7" s="2"/>
    </row>
    <row r="8" spans="2:23" x14ac:dyDescent="0.3">
      <c r="B8" s="2"/>
      <c r="C8" s="2"/>
      <c r="D8" s="2"/>
      <c r="E8" s="2"/>
      <c r="F8" s="2"/>
      <c r="G8" s="2"/>
      <c r="H8" s="2"/>
      <c r="I8" s="2"/>
      <c r="J8" s="2"/>
    </row>
    <row r="10" spans="2:23" ht="15.5" x14ac:dyDescent="0.35">
      <c r="B10" s="15"/>
      <c r="C10" s="15" t="s">
        <v>7</v>
      </c>
      <c r="D10" s="15"/>
      <c r="E10" s="15"/>
      <c r="F10" s="15"/>
      <c r="G10" s="15"/>
      <c r="H10" s="15"/>
      <c r="I10" s="15"/>
      <c r="J10" s="15"/>
      <c r="M10" s="15"/>
      <c r="N10" s="15" t="s">
        <v>8</v>
      </c>
      <c r="O10" s="15"/>
      <c r="P10" s="15"/>
      <c r="Q10" s="15"/>
    </row>
    <row r="11" spans="2:23" x14ac:dyDescent="0.3">
      <c r="B11" s="2"/>
      <c r="C11" s="2"/>
      <c r="D11" s="2"/>
      <c r="E11" s="2"/>
      <c r="F11" s="2"/>
      <c r="G11" s="2"/>
      <c r="H11" s="2"/>
      <c r="I11" s="2"/>
      <c r="J11" s="2"/>
      <c r="M11" s="2"/>
      <c r="N11" s="2"/>
      <c r="O11" s="2"/>
      <c r="P11" s="2"/>
      <c r="Q11" s="2"/>
    </row>
    <row r="12" spans="2:23" x14ac:dyDescent="0.3">
      <c r="B12" s="2"/>
      <c r="C12" s="50" t="s">
        <v>58</v>
      </c>
      <c r="D12" s="2"/>
      <c r="E12" s="2"/>
      <c r="F12" s="2"/>
      <c r="G12" s="2"/>
      <c r="H12" s="2"/>
      <c r="I12" s="2"/>
      <c r="J12" s="2"/>
      <c r="M12" s="2"/>
      <c r="N12" s="6" t="s">
        <v>10</v>
      </c>
      <c r="O12" s="14" t="str">
        <f>Betreibermodell_Advanced</f>
        <v>V1</v>
      </c>
      <c r="P12" s="2"/>
      <c r="Q12" s="2"/>
    </row>
    <row r="13" spans="2:23" x14ac:dyDescent="0.3">
      <c r="B13" s="2"/>
      <c r="C13" s="55" t="s">
        <v>11</v>
      </c>
      <c r="D13" s="2" t="str">
        <f>_xlfn.XLOOKUP($C$13,Daten!B7:B10,Daten!C7:C10)</f>
        <v>Besitz der Ladeinfrastruktur und eigenständiger Betrieb</v>
      </c>
      <c r="E13" s="2"/>
      <c r="F13" s="2"/>
      <c r="G13" s="2"/>
      <c r="H13" s="2"/>
      <c r="I13" s="2"/>
      <c r="J13" s="2"/>
      <c r="M13" s="2"/>
      <c r="N13" s="2"/>
      <c r="O13" s="2"/>
      <c r="P13" s="2"/>
      <c r="Q13" s="2"/>
    </row>
    <row r="14" spans="2:23" x14ac:dyDescent="0.3">
      <c r="B14" s="2"/>
      <c r="C14" s="2"/>
      <c r="D14" s="2"/>
      <c r="E14" s="2"/>
      <c r="F14" s="2"/>
      <c r="G14" s="2"/>
      <c r="H14" s="2"/>
      <c r="I14" s="2"/>
      <c r="J14" s="2"/>
      <c r="M14" s="2"/>
      <c r="N14" s="51" t="s">
        <v>12</v>
      </c>
      <c r="O14" s="51" t="s">
        <v>13</v>
      </c>
      <c r="P14" s="51" t="s">
        <v>14</v>
      </c>
      <c r="Q14" s="52"/>
    </row>
    <row r="15" spans="2:23" x14ac:dyDescent="0.3">
      <c r="B15" s="2"/>
      <c r="C15" s="50" t="s">
        <v>59</v>
      </c>
      <c r="D15" s="2"/>
      <c r="E15" s="2"/>
      <c r="F15" s="2"/>
      <c r="G15" s="2"/>
      <c r="H15" s="2"/>
      <c r="I15" s="2"/>
      <c r="J15" s="2"/>
      <c r="M15" s="2"/>
      <c r="N15" s="2" t="str">
        <f>IF(Bet_Basis_AD=1,"Besitz","Contracting")</f>
        <v>Besitz</v>
      </c>
      <c r="O15" s="2" t="str">
        <f>IF(Bet_LIS_AD=1,"Besitz","Contracting")</f>
        <v>Besitz</v>
      </c>
      <c r="P15" s="2" t="str">
        <f>IF(Bet_Betrieb_AD=1,"Besitz","Contracting")</f>
        <v>Besitz</v>
      </c>
      <c r="Q15" s="2"/>
    </row>
    <row r="16" spans="2:23" x14ac:dyDescent="0.3">
      <c r="B16" s="2"/>
      <c r="C16" s="60">
        <v>2026</v>
      </c>
      <c r="D16" s="2" t="s">
        <v>60</v>
      </c>
      <c r="E16" s="2"/>
      <c r="F16" s="2"/>
      <c r="G16" s="2"/>
      <c r="H16" s="2"/>
      <c r="I16" s="2"/>
      <c r="J16" s="2"/>
      <c r="M16" s="2"/>
      <c r="N16" s="2"/>
      <c r="O16" s="2"/>
      <c r="P16" s="2"/>
      <c r="Q16" s="2"/>
    </row>
    <row r="17" spans="2:10" x14ac:dyDescent="0.3">
      <c r="B17" s="2"/>
      <c r="C17" s="2"/>
      <c r="D17" s="2"/>
      <c r="E17" s="2"/>
      <c r="F17" s="2"/>
      <c r="G17" s="2"/>
      <c r="H17" s="2"/>
      <c r="I17" s="2"/>
      <c r="J17" s="2"/>
    </row>
    <row r="19" spans="2:10" ht="15.5" x14ac:dyDescent="0.35">
      <c r="B19" s="15"/>
      <c r="C19" s="15" t="s">
        <v>12</v>
      </c>
      <c r="D19" s="15"/>
      <c r="E19" s="15"/>
      <c r="F19" s="15"/>
      <c r="G19" s="15"/>
      <c r="H19" s="15"/>
      <c r="I19" s="15"/>
      <c r="J19" s="15"/>
    </row>
    <row r="20" spans="2:10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x14ac:dyDescent="0.3">
      <c r="B21" s="6"/>
      <c r="C21" s="6" t="s">
        <v>61</v>
      </c>
      <c r="D21" s="2"/>
      <c r="E21" s="2"/>
      <c r="F21" s="2"/>
      <c r="G21" s="2"/>
      <c r="H21" s="2"/>
      <c r="I21" s="2"/>
      <c r="J21" s="2"/>
    </row>
    <row r="22" spans="2:10" x14ac:dyDescent="0.3">
      <c r="B22" s="6"/>
      <c r="C22" s="61" t="s">
        <v>62</v>
      </c>
      <c r="D22" s="2"/>
      <c r="E22" s="2"/>
      <c r="F22" s="2"/>
      <c r="G22" s="2"/>
      <c r="H22" s="2"/>
      <c r="I22" s="2"/>
      <c r="J22" s="2"/>
    </row>
    <row r="23" spans="2:10" x14ac:dyDescent="0.3">
      <c r="B23" s="6"/>
      <c r="C23" s="2"/>
      <c r="D23" s="2"/>
      <c r="E23" s="2"/>
      <c r="F23" s="2"/>
      <c r="G23" s="2"/>
      <c r="H23" s="2"/>
      <c r="I23" s="2"/>
      <c r="J23" s="2"/>
    </row>
    <row r="24" spans="2:10" ht="30" customHeight="1" x14ac:dyDescent="0.3">
      <c r="B24" s="6"/>
      <c r="C24" s="69" t="s">
        <v>63</v>
      </c>
      <c r="D24" s="69"/>
      <c r="E24" s="69"/>
      <c r="F24" s="69"/>
      <c r="G24" s="69"/>
      <c r="H24" s="69"/>
      <c r="I24" s="69"/>
      <c r="J24" s="36"/>
    </row>
    <row r="25" spans="2:10" x14ac:dyDescent="0.3">
      <c r="B25" s="6"/>
      <c r="C25" s="2"/>
      <c r="D25" s="2"/>
      <c r="E25" s="2"/>
      <c r="F25" s="2"/>
      <c r="G25" s="2"/>
      <c r="H25" s="2"/>
      <c r="I25" s="2"/>
      <c r="J25" s="2"/>
    </row>
    <row r="26" spans="2:10" x14ac:dyDescent="0.3">
      <c r="B26" s="6"/>
      <c r="C26" s="6" t="s">
        <v>64</v>
      </c>
      <c r="D26" s="2"/>
      <c r="E26" s="2"/>
      <c r="F26" s="2"/>
      <c r="G26" s="2"/>
      <c r="H26" s="2"/>
      <c r="I26" s="2"/>
      <c r="J26" s="2"/>
    </row>
    <row r="27" spans="2:10" x14ac:dyDescent="0.3">
      <c r="B27" s="6"/>
      <c r="C27" s="2"/>
      <c r="D27" s="2"/>
      <c r="E27" s="2"/>
      <c r="F27" s="2"/>
      <c r="G27" s="2"/>
      <c r="H27" s="2"/>
      <c r="I27" s="2"/>
      <c r="J27" s="2"/>
    </row>
    <row r="28" spans="2:10" x14ac:dyDescent="0.3">
      <c r="B28" s="6"/>
      <c r="C28" s="2"/>
      <c r="D28" s="6" t="s">
        <v>20</v>
      </c>
      <c r="E28" s="6" t="s">
        <v>22</v>
      </c>
      <c r="F28" s="6" t="s">
        <v>23</v>
      </c>
      <c r="G28" s="6" t="s">
        <v>24</v>
      </c>
      <c r="H28" s="6" t="s">
        <v>48</v>
      </c>
      <c r="I28" s="2"/>
      <c r="J28" s="2"/>
    </row>
    <row r="29" spans="2:10" x14ac:dyDescent="0.3">
      <c r="B29" s="6"/>
      <c r="C29" s="6" t="s">
        <v>65</v>
      </c>
      <c r="D29" s="13">
        <f>IFERROR(D$80*D162*11*(0.8/D$80^0.401)/Leistungsfaktor,0)</f>
        <v>0</v>
      </c>
      <c r="E29" s="13">
        <f>IFERROR(E$80*E162*50*(0.8/E$80^0.401)/Leistungsfaktor,0)</f>
        <v>0</v>
      </c>
      <c r="F29" s="13">
        <f>IFERROR(F$80*F162*100*(0.8/F$80^0.401)/Leistungsfaktor,0)</f>
        <v>0</v>
      </c>
      <c r="G29" s="13">
        <f>IFERROR(G$80*G162*350*(0.8/G$80^0.401)/Leistungsfaktor,0)</f>
        <v>0</v>
      </c>
      <c r="H29" s="13">
        <f>SUM(D29:G29)</f>
        <v>0</v>
      </c>
      <c r="I29" s="2" t="s">
        <v>66</v>
      </c>
      <c r="J29" s="2"/>
    </row>
    <row r="30" spans="2:10" x14ac:dyDescent="0.3">
      <c r="B30" s="6"/>
      <c r="C30" s="6" t="s">
        <v>67</v>
      </c>
      <c r="D30" s="13">
        <f>IFERROR(D$80*D163*11*(0.8/D$80^0.401)/Leistungsfaktor,0)</f>
        <v>0</v>
      </c>
      <c r="E30" s="13">
        <f>IFERROR(E$80*E163*50*(0.8/E$80^0.401)/Leistungsfaktor,0)</f>
        <v>0</v>
      </c>
      <c r="F30" s="13">
        <f>IFERROR(F$80*F163*100*(0.8/F$80^0.401)/Leistungsfaktor,0)</f>
        <v>0</v>
      </c>
      <c r="G30" s="13">
        <f>IFERROR(G$80*G163*350*(0.8/G$80^0.401)/Leistungsfaktor,0)</f>
        <v>0</v>
      </c>
      <c r="H30" s="13">
        <f t="shared" ref="H30:H31" si="0">SUM(D30:G30)</f>
        <v>0</v>
      </c>
      <c r="I30" s="2" t="s">
        <v>66</v>
      </c>
      <c r="J30" s="2"/>
    </row>
    <row r="31" spans="2:10" x14ac:dyDescent="0.3">
      <c r="B31" s="6"/>
      <c r="C31" s="6" t="s">
        <v>68</v>
      </c>
      <c r="D31" s="13">
        <f>IFERROR(D$80*D164*11*(0.895/D$80^0.347)/Leistungsfaktor,0)</f>
        <v>0</v>
      </c>
      <c r="E31" s="13">
        <f>IFERROR(IF(E$80&gt;3,E$80*E164*50*(1.67/E$80^0.527)/Leistungsfaktor,E$80*E164*50*(0.8)/Leistungsfaktor),0)</f>
        <v>0</v>
      </c>
      <c r="F31" s="13">
        <f>IFERROR(IF(F$80&gt;3,F$80*F164*100*(1.67/F$80^0.527)/Leistungsfaktor,F$80*F164*100*(0.8)/Leistungsfaktor),0)</f>
        <v>0</v>
      </c>
      <c r="G31" s="13">
        <f>IFERROR(IF(G$80&gt;3,G$80*G164*350*(1.67/G$80^0.527)/Leistungsfaktor,G$80*G164*100*(0.8)/Leistungsfaktor),0)</f>
        <v>0</v>
      </c>
      <c r="H31" s="13">
        <f t="shared" si="0"/>
        <v>0</v>
      </c>
      <c r="I31" s="2" t="s">
        <v>66</v>
      </c>
      <c r="J31" s="2"/>
    </row>
    <row r="32" spans="2:10" x14ac:dyDescent="0.3">
      <c r="B32" s="6"/>
      <c r="C32" s="6" t="s">
        <v>48</v>
      </c>
      <c r="D32" s="13">
        <f>SUM(D29:D31)</f>
        <v>0</v>
      </c>
      <c r="E32" s="13">
        <f t="shared" ref="E32:H32" si="1">SUM(E29:E31)</f>
        <v>0</v>
      </c>
      <c r="F32" s="13">
        <f t="shared" si="1"/>
        <v>0</v>
      </c>
      <c r="G32" s="13">
        <f t="shared" si="1"/>
        <v>0</v>
      </c>
      <c r="H32" s="13">
        <f t="shared" si="1"/>
        <v>0</v>
      </c>
      <c r="I32" s="2" t="s">
        <v>66</v>
      </c>
      <c r="J32" s="2"/>
    </row>
    <row r="33" spans="2:10" x14ac:dyDescent="0.3">
      <c r="B33" s="6"/>
      <c r="C33" s="6"/>
      <c r="D33" s="6"/>
      <c r="E33" s="6"/>
      <c r="F33" s="6"/>
      <c r="G33" s="6"/>
      <c r="H33" s="6"/>
      <c r="I33" s="2"/>
      <c r="J33" s="2"/>
    </row>
    <row r="34" spans="2:10" x14ac:dyDescent="0.3">
      <c r="B34" s="6"/>
      <c r="C34" s="6" t="s">
        <v>69</v>
      </c>
      <c r="D34" s="2"/>
      <c r="E34" s="2"/>
      <c r="F34" s="2"/>
      <c r="G34" s="2"/>
      <c r="H34" s="2"/>
      <c r="I34" s="2"/>
      <c r="J34" s="2"/>
    </row>
    <row r="35" spans="2:10" ht="43.5" customHeight="1" x14ac:dyDescent="0.3">
      <c r="B35" s="6"/>
      <c r="C35" s="69" t="s">
        <v>70</v>
      </c>
      <c r="D35" s="69"/>
      <c r="E35" s="69"/>
      <c r="F35" s="69"/>
      <c r="G35" s="69"/>
      <c r="H35" s="69"/>
      <c r="I35" s="69"/>
      <c r="J35" s="2"/>
    </row>
    <row r="36" spans="2:10" x14ac:dyDescent="0.3">
      <c r="B36" s="6"/>
      <c r="C36" s="6"/>
      <c r="D36" s="2"/>
      <c r="E36" s="2"/>
      <c r="F36" s="2"/>
      <c r="G36" s="2"/>
      <c r="H36" s="2"/>
      <c r="I36" s="2"/>
      <c r="J36" s="2"/>
    </row>
    <row r="37" spans="2:10" x14ac:dyDescent="0.3">
      <c r="B37" s="6"/>
      <c r="C37" s="13">
        <f>C38*C39+C40</f>
        <v>0</v>
      </c>
      <c r="D37" s="2" t="s">
        <v>71</v>
      </c>
      <c r="E37" s="2"/>
      <c r="F37" s="2"/>
      <c r="G37" s="2"/>
      <c r="H37" s="2"/>
      <c r="I37" s="2"/>
      <c r="J37" s="2"/>
    </row>
    <row r="38" spans="2:10" x14ac:dyDescent="0.3">
      <c r="B38" s="6"/>
      <c r="C38" s="13">
        <f>H32</f>
        <v>0</v>
      </c>
      <c r="D38" s="2" t="s">
        <v>72</v>
      </c>
      <c r="E38" s="2"/>
      <c r="F38" s="2"/>
      <c r="G38" s="2"/>
      <c r="H38" s="2"/>
      <c r="I38" s="2"/>
      <c r="J38" s="2"/>
    </row>
    <row r="39" spans="2:10" x14ac:dyDescent="0.3">
      <c r="B39" s="6"/>
      <c r="C39" s="59">
        <f>Bas_Netzkosten</f>
        <v>210</v>
      </c>
      <c r="D39" s="2" t="s">
        <v>73</v>
      </c>
      <c r="E39" s="2"/>
      <c r="F39" s="2"/>
      <c r="G39" s="2"/>
      <c r="H39" s="2"/>
      <c r="I39" s="2"/>
      <c r="J39" s="2"/>
    </row>
    <row r="40" spans="2:10" x14ac:dyDescent="0.3">
      <c r="B40" s="6"/>
      <c r="C40" s="58">
        <v>0</v>
      </c>
      <c r="D40" s="2" t="s">
        <v>74</v>
      </c>
      <c r="E40" s="2"/>
      <c r="F40" s="2"/>
      <c r="G40" s="2"/>
      <c r="H40" s="2"/>
      <c r="I40" s="2"/>
      <c r="J40" s="2"/>
    </row>
    <row r="41" spans="2:10" x14ac:dyDescent="0.3">
      <c r="B41" s="6"/>
      <c r="C41" s="2"/>
      <c r="D41" s="2"/>
      <c r="E41" s="2"/>
      <c r="F41" s="2"/>
      <c r="G41" s="2"/>
      <c r="H41" s="2"/>
      <c r="I41" s="2"/>
      <c r="J41" s="2"/>
    </row>
    <row r="42" spans="2:10" x14ac:dyDescent="0.3">
      <c r="B42" s="6"/>
      <c r="C42" s="6" t="s">
        <v>75</v>
      </c>
      <c r="D42" s="2"/>
      <c r="E42" s="2"/>
      <c r="F42" s="2"/>
      <c r="G42" s="2"/>
      <c r="H42" s="2"/>
      <c r="I42" s="2"/>
      <c r="J42" s="2"/>
    </row>
    <row r="43" spans="2:10" ht="45" customHeight="1" x14ac:dyDescent="0.3">
      <c r="B43" s="6"/>
      <c r="C43" s="69" t="s">
        <v>76</v>
      </c>
      <c r="D43" s="69"/>
      <c r="E43" s="69"/>
      <c r="F43" s="69"/>
      <c r="G43" s="69"/>
      <c r="H43" s="69"/>
      <c r="I43" s="69"/>
      <c r="J43" s="2"/>
    </row>
    <row r="44" spans="2:10" x14ac:dyDescent="0.3">
      <c r="B44" s="6"/>
      <c r="C44" s="6"/>
      <c r="D44" s="2"/>
      <c r="E44" s="2"/>
      <c r="F44" s="2"/>
      <c r="G44" s="2"/>
      <c r="H44" s="2"/>
      <c r="I44" s="2"/>
      <c r="J44" s="2"/>
    </row>
    <row r="45" spans="2:10" x14ac:dyDescent="0.3">
      <c r="B45" s="6"/>
      <c r="C45" s="13">
        <f>C47+C48*C49+C38*C46</f>
        <v>3220</v>
      </c>
      <c r="D45" s="2" t="s">
        <v>77</v>
      </c>
      <c r="E45" s="2"/>
      <c r="F45" s="2"/>
      <c r="G45" s="2"/>
      <c r="H45" s="2"/>
      <c r="I45" s="2"/>
      <c r="J45" s="2"/>
    </row>
    <row r="46" spans="2:10" x14ac:dyDescent="0.3">
      <c r="B46" s="6"/>
      <c r="C46" s="59">
        <v>0</v>
      </c>
      <c r="D46" s="2" t="s">
        <v>78</v>
      </c>
      <c r="E46" s="2"/>
      <c r="F46" s="2"/>
      <c r="G46" s="2"/>
      <c r="H46" s="2"/>
      <c r="I46" s="2"/>
      <c r="J46" s="2"/>
    </row>
    <row r="47" spans="2:10" x14ac:dyDescent="0.3">
      <c r="B47" s="6"/>
      <c r="C47" s="58">
        <f>Bas_NetGrund</f>
        <v>3000</v>
      </c>
      <c r="D47" s="2" t="s">
        <v>74</v>
      </c>
      <c r="E47" s="2"/>
      <c r="F47" s="2"/>
      <c r="G47" s="2"/>
      <c r="H47" s="2"/>
      <c r="I47" s="2"/>
      <c r="J47" s="2"/>
    </row>
    <row r="48" spans="2:10" x14ac:dyDescent="0.3">
      <c r="B48" s="6"/>
      <c r="C48" s="59">
        <f>Basis_NetzMeter</f>
        <v>11</v>
      </c>
      <c r="D48" s="2" t="s">
        <v>79</v>
      </c>
      <c r="E48" s="2"/>
      <c r="F48" s="2"/>
      <c r="G48" s="2"/>
      <c r="H48" s="2"/>
      <c r="I48" s="2"/>
      <c r="J48" s="2"/>
    </row>
    <row r="49" spans="2:10" x14ac:dyDescent="0.3">
      <c r="B49" s="6"/>
      <c r="C49" s="59">
        <v>20</v>
      </c>
      <c r="D49" s="2" t="s">
        <v>80</v>
      </c>
      <c r="E49" s="2"/>
      <c r="F49" s="2"/>
      <c r="G49" s="2"/>
      <c r="H49" s="2"/>
      <c r="I49" s="2"/>
      <c r="J49" s="2"/>
    </row>
    <row r="50" spans="2:10" x14ac:dyDescent="0.3">
      <c r="B50" s="6"/>
      <c r="C50" s="2"/>
      <c r="D50" s="2"/>
      <c r="E50" s="2"/>
      <c r="F50" s="2"/>
      <c r="G50" s="2"/>
      <c r="H50" s="2"/>
      <c r="I50" s="2"/>
      <c r="J50" s="2"/>
    </row>
    <row r="51" spans="2:10" x14ac:dyDescent="0.3">
      <c r="B51" s="6"/>
      <c r="C51" s="6" t="s">
        <v>81</v>
      </c>
      <c r="D51" s="2"/>
      <c r="E51" s="2"/>
      <c r="F51" s="2"/>
      <c r="G51" s="2"/>
      <c r="H51" s="2"/>
      <c r="I51" s="2"/>
      <c r="J51" s="2"/>
    </row>
    <row r="52" spans="2:10" ht="30" customHeight="1" x14ac:dyDescent="0.3">
      <c r="B52" s="6"/>
      <c r="C52" s="69" t="s">
        <v>82</v>
      </c>
      <c r="D52" s="69"/>
      <c r="E52" s="69"/>
      <c r="F52" s="69"/>
      <c r="G52" s="69"/>
      <c r="H52" s="69"/>
      <c r="I52" s="69"/>
      <c r="J52" s="2"/>
    </row>
    <row r="53" spans="2:10" x14ac:dyDescent="0.3">
      <c r="B53" s="6"/>
      <c r="C53" s="6"/>
      <c r="D53" s="2"/>
      <c r="E53" s="2"/>
      <c r="F53" s="2"/>
      <c r="G53" s="2"/>
      <c r="H53" s="2"/>
      <c r="I53" s="2"/>
      <c r="J53" s="2"/>
    </row>
    <row r="54" spans="2:10" x14ac:dyDescent="0.3">
      <c r="B54" s="6"/>
      <c r="C54" s="13">
        <f>C55*C56+C57</f>
        <v>11000</v>
      </c>
      <c r="D54" s="2" t="s">
        <v>83</v>
      </c>
      <c r="E54" s="2"/>
      <c r="F54" s="2"/>
      <c r="G54" s="2"/>
      <c r="H54" s="2"/>
      <c r="I54" s="2"/>
      <c r="J54" s="2"/>
    </row>
    <row r="55" spans="2:10" x14ac:dyDescent="0.3">
      <c r="B55" s="6"/>
      <c r="C55" s="62">
        <v>20</v>
      </c>
      <c r="D55" s="2" t="s">
        <v>84</v>
      </c>
      <c r="E55" s="2"/>
      <c r="F55" s="2"/>
      <c r="G55" s="2"/>
      <c r="H55" s="2"/>
      <c r="I55" s="2"/>
      <c r="J55" s="2"/>
    </row>
    <row r="56" spans="2:10" x14ac:dyDescent="0.3">
      <c r="B56" s="6"/>
      <c r="C56" s="63">
        <f>Basis_VertMeter</f>
        <v>250</v>
      </c>
      <c r="D56" s="2" t="s">
        <v>85</v>
      </c>
      <c r="E56" s="2"/>
      <c r="F56" s="2"/>
      <c r="G56" s="2"/>
      <c r="H56" s="2"/>
      <c r="I56" s="2"/>
      <c r="J56" s="2"/>
    </row>
    <row r="57" spans="2:10" x14ac:dyDescent="0.3">
      <c r="B57" s="6"/>
      <c r="C57" s="63">
        <f>Basis_Zwisch</f>
        <v>6000</v>
      </c>
      <c r="D57" s="2" t="s">
        <v>86</v>
      </c>
      <c r="E57" s="2"/>
      <c r="F57" s="2"/>
      <c r="G57" s="2"/>
      <c r="H57" s="2"/>
      <c r="I57" s="2"/>
      <c r="J57" s="2"/>
    </row>
    <row r="58" spans="2:10" x14ac:dyDescent="0.3">
      <c r="B58" s="6"/>
      <c r="C58" s="2"/>
      <c r="D58" s="2"/>
      <c r="E58" s="2"/>
      <c r="F58" s="2"/>
      <c r="G58" s="2"/>
      <c r="H58" s="2"/>
      <c r="I58" s="2"/>
      <c r="J58" s="2"/>
    </row>
    <row r="59" spans="2:10" x14ac:dyDescent="0.3">
      <c r="B59" s="6"/>
      <c r="C59" s="6" t="s">
        <v>87</v>
      </c>
      <c r="D59" s="2"/>
      <c r="E59" s="2"/>
      <c r="F59" s="2"/>
      <c r="G59" s="2"/>
      <c r="H59" s="2"/>
      <c r="I59" s="2"/>
      <c r="J59" s="2"/>
    </row>
    <row r="60" spans="2:10" x14ac:dyDescent="0.3">
      <c r="B60" s="6"/>
      <c r="C60" s="57">
        <f>SUM(C37,C45,C54,C63)*Basis_Projekt</f>
        <v>1697</v>
      </c>
      <c r="D60" s="2" t="s">
        <v>88</v>
      </c>
      <c r="E60" s="49" t="s">
        <v>89</v>
      </c>
      <c r="F60" s="49"/>
      <c r="G60" s="2"/>
      <c r="H60" s="2"/>
      <c r="I60" s="2"/>
      <c r="J60" s="2"/>
    </row>
    <row r="61" spans="2:10" x14ac:dyDescent="0.3">
      <c r="B61" s="6"/>
      <c r="C61" s="2"/>
      <c r="D61" s="2"/>
      <c r="E61" s="2"/>
      <c r="F61" s="2"/>
      <c r="G61" s="2"/>
      <c r="H61" s="2"/>
      <c r="I61" s="2"/>
      <c r="J61" s="2"/>
    </row>
    <row r="62" spans="2:10" x14ac:dyDescent="0.3">
      <c r="B62" s="6"/>
      <c r="C62" s="6" t="s">
        <v>90</v>
      </c>
      <c r="D62" s="2"/>
      <c r="E62" s="2"/>
      <c r="F62" s="2"/>
      <c r="G62" s="2"/>
      <c r="H62" s="2"/>
      <c r="I62" s="2"/>
      <c r="J62" s="2"/>
    </row>
    <row r="63" spans="2:10" x14ac:dyDescent="0.3">
      <c r="B63" s="6"/>
      <c r="C63" s="57">
        <f>Basis_Lastmaneg</f>
        <v>2750</v>
      </c>
      <c r="D63" s="2" t="s">
        <v>88</v>
      </c>
      <c r="E63" s="2"/>
      <c r="F63" s="2"/>
      <c r="G63" s="2"/>
      <c r="H63" s="2"/>
      <c r="I63" s="2"/>
      <c r="J63" s="2"/>
    </row>
    <row r="64" spans="2:10" x14ac:dyDescent="0.3">
      <c r="B64" s="6"/>
      <c r="C64" s="2"/>
      <c r="D64" s="2"/>
      <c r="E64" s="2"/>
      <c r="F64" s="2"/>
      <c r="G64" s="2"/>
      <c r="H64" s="2"/>
      <c r="I64" s="2"/>
      <c r="J64" s="2"/>
    </row>
    <row r="65" spans="2:23" x14ac:dyDescent="0.3">
      <c r="B65" s="6"/>
      <c r="C65" s="69" t="s">
        <v>91</v>
      </c>
      <c r="D65" s="69"/>
      <c r="E65" s="69"/>
      <c r="F65" s="69"/>
      <c r="G65" s="69"/>
      <c r="H65" s="69"/>
      <c r="I65" s="69"/>
      <c r="J65" s="2"/>
    </row>
    <row r="66" spans="2:23" x14ac:dyDescent="0.3">
      <c r="B66" s="6"/>
      <c r="C66" s="2"/>
      <c r="D66" s="2"/>
      <c r="E66" s="2"/>
      <c r="F66" s="2"/>
      <c r="G66" s="2"/>
      <c r="H66" s="2"/>
      <c r="I66" s="2"/>
      <c r="J66" s="2"/>
    </row>
    <row r="67" spans="2:23" x14ac:dyDescent="0.3">
      <c r="B67" s="6"/>
      <c r="C67" s="6" t="s">
        <v>92</v>
      </c>
      <c r="D67" s="2"/>
      <c r="E67" s="2"/>
      <c r="F67" s="2"/>
      <c r="G67" s="2"/>
      <c r="H67" s="2"/>
      <c r="I67" s="2"/>
      <c r="J67" s="2"/>
    </row>
    <row r="68" spans="2:23" x14ac:dyDescent="0.3">
      <c r="B68" s="6"/>
      <c r="C68" s="6" t="s">
        <v>93</v>
      </c>
      <c r="D68" s="6" t="s">
        <v>94</v>
      </c>
      <c r="E68" s="2"/>
      <c r="F68" s="2"/>
      <c r="G68" s="2"/>
      <c r="H68" s="2"/>
      <c r="I68" s="2"/>
      <c r="J68" s="2"/>
    </row>
    <row r="69" spans="2:23" x14ac:dyDescent="0.3">
      <c r="B69" s="6"/>
      <c r="C69" s="9">
        <f>Basis_Contracting</f>
        <v>20</v>
      </c>
      <c r="D69" s="21">
        <f>C69*12</f>
        <v>240</v>
      </c>
      <c r="E69" s="2" t="s">
        <v>95</v>
      </c>
      <c r="F69" s="2"/>
      <c r="G69" s="2"/>
      <c r="H69" s="2"/>
      <c r="I69" s="2"/>
      <c r="J69" s="2"/>
    </row>
    <row r="70" spans="2:23" x14ac:dyDescent="0.3">
      <c r="B70" s="6"/>
      <c r="C70" s="2"/>
      <c r="D70" s="2"/>
      <c r="E70" s="2"/>
      <c r="F70" s="2"/>
      <c r="G70" s="2"/>
      <c r="H70" s="2"/>
      <c r="I70" s="2"/>
      <c r="J70" s="2"/>
    </row>
    <row r="71" spans="2:23" x14ac:dyDescent="0.3">
      <c r="B71" s="6"/>
      <c r="C71" s="6" t="s">
        <v>96</v>
      </c>
      <c r="D71" s="2"/>
      <c r="E71" s="2"/>
      <c r="F71" s="2"/>
      <c r="G71" s="2"/>
      <c r="H71" s="2"/>
      <c r="I71" s="2"/>
      <c r="J71" s="2"/>
    </row>
    <row r="72" spans="2:23" x14ac:dyDescent="0.3">
      <c r="B72" s="6"/>
      <c r="C72" s="13">
        <f>C63+C60+IF(C22="Ja",C45+C37,0)+C54</f>
        <v>18667</v>
      </c>
      <c r="D72" s="2" t="s">
        <v>88</v>
      </c>
      <c r="E72" s="2"/>
      <c r="F72" s="2"/>
      <c r="G72" s="2"/>
      <c r="H72" s="2"/>
      <c r="I72" s="2"/>
      <c r="J72" s="2"/>
    </row>
    <row r="73" spans="2:23" x14ac:dyDescent="0.3">
      <c r="B73" s="6"/>
      <c r="C73" s="2"/>
      <c r="D73" s="2"/>
      <c r="E73" s="2"/>
      <c r="F73" s="2"/>
      <c r="G73" s="2"/>
      <c r="H73" s="2"/>
      <c r="I73" s="2"/>
      <c r="J73" s="2"/>
    </row>
    <row r="75" spans="2:23" ht="15.5" x14ac:dyDescent="0.35">
      <c r="B75" s="15"/>
      <c r="C75" s="15" t="s">
        <v>25</v>
      </c>
      <c r="D75" s="15"/>
      <c r="E75" s="15"/>
      <c r="F75" s="15"/>
      <c r="G75" s="15"/>
      <c r="H75" s="15"/>
      <c r="I75" s="15"/>
      <c r="J75" s="15"/>
      <c r="M75" s="15"/>
      <c r="N75" s="15" t="s">
        <v>37</v>
      </c>
      <c r="O75" s="15"/>
      <c r="P75" s="15"/>
      <c r="Q75" s="15"/>
      <c r="R75" s="15"/>
      <c r="S75" s="15"/>
      <c r="T75" s="15"/>
      <c r="U75" s="15"/>
      <c r="V75" s="15"/>
      <c r="W75" s="15"/>
    </row>
    <row r="76" spans="2:23" ht="14.5" x14ac:dyDescent="0.35">
      <c r="B76" s="2"/>
      <c r="C76" s="2"/>
      <c r="D76" s="2"/>
      <c r="E76" s="2"/>
      <c r="F76" s="2"/>
      <c r="G76" s="2"/>
      <c r="H76" s="2"/>
      <c r="I76" s="2"/>
      <c r="J76" s="2"/>
      <c r="M76" s="2"/>
      <c r="N76" s="2"/>
      <c r="O76" s="45"/>
      <c r="P76" s="45"/>
      <c r="Q76" s="45"/>
      <c r="R76" s="45"/>
      <c r="S76" s="45"/>
      <c r="T76" s="45"/>
      <c r="U76" s="45"/>
      <c r="V76" s="2"/>
      <c r="W76" s="2"/>
    </row>
    <row r="77" spans="2:23" ht="53.25" customHeight="1" x14ac:dyDescent="0.35">
      <c r="B77" s="2"/>
      <c r="C77" s="69" t="s">
        <v>97</v>
      </c>
      <c r="D77" s="69"/>
      <c r="E77" s="69"/>
      <c r="F77" s="69"/>
      <c r="G77" s="69"/>
      <c r="H77" s="69"/>
      <c r="I77" s="69"/>
      <c r="J77" s="2"/>
      <c r="M77" s="2"/>
      <c r="N77" s="2"/>
      <c r="O77" s="45"/>
      <c r="P77" s="45"/>
      <c r="Q77" s="45"/>
      <c r="R77" s="45"/>
      <c r="S77" s="45"/>
      <c r="T77" s="45"/>
      <c r="U77" s="45"/>
      <c r="V77" s="2"/>
      <c r="W77" s="2"/>
    </row>
    <row r="78" spans="2:23" ht="14.5" x14ac:dyDescent="0.35">
      <c r="B78" s="2"/>
      <c r="C78" s="2"/>
      <c r="D78" s="2"/>
      <c r="E78" s="2"/>
      <c r="F78" s="2"/>
      <c r="G78" s="2"/>
      <c r="H78" s="2"/>
      <c r="I78" s="2"/>
      <c r="J78" s="2"/>
      <c r="M78" s="2"/>
      <c r="N78" s="2"/>
      <c r="O78" s="74" t="s">
        <v>39</v>
      </c>
      <c r="P78" s="75"/>
      <c r="Q78" s="76"/>
      <c r="R78" s="74" t="s">
        <v>40</v>
      </c>
      <c r="S78" s="75"/>
      <c r="T78" s="75"/>
      <c r="U78" s="75"/>
      <c r="V78" s="27"/>
      <c r="W78" s="2"/>
    </row>
    <row r="79" spans="2:23" ht="28" x14ac:dyDescent="0.3">
      <c r="B79" s="2"/>
      <c r="C79" s="10"/>
      <c r="D79" s="16" t="s">
        <v>20</v>
      </c>
      <c r="E79" s="16" t="s">
        <v>22</v>
      </c>
      <c r="F79" s="16" t="s">
        <v>23</v>
      </c>
      <c r="G79" s="16" t="s">
        <v>24</v>
      </c>
      <c r="H79" s="16" t="s">
        <v>98</v>
      </c>
      <c r="I79" s="16" t="s">
        <v>28</v>
      </c>
      <c r="J79" s="37"/>
      <c r="M79" s="2"/>
      <c r="N79" s="2"/>
      <c r="O79" s="25" t="s">
        <v>42</v>
      </c>
      <c r="P79" s="16" t="s">
        <v>13</v>
      </c>
      <c r="Q79" s="16" t="s">
        <v>43</v>
      </c>
      <c r="R79" s="25" t="s">
        <v>44</v>
      </c>
      <c r="S79" s="16" t="s">
        <v>45</v>
      </c>
      <c r="T79" s="16" t="s">
        <v>46</v>
      </c>
      <c r="U79" s="16" t="s">
        <v>47</v>
      </c>
      <c r="V79" s="25" t="s">
        <v>48</v>
      </c>
      <c r="W79" s="37"/>
    </row>
    <row r="80" spans="2:23" x14ac:dyDescent="0.3">
      <c r="B80" s="2"/>
      <c r="C80" s="11" t="s">
        <v>29</v>
      </c>
      <c r="D80" s="13">
        <f>SUM(D84:D98)</f>
        <v>0</v>
      </c>
      <c r="E80" s="13">
        <f t="shared" ref="E80:G80" si="2">SUM(E84:E98)</f>
        <v>0</v>
      </c>
      <c r="F80" s="13">
        <f t="shared" si="2"/>
        <v>0</v>
      </c>
      <c r="G80" s="13">
        <f t="shared" si="2"/>
        <v>0</v>
      </c>
      <c r="H80" s="13"/>
      <c r="I80" s="13">
        <f>SUM(D80:G80)</f>
        <v>0</v>
      </c>
      <c r="J80" s="37"/>
      <c r="M80" s="7"/>
      <c r="N80" s="17" t="s">
        <v>50</v>
      </c>
      <c r="O80" s="26">
        <f>SUM(O84:O98)</f>
        <v>20042</v>
      </c>
      <c r="P80" s="13">
        <f t="shared" ref="P80:U80" ca="1" si="3">SUM(P84:P98)</f>
        <v>0</v>
      </c>
      <c r="Q80" s="13">
        <f t="shared" ca="1" si="3"/>
        <v>0</v>
      </c>
      <c r="R80" s="26">
        <f t="shared" si="3"/>
        <v>0</v>
      </c>
      <c r="S80" s="13">
        <f t="shared" si="3"/>
        <v>0</v>
      </c>
      <c r="T80" s="13">
        <f t="shared" si="3"/>
        <v>0</v>
      </c>
      <c r="U80" s="13">
        <f t="shared" si="3"/>
        <v>0</v>
      </c>
      <c r="V80" s="26">
        <f ca="1">SUM(O80:U80)</f>
        <v>20042</v>
      </c>
      <c r="W80" s="38"/>
    </row>
    <row r="81" spans="2:23" x14ac:dyDescent="0.3">
      <c r="B81" s="2"/>
      <c r="C81" s="10"/>
      <c r="D81" s="2"/>
      <c r="E81" s="2"/>
      <c r="F81" s="2"/>
      <c r="G81" s="2"/>
      <c r="H81" s="2"/>
      <c r="I81" s="2"/>
      <c r="J81" s="37"/>
      <c r="M81" s="31"/>
      <c r="N81" s="31"/>
      <c r="O81" s="27"/>
      <c r="P81" s="2"/>
      <c r="Q81" s="2"/>
      <c r="R81" s="27"/>
      <c r="S81" s="2"/>
      <c r="T81" s="2"/>
      <c r="U81" s="2"/>
      <c r="V81" s="27"/>
      <c r="W81" s="2"/>
    </row>
    <row r="82" spans="2:23" x14ac:dyDescent="0.3">
      <c r="B82" s="2"/>
      <c r="C82" s="18" t="s">
        <v>30</v>
      </c>
      <c r="D82" s="2"/>
      <c r="E82" s="2"/>
      <c r="F82" s="2"/>
      <c r="G82" s="2"/>
      <c r="H82" s="2"/>
      <c r="I82" s="2"/>
      <c r="J82" s="37"/>
      <c r="M82" s="7"/>
      <c r="N82" s="7" t="s">
        <v>30</v>
      </c>
      <c r="O82" s="27"/>
      <c r="P82" s="2"/>
      <c r="Q82" s="2"/>
      <c r="R82" s="27"/>
      <c r="S82" s="2"/>
      <c r="T82" s="2"/>
      <c r="U82" s="2"/>
      <c r="V82" s="27"/>
      <c r="W82" s="2"/>
    </row>
    <row r="83" spans="2:23" x14ac:dyDescent="0.3">
      <c r="B83" s="2"/>
      <c r="C83" s="10"/>
      <c r="D83" s="2"/>
      <c r="E83" s="2"/>
      <c r="F83" s="2"/>
      <c r="G83" s="2"/>
      <c r="H83" s="2"/>
      <c r="I83" s="2"/>
      <c r="J83" s="37"/>
      <c r="M83" s="2"/>
      <c r="N83" s="2"/>
      <c r="O83" s="27"/>
      <c r="P83" s="2"/>
      <c r="Q83" s="2"/>
      <c r="R83" s="27"/>
      <c r="S83" s="2"/>
      <c r="T83" s="2"/>
      <c r="U83" s="2"/>
      <c r="V83" s="27"/>
      <c r="W83" s="2"/>
    </row>
    <row r="84" spans="2:23" x14ac:dyDescent="0.3">
      <c r="B84" s="2"/>
      <c r="C84" s="7">
        <f>Jahr_Advenced</f>
        <v>2026</v>
      </c>
      <c r="D84" s="58"/>
      <c r="E84" s="58"/>
      <c r="F84" s="58"/>
      <c r="G84" s="58"/>
      <c r="H84" s="13">
        <f>SUM(D84:G84)</f>
        <v>0</v>
      </c>
      <c r="I84" s="13">
        <f>H84</f>
        <v>0</v>
      </c>
      <c r="J84" s="37"/>
      <c r="M84" s="7"/>
      <c r="N84" s="7">
        <f>Jahr_Advenced</f>
        <v>2026</v>
      </c>
      <c r="O84" s="26">
        <f>IF(Bet_Basis_AD,C$72,0)</f>
        <v>18667</v>
      </c>
      <c r="P84" s="13">
        <f>IF(Bet_LIS_AD, SUMPRODUCT(D84:G84,$D$108:$G$108),0)</f>
        <v>0</v>
      </c>
      <c r="Q84" s="13">
        <v>0</v>
      </c>
      <c r="R84" s="26">
        <f>IF(Bet_Betrieb_AD,(D84*$C$124+(E84+F84+G84)*$C$125),0)</f>
        <v>0</v>
      </c>
      <c r="S84" s="13">
        <f t="shared" ref="S84:S98" si="4">IF(Bet_Betrieb_AD,I84*$C$121*12 + C$120*H171,0)</f>
        <v>0</v>
      </c>
      <c r="T84" s="13">
        <f t="shared" ref="T84:T98" si="5">F138*H171</f>
        <v>0</v>
      </c>
      <c r="U84" s="13">
        <f>IF(Bet_Basis_AD,0, (D84 + E84 * 50/11 + F84 * 100/11 + G84 * 350/11)*D$69) +
IF(Bet_LIS_AD,0, (D84 + E84 * 50/11 + F84 * 100/11 + G84 * 350/11)*D$112) +
IF(Bet_Betrieb_AD,0, (D84 + E84 * 50/11 + F84 * 100/11 + G84 * 350/11)*D$129 )</f>
        <v>0</v>
      </c>
      <c r="V84" s="26">
        <f>SUM(O84:U84)</f>
        <v>18667</v>
      </c>
      <c r="W84" s="38"/>
    </row>
    <row r="85" spans="2:23" x14ac:dyDescent="0.3">
      <c r="B85" s="2"/>
      <c r="C85" s="7">
        <f>C84+1</f>
        <v>2027</v>
      </c>
      <c r="D85" s="58"/>
      <c r="E85" s="58"/>
      <c r="F85" s="58"/>
      <c r="G85" s="58"/>
      <c r="H85" s="13">
        <f t="shared" ref="H85:H98" si="6">SUM(D85:G85)</f>
        <v>0</v>
      </c>
      <c r="I85" s="13">
        <f>I84+H85</f>
        <v>0</v>
      </c>
      <c r="J85" s="37"/>
      <c r="M85" s="7"/>
      <c r="N85" s="7">
        <f>N84+1</f>
        <v>2027</v>
      </c>
      <c r="O85" s="26">
        <f t="shared" ref="O85:O98" si="7">IF(Bet_Basis_AD,IF(N85-$N$84=Lastmanagement_Lebensdauer,Basis_Lastmaneg/2,0),0)</f>
        <v>0</v>
      </c>
      <c r="P85" s="13" cm="1">
        <f t="array" aca="1" ref="P85" ca="1">IF(Bet_LIS_AD, SUMPRODUCT(D85:G85,$D$108:$G$108),0) +
IF(ROW()-LIS_Lebensdauer &gt; ROW(P$83), INDIRECT("L" &amp; (ROW()-LIS_Lebensdauer)),0)</f>
        <v>0</v>
      </c>
      <c r="Q85" s="13" cm="1">
        <f t="array" aca="1" ref="Q85" ca="1">IF(ROW()-LIS_Lebensdauer &gt; ROW(Q$83), INDIRECT("P" &amp; (ROW()-LIS_Lebensdauer)),0)</f>
        <v>0</v>
      </c>
      <c r="R85" s="26">
        <f t="shared" ref="R85:R98" si="8">IF(Bet_Betrieb_AD,(D85*$C$124+(E85+F85+G85)*$C$125)+R84,0)</f>
        <v>0</v>
      </c>
      <c r="S85" s="13">
        <f t="shared" si="4"/>
        <v>0</v>
      </c>
      <c r="T85" s="13">
        <f t="shared" si="5"/>
        <v>0</v>
      </c>
      <c r="U85" s="13">
        <f t="shared" ref="U85:U98" si="9">IF(Bet_Basis_AD,0, (D85 + E85 * 50/11 + F85 * 100/11 + G85 * 350/11)*D$69) +
IF(Bet_LIS_AD,0, (D85 + E85 * 50/11 + F85 * 100/11 + G85 * 350/11)*D$112) +
IF(Bet_Betrieb_AD,0, (D85 + E85 * 50/11 + F85 * 100/11 + G85 * 350/11)*D$129 ) + U84</f>
        <v>0</v>
      </c>
      <c r="V85" s="26">
        <f t="shared" ref="V85:V98" ca="1" si="10">SUM(O85:U85)</f>
        <v>0</v>
      </c>
      <c r="W85" s="38"/>
    </row>
    <row r="86" spans="2:23" x14ac:dyDescent="0.3">
      <c r="B86" s="2"/>
      <c r="C86" s="7">
        <f t="shared" ref="C86:C98" si="11">C85+1</f>
        <v>2028</v>
      </c>
      <c r="D86" s="58"/>
      <c r="E86" s="58"/>
      <c r="F86" s="58"/>
      <c r="G86" s="58"/>
      <c r="H86" s="13">
        <f t="shared" si="6"/>
        <v>0</v>
      </c>
      <c r="I86" s="13">
        <f>I85+H86</f>
        <v>0</v>
      </c>
      <c r="J86" s="37"/>
      <c r="M86" s="7"/>
      <c r="N86" s="7">
        <f t="shared" ref="N86:N98" si="12">N85+1</f>
        <v>2028</v>
      </c>
      <c r="O86" s="26">
        <f t="shared" si="7"/>
        <v>0</v>
      </c>
      <c r="P86" s="13" cm="1">
        <f t="array" aca="1" ref="P86" ca="1">IF(Bet_LIS_AD, SUMPRODUCT(D86:G86,$D$108:$G$108),0) +
IF(ROW()-LIS_Lebensdauer &gt; ROW(P$83), INDIRECT("L" &amp; (ROW()-LIS_Lebensdauer)),0)</f>
        <v>0</v>
      </c>
      <c r="Q86" s="13" cm="1">
        <f t="array" aca="1" ref="Q86" ca="1">IF(ROW()-LIS_Lebensdauer &gt; ROW(Q$83), INDIRECT("P" &amp; (ROW()-LIS_Lebensdauer)),0)</f>
        <v>0</v>
      </c>
      <c r="R86" s="26">
        <f t="shared" si="8"/>
        <v>0</v>
      </c>
      <c r="S86" s="13">
        <f t="shared" si="4"/>
        <v>0</v>
      </c>
      <c r="T86" s="13">
        <f t="shared" si="5"/>
        <v>0</v>
      </c>
      <c r="U86" s="13">
        <f t="shared" si="9"/>
        <v>0</v>
      </c>
      <c r="V86" s="26">
        <f t="shared" ca="1" si="10"/>
        <v>0</v>
      </c>
      <c r="W86" s="38"/>
    </row>
    <row r="87" spans="2:23" x14ac:dyDescent="0.3">
      <c r="B87" s="2"/>
      <c r="C87" s="7">
        <f t="shared" si="11"/>
        <v>2029</v>
      </c>
      <c r="D87" s="58"/>
      <c r="E87" s="58"/>
      <c r="F87" s="58"/>
      <c r="G87" s="58"/>
      <c r="H87" s="13">
        <f t="shared" si="6"/>
        <v>0</v>
      </c>
      <c r="I87" s="13">
        <f t="shared" ref="I87:I98" si="13">I86+H87</f>
        <v>0</v>
      </c>
      <c r="J87" s="37"/>
      <c r="M87" s="7"/>
      <c r="N87" s="7">
        <f t="shared" si="12"/>
        <v>2029</v>
      </c>
      <c r="O87" s="26">
        <f t="shared" si="7"/>
        <v>0</v>
      </c>
      <c r="P87" s="13" cm="1">
        <f t="array" aca="1" ref="P87" ca="1">IF(Bet_LIS_AD, SUMPRODUCT(D87:G87,$D$108:$G$108),0) +
IF(ROW()-LIS_Lebensdauer &gt; ROW(P$83), INDIRECT("L" &amp; (ROW()-LIS_Lebensdauer)),0)</f>
        <v>0</v>
      </c>
      <c r="Q87" s="13" cm="1">
        <f t="array" aca="1" ref="Q87" ca="1">IF(ROW()-LIS_Lebensdauer &gt; ROW(Q$83), INDIRECT("P" &amp; (ROW()-LIS_Lebensdauer)),0)</f>
        <v>0</v>
      </c>
      <c r="R87" s="26">
        <f t="shared" si="8"/>
        <v>0</v>
      </c>
      <c r="S87" s="13">
        <f t="shared" si="4"/>
        <v>0</v>
      </c>
      <c r="T87" s="13">
        <f t="shared" si="5"/>
        <v>0</v>
      </c>
      <c r="U87" s="13">
        <f t="shared" si="9"/>
        <v>0</v>
      </c>
      <c r="V87" s="26">
        <f t="shared" ca="1" si="10"/>
        <v>0</v>
      </c>
      <c r="W87" s="38"/>
    </row>
    <row r="88" spans="2:23" x14ac:dyDescent="0.3">
      <c r="B88" s="2"/>
      <c r="C88" s="7">
        <f t="shared" si="11"/>
        <v>2030</v>
      </c>
      <c r="D88" s="58"/>
      <c r="E88" s="58"/>
      <c r="F88" s="58"/>
      <c r="G88" s="58"/>
      <c r="H88" s="13">
        <f t="shared" si="6"/>
        <v>0</v>
      </c>
      <c r="I88" s="13">
        <f t="shared" si="13"/>
        <v>0</v>
      </c>
      <c r="J88" s="37"/>
      <c r="M88" s="7"/>
      <c r="N88" s="7">
        <f t="shared" si="12"/>
        <v>2030</v>
      </c>
      <c r="O88" s="26">
        <f t="shared" si="7"/>
        <v>0</v>
      </c>
      <c r="P88" s="13" cm="1">
        <f t="array" aca="1" ref="P88" ca="1">IF(Bet_LIS_AD, SUMPRODUCT(D88:G88,$D$108:$G$108),0) +
IF(ROW()-LIS_Lebensdauer &gt; ROW(P$83), INDIRECT("L" &amp; (ROW()-LIS_Lebensdauer)),0)</f>
        <v>0</v>
      </c>
      <c r="Q88" s="13" cm="1">
        <f t="array" aca="1" ref="Q88" ca="1">IF(ROW()-LIS_Lebensdauer &gt; ROW(Q$83), INDIRECT("P" &amp; (ROW()-LIS_Lebensdauer)),0)</f>
        <v>0</v>
      </c>
      <c r="R88" s="26">
        <f t="shared" si="8"/>
        <v>0</v>
      </c>
      <c r="S88" s="13">
        <f t="shared" si="4"/>
        <v>0</v>
      </c>
      <c r="T88" s="13">
        <f t="shared" si="5"/>
        <v>0</v>
      </c>
      <c r="U88" s="13">
        <f t="shared" si="9"/>
        <v>0</v>
      </c>
      <c r="V88" s="26">
        <f t="shared" ca="1" si="10"/>
        <v>0</v>
      </c>
      <c r="W88" s="38"/>
    </row>
    <row r="89" spans="2:23" x14ac:dyDescent="0.3">
      <c r="B89" s="2"/>
      <c r="C89" s="7">
        <f t="shared" si="11"/>
        <v>2031</v>
      </c>
      <c r="D89" s="58"/>
      <c r="E89" s="58"/>
      <c r="F89" s="58"/>
      <c r="G89" s="58"/>
      <c r="H89" s="13">
        <f t="shared" si="6"/>
        <v>0</v>
      </c>
      <c r="I89" s="13">
        <f t="shared" si="13"/>
        <v>0</v>
      </c>
      <c r="J89" s="37"/>
      <c r="M89" s="7"/>
      <c r="N89" s="7">
        <f t="shared" si="12"/>
        <v>2031</v>
      </c>
      <c r="O89" s="26">
        <f t="shared" si="7"/>
        <v>0</v>
      </c>
      <c r="P89" s="13" cm="1">
        <f t="array" aca="1" ref="P89" ca="1">IF(Bet_LIS_AD, SUMPRODUCT(D89:G89,$D$108:$G$108),0) +
IF(ROW()-LIS_Lebensdauer &gt; ROW(P$83), INDIRECT("L" &amp; (ROW()-LIS_Lebensdauer)),0)</f>
        <v>0</v>
      </c>
      <c r="Q89" s="13" cm="1">
        <f t="array" aca="1" ref="Q89" ca="1">IF(ROW()-LIS_Lebensdauer &gt; ROW(Q$83), INDIRECT("P" &amp; (ROW()-LIS_Lebensdauer)),0)</f>
        <v>0</v>
      </c>
      <c r="R89" s="26">
        <f t="shared" si="8"/>
        <v>0</v>
      </c>
      <c r="S89" s="13">
        <f t="shared" si="4"/>
        <v>0</v>
      </c>
      <c r="T89" s="13">
        <f t="shared" si="5"/>
        <v>0</v>
      </c>
      <c r="U89" s="13">
        <f t="shared" si="9"/>
        <v>0</v>
      </c>
      <c r="V89" s="26">
        <f t="shared" ca="1" si="10"/>
        <v>0</v>
      </c>
      <c r="W89" s="38"/>
    </row>
    <row r="90" spans="2:23" x14ac:dyDescent="0.3">
      <c r="B90" s="2"/>
      <c r="C90" s="7">
        <f t="shared" si="11"/>
        <v>2032</v>
      </c>
      <c r="D90" s="58"/>
      <c r="E90" s="58"/>
      <c r="F90" s="58"/>
      <c r="G90" s="58"/>
      <c r="H90" s="13">
        <f t="shared" si="6"/>
        <v>0</v>
      </c>
      <c r="I90" s="13">
        <f t="shared" si="13"/>
        <v>0</v>
      </c>
      <c r="J90" s="37"/>
      <c r="M90" s="7"/>
      <c r="N90" s="7">
        <f t="shared" si="12"/>
        <v>2032</v>
      </c>
      <c r="O90" s="26">
        <f t="shared" si="7"/>
        <v>0</v>
      </c>
      <c r="P90" s="13" cm="1">
        <f t="array" aca="1" ref="P90" ca="1">IF(Bet_LIS_AD, SUMPRODUCT(D90:G90,$D$108:$G$108),0) +
IF(ROW()-LIS_Lebensdauer &gt; ROW(P$83), INDIRECT("L" &amp; (ROW()-LIS_Lebensdauer)),0)</f>
        <v>0</v>
      </c>
      <c r="Q90" s="13" cm="1">
        <f t="array" aca="1" ref="Q90" ca="1">IF(ROW()-LIS_Lebensdauer &gt; ROW(Q$83), INDIRECT("P" &amp; (ROW()-LIS_Lebensdauer)),0)</f>
        <v>0</v>
      </c>
      <c r="R90" s="26">
        <f t="shared" si="8"/>
        <v>0</v>
      </c>
      <c r="S90" s="13">
        <f t="shared" si="4"/>
        <v>0</v>
      </c>
      <c r="T90" s="13">
        <f t="shared" si="5"/>
        <v>0</v>
      </c>
      <c r="U90" s="13">
        <f t="shared" si="9"/>
        <v>0</v>
      </c>
      <c r="V90" s="26">
        <f t="shared" ca="1" si="10"/>
        <v>0</v>
      </c>
      <c r="W90" s="38"/>
    </row>
    <row r="91" spans="2:23" x14ac:dyDescent="0.3">
      <c r="B91" s="2"/>
      <c r="C91" s="7">
        <f t="shared" si="11"/>
        <v>2033</v>
      </c>
      <c r="D91" s="58"/>
      <c r="E91" s="58"/>
      <c r="F91" s="58"/>
      <c r="G91" s="58"/>
      <c r="H91" s="13">
        <f t="shared" si="6"/>
        <v>0</v>
      </c>
      <c r="I91" s="13">
        <f t="shared" si="13"/>
        <v>0</v>
      </c>
      <c r="J91" s="37"/>
      <c r="M91" s="7"/>
      <c r="N91" s="7">
        <f t="shared" si="12"/>
        <v>2033</v>
      </c>
      <c r="O91" s="26">
        <f t="shared" si="7"/>
        <v>0</v>
      </c>
      <c r="P91" s="13" cm="1">
        <f t="array" aca="1" ref="P91" ca="1">IF(Bet_LIS_AD, SUMPRODUCT(D91:G91,$D$108:$G$108),0) +
IF(ROW()-LIS_Lebensdauer &gt; ROW(P$83), INDIRECT("L" &amp; (ROW()-LIS_Lebensdauer)),0)</f>
        <v>0</v>
      </c>
      <c r="Q91" s="13" cm="1">
        <f t="array" aca="1" ref="Q91" ca="1">IF(ROW()-LIS_Lebensdauer &gt; ROW(Q$83), INDIRECT("P" &amp; (ROW()-LIS_Lebensdauer)),0)</f>
        <v>0</v>
      </c>
      <c r="R91" s="26">
        <f t="shared" si="8"/>
        <v>0</v>
      </c>
      <c r="S91" s="13">
        <f t="shared" si="4"/>
        <v>0</v>
      </c>
      <c r="T91" s="13">
        <f t="shared" si="5"/>
        <v>0</v>
      </c>
      <c r="U91" s="13">
        <f t="shared" si="9"/>
        <v>0</v>
      </c>
      <c r="V91" s="26">
        <f t="shared" ca="1" si="10"/>
        <v>0</v>
      </c>
      <c r="W91" s="38"/>
    </row>
    <row r="92" spans="2:23" x14ac:dyDescent="0.3">
      <c r="B92" s="2"/>
      <c r="C92" s="7">
        <f t="shared" si="11"/>
        <v>2034</v>
      </c>
      <c r="D92" s="58"/>
      <c r="E92" s="58"/>
      <c r="F92" s="58"/>
      <c r="G92" s="58"/>
      <c r="H92" s="13">
        <f t="shared" si="6"/>
        <v>0</v>
      </c>
      <c r="I92" s="13">
        <f t="shared" si="13"/>
        <v>0</v>
      </c>
      <c r="J92" s="37"/>
      <c r="M92" s="7"/>
      <c r="N92" s="7">
        <f t="shared" si="12"/>
        <v>2034</v>
      </c>
      <c r="O92" s="26">
        <f t="shared" si="7"/>
        <v>1375</v>
      </c>
      <c r="P92" s="13" cm="1">
        <f t="array" aca="1" ref="P92" ca="1">IF(Bet_LIS_AD, SUMPRODUCT(D92:G92,$D$108:$G$108),0) +
IF(ROW()-LIS_Lebensdauer &gt; ROW(P$83), INDIRECT("L" &amp; (ROW()-LIS_Lebensdauer)),0)</f>
        <v>0</v>
      </c>
      <c r="Q92" s="13" cm="1">
        <f t="array" aca="1" ref="Q92" ca="1">IF(ROW()-LIS_Lebensdauer &gt; ROW(Q$83), INDIRECT("P" &amp; (ROW()-LIS_Lebensdauer)),0)</f>
        <v>0</v>
      </c>
      <c r="R92" s="26">
        <f t="shared" si="8"/>
        <v>0</v>
      </c>
      <c r="S92" s="13">
        <f t="shared" si="4"/>
        <v>0</v>
      </c>
      <c r="T92" s="13">
        <f t="shared" si="5"/>
        <v>0</v>
      </c>
      <c r="U92" s="13">
        <f t="shared" si="9"/>
        <v>0</v>
      </c>
      <c r="V92" s="26">
        <f t="shared" ca="1" si="10"/>
        <v>1375</v>
      </c>
      <c r="W92" s="38"/>
    </row>
    <row r="93" spans="2:23" x14ac:dyDescent="0.3">
      <c r="B93" s="2"/>
      <c r="C93" s="7">
        <f t="shared" si="11"/>
        <v>2035</v>
      </c>
      <c r="D93" s="58"/>
      <c r="E93" s="58"/>
      <c r="F93" s="58"/>
      <c r="G93" s="58"/>
      <c r="H93" s="13">
        <f t="shared" si="6"/>
        <v>0</v>
      </c>
      <c r="I93" s="13">
        <f t="shared" si="13"/>
        <v>0</v>
      </c>
      <c r="J93" s="37"/>
      <c r="M93" s="7"/>
      <c r="N93" s="7">
        <f t="shared" si="12"/>
        <v>2035</v>
      </c>
      <c r="O93" s="26">
        <f t="shared" si="7"/>
        <v>0</v>
      </c>
      <c r="P93" s="13" cm="1">
        <f t="array" aca="1" ref="P93" ca="1">IF(Bet_LIS_AD, SUMPRODUCT(D93:G93,$D$108:$G$108),0) +
IF(ROW()-LIS_Lebensdauer &gt; ROW(P$83), INDIRECT("L" &amp; (ROW()-LIS_Lebensdauer)),0)</f>
        <v>0</v>
      </c>
      <c r="Q93" s="13" cm="1">
        <f t="array" aca="1" ref="Q93" ca="1">IF(ROW()-LIS_Lebensdauer &gt; ROW(Q$83), INDIRECT("P" &amp; (ROW()-LIS_Lebensdauer)),0)</f>
        <v>0</v>
      </c>
      <c r="R93" s="26">
        <f t="shared" si="8"/>
        <v>0</v>
      </c>
      <c r="S93" s="13">
        <f t="shared" si="4"/>
        <v>0</v>
      </c>
      <c r="T93" s="13">
        <f t="shared" si="5"/>
        <v>0</v>
      </c>
      <c r="U93" s="13">
        <f t="shared" si="9"/>
        <v>0</v>
      </c>
      <c r="V93" s="26">
        <f t="shared" ca="1" si="10"/>
        <v>0</v>
      </c>
      <c r="W93" s="38"/>
    </row>
    <row r="94" spans="2:23" x14ac:dyDescent="0.3">
      <c r="B94" s="2"/>
      <c r="C94" s="7">
        <f t="shared" si="11"/>
        <v>2036</v>
      </c>
      <c r="D94" s="58"/>
      <c r="E94" s="58"/>
      <c r="F94" s="58"/>
      <c r="G94" s="58"/>
      <c r="H94" s="13">
        <f t="shared" si="6"/>
        <v>0</v>
      </c>
      <c r="I94" s="13">
        <f t="shared" si="13"/>
        <v>0</v>
      </c>
      <c r="J94" s="37"/>
      <c r="M94" s="7"/>
      <c r="N94" s="7">
        <f t="shared" si="12"/>
        <v>2036</v>
      </c>
      <c r="O94" s="26">
        <f t="shared" si="7"/>
        <v>0</v>
      </c>
      <c r="P94" s="13" cm="1">
        <f t="array" aca="1" ref="P94" ca="1">IF(Bet_LIS_AD, SUMPRODUCT(D94:G94,$D$108:$G$108),0) +
IF(ROW()-LIS_Lebensdauer &gt; ROW(P$83), INDIRECT("L" &amp; (ROW()-LIS_Lebensdauer)),0)</f>
        <v>0</v>
      </c>
      <c r="Q94" s="13" cm="1">
        <f t="array" aca="1" ref="Q94" ca="1">IF(ROW()-LIS_Lebensdauer &gt; ROW(Q$83), INDIRECT("P" &amp; (ROW()-LIS_Lebensdauer)),0)</f>
        <v>0</v>
      </c>
      <c r="R94" s="26">
        <f t="shared" si="8"/>
        <v>0</v>
      </c>
      <c r="S94" s="13">
        <f t="shared" si="4"/>
        <v>0</v>
      </c>
      <c r="T94" s="13">
        <f t="shared" si="5"/>
        <v>0</v>
      </c>
      <c r="U94" s="13">
        <f t="shared" si="9"/>
        <v>0</v>
      </c>
      <c r="V94" s="26">
        <f t="shared" ca="1" si="10"/>
        <v>0</v>
      </c>
      <c r="W94" s="38"/>
    </row>
    <row r="95" spans="2:23" x14ac:dyDescent="0.3">
      <c r="B95" s="2"/>
      <c r="C95" s="7">
        <f t="shared" si="11"/>
        <v>2037</v>
      </c>
      <c r="D95" s="58"/>
      <c r="E95" s="58"/>
      <c r="F95" s="58"/>
      <c r="G95" s="58"/>
      <c r="H95" s="13">
        <f t="shared" si="6"/>
        <v>0</v>
      </c>
      <c r="I95" s="13">
        <f t="shared" si="13"/>
        <v>0</v>
      </c>
      <c r="J95" s="37"/>
      <c r="M95" s="7"/>
      <c r="N95" s="7">
        <f t="shared" si="12"/>
        <v>2037</v>
      </c>
      <c r="O95" s="26">
        <f t="shared" si="7"/>
        <v>0</v>
      </c>
      <c r="P95" s="13" cm="1">
        <f t="array" aca="1" ref="P95" ca="1">IF(Bet_LIS_AD, SUMPRODUCT(D95:G95,$D$108:$G$108),0) +
IF(ROW()-LIS_Lebensdauer &gt; ROW(P$83), INDIRECT("L" &amp; (ROW()-LIS_Lebensdauer)),0)</f>
        <v>0</v>
      </c>
      <c r="Q95" s="13" cm="1">
        <f t="array" aca="1" ref="Q95" ca="1">IF(ROW()-LIS_Lebensdauer &gt; ROW(Q$83), INDIRECT("P" &amp; (ROW()-LIS_Lebensdauer)),0)</f>
        <v>0</v>
      </c>
      <c r="R95" s="26">
        <f t="shared" si="8"/>
        <v>0</v>
      </c>
      <c r="S95" s="13">
        <f t="shared" si="4"/>
        <v>0</v>
      </c>
      <c r="T95" s="13">
        <f t="shared" si="5"/>
        <v>0</v>
      </c>
      <c r="U95" s="13">
        <f t="shared" si="9"/>
        <v>0</v>
      </c>
      <c r="V95" s="26">
        <f t="shared" ca="1" si="10"/>
        <v>0</v>
      </c>
      <c r="W95" s="38"/>
    </row>
    <row r="96" spans="2:23" x14ac:dyDescent="0.3">
      <c r="B96" s="2"/>
      <c r="C96" s="7">
        <f t="shared" si="11"/>
        <v>2038</v>
      </c>
      <c r="D96" s="58"/>
      <c r="E96" s="58"/>
      <c r="F96" s="58"/>
      <c r="G96" s="58"/>
      <c r="H96" s="13">
        <f t="shared" si="6"/>
        <v>0</v>
      </c>
      <c r="I96" s="13">
        <f t="shared" si="13"/>
        <v>0</v>
      </c>
      <c r="J96" s="37"/>
      <c r="M96" s="7"/>
      <c r="N96" s="7">
        <f t="shared" si="12"/>
        <v>2038</v>
      </c>
      <c r="O96" s="26">
        <f t="shared" si="7"/>
        <v>0</v>
      </c>
      <c r="P96" s="13" cm="1">
        <f t="array" aca="1" ref="P96" ca="1">IF(Bet_LIS_AD, SUMPRODUCT(D96:G96,$D$108:$G$108),0) +
IF(ROW()-LIS_Lebensdauer &gt; ROW(P$83), INDIRECT("L" &amp; (ROW()-LIS_Lebensdauer)),0)</f>
        <v>0</v>
      </c>
      <c r="Q96" s="13" cm="1">
        <f t="array" aca="1" ref="Q96" ca="1">IF(ROW()-LIS_Lebensdauer &gt; ROW(Q$83), INDIRECT("P" &amp; (ROW()-LIS_Lebensdauer)),0)</f>
        <v>0</v>
      </c>
      <c r="R96" s="26">
        <f t="shared" si="8"/>
        <v>0</v>
      </c>
      <c r="S96" s="13">
        <f t="shared" si="4"/>
        <v>0</v>
      </c>
      <c r="T96" s="13">
        <f t="shared" si="5"/>
        <v>0</v>
      </c>
      <c r="U96" s="13">
        <f t="shared" si="9"/>
        <v>0</v>
      </c>
      <c r="V96" s="26">
        <f t="shared" ca="1" si="10"/>
        <v>0</v>
      </c>
      <c r="W96" s="38"/>
    </row>
    <row r="97" spans="2:23" x14ac:dyDescent="0.3">
      <c r="B97" s="2"/>
      <c r="C97" s="7">
        <f t="shared" si="11"/>
        <v>2039</v>
      </c>
      <c r="D97" s="58"/>
      <c r="E97" s="58"/>
      <c r="F97" s="58"/>
      <c r="G97" s="58"/>
      <c r="H97" s="13">
        <f t="shared" si="6"/>
        <v>0</v>
      </c>
      <c r="I97" s="13">
        <f t="shared" si="13"/>
        <v>0</v>
      </c>
      <c r="J97" s="37"/>
      <c r="M97" s="7"/>
      <c r="N97" s="7">
        <f t="shared" si="12"/>
        <v>2039</v>
      </c>
      <c r="O97" s="26">
        <f t="shared" si="7"/>
        <v>0</v>
      </c>
      <c r="P97" s="13" cm="1">
        <f t="array" aca="1" ref="P97" ca="1">IF(Bet_LIS_AD, SUMPRODUCT(D97:G97,$D$108:$G$108),0) +
IF(ROW()-LIS_Lebensdauer &gt; ROW(P$83), INDIRECT("L" &amp; (ROW()-LIS_Lebensdauer)),0)</f>
        <v>0</v>
      </c>
      <c r="Q97" s="13" cm="1">
        <f t="array" aca="1" ref="Q97" ca="1">IF(ROW()-LIS_Lebensdauer &gt; ROW(Q$83), INDIRECT("P" &amp; (ROW()-LIS_Lebensdauer)),0)</f>
        <v>0</v>
      </c>
      <c r="R97" s="26">
        <f t="shared" si="8"/>
        <v>0</v>
      </c>
      <c r="S97" s="13">
        <f t="shared" si="4"/>
        <v>0</v>
      </c>
      <c r="T97" s="13">
        <f t="shared" si="5"/>
        <v>0</v>
      </c>
      <c r="U97" s="13">
        <f t="shared" si="9"/>
        <v>0</v>
      </c>
      <c r="V97" s="26">
        <f t="shared" ca="1" si="10"/>
        <v>0</v>
      </c>
      <c r="W97" s="38"/>
    </row>
    <row r="98" spans="2:23" x14ac:dyDescent="0.3">
      <c r="B98" s="2"/>
      <c r="C98" s="7">
        <f t="shared" si="11"/>
        <v>2040</v>
      </c>
      <c r="D98" s="58"/>
      <c r="E98" s="58"/>
      <c r="F98" s="58"/>
      <c r="G98" s="58"/>
      <c r="H98" s="13">
        <f t="shared" si="6"/>
        <v>0</v>
      </c>
      <c r="I98" s="13">
        <f t="shared" si="13"/>
        <v>0</v>
      </c>
      <c r="J98" s="37"/>
      <c r="M98" s="7"/>
      <c r="N98" s="7">
        <f t="shared" si="12"/>
        <v>2040</v>
      </c>
      <c r="O98" s="26">
        <f t="shared" si="7"/>
        <v>0</v>
      </c>
      <c r="P98" s="13" cm="1">
        <f t="array" aca="1" ref="P98" ca="1">IF(Bet_LIS_AD, SUMPRODUCT(D98:G98,$D$108:$G$108),0) +
IF(ROW()-LIS_Lebensdauer &gt; ROW(P$83), INDIRECT("L" &amp; (ROW()-LIS_Lebensdauer)),0)</f>
        <v>0</v>
      </c>
      <c r="Q98" s="13" cm="1">
        <f t="array" aca="1" ref="Q98" ca="1">IF(ROW()-LIS_Lebensdauer &gt; ROW(Q$83), INDIRECT("P" &amp; (ROW()-LIS_Lebensdauer)),0)</f>
        <v>0</v>
      </c>
      <c r="R98" s="26">
        <f t="shared" si="8"/>
        <v>0</v>
      </c>
      <c r="S98" s="13">
        <f t="shared" si="4"/>
        <v>0</v>
      </c>
      <c r="T98" s="13">
        <f t="shared" si="5"/>
        <v>0</v>
      </c>
      <c r="U98" s="13">
        <f t="shared" si="9"/>
        <v>0</v>
      </c>
      <c r="V98" s="26">
        <f t="shared" ca="1" si="10"/>
        <v>0</v>
      </c>
      <c r="W98" s="38"/>
    </row>
    <row r="99" spans="2:23" x14ac:dyDescent="0.3">
      <c r="B99" s="2"/>
      <c r="C99" s="6"/>
      <c r="D99" s="2"/>
      <c r="E99" s="2"/>
      <c r="F99" s="2"/>
      <c r="G99" s="2"/>
      <c r="H99" s="2"/>
      <c r="I99" s="2"/>
      <c r="J99" s="37"/>
      <c r="M99" s="2"/>
      <c r="N99" s="2"/>
      <c r="O99" s="23" t="s">
        <v>12</v>
      </c>
      <c r="P99" s="23" t="s">
        <v>13</v>
      </c>
      <c r="Q99" s="23" t="s">
        <v>43</v>
      </c>
      <c r="R99" s="23" t="s">
        <v>44</v>
      </c>
      <c r="S99" s="23" t="s">
        <v>56</v>
      </c>
      <c r="T99" s="23" t="s">
        <v>46</v>
      </c>
      <c r="U99" s="23" t="s">
        <v>47</v>
      </c>
      <c r="V99" s="2"/>
      <c r="W99" s="2"/>
    </row>
    <row r="101" spans="2:23" ht="15.5" x14ac:dyDescent="0.35">
      <c r="B101" s="15"/>
      <c r="C101" s="15" t="s">
        <v>31</v>
      </c>
      <c r="D101" s="15"/>
      <c r="E101" s="15"/>
      <c r="F101" s="15"/>
      <c r="G101" s="15"/>
      <c r="H101" s="15"/>
      <c r="I101" s="15"/>
      <c r="J101" s="15"/>
    </row>
    <row r="102" spans="2:23" x14ac:dyDescent="0.3">
      <c r="B102" s="6"/>
      <c r="C102" s="6"/>
      <c r="D102" s="2"/>
      <c r="E102" s="2"/>
      <c r="F102" s="2"/>
      <c r="G102" s="2"/>
      <c r="H102" s="2"/>
      <c r="I102" s="2"/>
      <c r="J102" s="2"/>
    </row>
    <row r="103" spans="2:23" x14ac:dyDescent="0.3">
      <c r="B103" s="6"/>
      <c r="C103" s="73" t="s">
        <v>99</v>
      </c>
      <c r="D103" s="73"/>
      <c r="E103" s="73"/>
      <c r="F103" s="73"/>
      <c r="G103" s="73"/>
      <c r="H103" s="73"/>
      <c r="I103" s="73"/>
      <c r="J103" s="2"/>
    </row>
    <row r="104" spans="2:23" x14ac:dyDescent="0.3">
      <c r="B104" s="6"/>
      <c r="C104" s="6"/>
      <c r="D104" s="2"/>
      <c r="E104" s="2"/>
      <c r="F104" s="2"/>
      <c r="G104" s="2"/>
      <c r="H104" s="2"/>
      <c r="I104" s="2"/>
      <c r="J104" s="2"/>
    </row>
    <row r="105" spans="2:23" x14ac:dyDescent="0.3">
      <c r="B105" s="6"/>
      <c r="C105" s="6"/>
      <c r="D105" s="16" t="s">
        <v>20</v>
      </c>
      <c r="E105" s="16" t="s">
        <v>22</v>
      </c>
      <c r="F105" s="16" t="s">
        <v>23</v>
      </c>
      <c r="G105" s="16" t="s">
        <v>24</v>
      </c>
      <c r="H105" s="2"/>
      <c r="I105" s="2"/>
      <c r="J105" s="2"/>
    </row>
    <row r="106" spans="2:23" x14ac:dyDescent="0.3">
      <c r="B106" s="6"/>
      <c r="C106" s="12" t="s">
        <v>33</v>
      </c>
      <c r="D106" s="57">
        <f>LIS_Kauf11kW</f>
        <v>2000</v>
      </c>
      <c r="E106" s="57">
        <f>LIS_Kauf50kW</f>
        <v>25000</v>
      </c>
      <c r="F106" s="57">
        <f>LIS_Kauf100kW</f>
        <v>50000</v>
      </c>
      <c r="G106" s="57">
        <f>LIS_Kauf350kW</f>
        <v>80000</v>
      </c>
      <c r="H106" s="2" t="s">
        <v>21</v>
      </c>
      <c r="I106" s="2"/>
      <c r="J106" s="2"/>
    </row>
    <row r="107" spans="2:23" x14ac:dyDescent="0.3">
      <c r="B107" s="6"/>
      <c r="C107" s="12" t="s">
        <v>34</v>
      </c>
      <c r="D107" s="57">
        <f>LIS_Inst11kW</f>
        <v>750</v>
      </c>
      <c r="E107" s="57">
        <f>LIS_Inst50kW</f>
        <v>900</v>
      </c>
      <c r="F107" s="57">
        <f>LIS_Inst100kW</f>
        <v>1000</v>
      </c>
      <c r="G107" s="57">
        <f>LIS_Inst350kW</f>
        <v>1000</v>
      </c>
      <c r="H107" s="2" t="s">
        <v>21</v>
      </c>
      <c r="I107" s="2"/>
      <c r="J107" s="2"/>
    </row>
    <row r="108" spans="2:23" x14ac:dyDescent="0.3">
      <c r="B108" s="6"/>
      <c r="C108" s="12" t="s">
        <v>35</v>
      </c>
      <c r="D108" s="13">
        <f>SUM(D106:D107)</f>
        <v>2750</v>
      </c>
      <c r="E108" s="13">
        <f t="shared" ref="E108:G108" si="14">SUM(E106:E107)</f>
        <v>25900</v>
      </c>
      <c r="F108" s="13">
        <f t="shared" si="14"/>
        <v>51000</v>
      </c>
      <c r="G108" s="13">
        <f t="shared" si="14"/>
        <v>81000</v>
      </c>
      <c r="H108" s="2" t="s">
        <v>21</v>
      </c>
      <c r="I108" s="2"/>
      <c r="J108" s="2"/>
    </row>
    <row r="109" spans="2:23" x14ac:dyDescent="0.3">
      <c r="B109" s="6"/>
      <c r="C109" s="6"/>
      <c r="D109" s="2"/>
      <c r="E109" s="2"/>
      <c r="F109" s="2"/>
      <c r="G109" s="2"/>
      <c r="H109" s="2"/>
      <c r="I109" s="2"/>
      <c r="J109" s="2"/>
    </row>
    <row r="110" spans="2:23" x14ac:dyDescent="0.3">
      <c r="B110" s="6"/>
      <c r="C110" s="6" t="s">
        <v>92</v>
      </c>
      <c r="D110" s="2"/>
      <c r="E110" s="2"/>
      <c r="F110" s="2"/>
      <c r="G110" s="2"/>
      <c r="H110" s="2"/>
      <c r="I110" s="2"/>
      <c r="J110" s="2"/>
    </row>
    <row r="111" spans="2:23" x14ac:dyDescent="0.3">
      <c r="B111" s="6"/>
      <c r="C111" s="6" t="s">
        <v>93</v>
      </c>
      <c r="D111" s="6" t="s">
        <v>94</v>
      </c>
      <c r="E111" s="2"/>
      <c r="F111" s="2"/>
      <c r="G111" s="2"/>
      <c r="H111" s="2"/>
      <c r="I111" s="2"/>
      <c r="J111" s="2"/>
    </row>
    <row r="112" spans="2:23" x14ac:dyDescent="0.3">
      <c r="B112" s="6"/>
      <c r="C112" s="9">
        <f>LIS_Contracting</f>
        <v>30</v>
      </c>
      <c r="D112" s="21">
        <f>C112*12</f>
        <v>360</v>
      </c>
      <c r="E112" s="2" t="s">
        <v>95</v>
      </c>
      <c r="F112" s="2"/>
      <c r="G112" s="2"/>
      <c r="H112" s="2"/>
      <c r="I112" s="2"/>
      <c r="J112" s="2"/>
    </row>
    <row r="113" spans="2:10" x14ac:dyDescent="0.3">
      <c r="B113" s="6"/>
      <c r="C113" s="6"/>
      <c r="D113" s="2"/>
      <c r="E113" s="2"/>
      <c r="F113" s="2"/>
      <c r="G113" s="2"/>
      <c r="H113" s="2"/>
      <c r="I113" s="2"/>
      <c r="J113" s="2"/>
    </row>
    <row r="115" spans="2:10" ht="15.5" x14ac:dyDescent="0.35">
      <c r="B115" s="15"/>
      <c r="C115" s="15" t="s">
        <v>14</v>
      </c>
      <c r="D115" s="15"/>
      <c r="E115" s="15"/>
      <c r="F115" s="15"/>
      <c r="G115" s="15"/>
      <c r="H115" s="15"/>
      <c r="I115" s="15"/>
      <c r="J115" s="15"/>
    </row>
    <row r="116" spans="2:10" x14ac:dyDescent="0.3">
      <c r="B116" s="2"/>
      <c r="C116" s="2"/>
      <c r="D116" s="2"/>
      <c r="E116" s="2"/>
      <c r="F116" s="2"/>
      <c r="G116" s="2"/>
      <c r="H116" s="2"/>
      <c r="I116" s="2"/>
      <c r="J116" s="2"/>
    </row>
    <row r="117" spans="2:10" ht="29.25" customHeight="1" x14ac:dyDescent="0.3">
      <c r="B117" s="2"/>
      <c r="C117" s="69" t="s">
        <v>100</v>
      </c>
      <c r="D117" s="69"/>
      <c r="E117" s="69"/>
      <c r="F117" s="69"/>
      <c r="G117" s="69"/>
      <c r="H117" s="69"/>
      <c r="I117" s="69"/>
      <c r="J117" s="2"/>
    </row>
    <row r="118" spans="2:10" x14ac:dyDescent="0.3">
      <c r="B118" s="2"/>
      <c r="C118" s="2"/>
      <c r="D118" s="2"/>
      <c r="E118" s="2"/>
      <c r="F118" s="2"/>
      <c r="G118" s="2"/>
      <c r="H118" s="2"/>
      <c r="I118" s="2"/>
      <c r="J118" s="2"/>
    </row>
    <row r="119" spans="2:10" x14ac:dyDescent="0.3">
      <c r="B119" s="2"/>
      <c r="C119" s="6" t="s">
        <v>101</v>
      </c>
      <c r="D119" s="2"/>
      <c r="E119" s="2"/>
      <c r="F119" s="2"/>
      <c r="G119" s="2"/>
      <c r="H119" s="2"/>
      <c r="I119" s="2"/>
      <c r="J119" s="2"/>
    </row>
    <row r="120" spans="2:10" x14ac:dyDescent="0.3">
      <c r="B120" s="2"/>
      <c r="C120" s="64">
        <f>Betrieb_AbrkWh</f>
        <v>0</v>
      </c>
      <c r="D120" s="2" t="s">
        <v>49</v>
      </c>
      <c r="E120" s="2"/>
      <c r="F120" s="49" t="s">
        <v>102</v>
      </c>
      <c r="G120" s="2"/>
      <c r="H120" s="2"/>
      <c r="I120" s="2"/>
      <c r="J120" s="2"/>
    </row>
    <row r="121" spans="2:10" x14ac:dyDescent="0.3">
      <c r="B121" s="2"/>
      <c r="C121" s="64">
        <f>Betrieb_AbLP</f>
        <v>12.5</v>
      </c>
      <c r="D121" s="2" t="s">
        <v>103</v>
      </c>
      <c r="E121" s="2"/>
      <c r="F121" s="49" t="s">
        <v>104</v>
      </c>
      <c r="G121" s="2"/>
      <c r="H121" s="2"/>
      <c r="I121" s="2"/>
      <c r="J121" s="2"/>
    </row>
    <row r="122" spans="2:10" x14ac:dyDescent="0.3">
      <c r="B122" s="2"/>
      <c r="C122" s="2"/>
      <c r="D122" s="2"/>
      <c r="E122" s="2"/>
      <c r="F122" s="2"/>
      <c r="G122" s="2"/>
      <c r="H122" s="2"/>
      <c r="I122" s="2"/>
      <c r="J122" s="2"/>
    </row>
    <row r="123" spans="2:10" x14ac:dyDescent="0.3">
      <c r="B123" s="2"/>
      <c r="C123" s="6" t="s">
        <v>105</v>
      </c>
      <c r="D123" s="2"/>
      <c r="E123" s="2"/>
      <c r="F123" s="2"/>
      <c r="G123" s="2"/>
      <c r="H123" s="2"/>
      <c r="I123" s="2"/>
      <c r="J123" s="2"/>
    </row>
    <row r="124" spans="2:10" x14ac:dyDescent="0.3">
      <c r="B124" s="2"/>
      <c r="C124" s="59">
        <f>Betrieb_Wartung_AC</f>
        <v>25</v>
      </c>
      <c r="D124" s="2" t="s">
        <v>106</v>
      </c>
      <c r="E124" s="2"/>
      <c r="F124" s="2"/>
      <c r="G124" s="2"/>
      <c r="H124" s="2"/>
      <c r="I124" s="2"/>
      <c r="J124" s="2"/>
    </row>
    <row r="125" spans="2:10" x14ac:dyDescent="0.3">
      <c r="B125" s="2"/>
      <c r="C125" s="59">
        <f>Betrieb_Wartung_DC</f>
        <v>80</v>
      </c>
      <c r="D125" s="2" t="s">
        <v>107</v>
      </c>
      <c r="E125" s="2"/>
      <c r="F125" s="2"/>
      <c r="G125" s="2"/>
      <c r="H125" s="2"/>
      <c r="I125" s="2"/>
      <c r="J125" s="2"/>
    </row>
    <row r="126" spans="2:10" x14ac:dyDescent="0.3">
      <c r="B126" s="2"/>
      <c r="C126" s="2"/>
      <c r="D126" s="2"/>
      <c r="E126" s="2"/>
      <c r="F126" s="2"/>
      <c r="G126" s="2"/>
      <c r="H126" s="2"/>
      <c r="I126" s="2"/>
      <c r="J126" s="2"/>
    </row>
    <row r="127" spans="2:10" x14ac:dyDescent="0.3">
      <c r="B127" s="2"/>
      <c r="C127" s="6" t="s">
        <v>92</v>
      </c>
      <c r="D127" s="2"/>
      <c r="E127" s="2"/>
      <c r="F127" s="2"/>
      <c r="G127" s="2"/>
      <c r="H127" s="2"/>
      <c r="I127" s="2"/>
      <c r="J127" s="2"/>
    </row>
    <row r="128" spans="2:10" x14ac:dyDescent="0.3">
      <c r="B128" s="2"/>
      <c r="C128" s="6" t="s">
        <v>93</v>
      </c>
      <c r="D128" s="6" t="s">
        <v>94</v>
      </c>
      <c r="E128" s="2"/>
      <c r="F128" s="2"/>
      <c r="G128" s="2"/>
      <c r="H128" s="2"/>
      <c r="I128" s="2"/>
      <c r="J128" s="2"/>
    </row>
    <row r="129" spans="2:10" x14ac:dyDescent="0.3">
      <c r="B129" s="2"/>
      <c r="C129" s="9">
        <f>Betrieb_Contracting</f>
        <v>20</v>
      </c>
      <c r="D129" s="21">
        <f>C129*12</f>
        <v>240</v>
      </c>
      <c r="E129" s="2" t="s">
        <v>95</v>
      </c>
      <c r="F129" s="2"/>
      <c r="G129" s="2"/>
      <c r="H129" s="2"/>
      <c r="I129" s="2"/>
      <c r="J129" s="2"/>
    </row>
    <row r="130" spans="2:10" x14ac:dyDescent="0.3">
      <c r="B130" s="2"/>
      <c r="C130" s="2"/>
      <c r="D130" s="2"/>
      <c r="E130" s="2"/>
      <c r="F130" s="2"/>
      <c r="G130" s="2"/>
      <c r="H130" s="2"/>
      <c r="I130" s="2"/>
      <c r="J130" s="2"/>
    </row>
    <row r="132" spans="2:10" ht="15.5" x14ac:dyDescent="0.35">
      <c r="B132" s="15"/>
      <c r="C132" s="15" t="s">
        <v>108</v>
      </c>
      <c r="D132" s="15"/>
      <c r="E132" s="15"/>
      <c r="F132" s="15"/>
      <c r="G132" s="15"/>
      <c r="H132" s="15"/>
      <c r="I132" s="15"/>
      <c r="J132" s="15"/>
    </row>
    <row r="133" spans="2:10" x14ac:dyDescent="0.3">
      <c r="B133" s="2"/>
      <c r="C133" s="2"/>
      <c r="D133" s="2"/>
      <c r="E133" s="2"/>
      <c r="F133" s="2"/>
      <c r="G133" s="2"/>
      <c r="H133" s="2"/>
      <c r="I133" s="2"/>
      <c r="J133" s="2"/>
    </row>
    <row r="134" spans="2:10" ht="42.75" customHeight="1" x14ac:dyDescent="0.3">
      <c r="B134" s="2"/>
      <c r="C134" s="69" t="s">
        <v>109</v>
      </c>
      <c r="D134" s="69"/>
      <c r="E134" s="69"/>
      <c r="F134" s="69"/>
      <c r="G134" s="69"/>
      <c r="H134" s="69"/>
      <c r="I134" s="69"/>
      <c r="J134" s="2"/>
    </row>
    <row r="135" spans="2:10" x14ac:dyDescent="0.3">
      <c r="B135" s="2"/>
      <c r="C135" s="2"/>
      <c r="D135" s="2"/>
      <c r="E135" s="2"/>
      <c r="F135" s="2"/>
      <c r="G135" s="2"/>
      <c r="H135" s="2"/>
      <c r="I135" s="2"/>
      <c r="J135" s="2"/>
    </row>
    <row r="136" spans="2:10" x14ac:dyDescent="0.3">
      <c r="B136" s="2"/>
      <c r="C136" s="2"/>
      <c r="D136" s="6" t="s">
        <v>110</v>
      </c>
      <c r="E136" s="6" t="s">
        <v>111</v>
      </c>
      <c r="F136" s="6" t="s">
        <v>112</v>
      </c>
      <c r="G136" s="6"/>
      <c r="H136" s="2"/>
      <c r="I136" s="2"/>
      <c r="J136" s="2"/>
    </row>
    <row r="137" spans="2:10" x14ac:dyDescent="0.3">
      <c r="B137" s="2"/>
      <c r="C137" s="17" t="s">
        <v>113</v>
      </c>
      <c r="D137" s="65">
        <v>0.8</v>
      </c>
      <c r="E137" s="66">
        <v>0.2</v>
      </c>
      <c r="F137" s="34">
        <f>IF(SUM(D137:E137)=1,1,"Fehler: Summe Anteile ergibt nicht 100%")</f>
        <v>1</v>
      </c>
      <c r="G137" s="46"/>
      <c r="H137" s="2"/>
      <c r="I137" s="2"/>
      <c r="J137" s="2"/>
    </row>
    <row r="138" spans="2:10" x14ac:dyDescent="0.3">
      <c r="B138" s="2"/>
      <c r="C138" s="18">
        <f>Jahr_Advenced</f>
        <v>2026</v>
      </c>
      <c r="D138" s="67">
        <f t="shared" ref="D138:D152" si="15">Strompreis</f>
        <v>0.25</v>
      </c>
      <c r="E138" s="67">
        <v>0.06</v>
      </c>
      <c r="F138" s="33">
        <f>SUMPRODUCT(D138:E138,D$137:E$137)</f>
        <v>0.21200000000000002</v>
      </c>
      <c r="G138" s="2" t="s">
        <v>49</v>
      </c>
      <c r="H138" s="2"/>
      <c r="I138" s="2"/>
      <c r="J138" s="2"/>
    </row>
    <row r="139" spans="2:10" x14ac:dyDescent="0.3">
      <c r="B139" s="2"/>
      <c r="C139" s="18">
        <f>C138+1</f>
        <v>2027</v>
      </c>
      <c r="D139" s="67">
        <f t="shared" si="15"/>
        <v>0.25</v>
      </c>
      <c r="E139" s="67">
        <v>0.06</v>
      </c>
      <c r="F139" s="24">
        <f t="shared" ref="F139:F152" si="16">SUMPRODUCT(D139:E139,D$137:E$137)</f>
        <v>0.21200000000000002</v>
      </c>
      <c r="G139" s="2" t="s">
        <v>49</v>
      </c>
      <c r="H139" s="2"/>
      <c r="I139" s="2"/>
      <c r="J139" s="2"/>
    </row>
    <row r="140" spans="2:10" x14ac:dyDescent="0.3">
      <c r="B140" s="2"/>
      <c r="C140" s="18">
        <f t="shared" ref="C140:C152" si="17">C139+1</f>
        <v>2028</v>
      </c>
      <c r="D140" s="67">
        <f t="shared" si="15"/>
        <v>0.25</v>
      </c>
      <c r="E140" s="67">
        <v>0.06</v>
      </c>
      <c r="F140" s="24">
        <f t="shared" si="16"/>
        <v>0.21200000000000002</v>
      </c>
      <c r="G140" s="2" t="s">
        <v>49</v>
      </c>
      <c r="H140" s="2"/>
      <c r="I140" s="2"/>
      <c r="J140" s="2"/>
    </row>
    <row r="141" spans="2:10" x14ac:dyDescent="0.3">
      <c r="B141" s="2"/>
      <c r="C141" s="18">
        <f t="shared" si="17"/>
        <v>2029</v>
      </c>
      <c r="D141" s="67">
        <f t="shared" si="15"/>
        <v>0.25</v>
      </c>
      <c r="E141" s="67">
        <v>0.06</v>
      </c>
      <c r="F141" s="24">
        <f t="shared" si="16"/>
        <v>0.21200000000000002</v>
      </c>
      <c r="G141" s="2" t="s">
        <v>49</v>
      </c>
      <c r="H141" s="2"/>
      <c r="I141" s="2"/>
      <c r="J141" s="2"/>
    </row>
    <row r="142" spans="2:10" x14ac:dyDescent="0.3">
      <c r="B142" s="2"/>
      <c r="C142" s="18">
        <f t="shared" si="17"/>
        <v>2030</v>
      </c>
      <c r="D142" s="67">
        <f t="shared" si="15"/>
        <v>0.25</v>
      </c>
      <c r="E142" s="67">
        <v>0.06</v>
      </c>
      <c r="F142" s="24">
        <f t="shared" si="16"/>
        <v>0.21200000000000002</v>
      </c>
      <c r="G142" s="2" t="s">
        <v>49</v>
      </c>
      <c r="H142" s="2"/>
      <c r="I142" s="2"/>
      <c r="J142" s="2"/>
    </row>
    <row r="143" spans="2:10" x14ac:dyDescent="0.3">
      <c r="B143" s="2"/>
      <c r="C143" s="18">
        <f t="shared" si="17"/>
        <v>2031</v>
      </c>
      <c r="D143" s="67">
        <f t="shared" si="15"/>
        <v>0.25</v>
      </c>
      <c r="E143" s="67">
        <v>0.06</v>
      </c>
      <c r="F143" s="24">
        <f t="shared" si="16"/>
        <v>0.21200000000000002</v>
      </c>
      <c r="G143" s="2" t="s">
        <v>49</v>
      </c>
      <c r="H143" s="2"/>
      <c r="I143" s="2"/>
      <c r="J143" s="2"/>
    </row>
    <row r="144" spans="2:10" x14ac:dyDescent="0.3">
      <c r="B144" s="2"/>
      <c r="C144" s="18">
        <f t="shared" si="17"/>
        <v>2032</v>
      </c>
      <c r="D144" s="67">
        <f t="shared" si="15"/>
        <v>0.25</v>
      </c>
      <c r="E144" s="67">
        <v>0.06</v>
      </c>
      <c r="F144" s="24">
        <f t="shared" si="16"/>
        <v>0.21200000000000002</v>
      </c>
      <c r="G144" s="2" t="s">
        <v>49</v>
      </c>
      <c r="H144" s="2"/>
      <c r="I144" s="2"/>
      <c r="J144" s="2"/>
    </row>
    <row r="145" spans="2:10" x14ac:dyDescent="0.3">
      <c r="B145" s="2"/>
      <c r="C145" s="18">
        <f t="shared" si="17"/>
        <v>2033</v>
      </c>
      <c r="D145" s="67">
        <f t="shared" si="15"/>
        <v>0.25</v>
      </c>
      <c r="E145" s="67">
        <v>0.06</v>
      </c>
      <c r="F145" s="24">
        <f t="shared" si="16"/>
        <v>0.21200000000000002</v>
      </c>
      <c r="G145" s="2" t="s">
        <v>49</v>
      </c>
      <c r="H145" s="2"/>
      <c r="I145" s="2"/>
      <c r="J145" s="2"/>
    </row>
    <row r="146" spans="2:10" x14ac:dyDescent="0.3">
      <c r="B146" s="2"/>
      <c r="C146" s="18">
        <f t="shared" si="17"/>
        <v>2034</v>
      </c>
      <c r="D146" s="67">
        <f t="shared" si="15"/>
        <v>0.25</v>
      </c>
      <c r="E146" s="67">
        <v>0.06</v>
      </c>
      <c r="F146" s="24">
        <f t="shared" si="16"/>
        <v>0.21200000000000002</v>
      </c>
      <c r="G146" s="2" t="s">
        <v>49</v>
      </c>
      <c r="H146" s="2"/>
      <c r="I146" s="2"/>
      <c r="J146" s="2"/>
    </row>
    <row r="147" spans="2:10" x14ac:dyDescent="0.3">
      <c r="B147" s="2"/>
      <c r="C147" s="18">
        <f t="shared" si="17"/>
        <v>2035</v>
      </c>
      <c r="D147" s="67">
        <f t="shared" si="15"/>
        <v>0.25</v>
      </c>
      <c r="E147" s="67">
        <v>0.06</v>
      </c>
      <c r="F147" s="24">
        <f t="shared" si="16"/>
        <v>0.21200000000000002</v>
      </c>
      <c r="G147" s="2" t="s">
        <v>49</v>
      </c>
      <c r="H147" s="2"/>
      <c r="I147" s="2"/>
      <c r="J147" s="2"/>
    </row>
    <row r="148" spans="2:10" x14ac:dyDescent="0.3">
      <c r="B148" s="2"/>
      <c r="C148" s="18">
        <f t="shared" si="17"/>
        <v>2036</v>
      </c>
      <c r="D148" s="67">
        <f t="shared" si="15"/>
        <v>0.25</v>
      </c>
      <c r="E148" s="67">
        <v>0.06</v>
      </c>
      <c r="F148" s="24">
        <f t="shared" si="16"/>
        <v>0.21200000000000002</v>
      </c>
      <c r="G148" s="2" t="s">
        <v>49</v>
      </c>
      <c r="H148" s="2"/>
      <c r="I148" s="2"/>
      <c r="J148" s="2"/>
    </row>
    <row r="149" spans="2:10" x14ac:dyDescent="0.3">
      <c r="B149" s="2"/>
      <c r="C149" s="18">
        <f t="shared" si="17"/>
        <v>2037</v>
      </c>
      <c r="D149" s="67">
        <f t="shared" si="15"/>
        <v>0.25</v>
      </c>
      <c r="E149" s="67">
        <v>0.06</v>
      </c>
      <c r="F149" s="24">
        <f t="shared" si="16"/>
        <v>0.21200000000000002</v>
      </c>
      <c r="G149" s="2" t="s">
        <v>49</v>
      </c>
      <c r="H149" s="2"/>
      <c r="I149" s="2"/>
      <c r="J149" s="2"/>
    </row>
    <row r="150" spans="2:10" x14ac:dyDescent="0.3">
      <c r="B150" s="2"/>
      <c r="C150" s="18">
        <f t="shared" si="17"/>
        <v>2038</v>
      </c>
      <c r="D150" s="67">
        <f t="shared" si="15"/>
        <v>0.25</v>
      </c>
      <c r="E150" s="67">
        <v>0.06</v>
      </c>
      <c r="F150" s="24">
        <f t="shared" si="16"/>
        <v>0.21200000000000002</v>
      </c>
      <c r="G150" s="2" t="s">
        <v>49</v>
      </c>
      <c r="H150" s="2"/>
      <c r="I150" s="2"/>
      <c r="J150" s="2"/>
    </row>
    <row r="151" spans="2:10" x14ac:dyDescent="0.3">
      <c r="B151" s="2"/>
      <c r="C151" s="18">
        <f t="shared" si="17"/>
        <v>2039</v>
      </c>
      <c r="D151" s="67">
        <f t="shared" si="15"/>
        <v>0.25</v>
      </c>
      <c r="E151" s="67">
        <v>0.06</v>
      </c>
      <c r="F151" s="24">
        <f t="shared" si="16"/>
        <v>0.21200000000000002</v>
      </c>
      <c r="G151" s="2" t="s">
        <v>49</v>
      </c>
      <c r="H151" s="2"/>
      <c r="I151" s="2"/>
      <c r="J151" s="2"/>
    </row>
    <row r="152" spans="2:10" x14ac:dyDescent="0.3">
      <c r="B152" s="2"/>
      <c r="C152" s="18">
        <f t="shared" si="17"/>
        <v>2040</v>
      </c>
      <c r="D152" s="67">
        <f t="shared" si="15"/>
        <v>0.25</v>
      </c>
      <c r="E152" s="67">
        <v>0.06</v>
      </c>
      <c r="F152" s="24">
        <f t="shared" si="16"/>
        <v>0.21200000000000002</v>
      </c>
      <c r="G152" s="2" t="s">
        <v>49</v>
      </c>
      <c r="H152" s="2"/>
      <c r="I152" s="2"/>
      <c r="J152" s="2"/>
    </row>
    <row r="153" spans="2:10" x14ac:dyDescent="0.3">
      <c r="B153" s="2"/>
      <c r="C153" s="2"/>
      <c r="D153" s="2"/>
      <c r="E153" s="2"/>
      <c r="F153" s="2"/>
      <c r="G153" s="2"/>
      <c r="H153" s="2"/>
      <c r="I153" s="2"/>
      <c r="J153" s="2"/>
    </row>
    <row r="155" spans="2:10" ht="15.5" x14ac:dyDescent="0.35">
      <c r="B155" s="15"/>
      <c r="C155" s="15" t="s">
        <v>51</v>
      </c>
      <c r="D155" s="15"/>
      <c r="E155" s="15"/>
      <c r="F155" s="15"/>
      <c r="G155" s="15"/>
      <c r="H155" s="15"/>
      <c r="I155" s="15"/>
      <c r="J155" s="15"/>
    </row>
    <row r="156" spans="2:10" x14ac:dyDescent="0.3">
      <c r="B156" s="2"/>
      <c r="C156" s="2"/>
      <c r="D156" s="2"/>
      <c r="E156" s="2"/>
      <c r="F156" s="2"/>
      <c r="G156" s="2"/>
      <c r="H156" s="2"/>
      <c r="I156" s="2"/>
      <c r="J156" s="2"/>
    </row>
    <row r="157" spans="2:10" ht="68.25" customHeight="1" x14ac:dyDescent="0.3">
      <c r="B157" s="2"/>
      <c r="C157" s="69" t="s">
        <v>114</v>
      </c>
      <c r="D157" s="69"/>
      <c r="E157" s="69"/>
      <c r="F157" s="69"/>
      <c r="G157" s="69"/>
      <c r="H157" s="69"/>
      <c r="I157" s="69"/>
      <c r="J157" s="2"/>
    </row>
    <row r="158" spans="2:10" x14ac:dyDescent="0.3">
      <c r="B158" s="2"/>
      <c r="C158" s="2"/>
      <c r="D158" s="2"/>
      <c r="E158" s="2"/>
      <c r="F158" s="2"/>
      <c r="G158" s="2"/>
      <c r="H158" s="2"/>
      <c r="I158" s="2"/>
      <c r="J158" s="2"/>
    </row>
    <row r="159" spans="2:10" x14ac:dyDescent="0.3">
      <c r="B159" s="2"/>
      <c r="C159" s="6" t="s">
        <v>65</v>
      </c>
      <c r="D159" s="58">
        <f>Daten!C70</f>
        <v>1870</v>
      </c>
      <c r="E159" s="58">
        <f>Daten!D70</f>
        <v>26400</v>
      </c>
      <c r="F159" s="58">
        <f>Daten!E70</f>
        <v>39600</v>
      </c>
      <c r="G159" s="58">
        <f>Daten!E63</f>
        <v>79200</v>
      </c>
      <c r="H159" s="2" t="s">
        <v>115</v>
      </c>
      <c r="I159" s="2"/>
      <c r="J159" s="2"/>
    </row>
    <row r="160" spans="2:10" x14ac:dyDescent="0.3">
      <c r="B160" s="2"/>
      <c r="C160" s="6" t="s">
        <v>67</v>
      </c>
      <c r="D160" s="58">
        <f>Daten!C71</f>
        <v>6600</v>
      </c>
      <c r="E160" s="58">
        <f>Daten!D71</f>
        <v>26400</v>
      </c>
      <c r="F160" s="58">
        <f>Daten!E71</f>
        <v>39600</v>
      </c>
      <c r="G160" s="58">
        <f>Daten!E64</f>
        <v>79200</v>
      </c>
      <c r="H160" s="2" t="s">
        <v>115</v>
      </c>
      <c r="I160" s="2"/>
      <c r="J160" s="2"/>
    </row>
    <row r="161" spans="2:10" x14ac:dyDescent="0.3">
      <c r="B161" s="2"/>
      <c r="C161" s="6" t="s">
        <v>68</v>
      </c>
      <c r="D161" s="58">
        <f>Daten!C72</f>
        <v>3484.7999999999997</v>
      </c>
      <c r="E161" s="58">
        <f>Daten!D72</f>
        <v>21120</v>
      </c>
      <c r="F161" s="58">
        <f>Daten!E72</f>
        <v>42240</v>
      </c>
      <c r="G161" s="58">
        <f>Daten!E65</f>
        <v>147840</v>
      </c>
      <c r="H161" s="2" t="s">
        <v>115</v>
      </c>
      <c r="I161" s="2"/>
      <c r="J161" s="2"/>
    </row>
    <row r="162" spans="2:10" x14ac:dyDescent="0.3">
      <c r="B162" s="2"/>
      <c r="C162" s="6" t="s">
        <v>116</v>
      </c>
      <c r="D162" s="68">
        <v>0.6</v>
      </c>
      <c r="E162" s="68">
        <v>0.4</v>
      </c>
      <c r="F162" s="68">
        <v>0</v>
      </c>
      <c r="G162" s="68">
        <v>0.3</v>
      </c>
      <c r="H162" s="2"/>
      <c r="I162" s="2"/>
      <c r="J162" s="2"/>
    </row>
    <row r="163" spans="2:10" x14ac:dyDescent="0.3">
      <c r="B163" s="2"/>
      <c r="C163" s="6" t="s">
        <v>117</v>
      </c>
      <c r="D163" s="68">
        <v>0.3</v>
      </c>
      <c r="E163" s="68">
        <v>0.2</v>
      </c>
      <c r="F163" s="68">
        <v>0.2</v>
      </c>
      <c r="G163" s="68">
        <v>0.1</v>
      </c>
      <c r="H163" s="2"/>
      <c r="I163" s="2"/>
      <c r="J163" s="2"/>
    </row>
    <row r="164" spans="2:10" ht="28" x14ac:dyDescent="0.3">
      <c r="B164" s="2"/>
      <c r="C164" s="32" t="s">
        <v>118</v>
      </c>
      <c r="D164" s="68">
        <v>0.1</v>
      </c>
      <c r="E164" s="68">
        <v>0.4</v>
      </c>
      <c r="F164" s="68">
        <v>0.8</v>
      </c>
      <c r="G164" s="68">
        <v>0.6</v>
      </c>
      <c r="H164" s="2"/>
      <c r="I164" s="2"/>
      <c r="J164" s="2"/>
    </row>
    <row r="165" spans="2:10" x14ac:dyDescent="0.3">
      <c r="B165" s="2"/>
      <c r="C165" s="6" t="s">
        <v>51</v>
      </c>
      <c r="D165" s="13">
        <f>ROUND(SUMPRODUCT(D159:D161,D162:D164)/100,0)*100</f>
        <v>3500</v>
      </c>
      <c r="E165" s="13">
        <f t="shared" ref="E165:G165" si="18">ROUND(SUMPRODUCT(E159:E161,E162:E164)/100,0)*100</f>
        <v>24300</v>
      </c>
      <c r="F165" s="13">
        <f t="shared" si="18"/>
        <v>41700</v>
      </c>
      <c r="G165" s="13">
        <f t="shared" si="18"/>
        <v>120400</v>
      </c>
      <c r="H165" s="2" t="s">
        <v>115</v>
      </c>
      <c r="I165" s="2"/>
      <c r="J165" s="2"/>
    </row>
    <row r="166" spans="2:10" x14ac:dyDescent="0.3">
      <c r="B166" s="2"/>
      <c r="C166" s="6" t="s">
        <v>53</v>
      </c>
      <c r="D166" s="13">
        <f>D165/Verbrauch_100km*100</f>
        <v>20588.235294117647</v>
      </c>
      <c r="E166" s="13">
        <f>E165/Verbrauch_100km*100</f>
        <v>142941.17647058825</v>
      </c>
      <c r="F166" s="13">
        <f>F165/Verbrauch_100km*100</f>
        <v>245294.11764705883</v>
      </c>
      <c r="G166" s="13">
        <f>G165/Verbrauch_100km*100</f>
        <v>708235.29411764699</v>
      </c>
      <c r="H166" s="2" t="s">
        <v>54</v>
      </c>
      <c r="I166" s="2"/>
      <c r="J166" s="2"/>
    </row>
    <row r="167" spans="2:10" x14ac:dyDescent="0.3">
      <c r="B167" s="2"/>
      <c r="C167" s="6"/>
      <c r="D167" s="23">
        <f>IF(SUM(D162:D164)=1,1,"Fehler: Summe ist nicht 100%")</f>
        <v>1</v>
      </c>
      <c r="E167" s="23">
        <f>IF(SUM(E162:E164)=1,1,"Fehler: Summe ist nicht 100%")</f>
        <v>1</v>
      </c>
      <c r="F167" s="23">
        <f>IF(SUM(F162:F164)=1,1,"Fehler: Summe ist nicht 100%")</f>
        <v>1</v>
      </c>
      <c r="G167" s="23">
        <f>IF(SUM(G162:G164)=1,1,"Fehler: Summe ist nicht 100%")</f>
        <v>1</v>
      </c>
      <c r="H167" s="2"/>
      <c r="I167" s="2"/>
      <c r="J167" s="2"/>
    </row>
    <row r="168" spans="2:10" x14ac:dyDescent="0.3">
      <c r="B168" s="2"/>
      <c r="C168" s="2"/>
      <c r="D168" s="2"/>
      <c r="E168" s="2"/>
      <c r="F168" s="2"/>
      <c r="G168" s="2"/>
      <c r="H168" s="2"/>
      <c r="I168" s="2"/>
      <c r="J168" s="2"/>
    </row>
    <row r="169" spans="2:10" x14ac:dyDescent="0.3">
      <c r="B169" s="2"/>
      <c r="C169" s="18" t="s">
        <v>30</v>
      </c>
      <c r="D169" s="2"/>
      <c r="E169" s="2"/>
      <c r="F169" s="2"/>
      <c r="G169" s="2"/>
      <c r="H169" s="6"/>
      <c r="I169" s="2"/>
      <c r="J169" s="2"/>
    </row>
    <row r="170" spans="2:10" x14ac:dyDescent="0.3">
      <c r="B170" s="2"/>
      <c r="C170" s="10"/>
      <c r="D170" s="2"/>
      <c r="E170" s="2"/>
      <c r="F170" s="2"/>
      <c r="G170" s="2"/>
      <c r="H170" s="6" t="s">
        <v>48</v>
      </c>
      <c r="I170" s="2"/>
      <c r="J170" s="2"/>
    </row>
    <row r="171" spans="2:10" x14ac:dyDescent="0.3">
      <c r="B171" s="2"/>
      <c r="C171" s="18">
        <f>Jahr_Advenced</f>
        <v>2026</v>
      </c>
      <c r="D171" s="13">
        <f>D$165*D84</f>
        <v>0</v>
      </c>
      <c r="E171" s="13">
        <f>E$165*E84</f>
        <v>0</v>
      </c>
      <c r="F171" s="13">
        <f>F$165*F84</f>
        <v>0</v>
      </c>
      <c r="G171" s="13">
        <f>G$165*G84</f>
        <v>0</v>
      </c>
      <c r="H171" s="13">
        <f>SUM(D171:G171)</f>
        <v>0</v>
      </c>
      <c r="I171" s="2" t="s">
        <v>55</v>
      </c>
      <c r="J171" s="2"/>
    </row>
    <row r="172" spans="2:10" x14ac:dyDescent="0.3">
      <c r="B172" s="2"/>
      <c r="C172" s="18">
        <f>C171+1</f>
        <v>2027</v>
      </c>
      <c r="D172" s="13">
        <f t="shared" ref="D172:D185" si="19">D$165*D85+D171</f>
        <v>0</v>
      </c>
      <c r="E172" s="13">
        <f t="shared" ref="E172:E185" si="20">E$165*E85+E171</f>
        <v>0</v>
      </c>
      <c r="F172" s="13">
        <f t="shared" ref="F172:F185" si="21">F$165*F85+F171</f>
        <v>0</v>
      </c>
      <c r="G172" s="13">
        <f t="shared" ref="G172:G185" si="22">G$165*G85+G171</f>
        <v>0</v>
      </c>
      <c r="H172" s="13">
        <f t="shared" ref="H172:H185" si="23">SUM(D172:G172)</f>
        <v>0</v>
      </c>
      <c r="I172" s="2" t="s">
        <v>55</v>
      </c>
      <c r="J172" s="2"/>
    </row>
    <row r="173" spans="2:10" x14ac:dyDescent="0.3">
      <c r="B173" s="2"/>
      <c r="C173" s="18">
        <f t="shared" ref="C173:C185" si="24">C172+1</f>
        <v>2028</v>
      </c>
      <c r="D173" s="13">
        <f t="shared" si="19"/>
        <v>0</v>
      </c>
      <c r="E173" s="13">
        <f t="shared" si="20"/>
        <v>0</v>
      </c>
      <c r="F173" s="13">
        <f t="shared" si="21"/>
        <v>0</v>
      </c>
      <c r="G173" s="13">
        <f t="shared" si="22"/>
        <v>0</v>
      </c>
      <c r="H173" s="13">
        <f t="shared" si="23"/>
        <v>0</v>
      </c>
      <c r="I173" s="2" t="s">
        <v>55</v>
      </c>
      <c r="J173" s="2"/>
    </row>
    <row r="174" spans="2:10" x14ac:dyDescent="0.3">
      <c r="B174" s="2"/>
      <c r="C174" s="18">
        <f t="shared" si="24"/>
        <v>2029</v>
      </c>
      <c r="D174" s="13">
        <f t="shared" si="19"/>
        <v>0</v>
      </c>
      <c r="E174" s="13">
        <f t="shared" si="20"/>
        <v>0</v>
      </c>
      <c r="F174" s="13">
        <f t="shared" si="21"/>
        <v>0</v>
      </c>
      <c r="G174" s="13">
        <f t="shared" si="22"/>
        <v>0</v>
      </c>
      <c r="H174" s="13">
        <f t="shared" si="23"/>
        <v>0</v>
      </c>
      <c r="I174" s="2" t="s">
        <v>55</v>
      </c>
      <c r="J174" s="2"/>
    </row>
    <row r="175" spans="2:10" x14ac:dyDescent="0.3">
      <c r="B175" s="2"/>
      <c r="C175" s="18">
        <f t="shared" si="24"/>
        <v>2030</v>
      </c>
      <c r="D175" s="13">
        <f t="shared" si="19"/>
        <v>0</v>
      </c>
      <c r="E175" s="13">
        <f t="shared" si="20"/>
        <v>0</v>
      </c>
      <c r="F175" s="13">
        <f t="shared" si="21"/>
        <v>0</v>
      </c>
      <c r="G175" s="13">
        <f t="shared" si="22"/>
        <v>0</v>
      </c>
      <c r="H175" s="13">
        <f t="shared" si="23"/>
        <v>0</v>
      </c>
      <c r="I175" s="2" t="s">
        <v>55</v>
      </c>
      <c r="J175" s="2"/>
    </row>
    <row r="176" spans="2:10" x14ac:dyDescent="0.3">
      <c r="B176" s="2"/>
      <c r="C176" s="18">
        <f t="shared" si="24"/>
        <v>2031</v>
      </c>
      <c r="D176" s="13">
        <f t="shared" si="19"/>
        <v>0</v>
      </c>
      <c r="E176" s="13">
        <f t="shared" si="20"/>
        <v>0</v>
      </c>
      <c r="F176" s="13">
        <f t="shared" si="21"/>
        <v>0</v>
      </c>
      <c r="G176" s="13">
        <f t="shared" si="22"/>
        <v>0</v>
      </c>
      <c r="H176" s="13">
        <f t="shared" si="23"/>
        <v>0</v>
      </c>
      <c r="I176" s="2" t="s">
        <v>55</v>
      </c>
      <c r="J176" s="2"/>
    </row>
    <row r="177" spans="2:10" x14ac:dyDescent="0.3">
      <c r="B177" s="2"/>
      <c r="C177" s="18">
        <f t="shared" si="24"/>
        <v>2032</v>
      </c>
      <c r="D177" s="13">
        <f t="shared" si="19"/>
        <v>0</v>
      </c>
      <c r="E177" s="13">
        <f t="shared" si="20"/>
        <v>0</v>
      </c>
      <c r="F177" s="13">
        <f t="shared" si="21"/>
        <v>0</v>
      </c>
      <c r="G177" s="13">
        <f t="shared" si="22"/>
        <v>0</v>
      </c>
      <c r="H177" s="13">
        <f t="shared" si="23"/>
        <v>0</v>
      </c>
      <c r="I177" s="2" t="s">
        <v>55</v>
      </c>
      <c r="J177" s="2"/>
    </row>
    <row r="178" spans="2:10" x14ac:dyDescent="0.3">
      <c r="B178" s="2"/>
      <c r="C178" s="18">
        <f t="shared" si="24"/>
        <v>2033</v>
      </c>
      <c r="D178" s="13">
        <f t="shared" si="19"/>
        <v>0</v>
      </c>
      <c r="E178" s="13">
        <f t="shared" si="20"/>
        <v>0</v>
      </c>
      <c r="F178" s="13">
        <f t="shared" si="21"/>
        <v>0</v>
      </c>
      <c r="G178" s="13">
        <f t="shared" si="22"/>
        <v>0</v>
      </c>
      <c r="H178" s="13">
        <f t="shared" si="23"/>
        <v>0</v>
      </c>
      <c r="I178" s="2" t="s">
        <v>55</v>
      </c>
      <c r="J178" s="2"/>
    </row>
    <row r="179" spans="2:10" x14ac:dyDescent="0.3">
      <c r="B179" s="2"/>
      <c r="C179" s="18">
        <f t="shared" si="24"/>
        <v>2034</v>
      </c>
      <c r="D179" s="13">
        <f t="shared" si="19"/>
        <v>0</v>
      </c>
      <c r="E179" s="13">
        <f t="shared" si="20"/>
        <v>0</v>
      </c>
      <c r="F179" s="13">
        <f t="shared" si="21"/>
        <v>0</v>
      </c>
      <c r="G179" s="13">
        <f t="shared" si="22"/>
        <v>0</v>
      </c>
      <c r="H179" s="13">
        <f t="shared" si="23"/>
        <v>0</v>
      </c>
      <c r="I179" s="2" t="s">
        <v>55</v>
      </c>
      <c r="J179" s="2"/>
    </row>
    <row r="180" spans="2:10" x14ac:dyDescent="0.3">
      <c r="B180" s="2"/>
      <c r="C180" s="18">
        <f t="shared" si="24"/>
        <v>2035</v>
      </c>
      <c r="D180" s="13">
        <f t="shared" si="19"/>
        <v>0</v>
      </c>
      <c r="E180" s="13">
        <f t="shared" si="20"/>
        <v>0</v>
      </c>
      <c r="F180" s="13">
        <f t="shared" si="21"/>
        <v>0</v>
      </c>
      <c r="G180" s="13">
        <f t="shared" si="22"/>
        <v>0</v>
      </c>
      <c r="H180" s="13">
        <f t="shared" si="23"/>
        <v>0</v>
      </c>
      <c r="I180" s="2" t="s">
        <v>55</v>
      </c>
      <c r="J180" s="2"/>
    </row>
    <row r="181" spans="2:10" x14ac:dyDescent="0.3">
      <c r="B181" s="2"/>
      <c r="C181" s="18">
        <f t="shared" si="24"/>
        <v>2036</v>
      </c>
      <c r="D181" s="13">
        <f t="shared" si="19"/>
        <v>0</v>
      </c>
      <c r="E181" s="13">
        <f t="shared" si="20"/>
        <v>0</v>
      </c>
      <c r="F181" s="13">
        <f t="shared" si="21"/>
        <v>0</v>
      </c>
      <c r="G181" s="13">
        <f t="shared" si="22"/>
        <v>0</v>
      </c>
      <c r="H181" s="13">
        <f t="shared" si="23"/>
        <v>0</v>
      </c>
      <c r="I181" s="2" t="s">
        <v>55</v>
      </c>
      <c r="J181" s="2"/>
    </row>
    <row r="182" spans="2:10" x14ac:dyDescent="0.3">
      <c r="B182" s="2"/>
      <c r="C182" s="18">
        <f t="shared" si="24"/>
        <v>2037</v>
      </c>
      <c r="D182" s="13">
        <f t="shared" si="19"/>
        <v>0</v>
      </c>
      <c r="E182" s="13">
        <f t="shared" si="20"/>
        <v>0</v>
      </c>
      <c r="F182" s="13">
        <f t="shared" si="21"/>
        <v>0</v>
      </c>
      <c r="G182" s="13">
        <f t="shared" si="22"/>
        <v>0</v>
      </c>
      <c r="H182" s="13">
        <f t="shared" si="23"/>
        <v>0</v>
      </c>
      <c r="I182" s="2" t="s">
        <v>55</v>
      </c>
      <c r="J182" s="2"/>
    </row>
    <row r="183" spans="2:10" x14ac:dyDescent="0.3">
      <c r="B183" s="2"/>
      <c r="C183" s="18">
        <f t="shared" si="24"/>
        <v>2038</v>
      </c>
      <c r="D183" s="13">
        <f t="shared" si="19"/>
        <v>0</v>
      </c>
      <c r="E183" s="13">
        <f t="shared" si="20"/>
        <v>0</v>
      </c>
      <c r="F183" s="13">
        <f t="shared" si="21"/>
        <v>0</v>
      </c>
      <c r="G183" s="13">
        <f t="shared" si="22"/>
        <v>0</v>
      </c>
      <c r="H183" s="13">
        <f t="shared" si="23"/>
        <v>0</v>
      </c>
      <c r="I183" s="2" t="s">
        <v>55</v>
      </c>
      <c r="J183" s="2"/>
    </row>
    <row r="184" spans="2:10" x14ac:dyDescent="0.3">
      <c r="B184" s="2"/>
      <c r="C184" s="18">
        <f t="shared" si="24"/>
        <v>2039</v>
      </c>
      <c r="D184" s="13">
        <f t="shared" si="19"/>
        <v>0</v>
      </c>
      <c r="E184" s="13">
        <f t="shared" si="20"/>
        <v>0</v>
      </c>
      <c r="F184" s="13">
        <f t="shared" si="21"/>
        <v>0</v>
      </c>
      <c r="G184" s="13">
        <f t="shared" si="22"/>
        <v>0</v>
      </c>
      <c r="H184" s="13">
        <f t="shared" si="23"/>
        <v>0</v>
      </c>
      <c r="I184" s="2" t="s">
        <v>55</v>
      </c>
      <c r="J184" s="2"/>
    </row>
    <row r="185" spans="2:10" x14ac:dyDescent="0.3">
      <c r="B185" s="2"/>
      <c r="C185" s="18">
        <f t="shared" si="24"/>
        <v>2040</v>
      </c>
      <c r="D185" s="13">
        <f t="shared" si="19"/>
        <v>0</v>
      </c>
      <c r="E185" s="13">
        <f t="shared" si="20"/>
        <v>0</v>
      </c>
      <c r="F185" s="13">
        <f t="shared" si="21"/>
        <v>0</v>
      </c>
      <c r="G185" s="13">
        <f t="shared" si="22"/>
        <v>0</v>
      </c>
      <c r="H185" s="13">
        <f t="shared" si="23"/>
        <v>0</v>
      </c>
      <c r="I185" s="2" t="s">
        <v>55</v>
      </c>
      <c r="J185" s="2"/>
    </row>
    <row r="186" spans="2:10" x14ac:dyDescent="0.3">
      <c r="B186" s="2"/>
      <c r="C186" s="6"/>
      <c r="D186" s="2"/>
      <c r="E186" s="2"/>
      <c r="F186" s="2"/>
      <c r="G186" s="2"/>
      <c r="H186" s="2"/>
      <c r="I186" s="2"/>
      <c r="J186" s="2"/>
    </row>
  </sheetData>
  <sheetProtection algorithmName="SHA-512" hashValue="QS9tAbz4VYqh3jfQbRy9lkrE++1icusTV5Cmrs33gLHDwXcRxJ0esUSWWC4Nx/ig2wfTMGO63Qifdf8PG/jqzg==" saltValue="a+t+d7eCviigd8+H1rPeeQ==" spinCount="100000" sheet="1" objects="1" scenarios="1"/>
  <mergeCells count="12">
    <mergeCell ref="C134:I134"/>
    <mergeCell ref="C157:I157"/>
    <mergeCell ref="C35:I35"/>
    <mergeCell ref="C43:I43"/>
    <mergeCell ref="C52:I52"/>
    <mergeCell ref="C103:I103"/>
    <mergeCell ref="C65:I65"/>
    <mergeCell ref="R78:U78"/>
    <mergeCell ref="C24:I24"/>
    <mergeCell ref="O78:Q78"/>
    <mergeCell ref="C77:I77"/>
    <mergeCell ref="C117:I117"/>
  </mergeCells>
  <conditionalFormatting sqref="B21:J64 B71:J73">
    <cfRule type="expression" dxfId="12" priority="12">
      <formula>NOT(Bet_Basis_AD)</formula>
    </cfRule>
  </conditionalFormatting>
  <conditionalFormatting sqref="C65">
    <cfRule type="expression" dxfId="11" priority="1">
      <formula>Erweiterung_Anschluss="Nein"</formula>
    </cfRule>
  </conditionalFormatting>
  <conditionalFormatting sqref="C110:E112">
    <cfRule type="expression" dxfId="10" priority="9">
      <formula>Bet_LIS_AD</formula>
    </cfRule>
  </conditionalFormatting>
  <conditionalFormatting sqref="C127:E129">
    <cfRule type="expression" dxfId="9" priority="7">
      <formula>Bet_Betrieb_AD</formula>
    </cfRule>
  </conditionalFormatting>
  <conditionalFormatting sqref="C105:H108">
    <cfRule type="expression" dxfId="8" priority="10">
      <formula>NOT(Bet_LIS_AD)</formula>
    </cfRule>
  </conditionalFormatting>
  <conditionalFormatting sqref="C24:I34 C35 C36:I42 C43 C44:I49">
    <cfRule type="expression" dxfId="7" priority="6">
      <formula>Erweiterung_Anschluss="Nein"</formula>
    </cfRule>
  </conditionalFormatting>
  <conditionalFormatting sqref="C65:I69">
    <cfRule type="expression" dxfId="6" priority="11">
      <formula>Bet_Basis_AD</formula>
    </cfRule>
  </conditionalFormatting>
  <conditionalFormatting sqref="C119:I125">
    <cfRule type="expression" dxfId="5" priority="8">
      <formula>NOT(Bet_Betrieb_AD)</formula>
    </cfRule>
  </conditionalFormatting>
  <conditionalFormatting sqref="D167:G167">
    <cfRule type="beginsWith" dxfId="4" priority="16" operator="beginsWith" text="Fehler">
      <formula>LEFT(D167,LEN("Fehler"))="Fehler"</formula>
    </cfRule>
  </conditionalFormatting>
  <conditionalFormatting sqref="E69">
    <cfRule type="expression" dxfId="3" priority="4">
      <formula>Bet_Betrieb_AD</formula>
    </cfRule>
  </conditionalFormatting>
  <conditionalFormatting sqref="E112">
    <cfRule type="expression" dxfId="2" priority="5">
      <formula>Bet_Betrieb_AD</formula>
    </cfRule>
  </conditionalFormatting>
  <conditionalFormatting sqref="F120:F121">
    <cfRule type="expression" dxfId="1" priority="2">
      <formula>NOT(Bet_Basis_AD)</formula>
    </cfRule>
  </conditionalFormatting>
  <conditionalFormatting sqref="F137:G137">
    <cfRule type="beginsWith" dxfId="0" priority="14" operator="beginsWith" text="Fehler">
      <formula>LEFT(F137,LEN("Fehler"))="Fehler"</formula>
    </cfRule>
  </conditionalFormatting>
  <dataValidations count="2">
    <dataValidation type="list" allowBlank="1" showInputMessage="1" showErrorMessage="1" sqref="C22" xr:uid="{D90FE0A9-4CC2-4F6D-97F9-A3FCB6AF562D}">
      <formula1>"Ja,Nein"</formula1>
    </dataValidation>
    <dataValidation type="decimal" operator="equal" allowBlank="1" showInputMessage="1" showErrorMessage="1" error="Summe Anteile ist nicht 100%" sqref="D167:G167" xr:uid="{A0EB8859-8E5B-40FA-B514-C7F603B2107F}">
      <formula1>1</formula1>
    </dataValidation>
  </dataValidation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20FA71-07A6-4A28-9C24-E8C83DCEFDCC}">
          <x14:formula1>
            <xm:f>Daten!$B$7:$B$10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3EA-9E60-4BB9-8FC8-EECB37224FA2}">
  <sheetPr codeName="Sheet3">
    <tabColor theme="0" tint="-0.249977111117893"/>
  </sheetPr>
  <dimension ref="B2:H74"/>
  <sheetViews>
    <sheetView zoomScaleNormal="100" workbookViewId="0">
      <selection activeCell="E8" sqref="E8"/>
    </sheetView>
  </sheetViews>
  <sheetFormatPr baseColWidth="10" defaultColWidth="11" defaultRowHeight="14" x14ac:dyDescent="0.3"/>
  <cols>
    <col min="1" max="1" width="11" style="1"/>
    <col min="2" max="2" width="43.58203125" style="1" customWidth="1"/>
    <col min="3" max="3" width="28.58203125" style="1" customWidth="1"/>
    <col min="4" max="4" width="23.75" style="1" customWidth="1"/>
    <col min="5" max="7" width="13.5" style="1" customWidth="1"/>
    <col min="8" max="8" width="69.5" style="1" customWidth="1"/>
    <col min="9" max="16384" width="11" style="1"/>
  </cols>
  <sheetData>
    <row r="2" spans="2:8" ht="15.5" x14ac:dyDescent="0.35">
      <c r="B2" s="15" t="s">
        <v>119</v>
      </c>
    </row>
    <row r="4" spans="2:8" ht="15.5" x14ac:dyDescent="0.35">
      <c r="B4" s="15" t="s">
        <v>120</v>
      </c>
      <c r="C4" s="15"/>
      <c r="D4" s="15"/>
      <c r="E4" s="15"/>
      <c r="F4" s="15"/>
      <c r="G4" s="15"/>
    </row>
    <row r="5" spans="2:8" x14ac:dyDescent="0.3">
      <c r="B5" s="2"/>
      <c r="C5" s="2"/>
      <c r="D5" s="2"/>
      <c r="E5" s="2"/>
      <c r="F5" s="2"/>
      <c r="G5" s="2"/>
    </row>
    <row r="6" spans="2:8" ht="28" x14ac:dyDescent="0.3">
      <c r="B6" s="39" t="s">
        <v>10</v>
      </c>
      <c r="C6" s="39" t="s">
        <v>121</v>
      </c>
      <c r="D6" s="40"/>
      <c r="E6" s="44" t="s">
        <v>122</v>
      </c>
      <c r="F6" s="44" t="s">
        <v>123</v>
      </c>
      <c r="G6" s="39" t="s">
        <v>124</v>
      </c>
    </row>
    <row r="7" spans="2:8" ht="28" x14ac:dyDescent="0.3">
      <c r="B7" s="2" t="s">
        <v>11</v>
      </c>
      <c r="C7" s="35" t="s">
        <v>125</v>
      </c>
      <c r="D7" s="2"/>
      <c r="E7" s="2">
        <v>1</v>
      </c>
      <c r="F7" s="2">
        <v>1</v>
      </c>
      <c r="G7" s="2">
        <v>1</v>
      </c>
    </row>
    <row r="8" spans="2:8" ht="28" x14ac:dyDescent="0.3">
      <c r="B8" s="2" t="s">
        <v>126</v>
      </c>
      <c r="C8" s="35" t="s">
        <v>127</v>
      </c>
      <c r="D8" s="2"/>
      <c r="E8" s="2">
        <v>1</v>
      </c>
      <c r="F8" s="2">
        <v>1</v>
      </c>
      <c r="G8" s="2">
        <v>0</v>
      </c>
    </row>
    <row r="9" spans="2:8" ht="42" x14ac:dyDescent="0.3">
      <c r="B9" s="2" t="s">
        <v>128</v>
      </c>
      <c r="C9" s="35" t="s">
        <v>129</v>
      </c>
      <c r="D9" s="2"/>
      <c r="E9" s="2">
        <v>1</v>
      </c>
      <c r="F9" s="2">
        <v>0</v>
      </c>
      <c r="G9" s="2">
        <v>0</v>
      </c>
    </row>
    <row r="10" spans="2:8" ht="28" x14ac:dyDescent="0.3">
      <c r="B10" s="40" t="s">
        <v>130</v>
      </c>
      <c r="C10" s="41" t="s">
        <v>131</v>
      </c>
      <c r="D10" s="40"/>
      <c r="E10" s="40">
        <v>0</v>
      </c>
      <c r="F10" s="40">
        <v>0</v>
      </c>
      <c r="G10" s="40">
        <v>0</v>
      </c>
    </row>
    <row r="11" spans="2:8" x14ac:dyDescent="0.3">
      <c r="B11" s="2"/>
      <c r="C11" s="35" t="s">
        <v>132</v>
      </c>
      <c r="D11" s="2" t="str">
        <f>Betreibermodell</f>
        <v>V1</v>
      </c>
      <c r="E11" s="2">
        <f>VLOOKUP($D11,$B$7:$G$10,4)</f>
        <v>1</v>
      </c>
      <c r="F11" s="2">
        <f>VLOOKUP($D11,$B$7:$G$10,5)</f>
        <v>1</v>
      </c>
      <c r="G11" s="2">
        <f>VLOOKUP($D11,$B$7:$G$10,6)</f>
        <v>1</v>
      </c>
    </row>
    <row r="12" spans="2:8" x14ac:dyDescent="0.3">
      <c r="B12" s="40"/>
      <c r="C12" s="41" t="s">
        <v>133</v>
      </c>
      <c r="D12" s="40" t="str">
        <f>Betreibermodell_Advanced</f>
        <v>V1</v>
      </c>
      <c r="E12" s="40">
        <f>VLOOKUP($D12,$B$7:$G$10,4)</f>
        <v>1</v>
      </c>
      <c r="F12" s="40">
        <f>VLOOKUP($D12,$B$7:$G$10,5)</f>
        <v>1</v>
      </c>
      <c r="G12" s="40">
        <f>VLOOKUP($D12,$B$7:$G$10,6)</f>
        <v>1</v>
      </c>
    </row>
    <row r="13" spans="2:8" x14ac:dyDescent="0.3">
      <c r="B13" s="2"/>
      <c r="C13" s="2"/>
      <c r="D13" s="2"/>
      <c r="E13" s="2"/>
      <c r="F13" s="2"/>
      <c r="G13" s="2"/>
    </row>
    <row r="15" spans="2:8" ht="15.5" x14ac:dyDescent="0.35">
      <c r="B15" s="15" t="s">
        <v>134</v>
      </c>
      <c r="C15" s="15" t="s">
        <v>135</v>
      </c>
      <c r="D15" s="15" t="s">
        <v>136</v>
      </c>
      <c r="E15" s="15" t="s">
        <v>137</v>
      </c>
      <c r="F15" s="15"/>
      <c r="G15" s="15"/>
      <c r="H15" s="15"/>
    </row>
    <row r="16" spans="2:8" x14ac:dyDescent="0.3">
      <c r="B16" s="42"/>
      <c r="C16" s="42"/>
      <c r="D16" s="42"/>
      <c r="E16" s="42"/>
      <c r="F16" s="2"/>
      <c r="G16" s="2"/>
      <c r="H16" s="2"/>
    </row>
    <row r="17" spans="2:8" x14ac:dyDescent="0.3">
      <c r="B17" s="43" t="s">
        <v>138</v>
      </c>
      <c r="C17" s="42"/>
      <c r="D17" s="42"/>
      <c r="E17" s="42"/>
      <c r="F17" s="2"/>
      <c r="G17" s="2"/>
      <c r="H17" s="2"/>
    </row>
    <row r="18" spans="2:8" ht="14.5" x14ac:dyDescent="0.35">
      <c r="B18" s="42" t="s">
        <v>139</v>
      </c>
      <c r="C18" s="42" t="s">
        <v>140</v>
      </c>
      <c r="D18" s="42"/>
      <c r="E18" s="54">
        <v>0.96</v>
      </c>
      <c r="F18" s="2"/>
      <c r="G18" s="48" t="s">
        <v>141</v>
      </c>
      <c r="H18" s="2"/>
    </row>
    <row r="19" spans="2:8" ht="14.5" x14ac:dyDescent="0.35">
      <c r="B19" s="42" t="s">
        <v>142</v>
      </c>
      <c r="C19" s="42" t="s">
        <v>140</v>
      </c>
      <c r="D19" s="42" t="s">
        <v>143</v>
      </c>
      <c r="E19" s="13">
        <v>210</v>
      </c>
      <c r="F19" s="2"/>
      <c r="G19" s="48" t="s">
        <v>144</v>
      </c>
      <c r="H19" s="2"/>
    </row>
    <row r="20" spans="2:8" ht="14.5" x14ac:dyDescent="0.35">
      <c r="B20" s="42" t="s">
        <v>145</v>
      </c>
      <c r="C20" s="42" t="s">
        <v>140</v>
      </c>
      <c r="D20" s="42" t="s">
        <v>88</v>
      </c>
      <c r="E20" s="13">
        <v>3000</v>
      </c>
      <c r="F20" s="2"/>
      <c r="G20" s="48" t="s">
        <v>144</v>
      </c>
      <c r="H20" s="2"/>
    </row>
    <row r="21" spans="2:8" ht="14.5" x14ac:dyDescent="0.35">
      <c r="B21" s="42" t="s">
        <v>146</v>
      </c>
      <c r="C21" s="42" t="s">
        <v>140</v>
      </c>
      <c r="D21" s="42" t="s">
        <v>147</v>
      </c>
      <c r="E21" s="54">
        <v>11</v>
      </c>
      <c r="F21" s="2"/>
      <c r="G21" s="48" t="s">
        <v>144</v>
      </c>
      <c r="H21" s="2"/>
    </row>
    <row r="22" spans="2:8" ht="14.5" x14ac:dyDescent="0.35">
      <c r="B22" s="42" t="s">
        <v>148</v>
      </c>
      <c r="C22" s="42" t="s">
        <v>149</v>
      </c>
      <c r="D22" s="42" t="s">
        <v>150</v>
      </c>
      <c r="E22" s="13">
        <v>250</v>
      </c>
      <c r="F22" s="2"/>
      <c r="G22" s="48" t="s">
        <v>144</v>
      </c>
      <c r="H22" s="2"/>
    </row>
    <row r="23" spans="2:8" ht="14.5" x14ac:dyDescent="0.35">
      <c r="B23" s="42" t="s">
        <v>151</v>
      </c>
      <c r="C23" s="42" t="s">
        <v>149</v>
      </c>
      <c r="D23" s="42" t="s">
        <v>88</v>
      </c>
      <c r="E23" s="13">
        <v>6000</v>
      </c>
      <c r="F23" s="2"/>
      <c r="G23" s="48" t="s">
        <v>144</v>
      </c>
      <c r="H23" s="2"/>
    </row>
    <row r="24" spans="2:8" ht="14.5" x14ac:dyDescent="0.35">
      <c r="B24" s="42" t="s">
        <v>152</v>
      </c>
      <c r="C24" s="42" t="s">
        <v>149</v>
      </c>
      <c r="D24" s="42" t="s">
        <v>153</v>
      </c>
      <c r="E24" s="53">
        <v>0.1</v>
      </c>
      <c r="F24" s="2"/>
      <c r="G24" s="48" t="s">
        <v>154</v>
      </c>
      <c r="H24" s="2"/>
    </row>
    <row r="25" spans="2:8" ht="14.5" x14ac:dyDescent="0.35">
      <c r="B25" s="42" t="s">
        <v>90</v>
      </c>
      <c r="C25" s="42" t="s">
        <v>149</v>
      </c>
      <c r="D25" s="42" t="s">
        <v>88</v>
      </c>
      <c r="E25" s="13">
        <v>2750</v>
      </c>
      <c r="F25" s="2"/>
      <c r="G25" s="48" t="s">
        <v>155</v>
      </c>
      <c r="H25" s="2"/>
    </row>
    <row r="26" spans="2:8" ht="14.5" x14ac:dyDescent="0.35">
      <c r="B26" s="42" t="s">
        <v>156</v>
      </c>
      <c r="C26" s="42" t="s">
        <v>157</v>
      </c>
      <c r="D26" s="42" t="s">
        <v>158</v>
      </c>
      <c r="E26" s="13">
        <v>20</v>
      </c>
      <c r="F26" s="2"/>
      <c r="G26" s="48" t="s">
        <v>159</v>
      </c>
      <c r="H26" s="2"/>
    </row>
    <row r="27" spans="2:8" ht="14.5" x14ac:dyDescent="0.35">
      <c r="B27" s="42" t="s">
        <v>160</v>
      </c>
      <c r="C27" s="42" t="s">
        <v>149</v>
      </c>
      <c r="D27" s="42" t="s">
        <v>161</v>
      </c>
      <c r="E27" s="13">
        <v>8</v>
      </c>
      <c r="F27" s="2"/>
      <c r="G27" s="48" t="s">
        <v>155</v>
      </c>
      <c r="H27" s="2"/>
    </row>
    <row r="28" spans="2:8" ht="14.5" x14ac:dyDescent="0.35">
      <c r="B28" s="42" t="s">
        <v>162</v>
      </c>
      <c r="C28" s="42" t="s">
        <v>149</v>
      </c>
      <c r="D28" s="42" t="s">
        <v>88</v>
      </c>
      <c r="E28" s="13">
        <f>Basis_Lastmaneg/2</f>
        <v>1375</v>
      </c>
      <c r="F28" s="2"/>
      <c r="G28" s="48" t="s">
        <v>163</v>
      </c>
      <c r="H28" s="2"/>
    </row>
    <row r="29" spans="2:8" ht="14.5" x14ac:dyDescent="0.35">
      <c r="B29" s="42" t="s">
        <v>164</v>
      </c>
      <c r="C29" s="42" t="s">
        <v>20</v>
      </c>
      <c r="D29" s="42" t="s">
        <v>165</v>
      </c>
      <c r="E29" s="13">
        <f>ROUND((Basis_Zwisch/4 +Basis_VertMeter*3 )/100,0)*100</f>
        <v>2300</v>
      </c>
      <c r="F29" s="2"/>
      <c r="G29" s="48" t="s">
        <v>166</v>
      </c>
      <c r="H29" s="2"/>
    </row>
    <row r="30" spans="2:8" ht="14.5" x14ac:dyDescent="0.35">
      <c r="B30" s="42" t="s">
        <v>164</v>
      </c>
      <c r="C30" s="42" t="s">
        <v>22</v>
      </c>
      <c r="D30" s="42" t="s">
        <v>165</v>
      </c>
      <c r="E30" s="13">
        <f>ROUND((Basis_Zwisch/2 +Basis_VertMeter*5 + Bas_Netzkosten*50*0.3 + + Bas_NetGrund/2 + Basis_Lastmaneg/2)/100,0)*100</f>
        <v>10300</v>
      </c>
      <c r="F30" s="2"/>
      <c r="G30" s="48" t="s">
        <v>166</v>
      </c>
      <c r="H30" s="2"/>
    </row>
    <row r="31" spans="2:8" ht="14.5" x14ac:dyDescent="0.35">
      <c r="B31" s="42" t="s">
        <v>164</v>
      </c>
      <c r="C31" s="42" t="s">
        <v>23</v>
      </c>
      <c r="D31" s="42" t="s">
        <v>165</v>
      </c>
      <c r="E31" s="13">
        <f>ROUND((Basis_Zwisch/2 +Basis_VertMeter*5 + Bas_Netzkosten*100*0.3 + Bas_NetGrund + Bas_NetGrund/2 + Basis_Lastmaneg/2)/100,0)*100</f>
        <v>16400</v>
      </c>
      <c r="F31" s="2"/>
      <c r="G31" s="48" t="s">
        <v>166</v>
      </c>
      <c r="H31" s="2"/>
    </row>
    <row r="32" spans="2:8" ht="14.5" x14ac:dyDescent="0.35">
      <c r="B32" s="42" t="s">
        <v>164</v>
      </c>
      <c r="C32" s="42" t="s">
        <v>24</v>
      </c>
      <c r="D32" s="42" t="s">
        <v>165</v>
      </c>
      <c r="E32" s="13">
        <f>ROUND((Basis_Zwisch/2 +Basis_VertMeter*5 + Bas_Netzkosten*170*0.3 + Bas_NetGrund + Bas_NetGrund/2 + Basis_Lastmaneg/2)/100,0)*100</f>
        <v>20800</v>
      </c>
      <c r="F32" s="2"/>
      <c r="G32" s="48" t="s">
        <v>166</v>
      </c>
      <c r="H32" s="2"/>
    </row>
    <row r="33" spans="2:8" ht="14.5" x14ac:dyDescent="0.35">
      <c r="B33" s="42"/>
      <c r="C33" s="42"/>
      <c r="D33" s="42"/>
      <c r="E33" s="42"/>
      <c r="F33" s="2"/>
      <c r="G33" s="48"/>
      <c r="H33" s="2"/>
    </row>
    <row r="34" spans="2:8" ht="14.5" x14ac:dyDescent="0.35">
      <c r="B34" s="43" t="s">
        <v>167</v>
      </c>
      <c r="C34" s="42"/>
      <c r="D34" s="42"/>
      <c r="E34" s="42"/>
      <c r="F34" s="2"/>
      <c r="G34" s="48"/>
      <c r="H34" s="2"/>
    </row>
    <row r="35" spans="2:8" ht="14.5" x14ac:dyDescent="0.35">
      <c r="B35" s="42" t="s">
        <v>168</v>
      </c>
      <c r="C35" s="42" t="s">
        <v>169</v>
      </c>
      <c r="D35" s="42" t="s">
        <v>165</v>
      </c>
      <c r="E35" s="13">
        <v>2000</v>
      </c>
      <c r="F35" s="2"/>
      <c r="G35" s="48" t="s">
        <v>159</v>
      </c>
      <c r="H35" s="2"/>
    </row>
    <row r="36" spans="2:8" ht="14.5" x14ac:dyDescent="0.35">
      <c r="B36" s="42" t="s">
        <v>168</v>
      </c>
      <c r="C36" s="42" t="s">
        <v>170</v>
      </c>
      <c r="D36" s="42" t="s">
        <v>165</v>
      </c>
      <c r="E36" s="13">
        <v>25000</v>
      </c>
      <c r="F36" s="2"/>
      <c r="G36" s="48" t="s">
        <v>159</v>
      </c>
      <c r="H36" s="2"/>
    </row>
    <row r="37" spans="2:8" ht="14.5" x14ac:dyDescent="0.35">
      <c r="B37" s="42" t="s">
        <v>168</v>
      </c>
      <c r="C37" s="42" t="s">
        <v>171</v>
      </c>
      <c r="D37" s="42" t="s">
        <v>165</v>
      </c>
      <c r="E37" s="13">
        <v>50000</v>
      </c>
      <c r="F37" s="2"/>
      <c r="G37" s="48" t="s">
        <v>159</v>
      </c>
      <c r="H37" s="2"/>
    </row>
    <row r="38" spans="2:8" ht="14.5" x14ac:dyDescent="0.35">
      <c r="B38" s="42" t="s">
        <v>168</v>
      </c>
      <c r="C38" s="42" t="s">
        <v>172</v>
      </c>
      <c r="D38" s="42" t="s">
        <v>165</v>
      </c>
      <c r="E38" s="13">
        <v>80000</v>
      </c>
      <c r="F38" s="2"/>
      <c r="G38" s="48" t="s">
        <v>159</v>
      </c>
      <c r="H38" s="2"/>
    </row>
    <row r="39" spans="2:8" ht="14.5" x14ac:dyDescent="0.35">
      <c r="B39" s="42" t="s">
        <v>173</v>
      </c>
      <c r="C39" s="42" t="s">
        <v>169</v>
      </c>
      <c r="D39" s="42" t="s">
        <v>165</v>
      </c>
      <c r="E39" s="13">
        <v>750</v>
      </c>
      <c r="F39" s="2"/>
      <c r="G39" s="48" t="s">
        <v>159</v>
      </c>
      <c r="H39" s="2"/>
    </row>
    <row r="40" spans="2:8" ht="14.5" x14ac:dyDescent="0.35">
      <c r="B40" s="42" t="s">
        <v>173</v>
      </c>
      <c r="C40" s="42" t="s">
        <v>170</v>
      </c>
      <c r="D40" s="42" t="s">
        <v>165</v>
      </c>
      <c r="E40" s="13">
        <v>900</v>
      </c>
      <c r="F40" s="2"/>
      <c r="G40" s="48" t="s">
        <v>159</v>
      </c>
      <c r="H40" s="2"/>
    </row>
    <row r="41" spans="2:8" ht="14.5" x14ac:dyDescent="0.35">
      <c r="B41" s="42" t="s">
        <v>173</v>
      </c>
      <c r="C41" s="42" t="s">
        <v>171</v>
      </c>
      <c r="D41" s="42" t="s">
        <v>165</v>
      </c>
      <c r="E41" s="13">
        <v>1000</v>
      </c>
      <c r="F41" s="2"/>
      <c r="G41" s="48" t="s">
        <v>159</v>
      </c>
      <c r="H41" s="2"/>
    </row>
    <row r="42" spans="2:8" ht="14.5" x14ac:dyDescent="0.35">
      <c r="B42" s="42" t="s">
        <v>173</v>
      </c>
      <c r="C42" s="42" t="s">
        <v>172</v>
      </c>
      <c r="D42" s="42" t="s">
        <v>165</v>
      </c>
      <c r="E42" s="13">
        <v>1000</v>
      </c>
      <c r="F42" s="2"/>
      <c r="G42" s="48" t="s">
        <v>159</v>
      </c>
      <c r="H42" s="2"/>
    </row>
    <row r="43" spans="2:8" ht="14.5" x14ac:dyDescent="0.35">
      <c r="B43" s="42" t="s">
        <v>174</v>
      </c>
      <c r="C43" s="42" t="s">
        <v>175</v>
      </c>
      <c r="D43" s="42" t="s">
        <v>176</v>
      </c>
      <c r="E43" s="13">
        <v>30</v>
      </c>
      <c r="F43" s="2"/>
      <c r="G43" s="48" t="s">
        <v>159</v>
      </c>
      <c r="H43" s="2"/>
    </row>
    <row r="44" spans="2:8" ht="14.5" x14ac:dyDescent="0.35">
      <c r="B44" s="42" t="s">
        <v>177</v>
      </c>
      <c r="C44" s="42" t="s">
        <v>175</v>
      </c>
      <c r="D44" s="42" t="s">
        <v>161</v>
      </c>
      <c r="E44" s="13">
        <v>8</v>
      </c>
      <c r="F44" s="2"/>
      <c r="G44" s="48" t="s">
        <v>159</v>
      </c>
      <c r="H44" s="2"/>
    </row>
    <row r="45" spans="2:8" ht="14.5" x14ac:dyDescent="0.35">
      <c r="B45" s="42"/>
      <c r="C45" s="42"/>
      <c r="D45" s="42"/>
      <c r="E45" s="42"/>
      <c r="F45" s="2"/>
      <c r="G45" s="48"/>
      <c r="H45" s="2"/>
    </row>
    <row r="46" spans="2:8" ht="14.5" x14ac:dyDescent="0.35">
      <c r="B46" s="43" t="s">
        <v>178</v>
      </c>
      <c r="C46" s="42"/>
      <c r="D46" s="42"/>
      <c r="E46" s="42"/>
      <c r="F46" s="2"/>
      <c r="G46" s="48"/>
      <c r="H46" s="2"/>
    </row>
    <row r="47" spans="2:8" ht="14.5" x14ac:dyDescent="0.35">
      <c r="B47" s="42" t="s">
        <v>179</v>
      </c>
      <c r="C47" s="42"/>
      <c r="D47" s="42" t="s">
        <v>49</v>
      </c>
      <c r="E47" s="54">
        <v>0</v>
      </c>
      <c r="F47" s="2"/>
      <c r="G47" s="48" t="s">
        <v>180</v>
      </c>
      <c r="H47" s="2"/>
    </row>
    <row r="48" spans="2:8" ht="14.5" x14ac:dyDescent="0.35">
      <c r="B48" s="42" t="s">
        <v>181</v>
      </c>
      <c r="C48" s="42"/>
      <c r="D48" s="42" t="s">
        <v>182</v>
      </c>
      <c r="E48" s="54">
        <v>12.5</v>
      </c>
      <c r="F48" s="2"/>
      <c r="G48" s="48" t="s">
        <v>183</v>
      </c>
      <c r="H48" s="2"/>
    </row>
    <row r="49" spans="2:8" ht="14.5" x14ac:dyDescent="0.35">
      <c r="B49" s="42" t="s">
        <v>184</v>
      </c>
      <c r="C49" s="42"/>
      <c r="D49" s="42" t="s">
        <v>185</v>
      </c>
      <c r="E49" s="54">
        <v>25</v>
      </c>
      <c r="F49" s="2"/>
      <c r="G49" s="48" t="s">
        <v>159</v>
      </c>
      <c r="H49" s="2"/>
    </row>
    <row r="50" spans="2:8" ht="14.5" x14ac:dyDescent="0.35">
      <c r="B50" s="42" t="s">
        <v>186</v>
      </c>
      <c r="C50" s="42"/>
      <c r="D50" s="42" t="s">
        <v>185</v>
      </c>
      <c r="E50" s="54">
        <v>80</v>
      </c>
      <c r="F50" s="2"/>
      <c r="G50" s="48" t="s">
        <v>159</v>
      </c>
      <c r="H50" s="2"/>
    </row>
    <row r="51" spans="2:8" ht="14.5" x14ac:dyDescent="0.35">
      <c r="B51" s="42" t="s">
        <v>187</v>
      </c>
      <c r="C51" s="42"/>
      <c r="D51" s="42" t="s">
        <v>182</v>
      </c>
      <c r="E51" s="54">
        <v>20</v>
      </c>
      <c r="F51" s="2"/>
      <c r="G51" s="48" t="s">
        <v>159</v>
      </c>
      <c r="H51" s="2"/>
    </row>
    <row r="52" spans="2:8" ht="14.5" x14ac:dyDescent="0.35">
      <c r="B52" s="42"/>
      <c r="C52" s="42"/>
      <c r="D52" s="42"/>
      <c r="E52" s="42"/>
      <c r="F52" s="2"/>
      <c r="G52" s="48"/>
      <c r="H52" s="2"/>
    </row>
    <row r="53" spans="2:8" ht="14.5" x14ac:dyDescent="0.35">
      <c r="B53" s="43" t="s">
        <v>188</v>
      </c>
      <c r="C53" s="42"/>
      <c r="D53" s="42"/>
      <c r="E53" s="42"/>
      <c r="F53" s="2"/>
      <c r="G53" s="48"/>
      <c r="H53" s="2"/>
    </row>
    <row r="54" spans="2:8" ht="14.5" x14ac:dyDescent="0.35">
      <c r="B54" s="42" t="s">
        <v>189</v>
      </c>
      <c r="C54" s="42" t="s">
        <v>190</v>
      </c>
      <c r="D54" s="42" t="s">
        <v>191</v>
      </c>
      <c r="E54" s="13">
        <v>1870</v>
      </c>
      <c r="F54" s="2"/>
      <c r="G54" s="48" t="s">
        <v>192</v>
      </c>
      <c r="H54" s="2"/>
    </row>
    <row r="55" spans="2:8" ht="14.5" x14ac:dyDescent="0.35">
      <c r="B55" s="42" t="s">
        <v>193</v>
      </c>
      <c r="C55" s="42" t="s">
        <v>190</v>
      </c>
      <c r="D55" s="42" t="s">
        <v>191</v>
      </c>
      <c r="E55" s="13">
        <v>6600</v>
      </c>
      <c r="F55" s="2"/>
      <c r="G55" s="48" t="s">
        <v>194</v>
      </c>
      <c r="H55" s="2"/>
    </row>
    <row r="56" spans="2:8" ht="14.5" x14ac:dyDescent="0.35">
      <c r="B56" s="42" t="s">
        <v>195</v>
      </c>
      <c r="C56" s="42" t="s">
        <v>190</v>
      </c>
      <c r="D56" s="42" t="s">
        <v>191</v>
      </c>
      <c r="E56" s="13">
        <v>3484.7999999999997</v>
      </c>
      <c r="F56" s="2"/>
      <c r="G56" s="48" t="s">
        <v>196</v>
      </c>
      <c r="H56" s="2"/>
    </row>
    <row r="57" spans="2:8" ht="14.5" x14ac:dyDescent="0.35">
      <c r="B57" s="42" t="s">
        <v>189</v>
      </c>
      <c r="C57" s="42" t="s">
        <v>197</v>
      </c>
      <c r="D57" s="42" t="s">
        <v>191</v>
      </c>
      <c r="E57" s="13">
        <v>26400</v>
      </c>
      <c r="F57" s="2"/>
      <c r="G57" s="48" t="s">
        <v>198</v>
      </c>
      <c r="H57" s="2"/>
    </row>
    <row r="58" spans="2:8" ht="14.5" x14ac:dyDescent="0.35">
      <c r="B58" s="42" t="s">
        <v>193</v>
      </c>
      <c r="C58" s="42" t="s">
        <v>197</v>
      </c>
      <c r="D58" s="42" t="s">
        <v>191</v>
      </c>
      <c r="E58" s="13">
        <v>26400</v>
      </c>
      <c r="F58" s="2"/>
      <c r="G58" s="48" t="s">
        <v>198</v>
      </c>
      <c r="H58" s="2"/>
    </row>
    <row r="59" spans="2:8" ht="14.5" x14ac:dyDescent="0.35">
      <c r="B59" s="42" t="s">
        <v>195</v>
      </c>
      <c r="C59" s="42" t="s">
        <v>197</v>
      </c>
      <c r="D59" s="42" t="s">
        <v>191</v>
      </c>
      <c r="E59" s="13">
        <v>21120</v>
      </c>
      <c r="F59" s="2"/>
      <c r="G59" s="48" t="s">
        <v>199</v>
      </c>
      <c r="H59" s="2"/>
    </row>
    <row r="60" spans="2:8" ht="14.5" x14ac:dyDescent="0.35">
      <c r="B60" s="42" t="s">
        <v>189</v>
      </c>
      <c r="C60" s="42" t="s">
        <v>200</v>
      </c>
      <c r="D60" s="42" t="s">
        <v>191</v>
      </c>
      <c r="E60" s="13">
        <v>39600</v>
      </c>
      <c r="F60" s="2"/>
      <c r="G60" s="48" t="s">
        <v>201</v>
      </c>
      <c r="H60" s="2"/>
    </row>
    <row r="61" spans="2:8" ht="14.5" x14ac:dyDescent="0.35">
      <c r="B61" s="42" t="s">
        <v>193</v>
      </c>
      <c r="C61" s="42" t="s">
        <v>200</v>
      </c>
      <c r="D61" s="42" t="s">
        <v>191</v>
      </c>
      <c r="E61" s="13">
        <v>39600</v>
      </c>
      <c r="F61" s="2"/>
      <c r="G61" s="48" t="s">
        <v>201</v>
      </c>
      <c r="H61" s="2"/>
    </row>
    <row r="62" spans="2:8" ht="14.5" x14ac:dyDescent="0.35">
      <c r="B62" s="42" t="s">
        <v>195</v>
      </c>
      <c r="C62" s="42" t="s">
        <v>200</v>
      </c>
      <c r="D62" s="42" t="s">
        <v>191</v>
      </c>
      <c r="E62" s="13">
        <v>42240</v>
      </c>
      <c r="F62" s="2"/>
      <c r="G62" s="48" t="s">
        <v>199</v>
      </c>
      <c r="H62" s="2"/>
    </row>
    <row r="63" spans="2:8" ht="14.5" x14ac:dyDescent="0.35">
      <c r="B63" s="42" t="s">
        <v>189</v>
      </c>
      <c r="C63" s="42" t="s">
        <v>202</v>
      </c>
      <c r="D63" s="42" t="s">
        <v>191</v>
      </c>
      <c r="E63" s="13">
        <v>79200</v>
      </c>
      <c r="F63" s="2"/>
      <c r="G63" s="48" t="s">
        <v>203</v>
      </c>
      <c r="H63" s="2"/>
    </row>
    <row r="64" spans="2:8" ht="14.5" x14ac:dyDescent="0.35">
      <c r="B64" s="42" t="s">
        <v>193</v>
      </c>
      <c r="C64" s="42" t="s">
        <v>202</v>
      </c>
      <c r="D64" s="42" t="s">
        <v>191</v>
      </c>
      <c r="E64" s="13">
        <v>79200</v>
      </c>
      <c r="F64" s="2"/>
      <c r="G64" s="48" t="s">
        <v>203</v>
      </c>
      <c r="H64" s="2"/>
    </row>
    <row r="65" spans="2:8" ht="14.5" x14ac:dyDescent="0.35">
      <c r="B65" s="42" t="s">
        <v>195</v>
      </c>
      <c r="C65" s="42" t="s">
        <v>202</v>
      </c>
      <c r="D65" s="42" t="s">
        <v>191</v>
      </c>
      <c r="E65" s="13">
        <v>147840</v>
      </c>
      <c r="F65" s="2"/>
      <c r="G65" s="48" t="s">
        <v>199</v>
      </c>
      <c r="H65" s="2"/>
    </row>
    <row r="66" spans="2:8" ht="14.5" x14ac:dyDescent="0.35">
      <c r="B66" s="42" t="s">
        <v>204</v>
      </c>
      <c r="C66" s="42"/>
      <c r="D66" s="42" t="s">
        <v>49</v>
      </c>
      <c r="E66" s="54">
        <v>0.25</v>
      </c>
      <c r="F66" s="2"/>
      <c r="G66" s="48" t="s">
        <v>159</v>
      </c>
      <c r="H66" s="2"/>
    </row>
    <row r="67" spans="2:8" ht="14.5" x14ac:dyDescent="0.35">
      <c r="B67" s="42" t="s">
        <v>205</v>
      </c>
      <c r="C67" s="42"/>
      <c r="D67" s="42" t="s">
        <v>206</v>
      </c>
      <c r="E67" s="54">
        <v>17</v>
      </c>
      <c r="F67" s="2"/>
      <c r="G67" s="48" t="s">
        <v>159</v>
      </c>
      <c r="H67" s="2"/>
    </row>
    <row r="68" spans="2:8" x14ac:dyDescent="0.3">
      <c r="B68" s="42"/>
      <c r="C68" s="42"/>
      <c r="D68" s="42"/>
      <c r="E68" s="42"/>
      <c r="F68" s="42"/>
      <c r="G68" s="42"/>
      <c r="H68" s="42"/>
    </row>
    <row r="69" spans="2:8" x14ac:dyDescent="0.3">
      <c r="B69" s="2"/>
      <c r="C69" s="6" t="s">
        <v>20</v>
      </c>
      <c r="D69" s="6" t="s">
        <v>22</v>
      </c>
      <c r="E69" s="6" t="s">
        <v>23</v>
      </c>
      <c r="F69" s="6" t="s">
        <v>24</v>
      </c>
      <c r="G69" s="6" t="s">
        <v>207</v>
      </c>
      <c r="H69" s="42"/>
    </row>
    <row r="70" spans="2:8" x14ac:dyDescent="0.3">
      <c r="B70" s="6" t="s">
        <v>65</v>
      </c>
      <c r="C70" s="13">
        <f>E54</f>
        <v>1870</v>
      </c>
      <c r="D70" s="13">
        <f>E57</f>
        <v>26400</v>
      </c>
      <c r="E70" s="13">
        <f>E60</f>
        <v>39600</v>
      </c>
      <c r="F70" s="13">
        <f>E63</f>
        <v>79200</v>
      </c>
      <c r="G70" s="53">
        <v>0.6</v>
      </c>
      <c r="H70" s="42"/>
    </row>
    <row r="71" spans="2:8" x14ac:dyDescent="0.3">
      <c r="B71" s="6" t="s">
        <v>67</v>
      </c>
      <c r="C71" s="13">
        <f>E55</f>
        <v>6600</v>
      </c>
      <c r="D71" s="13">
        <f>E58</f>
        <v>26400</v>
      </c>
      <c r="E71" s="13">
        <f>E61</f>
        <v>39600</v>
      </c>
      <c r="F71" s="13">
        <f t="shared" ref="F71:F72" si="0">E64</f>
        <v>79200</v>
      </c>
      <c r="G71" s="53">
        <v>0.3</v>
      </c>
      <c r="H71" s="42"/>
    </row>
    <row r="72" spans="2:8" x14ac:dyDescent="0.3">
      <c r="B72" s="6" t="s">
        <v>68</v>
      </c>
      <c r="C72" s="13">
        <f>E56</f>
        <v>3484.7999999999997</v>
      </c>
      <c r="D72" s="13">
        <f>E59</f>
        <v>21120</v>
      </c>
      <c r="E72" s="13">
        <f>E62</f>
        <v>42240</v>
      </c>
      <c r="F72" s="13">
        <f t="shared" si="0"/>
        <v>147840</v>
      </c>
      <c r="G72" s="53">
        <v>0.1</v>
      </c>
      <c r="H72" s="42"/>
    </row>
    <row r="73" spans="2:8" x14ac:dyDescent="0.3">
      <c r="B73" s="6" t="s">
        <v>208</v>
      </c>
      <c r="C73" s="13">
        <f>ROUND(SUMPRODUCT(C70:C72,$G70:$G72)/100,0)*100</f>
        <v>3500</v>
      </c>
      <c r="D73" s="13">
        <f>ROUND(SUMPRODUCT(D70:D72,$G70:$G72)/100,0)*100</f>
        <v>25900</v>
      </c>
      <c r="E73" s="13">
        <f>ROUND(SUMPRODUCT(E70:E72,$G70:$G72)/100,0)*100</f>
        <v>39900</v>
      </c>
      <c r="F73" s="13">
        <f>ROUND(SUMPRODUCT(F70:F72,$G70:$G72)/100,0)*100</f>
        <v>86100</v>
      </c>
      <c r="G73" s="42"/>
      <c r="H73" s="42"/>
    </row>
    <row r="74" spans="2:8" x14ac:dyDescent="0.3">
      <c r="B74" s="2"/>
      <c r="C74" s="2"/>
      <c r="D74" s="2"/>
      <c r="E74" s="2"/>
      <c r="F74" s="2"/>
      <c r="G74" s="42"/>
      <c r="H74" s="42"/>
    </row>
  </sheetData>
  <sheetProtection algorithmName="SHA-512" hashValue="wh6nrF4mFiB6iyCyFahYgBg6S0j74zboaMV8+vSryz7/EvQjpLOVrc1Ta2D+g5ywr6uPN88xhaLOZpbZQ5I7/w==" saltValue="je9bKi6aMNgylLdZt6oU8w==" spinCount="100000" sheet="1" objects="1" scenarios="1"/>
  <phoneticPr fontId="3" type="noConversion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bf01b5-c353-45b5-9935-f51094852823">
      <Terms xmlns="http://schemas.microsoft.com/office/infopath/2007/PartnerControls"/>
    </lcf76f155ced4ddcb4097134ff3c332f>
    <TaxCatchAll xmlns="675f8536-6ec2-45b7-a853-df43709470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5" ma:contentTypeDescription="Ein neues Dokument erstellen." ma:contentTypeScope="" ma:versionID="59c031c2685dde77adcf4da945d9406b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32a8d91fc21f7a51fc27628e42cc920c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2C6AD8-4FF0-4BCB-845E-443157402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0AAF18-95F3-4BE4-A960-909EE1CA9F3B}">
  <ds:schemaRefs>
    <ds:schemaRef ds:uri="http://schemas.microsoft.com/office/2006/metadata/properties"/>
    <ds:schemaRef ds:uri="http://schemas.microsoft.com/office/infopath/2007/PartnerControls"/>
    <ds:schemaRef ds:uri="a9bf01b5-c353-45b5-9935-f51094852823"/>
    <ds:schemaRef ds:uri="675f8536-6ec2-45b7-a853-df43709470fd"/>
  </ds:schemaRefs>
</ds:datastoreItem>
</file>

<file path=customXml/itemProps3.xml><?xml version="1.0" encoding="utf-8"?>
<ds:datastoreItem xmlns:ds="http://schemas.openxmlformats.org/officeDocument/2006/customXml" ds:itemID="{20DA8C52-3A2D-432A-9EF6-40305A69E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f01b5-c353-45b5-9935-f51094852823"/>
    <ds:schemaRef ds:uri="675f8536-6ec2-45b7-a853-df43709470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45</vt:i4>
      </vt:variant>
    </vt:vector>
  </HeadingPairs>
  <TitlesOfParts>
    <vt:vector size="48" baseType="lpstr">
      <vt:lpstr>Modus Basic</vt:lpstr>
      <vt:lpstr>Modus Advanced</vt:lpstr>
      <vt:lpstr>Daten</vt:lpstr>
      <vt:lpstr>Bas_NetGrund</vt:lpstr>
      <vt:lpstr>Bas_Netzkosten</vt:lpstr>
      <vt:lpstr>Basic_Basis_Inv100kW</vt:lpstr>
      <vt:lpstr>Basic_Basis_inv11kW</vt:lpstr>
      <vt:lpstr>Basic_Basis_Inv350kW</vt:lpstr>
      <vt:lpstr>Basic_Basis_Inv50kW</vt:lpstr>
      <vt:lpstr>Basis_Contracting</vt:lpstr>
      <vt:lpstr>Basis_Lastmaneg</vt:lpstr>
      <vt:lpstr>Basis_NetGrund</vt:lpstr>
      <vt:lpstr>Basis_Netzkosten</vt:lpstr>
      <vt:lpstr>Basis_NetzMeter</vt:lpstr>
      <vt:lpstr>Basis_Projekt</vt:lpstr>
      <vt:lpstr>Basis_VertMeter</vt:lpstr>
      <vt:lpstr>Basis_Zwisch</vt:lpstr>
      <vt:lpstr>Bet_Basis</vt:lpstr>
      <vt:lpstr>Bet_Basis_AD</vt:lpstr>
      <vt:lpstr>Bet_Betrieb</vt:lpstr>
      <vt:lpstr>Bet_Betrieb_AD</vt:lpstr>
      <vt:lpstr>Bet_LIS</vt:lpstr>
      <vt:lpstr>Bet_LIS_AD</vt:lpstr>
      <vt:lpstr>Betreibermodell</vt:lpstr>
      <vt:lpstr>Betreibermodell_Advanced</vt:lpstr>
      <vt:lpstr>Betrieb_AbLP</vt:lpstr>
      <vt:lpstr>Betrieb_AbrkWh</vt:lpstr>
      <vt:lpstr>Betrieb_Contracting</vt:lpstr>
      <vt:lpstr>Betrieb_Wartung_AC</vt:lpstr>
      <vt:lpstr>Betrieb_Wartung_DC</vt:lpstr>
      <vt:lpstr>Erweiterung_Anschluss</vt:lpstr>
      <vt:lpstr>Jahr_Advenced</vt:lpstr>
      <vt:lpstr>Jahr_Basic</vt:lpstr>
      <vt:lpstr>Lastmanagement_Lebensdauer</vt:lpstr>
      <vt:lpstr>Leistungsfaktor</vt:lpstr>
      <vt:lpstr>LIS_Contracting</vt:lpstr>
      <vt:lpstr>LIS_Inst100kW</vt:lpstr>
      <vt:lpstr>LIS_Inst11kW</vt:lpstr>
      <vt:lpstr>LIS_Inst350kW</vt:lpstr>
      <vt:lpstr>LIS_Inst50kW</vt:lpstr>
      <vt:lpstr>LIS_Kauf100kW</vt:lpstr>
      <vt:lpstr>LIS_Kauf11kW</vt:lpstr>
      <vt:lpstr>LIS_Kauf350kW</vt:lpstr>
      <vt:lpstr>LIS_Kauf50kW</vt:lpstr>
      <vt:lpstr>LIS_Lebensdauer</vt:lpstr>
      <vt:lpstr>LIS_LebensdauerAC</vt:lpstr>
      <vt:lpstr>Strompreis</vt:lpstr>
      <vt:lpstr>Verbrauch_100km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Trachsel, Tim</dc:creator>
  <cp:keywords/>
  <dc:description/>
  <cp:lastModifiedBy>Heubi Josias BFE</cp:lastModifiedBy>
  <cp:revision/>
  <dcterms:created xsi:type="dcterms:W3CDTF">2015-06-05T18:19:34Z</dcterms:created>
  <dcterms:modified xsi:type="dcterms:W3CDTF">2026-04-27T09:58:00Z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0x010100B965D7DB76904C47A88962C3D7C2D897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2026-04-27T09:57:56Z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71951048-c31a-496d-93d2-e3a9d0336bb1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