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202300"/>
  <mc:AlternateContent xmlns:mc="http://schemas.openxmlformats.org/markup-compatibility/2006">
    <mc:Choice Requires="x15">
      <x15ac:absPath xmlns:x15ac="http://schemas.microsoft.com/office/spreadsheetml/2010/11/ac" url="G:\AWZH\BLIN\Proj\1011818_BFE_Netto_Null_2000_Watt_Fachstelle_2024_2026\Proj_Dok\05_Produkte\KISS\KISS_Tool\V1\"/>
    </mc:Choice>
  </mc:AlternateContent>
  <xr:revisionPtr revIDLastSave="0" documentId="13_ncr:1_{ACC66673-C571-4D58-A0C4-FD05E9E0392F}" xr6:coauthVersionLast="47" xr6:coauthVersionMax="47" xr10:uidLastSave="{00000000-0000-0000-0000-000000000000}"/>
  <workbookProtection lockStructure="1"/>
  <bookViews>
    <workbookView xWindow="67080" yWindow="-120" windowWidth="29040" windowHeight="15720" xr2:uid="{E5AC58B6-7D94-4F9C-A83B-7813056278B9}"/>
  </bookViews>
  <sheets>
    <sheet name="Intro" sheetId="4" r:id="rId1"/>
    <sheet name="Data" sheetId="1" r:id="rId2"/>
    <sheet name="Results" sheetId="5" r:id="rId3"/>
    <sheet name="Graph" sheetId="10" r:id="rId4"/>
    <sheet name="Factor" sheetId="6" r:id="rId5"/>
    <sheet name="Param" sheetId="9" r:id="rId6"/>
    <sheet name="Calculation" sheetId="2" r:id="rId7"/>
    <sheet name="Statistics" sheetId="8" r:id="rId8"/>
    <sheet name="Texts" sheetId="7" r:id="rId9"/>
    <sheet name="Images" sheetId="11" r:id="rId10"/>
    <sheet name="Version History" sheetId="12" r:id="rId11"/>
  </sheets>
  <definedNames>
    <definedName name="_xlnm._FilterDatabase" localSheetId="1" hidden="1">Data!$A$9:$Y$83</definedName>
    <definedName name="_xlnm._FilterDatabase" localSheetId="7" hidden="1">Statistics!$A$1:$Q$2133</definedName>
    <definedName name="Anzahl_Einwohner">Data!$P$12</definedName>
    <definedName name="auto_cons_rate">Param!$C$15</definedName>
    <definedName name="CO2_Liter_Oel">Param!$C$5</definedName>
    <definedName name="CO2_m3_Gas">Param!$C$6</definedName>
    <definedName name="COP_HP">Param!$C$22</definedName>
    <definedName name="_xlnm.Print_Area" localSheetId="1">Data!$N$1:$AA$84</definedName>
    <definedName name="_xlnm.Print_Area" localSheetId="3">Graph!$A$1:$I$40</definedName>
    <definedName name="_xlnm.Print_Area" localSheetId="2">Results!$A$1:$AE$71</definedName>
    <definedName name="es_deu">Images!$B$4</definedName>
    <definedName name="es_fra">Images!$B$6</definedName>
    <definedName name="es_ita">Images!$B$8</definedName>
    <definedName name="FGase_Einwohner">Param!$C$24</definedName>
    <definedName name="FGase_Fahrzeug">Param!$C$25</definedName>
    <definedName name="GraphFaktor">Param!$C$28</definedName>
    <definedName name="idx_lang">Param!$C$29</definedName>
    <definedName name="idx_variante">Param!$C$30</definedName>
    <definedName name="km_per_vehicle">Param!#REF!</definedName>
    <definedName name="kWh__m²_PVprod">Param!$C$13</definedName>
    <definedName name="kWh__SunT">Param!$C$12</definedName>
    <definedName name="kWh_kWp_PVprod">Param!$C$14</definedName>
    <definedName name="kWh_Liter_Oil">Param!$C$9</definedName>
    <definedName name="kWh_m3_gas">Param!$C$11</definedName>
    <definedName name="ListUnitFW">UnitFW[UnitFW]</definedName>
    <definedName name="ListUnitGas">EinheitGas[UnitGas]</definedName>
    <definedName name="ListUnitMobility">UnitMobility[UnitMobility]</definedName>
    <definedName name="ListUnitOel">UnitOel[UnitOel]</definedName>
    <definedName name="ListUnitOther">UnitOther[UnitOther]</definedName>
    <definedName name="miv_km_ch">Param!$C$20</definedName>
    <definedName name="miv_km_gemeinde">Data!$P$67</definedName>
    <definedName name="mobility_factor">Param!$C$21</definedName>
    <definedName name="MWh_in_W">Param!$C$10</definedName>
    <definedName name="network_loss">Param!$C$23</definedName>
    <definedName name="nn_deu">Images!$D$4</definedName>
    <definedName name="nn_fra">Images!$D$6</definedName>
    <definedName name="nn_ita">Images!$D$8</definedName>
    <definedName name="tCO2_eq_Fahrzeug">Param!$C$7</definedName>
    <definedName name="tCO2_eq_Scope3_inhabitant">Param!$C$8</definedName>
    <definedName name="tCO2_vehicle">Param!$C$7</definedName>
    <definedName name="UnitFactor">Param!$C$27</definedName>
    <definedName name="volllaststunden">Param!$C$4</definedName>
    <definedName name="Zuschlag_AntErn_Verkehr">Param!$C$19</definedName>
    <definedName name="Zuschlag_EndEnergie_Verkehr">Param!$C$17</definedName>
    <definedName name="Zuschlag_PrimEnergie_Verkehr">Param!$C$18</definedName>
    <definedName name="Zuschlag_tCO2_Verkehr">Param!$C$16</definedName>
    <definedName name="Zuschlag_Watt_Verkehr">Param!#REF!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26" i="5" l="1"/>
  <c r="T21" i="1" l="1"/>
  <c r="T20" i="1"/>
  <c r="C54" i="1" l="1"/>
  <c r="L54" i="1" s="1"/>
  <c r="C43" i="1"/>
  <c r="J43" i="1" s="1"/>
  <c r="J54" i="1" l="1"/>
  <c r="D54" i="1"/>
  <c r="F54" i="1"/>
  <c r="H54" i="1"/>
  <c r="H43" i="1"/>
  <c r="F43" i="1"/>
  <c r="L43" i="1"/>
  <c r="D43" i="1"/>
  <c r="C30" i="9"/>
  <c r="W21" i="1"/>
  <c r="W20" i="1"/>
  <c r="U3" i="1"/>
  <c r="T80" i="1"/>
  <c r="T79" i="1"/>
  <c r="T78" i="1"/>
  <c r="T77" i="1"/>
  <c r="T73" i="1"/>
  <c r="T72" i="1"/>
  <c r="T71" i="1"/>
  <c r="T70" i="1"/>
  <c r="T67" i="1"/>
  <c r="T63" i="1"/>
  <c r="T12" i="1"/>
  <c r="AD41" i="5"/>
  <c r="O70" i="5"/>
  <c r="P70" i="5" s="1"/>
  <c r="Y60" i="5"/>
  <c r="C29" i="9"/>
  <c r="B26" i="5" l="1" a="1"/>
  <c r="B26" i="5" s="1"/>
  <c r="B51" i="5" a="1"/>
  <c r="B51" i="5" s="1"/>
  <c r="T3" i="1" a="1"/>
  <c r="T3" i="1" s="1"/>
  <c r="Z60" i="5"/>
  <c r="O60" i="5"/>
  <c r="P60" i="5" s="1"/>
  <c r="R70" i="1" a="1"/>
  <c r="R70" i="1" s="1"/>
  <c r="U70" i="1" a="1"/>
  <c r="U70" i="1" s="1"/>
  <c r="Y26" i="1" a="1"/>
  <c r="Y26" i="1" s="1"/>
  <c r="Y22" i="1" a="1"/>
  <c r="Y22" i="1" s="1"/>
  <c r="B1" i="8" a="1"/>
  <c r="B1" i="8" s="1"/>
  <c r="O26" i="1" a="1"/>
  <c r="O26" i="1" s="1"/>
  <c r="R12" i="1" a="1"/>
  <c r="R12" i="1" s="1"/>
  <c r="B5" i="4" a="1"/>
  <c r="B5" i="4" s="1"/>
  <c r="B1" i="10" a="1"/>
  <c r="B1" i="10" s="1"/>
  <c r="B4" i="4" a="1"/>
  <c r="B4" i="4" s="1"/>
  <c r="I3" i="5" a="1"/>
  <c r="I3" i="5" s="1"/>
  <c r="B9" i="10" a="1"/>
  <c r="B9" i="10" s="1"/>
  <c r="G3" i="9" a="1"/>
  <c r="G3" i="9" s="1"/>
  <c r="G1" i="9" a="1"/>
  <c r="G1" i="9" s="1"/>
  <c r="G27" i="9" a="1"/>
  <c r="G27" i="9" s="1"/>
  <c r="O20" i="1" a="1"/>
  <c r="O20" i="1" s="1"/>
  <c r="G28" i="9" a="1"/>
  <c r="G28" i="9" s="1"/>
  <c r="G29" i="9" a="1"/>
  <c r="G29" i="9" s="1"/>
  <c r="G30" i="9" a="1"/>
  <c r="G30" i="9" s="1"/>
  <c r="AB1" i="5" a="1"/>
  <c r="AB1" i="5" s="1"/>
  <c r="B5" i="5" a="1"/>
  <c r="B5" i="5" s="1"/>
  <c r="R7" i="1" a="1"/>
  <c r="R7" i="1" s="1"/>
  <c r="O53" i="1" a="1"/>
  <c r="O53" i="1" s="1"/>
  <c r="R40" i="1" a="1"/>
  <c r="R40" i="1" s="1"/>
  <c r="V3" i="1"/>
  <c r="Z3" i="1"/>
  <c r="R39" i="1" a="1"/>
  <c r="R39" i="1" s="1"/>
  <c r="O7" i="1" a="1"/>
  <c r="O7" i="1" s="1"/>
  <c r="C7" i="10" a="1"/>
  <c r="C7" i="10" s="1"/>
  <c r="Y1" i="1" a="1"/>
  <c r="Y1" i="1" s="1"/>
  <c r="O29" i="1" a="1"/>
  <c r="O29" i="1" s="1"/>
  <c r="Y29" i="1" a="1"/>
  <c r="Y29" i="1" s="1"/>
  <c r="B26" i="6" a="1"/>
  <c r="B26" i="6" s="1"/>
  <c r="T9" i="1" a="1"/>
  <c r="T9" i="1" s="1"/>
  <c r="Y63" i="1" a="1"/>
  <c r="Y63" i="1" s="1"/>
  <c r="A23" i="9" a="1"/>
  <c r="A23" i="9" s="1"/>
  <c r="T10" i="1" a="1"/>
  <c r="T10" i="1" s="1"/>
  <c r="O48" i="1" a="1"/>
  <c r="O48" i="1" s="1"/>
  <c r="Y77" i="1" a="1"/>
  <c r="Y77" i="1" s="1"/>
  <c r="E16" i="9" a="1"/>
  <c r="E16" i="9" s="1"/>
  <c r="O21" i="1" a="1"/>
  <c r="O21" i="1" s="1"/>
  <c r="O25" i="1" a="1"/>
  <c r="O25" i="1" s="1"/>
  <c r="O30" i="1" a="1"/>
  <c r="O30" i="1" s="1"/>
  <c r="AA9" i="1" a="1"/>
  <c r="AA9" i="1" s="1"/>
  <c r="O49" i="1" a="1"/>
  <c r="O49" i="1" s="1"/>
  <c r="B42" i="5" a="1"/>
  <c r="B42" i="5" s="1"/>
  <c r="B43" i="5" a="1"/>
  <c r="B43" i="5" s="1"/>
  <c r="O83" i="1" a="1"/>
  <c r="O83" i="1" s="1"/>
  <c r="AB3" i="5" a="1"/>
  <c r="AB3" i="5" s="1"/>
  <c r="G8" i="10" a="1"/>
  <c r="G8" i="10" s="1"/>
  <c r="A22" i="9" a="1"/>
  <c r="A22" i="9" s="1"/>
  <c r="E11" i="9" a="1"/>
  <c r="E11" i="9" s="1"/>
  <c r="O58" i="1" a="1"/>
  <c r="O58" i="1" s="1"/>
  <c r="R51" i="1" a="1"/>
  <c r="R51" i="1" s="1"/>
  <c r="B14" i="5" a="1"/>
  <c r="B14" i="5" s="1"/>
  <c r="B54" i="5" a="1"/>
  <c r="B54" i="5" s="1"/>
  <c r="R7" i="5" a="1"/>
  <c r="R7" i="5" s="1"/>
  <c r="B13" i="10" a="1"/>
  <c r="B13" i="10" s="1"/>
  <c r="B10" i="6" a="1"/>
  <c r="B10" i="6" s="1"/>
  <c r="B8" i="9" a="1"/>
  <c r="B8" i="9" s="1"/>
  <c r="E24" i="9" a="1"/>
  <c r="E24" i="9" s="1"/>
  <c r="A2" i="2" a="1"/>
  <c r="A2" i="2" s="1"/>
  <c r="O35" i="1" a="1"/>
  <c r="O35" i="1" s="1"/>
  <c r="O60" i="1" a="1"/>
  <c r="O60" i="1" s="1"/>
  <c r="R52" i="1" a="1"/>
  <c r="R52" i="1" s="1"/>
  <c r="B15" i="5" a="1"/>
  <c r="B15" i="5" s="1"/>
  <c r="B55" i="5" a="1"/>
  <c r="B55" i="5" s="1"/>
  <c r="J33" i="5" a="1"/>
  <c r="J33" i="5" s="1"/>
  <c r="B14" i="10" a="1"/>
  <c r="B14" i="10" s="1"/>
  <c r="A1" i="9" a="1"/>
  <c r="A1" i="9" s="1"/>
  <c r="B9" i="9" a="1"/>
  <c r="B9" i="9" s="1"/>
  <c r="E25" i="9" a="1"/>
  <c r="E25" i="9" s="1"/>
  <c r="A31" i="2" a="1"/>
  <c r="A31" i="2" s="1"/>
  <c r="U12" i="1" a="1"/>
  <c r="U12" i="1" s="1"/>
  <c r="O38" i="1" a="1"/>
  <c r="O38" i="1" s="1"/>
  <c r="O70" i="1" a="1"/>
  <c r="O70" i="1" s="1"/>
  <c r="B24" i="5" a="1"/>
  <c r="B24" i="5" s="1"/>
  <c r="B65" i="5" a="1"/>
  <c r="B65" i="5" s="1"/>
  <c r="J55" i="5" a="1"/>
  <c r="J55" i="5" s="1"/>
  <c r="B6" i="6" a="1"/>
  <c r="B6" i="6" s="1"/>
  <c r="A9" i="9" a="1"/>
  <c r="A9" i="9" s="1"/>
  <c r="C3" i="9" a="1"/>
  <c r="C3" i="9" s="1"/>
  <c r="G22" i="9" a="1"/>
  <c r="G22" i="9" s="1"/>
  <c r="C2" i="2" a="1"/>
  <c r="C2" i="2" s="1"/>
  <c r="O5" i="1" a="1"/>
  <c r="O5" i="1" s="1"/>
  <c r="O17" i="1" a="1"/>
  <c r="O17" i="1" s="1"/>
  <c r="O39" i="1" a="1"/>
  <c r="O39" i="1" s="1"/>
  <c r="O71" i="1" a="1"/>
  <c r="O71" i="1" s="1"/>
  <c r="U71" i="1" a="1"/>
  <c r="U71" i="1" s="1"/>
  <c r="B25" i="5" a="1"/>
  <c r="B25" i="5" s="1"/>
  <c r="B66" i="5" a="1"/>
  <c r="B66" i="5" s="1"/>
  <c r="J56" i="5" a="1"/>
  <c r="J56" i="5" s="1"/>
  <c r="B7" i="6" a="1"/>
  <c r="B7" i="6" s="1"/>
  <c r="A10" i="9" a="1"/>
  <c r="A10" i="9" s="1"/>
  <c r="E3" i="9" a="1"/>
  <c r="E3" i="9" s="1"/>
  <c r="G23" i="9" a="1"/>
  <c r="G23" i="9" s="1"/>
  <c r="O45" i="1" a="1"/>
  <c r="O45" i="1" s="1"/>
  <c r="O80" i="1" a="1"/>
  <c r="O80" i="1" s="1"/>
  <c r="Y25" i="1" a="1"/>
  <c r="Y25" i="1" s="1"/>
  <c r="B33" i="5" a="1"/>
  <c r="B33" i="5" s="1"/>
  <c r="P7" i="5" a="1"/>
  <c r="P7" i="5" s="1"/>
  <c r="B17" i="6" a="1"/>
  <c r="B17" i="6" s="1"/>
  <c r="A16" i="9" a="1"/>
  <c r="A16" i="9" s="1"/>
  <c r="E12" i="9" a="1"/>
  <c r="E12" i="9" s="1"/>
  <c r="G19" i="9" a="1"/>
  <c r="G19" i="9" s="1"/>
  <c r="B34" i="5" a="1"/>
  <c r="B34" i="5" s="1"/>
  <c r="F4" i="5" a="1"/>
  <c r="F4" i="5" s="1"/>
  <c r="B3" i="10" a="1"/>
  <c r="B3" i="10" s="1"/>
  <c r="B18" i="6" a="1"/>
  <c r="B18" i="6" s="1"/>
  <c r="A17" i="9" a="1"/>
  <c r="A17" i="9" s="1"/>
  <c r="E13" i="9" a="1"/>
  <c r="E13" i="9" s="1"/>
  <c r="G20" i="9" a="1"/>
  <c r="G20" i="9" s="1"/>
  <c r="U10" i="1" a="1"/>
  <c r="U10" i="1" s="1"/>
  <c r="O22" i="1" a="1"/>
  <c r="O22" i="1" s="1"/>
  <c r="O31" i="1" a="1"/>
  <c r="O31" i="1" s="1"/>
  <c r="O40" i="1" a="1"/>
  <c r="O40" i="1" s="1"/>
  <c r="O50" i="1" a="1"/>
  <c r="O50" i="1" s="1"/>
  <c r="O61" i="1" a="1"/>
  <c r="O61" i="1" s="1"/>
  <c r="O72" i="1" a="1"/>
  <c r="O72" i="1" s="1"/>
  <c r="O84" i="1" a="1"/>
  <c r="O84" i="1" s="1"/>
  <c r="R41" i="1" a="1"/>
  <c r="R41" i="1" s="1"/>
  <c r="R53" i="1" a="1"/>
  <c r="R53" i="1" s="1"/>
  <c r="U72" i="1" a="1"/>
  <c r="U72" i="1" s="1"/>
  <c r="Y30" i="1" a="1"/>
  <c r="Y30" i="1" s="1"/>
  <c r="Y84" i="1" a="1"/>
  <c r="Y84" i="1" s="1"/>
  <c r="B16" i="5" a="1"/>
  <c r="B16" i="5" s="1"/>
  <c r="B35" i="5" a="1"/>
  <c r="B35" i="5" s="1"/>
  <c r="B44" i="5" a="1"/>
  <c r="B44" i="5" s="1"/>
  <c r="B56" i="5" a="1"/>
  <c r="B56" i="5" s="1"/>
  <c r="B67" i="5" a="1"/>
  <c r="B67" i="5" s="1"/>
  <c r="I4" i="5" a="1"/>
  <c r="I4" i="5" s="1"/>
  <c r="AD7" i="5" a="1"/>
  <c r="AD7" i="5" s="1"/>
  <c r="N33" i="5" a="1"/>
  <c r="N33" i="5" s="1"/>
  <c r="N55" i="5" a="1"/>
  <c r="N55" i="5" s="1"/>
  <c r="G1" i="10" a="1"/>
  <c r="G1" i="10" s="1"/>
  <c r="D7" i="10" a="1"/>
  <c r="D7" i="10" s="1"/>
  <c r="B15" i="10" a="1"/>
  <c r="B15" i="10" s="1"/>
  <c r="B8" i="6" a="1"/>
  <c r="B8" i="6" s="1"/>
  <c r="B19" i="6" a="1"/>
  <c r="B19" i="6" s="1"/>
  <c r="B27" i="6" a="1"/>
  <c r="B27" i="6" s="1"/>
  <c r="A3" i="9" a="1"/>
  <c r="A3" i="9" s="1"/>
  <c r="A18" i="9" a="1"/>
  <c r="A18" i="9" s="1"/>
  <c r="A24" i="9" a="1"/>
  <c r="A24" i="9" s="1"/>
  <c r="B16" i="9" a="1"/>
  <c r="B16" i="9" s="1"/>
  <c r="E4" i="9" a="1"/>
  <c r="E4" i="9" s="1"/>
  <c r="E14" i="9" a="1"/>
  <c r="E14" i="9" s="1"/>
  <c r="E17" i="9" a="1"/>
  <c r="E17" i="9" s="1"/>
  <c r="E6" i="9" a="1"/>
  <c r="E6" i="9" s="1"/>
  <c r="G7" i="9" a="1"/>
  <c r="G7" i="9" s="1"/>
  <c r="G24" i="9" a="1"/>
  <c r="G24" i="9" s="1"/>
  <c r="C13" i="2" a="1"/>
  <c r="C13" i="2" s="1"/>
  <c r="A3" i="2" a="1"/>
  <c r="A3" i="2" s="1"/>
  <c r="R3" i="1" a="1"/>
  <c r="R3" i="1" s="1"/>
  <c r="R5" i="1" a="1"/>
  <c r="R5" i="1" s="1"/>
  <c r="O14" i="1" a="1"/>
  <c r="O14" i="1" s="1"/>
  <c r="O41" i="1" a="1"/>
  <c r="O41" i="1" s="1"/>
  <c r="O51" i="1" a="1"/>
  <c r="O51" i="1" s="1"/>
  <c r="O63" i="1" a="1"/>
  <c r="O63" i="1" s="1"/>
  <c r="O73" i="1" a="1"/>
  <c r="O73" i="1" s="1"/>
  <c r="R22" i="1" a="1"/>
  <c r="R22" i="1" s="1"/>
  <c r="R42" i="1" a="1"/>
  <c r="R42" i="1" s="1"/>
  <c r="R58" i="1" a="1"/>
  <c r="R58" i="1" s="1"/>
  <c r="U73" i="1" a="1"/>
  <c r="U73" i="1" s="1"/>
  <c r="Y31" i="1" a="1"/>
  <c r="Y31" i="1" s="1"/>
  <c r="B1" i="5" a="1"/>
  <c r="B1" i="5" s="1"/>
  <c r="B17" i="5" a="1"/>
  <c r="B17" i="5" s="1"/>
  <c r="B27" i="5" a="1"/>
  <c r="B27" i="5" s="1"/>
  <c r="B36" i="5" a="1"/>
  <c r="B36" i="5" s="1"/>
  <c r="B46" i="5" a="1"/>
  <c r="B46" i="5" s="1"/>
  <c r="B57" i="5" a="1"/>
  <c r="B57" i="5" s="1"/>
  <c r="B69" i="5" a="1"/>
  <c r="B69" i="5" s="1"/>
  <c r="M4" i="5" a="1"/>
  <c r="M4" i="5" s="1"/>
  <c r="Z7" i="5" a="1"/>
  <c r="Z7" i="5" s="1"/>
  <c r="S33" i="5" a="1"/>
  <c r="S33" i="5" s="1"/>
  <c r="N56" i="5" a="1"/>
  <c r="N56" i="5" s="1"/>
  <c r="B5" i="10" a="1"/>
  <c r="B5" i="10" s="1"/>
  <c r="E7" i="10" a="1"/>
  <c r="E7" i="10" s="1"/>
  <c r="B1" i="6" a="1"/>
  <c r="B1" i="6" s="1"/>
  <c r="B11" i="6" a="1"/>
  <c r="B11" i="6" s="1"/>
  <c r="B20" i="6" a="1"/>
  <c r="B20" i="6" s="1"/>
  <c r="B28" i="6" a="1"/>
  <c r="B28" i="6" s="1"/>
  <c r="A4" i="9" a="1"/>
  <c r="A4" i="9" s="1"/>
  <c r="A11" i="9" a="1"/>
  <c r="A11" i="9" s="1"/>
  <c r="A25" i="9" a="1"/>
  <c r="A25" i="9" s="1"/>
  <c r="B17" i="9" a="1"/>
  <c r="B17" i="9" s="1"/>
  <c r="E5" i="9" a="1"/>
  <c r="E5" i="9" s="1"/>
  <c r="E15" i="9" a="1"/>
  <c r="E15" i="9" s="1"/>
  <c r="E18" i="9" a="1"/>
  <c r="E18" i="9" s="1"/>
  <c r="G9" i="9" a="1"/>
  <c r="G9" i="9" s="1"/>
  <c r="G8" i="9" a="1"/>
  <c r="G8" i="9" s="1"/>
  <c r="G25" i="9" a="1"/>
  <c r="G25" i="9" s="1"/>
  <c r="A4" i="2" a="1"/>
  <c r="A4" i="2" s="1"/>
  <c r="C14" i="2" a="1"/>
  <c r="C14" i="2" s="1"/>
  <c r="Y12" i="1" a="1"/>
  <c r="Y12" i="1" s="1"/>
  <c r="V10" i="1" a="1"/>
  <c r="V10" i="1" s="1"/>
  <c r="O23" i="1" a="1"/>
  <c r="O23" i="1" s="1"/>
  <c r="O33" i="1" a="1"/>
  <c r="O33" i="1" s="1"/>
  <c r="O1" i="1" a="1"/>
  <c r="O1" i="1" s="1"/>
  <c r="Y9" i="1" a="1"/>
  <c r="Y9" i="1" s="1"/>
  <c r="O16" i="1" a="1"/>
  <c r="O16" i="1" s="1"/>
  <c r="O24" i="1" a="1"/>
  <c r="O24" i="1" s="1"/>
  <c r="O34" i="1" a="1"/>
  <c r="O34" i="1" s="1"/>
  <c r="O42" i="1" a="1"/>
  <c r="O42" i="1" s="1"/>
  <c r="O52" i="1" a="1"/>
  <c r="O52" i="1" s="1"/>
  <c r="O65" i="1" a="1"/>
  <c r="O65" i="1" s="1"/>
  <c r="O75" i="1" a="1"/>
  <c r="O75" i="1" s="1"/>
  <c r="R26" i="1" a="1"/>
  <c r="R26" i="1" s="1"/>
  <c r="R47" i="1" a="1"/>
  <c r="R47" i="1" s="1"/>
  <c r="R61" i="1" a="1"/>
  <c r="R61" i="1" s="1"/>
  <c r="U84" i="1" a="1"/>
  <c r="U84" i="1" s="1"/>
  <c r="Y35" i="1" a="1"/>
  <c r="Y35" i="1" s="1"/>
  <c r="B18" i="5" a="1"/>
  <c r="B18" i="5" s="1"/>
  <c r="B29" i="5" a="1"/>
  <c r="B29" i="5" s="1"/>
  <c r="B38" i="5" a="1"/>
  <c r="B38" i="5" s="1"/>
  <c r="B47" i="5" a="1"/>
  <c r="B47" i="5" s="1"/>
  <c r="B58" i="5" a="1"/>
  <c r="B58" i="5" s="1"/>
  <c r="B70" i="5" a="1"/>
  <c r="B70" i="5" s="1"/>
  <c r="R4" i="5" a="1"/>
  <c r="R4" i="5" s="1"/>
  <c r="X7" i="5" a="1"/>
  <c r="X7" i="5" s="1"/>
  <c r="AC33" i="5" a="1"/>
  <c r="AC33" i="5" s="1"/>
  <c r="O55" i="5" a="1"/>
  <c r="O55" i="5" s="1"/>
  <c r="C8" i="10" a="1"/>
  <c r="C8" i="10" s="1"/>
  <c r="F7" i="10" a="1"/>
  <c r="F7" i="10" s="1"/>
  <c r="L1" i="6" a="1"/>
  <c r="L1" i="6" s="1"/>
  <c r="B12" i="6" a="1"/>
  <c r="B12" i="6" s="1"/>
  <c r="B21" i="6" a="1"/>
  <c r="B21" i="6" s="1"/>
  <c r="L4" i="6" a="1"/>
  <c r="L4" i="6" s="1"/>
  <c r="A5" i="9" a="1"/>
  <c r="A5" i="9" s="1"/>
  <c r="A12" i="9" a="1"/>
  <c r="A12" i="9" s="1"/>
  <c r="A19" i="9" a="1"/>
  <c r="A19" i="9" s="1"/>
  <c r="B3" i="9" a="1"/>
  <c r="B3" i="9" s="1"/>
  <c r="B18" i="9" a="1"/>
  <c r="B18" i="9" s="1"/>
  <c r="E8" i="9" a="1"/>
  <c r="E8" i="9" s="1"/>
  <c r="G12" i="9" a="1"/>
  <c r="G12" i="9" s="1"/>
  <c r="G10" i="9" a="1"/>
  <c r="G10" i="9" s="1"/>
  <c r="G21" i="9" a="1"/>
  <c r="G21" i="9" s="1"/>
  <c r="A5" i="2" a="1"/>
  <c r="A5" i="2" s="1"/>
  <c r="C15" i="2" a="1"/>
  <c r="C15" i="2" s="1"/>
  <c r="O66" i="1" a="1"/>
  <c r="O66" i="1" s="1"/>
  <c r="O77" i="1" a="1"/>
  <c r="O77" i="1" s="1"/>
  <c r="R36" i="1" a="1"/>
  <c r="R36" i="1" s="1"/>
  <c r="R48" i="1" a="1"/>
  <c r="R48" i="1" s="1"/>
  <c r="R84" i="1" a="1"/>
  <c r="R84" i="1" s="1"/>
  <c r="Y20" i="1" a="1"/>
  <c r="Y20" i="1" s="1"/>
  <c r="Y46" i="1" a="1"/>
  <c r="Y46" i="1" s="1"/>
  <c r="B10" i="5" a="1"/>
  <c r="B10" i="5" s="1"/>
  <c r="B19" i="5" a="1"/>
  <c r="B19" i="5" s="1"/>
  <c r="B30" i="5" a="1"/>
  <c r="B30" i="5" s="1"/>
  <c r="B39" i="5" a="1"/>
  <c r="B39" i="5" s="1"/>
  <c r="B49" i="5" a="1"/>
  <c r="B49" i="5" s="1"/>
  <c r="B60" i="5" a="1"/>
  <c r="B60" i="5" s="1"/>
  <c r="F3" i="5" a="1"/>
  <c r="F3" i="5" s="1"/>
  <c r="AB4" i="5" a="1"/>
  <c r="AB4" i="5" s="1"/>
  <c r="V7" i="5" a="1"/>
  <c r="V7" i="5" s="1"/>
  <c r="S26" i="5" a="1"/>
  <c r="S26" i="5" s="1"/>
  <c r="O56" i="5" a="1"/>
  <c r="O56" i="5" s="1"/>
  <c r="D8" i="10" a="1"/>
  <c r="D8" i="10" s="1"/>
  <c r="G7" i="10" a="1"/>
  <c r="G7" i="10" s="1"/>
  <c r="D3" i="6" a="1"/>
  <c r="D3" i="6" s="1"/>
  <c r="B13" i="6" a="1"/>
  <c r="B13" i="6" s="1"/>
  <c r="B23" i="6" a="1"/>
  <c r="B23" i="6" s="1"/>
  <c r="N4" i="6" a="1"/>
  <c r="N4" i="6" s="1"/>
  <c r="A6" i="9" a="1"/>
  <c r="A6" i="9" s="1"/>
  <c r="A13" i="9" a="1"/>
  <c r="A13" i="9" s="1"/>
  <c r="A20" i="9" a="1"/>
  <c r="A20" i="9" s="1"/>
  <c r="B4" i="9" a="1"/>
  <c r="B4" i="9" s="1"/>
  <c r="B19" i="9" a="1"/>
  <c r="B19" i="9" s="1"/>
  <c r="E9" i="9" a="1"/>
  <c r="E9" i="9" s="1"/>
  <c r="E22" i="9" a="1"/>
  <c r="E22" i="9" s="1"/>
  <c r="E19" i="9" a="1"/>
  <c r="E19" i="9" s="1"/>
  <c r="G13" i="9" a="1"/>
  <c r="G13" i="9" s="1"/>
  <c r="G16" i="9" a="1"/>
  <c r="G16" i="9" s="1"/>
  <c r="A6" i="2" a="1"/>
  <c r="A6" i="2" s="1"/>
  <c r="C19" i="2" a="1"/>
  <c r="C19" i="2" s="1"/>
  <c r="C28" i="9" s="1"/>
  <c r="O11" i="1" a="1"/>
  <c r="O11" i="1" s="1"/>
  <c r="O18" i="1" a="1"/>
  <c r="O18" i="1" s="1"/>
  <c r="O36" i="1" a="1"/>
  <c r="O36" i="1" s="1"/>
  <c r="O67" i="1" a="1"/>
  <c r="O67" i="1" s="1"/>
  <c r="R49" i="1" a="1"/>
  <c r="R49" i="1" s="1"/>
  <c r="Y57" i="1" a="1"/>
  <c r="Y57" i="1" s="1"/>
  <c r="B12" i="5" a="1"/>
  <c r="B12" i="5" s="1"/>
  <c r="B31" i="5" a="1"/>
  <c r="B31" i="5" s="1"/>
  <c r="B40" i="5" a="1"/>
  <c r="B40" i="5" s="1"/>
  <c r="B62" i="5" a="1"/>
  <c r="B62" i="5" s="1"/>
  <c r="G7" i="5" a="1"/>
  <c r="G7" i="5" s="1"/>
  <c r="M3" i="5" a="1"/>
  <c r="M3" i="5" s="1"/>
  <c r="T7" i="5" a="1"/>
  <c r="T7" i="5" s="1"/>
  <c r="R57" i="5" a="1"/>
  <c r="R57" i="5" s="1"/>
  <c r="AC55" i="5" a="1"/>
  <c r="AC55" i="5" s="1"/>
  <c r="E8" i="10" a="1"/>
  <c r="E8" i="10" s="1"/>
  <c r="B11" i="10" a="1"/>
  <c r="B11" i="10" s="1"/>
  <c r="I3" i="6" a="1"/>
  <c r="I3" i="6" s="1"/>
  <c r="B14" i="6" a="1"/>
  <c r="B14" i="6" s="1"/>
  <c r="B24" i="6" a="1"/>
  <c r="B24" i="6" s="1"/>
  <c r="O4" i="6" a="1"/>
  <c r="O4" i="6" s="1"/>
  <c r="A7" i="9" a="1"/>
  <c r="A7" i="9" s="1"/>
  <c r="A14" i="9" a="1"/>
  <c r="A14" i="9" s="1"/>
  <c r="B5" i="9" a="1"/>
  <c r="B5" i="9" s="1"/>
  <c r="B24" i="9" a="1"/>
  <c r="B24" i="9" s="1"/>
  <c r="E23" i="9" a="1"/>
  <c r="E23" i="9" s="1"/>
  <c r="E20" i="9" a="1"/>
  <c r="E20" i="9" s="1"/>
  <c r="G14" i="9" a="1"/>
  <c r="G14" i="9" s="1"/>
  <c r="G17" i="9" a="1"/>
  <c r="G17" i="9" s="1"/>
  <c r="A11" i="2" a="1"/>
  <c r="A11" i="2" s="1"/>
  <c r="C23" i="2" a="1"/>
  <c r="C23" i="2" s="1"/>
  <c r="P9" i="1" a="1"/>
  <c r="P9" i="1" s="1"/>
  <c r="O46" i="1" a="1"/>
  <c r="O46" i="1" s="1"/>
  <c r="O56" i="1" a="1"/>
  <c r="O56" i="1" s="1"/>
  <c r="O78" i="1" a="1"/>
  <c r="O78" i="1" s="1"/>
  <c r="R37" i="1" a="1"/>
  <c r="R37" i="1" s="1"/>
  <c r="R67" i="1" a="1"/>
  <c r="R67" i="1" s="1"/>
  <c r="Y21" i="1" a="1"/>
  <c r="Y21" i="1" s="1"/>
  <c r="B20" i="5" a="1"/>
  <c r="B20" i="5" s="1"/>
  <c r="O3" i="1" a="1"/>
  <c r="O3" i="1" s="1"/>
  <c r="R9" i="1" a="1"/>
  <c r="R9" i="1" s="1"/>
  <c r="O12" i="1" a="1"/>
  <c r="O12" i="1" s="1"/>
  <c r="O19" i="1" a="1"/>
  <c r="O19" i="1" s="1"/>
  <c r="O28" i="1" a="1"/>
  <c r="O28" i="1" s="1"/>
  <c r="O37" i="1" a="1"/>
  <c r="O37" i="1" s="1"/>
  <c r="O47" i="1" a="1"/>
  <c r="O47" i="1" s="1"/>
  <c r="O57" i="1" a="1"/>
  <c r="O57" i="1" s="1"/>
  <c r="O69" i="1" a="1"/>
  <c r="O69" i="1" s="1"/>
  <c r="O79" i="1" a="1"/>
  <c r="O79" i="1" s="1"/>
  <c r="R38" i="1" a="1"/>
  <c r="R38" i="1" s="1"/>
  <c r="R50" i="1" a="1"/>
  <c r="R50" i="1" s="1"/>
  <c r="U67" i="1" a="1"/>
  <c r="U67" i="1" s="1"/>
  <c r="Y24" i="1" a="1"/>
  <c r="Y24" i="1" s="1"/>
  <c r="Y60" i="1" a="1"/>
  <c r="Y60" i="1" s="1"/>
  <c r="B13" i="5" a="1"/>
  <c r="B13" i="5" s="1"/>
  <c r="B21" i="5" a="1"/>
  <c r="B21" i="5" s="1"/>
  <c r="B32" i="5" a="1"/>
  <c r="B32" i="5" s="1"/>
  <c r="B41" i="5" a="1"/>
  <c r="B41" i="5" s="1"/>
  <c r="B53" i="5" a="1"/>
  <c r="B53" i="5" s="1"/>
  <c r="B64" i="5" a="1"/>
  <c r="B64" i="5" s="1"/>
  <c r="K7" i="5" a="1"/>
  <c r="K7" i="5" s="1"/>
  <c r="R3" i="5" a="1"/>
  <c r="R3" i="5" s="1"/>
  <c r="S7" i="5" a="1"/>
  <c r="S7" i="5" s="1"/>
  <c r="R58" i="5" a="1"/>
  <c r="R58" i="5" s="1"/>
  <c r="AC56" i="5" a="1"/>
  <c r="AC56" i="5" s="1"/>
  <c r="F8" i="10" a="1"/>
  <c r="F8" i="10" s="1"/>
  <c r="B12" i="10" a="1"/>
  <c r="B12" i="10" s="1"/>
  <c r="B5" i="6" a="1"/>
  <c r="B5" i="6" s="1"/>
  <c r="B15" i="6" a="1"/>
  <c r="B15" i="6" s="1"/>
  <c r="B25" i="6" a="1"/>
  <c r="B25" i="6" s="1"/>
  <c r="B9" i="6" a="1"/>
  <c r="B9" i="6" s="1"/>
  <c r="A8" i="9" a="1"/>
  <c r="A8" i="9" s="1"/>
  <c r="A15" i="9" a="1"/>
  <c r="A15" i="9" s="1"/>
  <c r="A21" i="9" a="1"/>
  <c r="A21" i="9" s="1"/>
  <c r="B7" i="9" a="1"/>
  <c r="B7" i="9" s="1"/>
  <c r="B25" i="9" a="1"/>
  <c r="B25" i="9" s="1"/>
  <c r="E10" i="9" a="1"/>
  <c r="E10" i="9" s="1"/>
  <c r="E7" i="9" a="1"/>
  <c r="E7" i="9" s="1"/>
  <c r="E21" i="9" a="1"/>
  <c r="E21" i="9" s="1"/>
  <c r="G15" i="9" a="1"/>
  <c r="G15" i="9" s="1"/>
  <c r="G18" i="9" a="1"/>
  <c r="G18" i="9" s="1"/>
  <c r="G4" i="9" a="1"/>
  <c r="G4" i="9" s="1"/>
  <c r="A30" i="2" a="1"/>
  <c r="A30" i="2" s="1"/>
  <c r="T66" i="1" l="1" a="1"/>
  <c r="T66" i="1" s="1"/>
  <c r="M28" i="6"/>
  <c r="L28" i="6"/>
  <c r="O28" i="6"/>
  <c r="N28" i="6"/>
  <c r="T8" i="5"/>
  <c r="L10" i="6"/>
  <c r="G10" i="6"/>
  <c r="Y49" i="5" l="1"/>
  <c r="Z49" i="5" s="1"/>
  <c r="D36" i="1"/>
  <c r="O41" i="5"/>
  <c r="J41" i="5"/>
  <c r="N41" i="5" l="1"/>
  <c r="P41" i="5" s="1"/>
  <c r="K41" i="5"/>
  <c r="V8" i="5"/>
  <c r="S8" i="5"/>
  <c r="F31" i="5"/>
  <c r="G31" i="5" s="1"/>
  <c r="O40" i="5"/>
  <c r="O39" i="5"/>
  <c r="O31" i="5"/>
  <c r="J40" i="5"/>
  <c r="J39" i="5"/>
  <c r="O32" i="5"/>
  <c r="F32" i="5"/>
  <c r="G32" i="5" s="1"/>
  <c r="P54" i="1"/>
  <c r="P43" i="1"/>
  <c r="M54" i="1" l="1"/>
  <c r="E54" i="1"/>
  <c r="I54" i="1"/>
  <c r="G54" i="1"/>
  <c r="K54" i="1"/>
  <c r="I43" i="1"/>
  <c r="G43" i="1"/>
  <c r="E43" i="1"/>
  <c r="M43" i="1"/>
  <c r="K43" i="1"/>
  <c r="N39" i="5"/>
  <c r="P39" i="5" s="1"/>
  <c r="K39" i="5"/>
  <c r="N40" i="5"/>
  <c r="P40" i="5" s="1"/>
  <c r="K40" i="5"/>
  <c r="AC39" i="5"/>
  <c r="AD39" i="5" s="1"/>
  <c r="AC40" i="5"/>
  <c r="AD40" i="5" s="1"/>
  <c r="AB32" i="5"/>
  <c r="AD32" i="5" s="1"/>
  <c r="AB31" i="5"/>
  <c r="AD31" i="5" s="1"/>
  <c r="I31" i="5"/>
  <c r="K31" i="5" s="1"/>
  <c r="I32" i="5"/>
  <c r="K32" i="5" s="1"/>
  <c r="A54" i="1"/>
  <c r="B54" i="1" s="1"/>
  <c r="A43" i="1"/>
  <c r="A52" i="1"/>
  <c r="B52" i="1" s="1"/>
  <c r="A41" i="1"/>
  <c r="B41" i="1" s="1"/>
  <c r="A17" i="1"/>
  <c r="B17" i="1"/>
  <c r="D17" i="1"/>
  <c r="E17" i="1" s="1"/>
  <c r="F17" i="1"/>
  <c r="G17" i="1" s="1"/>
  <c r="H17" i="1"/>
  <c r="I17" i="1" s="1"/>
  <c r="J17" i="1"/>
  <c r="K17" i="1" s="1"/>
  <c r="L17" i="1"/>
  <c r="M17" i="1" s="1"/>
  <c r="A53" i="1"/>
  <c r="B53" i="1" s="1"/>
  <c r="A51" i="1"/>
  <c r="B51" i="1" s="1"/>
  <c r="A50" i="1"/>
  <c r="B50" i="1" s="1"/>
  <c r="A49" i="1"/>
  <c r="B49" i="1" s="1"/>
  <c r="A48" i="1"/>
  <c r="B48" i="1" s="1"/>
  <c r="L47" i="1"/>
  <c r="M47" i="1" s="1"/>
  <c r="J47" i="1"/>
  <c r="K47" i="1" s="1"/>
  <c r="H47" i="1"/>
  <c r="I47" i="1" s="1"/>
  <c r="F47" i="1"/>
  <c r="G47" i="1" s="1"/>
  <c r="D47" i="1"/>
  <c r="E47" i="1" s="1"/>
  <c r="A47" i="1"/>
  <c r="B47" i="1" s="1"/>
  <c r="M46" i="1"/>
  <c r="J46" i="1"/>
  <c r="H46" i="1"/>
  <c r="F46" i="1"/>
  <c r="G46" i="1" s="1"/>
  <c r="D46" i="1"/>
  <c r="E46" i="1" s="1"/>
  <c r="A46" i="1"/>
  <c r="B46" i="1" s="1"/>
  <c r="L45" i="1"/>
  <c r="M45" i="1" s="1"/>
  <c r="J45" i="1"/>
  <c r="K45" i="1" s="1"/>
  <c r="H45" i="1"/>
  <c r="I45" i="1" s="1"/>
  <c r="F45" i="1"/>
  <c r="G45" i="1" s="1"/>
  <c r="D45" i="1"/>
  <c r="E45" i="1" s="1"/>
  <c r="B45" i="1"/>
  <c r="A45" i="1"/>
  <c r="A32" i="1"/>
  <c r="B32" i="1" s="1"/>
  <c r="D32" i="1"/>
  <c r="E32" i="1" s="1"/>
  <c r="F32" i="1"/>
  <c r="G32" i="1" s="1"/>
  <c r="H32" i="1"/>
  <c r="I32" i="1" s="1"/>
  <c r="J32" i="1"/>
  <c r="K32" i="1" s="1"/>
  <c r="L32" i="1"/>
  <c r="M32" i="1" s="1"/>
  <c r="A33" i="1"/>
  <c r="B33" i="1" s="1"/>
  <c r="D33" i="1"/>
  <c r="E33" i="1" s="1"/>
  <c r="F33" i="1"/>
  <c r="G33" i="1" s="1"/>
  <c r="H33" i="1"/>
  <c r="I33" i="1" s="1"/>
  <c r="J33" i="1"/>
  <c r="K33" i="1" s="1"/>
  <c r="L33" i="1"/>
  <c r="M33" i="1" s="1"/>
  <c r="A34" i="1"/>
  <c r="B34" i="1" s="1"/>
  <c r="D34" i="1"/>
  <c r="E34" i="1" s="1"/>
  <c r="F34" i="1"/>
  <c r="G34" i="1" s="1"/>
  <c r="H34" i="1"/>
  <c r="I34" i="1" s="1"/>
  <c r="J34" i="1"/>
  <c r="K34" i="1" s="1"/>
  <c r="L34" i="1"/>
  <c r="M34" i="1" s="1"/>
  <c r="A35" i="1"/>
  <c r="B35" i="1" s="1"/>
  <c r="D35" i="1"/>
  <c r="E35" i="1" s="1"/>
  <c r="F35" i="1"/>
  <c r="G35" i="1" s="1"/>
  <c r="H35" i="1"/>
  <c r="I35" i="1" s="1"/>
  <c r="J35" i="1"/>
  <c r="K35" i="1" s="1"/>
  <c r="L35" i="1"/>
  <c r="M35" i="1" s="1"/>
  <c r="A36" i="1"/>
  <c r="B36" i="1" s="1"/>
  <c r="E36" i="1"/>
  <c r="F36" i="1"/>
  <c r="G36" i="1" s="1"/>
  <c r="H36" i="1"/>
  <c r="I36" i="1" s="1"/>
  <c r="J36" i="1"/>
  <c r="K36" i="1" s="1"/>
  <c r="L36" i="1"/>
  <c r="M36" i="1" s="1"/>
  <c r="A37" i="1"/>
  <c r="B37" i="1" s="1"/>
  <c r="A38" i="1"/>
  <c r="B38" i="1" s="1"/>
  <c r="A39" i="1"/>
  <c r="B39" i="1" s="1"/>
  <c r="A40" i="1"/>
  <c r="B40" i="1" s="1"/>
  <c r="A42" i="1"/>
  <c r="B42" i="1" s="1"/>
  <c r="T84" i="1"/>
  <c r="B43" i="1" l="1"/>
  <c r="M31" i="5"/>
  <c r="P31" i="5" s="1"/>
  <c r="M32" i="5"/>
  <c r="P32" i="5" s="1"/>
  <c r="L11" i="1"/>
  <c r="M11" i="1" s="1"/>
  <c r="J11" i="1"/>
  <c r="K11" i="1" s="1"/>
  <c r="H11" i="1"/>
  <c r="I11" i="1" s="1"/>
  <c r="F11" i="1"/>
  <c r="G11" i="1" s="1"/>
  <c r="D11" i="1"/>
  <c r="E11" i="1" s="1"/>
  <c r="B11" i="1"/>
  <c r="A11" i="1"/>
  <c r="D12" i="1"/>
  <c r="E12" i="1" s="1"/>
  <c r="F12" i="1"/>
  <c r="G12" i="1" s="1"/>
  <c r="H12" i="1"/>
  <c r="I12" i="1" s="1"/>
  <c r="J12" i="1"/>
  <c r="K12" i="1" s="1"/>
  <c r="L12" i="1"/>
  <c r="M12" i="1" s="1"/>
  <c r="D13" i="1"/>
  <c r="E13" i="1" s="1"/>
  <c r="F13" i="1"/>
  <c r="G13" i="1" s="1"/>
  <c r="H13" i="1"/>
  <c r="I13" i="1" s="1"/>
  <c r="J13" i="1"/>
  <c r="K13" i="1" s="1"/>
  <c r="L13" i="1"/>
  <c r="M13" i="1" s="1"/>
  <c r="A12" i="1"/>
  <c r="B12" i="1" s="1"/>
  <c r="A13" i="1"/>
  <c r="B13" i="1"/>
  <c r="J49" i="5" l="1"/>
  <c r="K49" i="5" s="1"/>
  <c r="H61" i="1"/>
  <c r="I61" i="1" s="1"/>
  <c r="H60" i="1"/>
  <c r="F61" i="1"/>
  <c r="G61" i="1" s="1"/>
  <c r="J61" i="1"/>
  <c r="K61" i="1" s="1"/>
  <c r="L61" i="1"/>
  <c r="M61" i="1" s="1"/>
  <c r="D61" i="1"/>
  <c r="E61" i="1" s="1"/>
  <c r="A61" i="1"/>
  <c r="B61" i="1" s="1"/>
  <c r="H1" i="10" l="1"/>
  <c r="L15" i="1"/>
  <c r="M15" i="1" s="1"/>
  <c r="L16" i="1"/>
  <c r="M16" i="1" s="1"/>
  <c r="L18" i="1"/>
  <c r="M18" i="1" s="1"/>
  <c r="L19" i="1"/>
  <c r="M19" i="1" s="1"/>
  <c r="L20" i="1"/>
  <c r="M20" i="1" s="1"/>
  <c r="L21" i="1"/>
  <c r="M21" i="1" s="1"/>
  <c r="L22" i="1"/>
  <c r="M22" i="1" s="1"/>
  <c r="L23" i="1"/>
  <c r="M23" i="1" s="1"/>
  <c r="L24" i="1"/>
  <c r="M24" i="1" s="1"/>
  <c r="L25" i="1"/>
  <c r="M25" i="1" s="1"/>
  <c r="L26" i="1"/>
  <c r="M26" i="1" s="1"/>
  <c r="L27" i="1"/>
  <c r="M27" i="1" s="1"/>
  <c r="L28" i="1"/>
  <c r="M28" i="1" s="1"/>
  <c r="L29" i="1"/>
  <c r="M29" i="1" s="1"/>
  <c r="L30" i="1"/>
  <c r="M30" i="1" s="1"/>
  <c r="L31" i="1"/>
  <c r="M31" i="1" s="1"/>
  <c r="L55" i="1"/>
  <c r="M55" i="1" s="1"/>
  <c r="L56" i="1"/>
  <c r="L57" i="1"/>
  <c r="M57" i="1" s="1"/>
  <c r="L58" i="1"/>
  <c r="M58" i="1" s="1"/>
  <c r="L59" i="1"/>
  <c r="M59" i="1" s="1"/>
  <c r="L60" i="1"/>
  <c r="M60" i="1" s="1"/>
  <c r="L62" i="1"/>
  <c r="M62" i="1" s="1"/>
  <c r="L63" i="1"/>
  <c r="M63" i="1" s="1"/>
  <c r="L64" i="1"/>
  <c r="M64" i="1" s="1"/>
  <c r="L65" i="1"/>
  <c r="M65" i="1" s="1"/>
  <c r="L66" i="1"/>
  <c r="M66" i="1" s="1"/>
  <c r="L67" i="1"/>
  <c r="M67" i="1" s="1"/>
  <c r="L68" i="1"/>
  <c r="M68" i="1" s="1"/>
  <c r="L69" i="1"/>
  <c r="M69" i="1" s="1"/>
  <c r="L70" i="1"/>
  <c r="M70" i="1" s="1"/>
  <c r="L71" i="1"/>
  <c r="M71" i="1" s="1"/>
  <c r="L72" i="1"/>
  <c r="M72" i="1" s="1"/>
  <c r="L73" i="1"/>
  <c r="M73" i="1" s="1"/>
  <c r="L74" i="1"/>
  <c r="M74" i="1" s="1"/>
  <c r="L75" i="1"/>
  <c r="M75" i="1" s="1"/>
  <c r="L76" i="1"/>
  <c r="M76" i="1" s="1"/>
  <c r="L77" i="1"/>
  <c r="M77" i="1" s="1"/>
  <c r="L78" i="1"/>
  <c r="L79" i="1"/>
  <c r="M79" i="1" s="1"/>
  <c r="L80" i="1"/>
  <c r="M80" i="1" s="1"/>
  <c r="L81" i="1"/>
  <c r="M81" i="1" s="1"/>
  <c r="L82" i="1"/>
  <c r="M82" i="1" s="1"/>
  <c r="L83" i="1"/>
  <c r="M83" i="1" s="1"/>
  <c r="L84" i="1"/>
  <c r="M84" i="1" s="1"/>
  <c r="L14" i="1"/>
  <c r="M14" i="1" s="1"/>
  <c r="M78" i="1"/>
  <c r="M56" i="1"/>
  <c r="J15" i="1"/>
  <c r="K15" i="1" s="1"/>
  <c r="J16" i="1"/>
  <c r="K16" i="1" s="1"/>
  <c r="J18" i="1"/>
  <c r="K18" i="1" s="1"/>
  <c r="J19" i="1"/>
  <c r="K19" i="1" s="1"/>
  <c r="J20" i="1"/>
  <c r="K20" i="1" s="1"/>
  <c r="J21" i="1"/>
  <c r="K21" i="1" s="1"/>
  <c r="J22" i="1"/>
  <c r="K22" i="1" s="1"/>
  <c r="J23" i="1"/>
  <c r="K23" i="1" s="1"/>
  <c r="J24" i="1"/>
  <c r="K24" i="1" s="1"/>
  <c r="J25" i="1"/>
  <c r="K25" i="1" s="1"/>
  <c r="J26" i="1"/>
  <c r="K26" i="1" s="1"/>
  <c r="J27" i="1"/>
  <c r="K27" i="1" s="1"/>
  <c r="J28" i="1"/>
  <c r="K28" i="1" s="1"/>
  <c r="J29" i="1"/>
  <c r="K29" i="1" s="1"/>
  <c r="J30" i="1"/>
  <c r="K30" i="1" s="1"/>
  <c r="J31" i="1"/>
  <c r="K31" i="1" s="1"/>
  <c r="J55" i="1"/>
  <c r="K55" i="1" s="1"/>
  <c r="J56" i="1"/>
  <c r="K56" i="1" s="1"/>
  <c r="J57" i="1"/>
  <c r="K57" i="1" s="1"/>
  <c r="J58" i="1"/>
  <c r="K58" i="1" s="1"/>
  <c r="J59" i="1"/>
  <c r="K59" i="1" s="1"/>
  <c r="J60" i="1"/>
  <c r="K60" i="1" s="1"/>
  <c r="J62" i="1"/>
  <c r="K62" i="1" s="1"/>
  <c r="J63" i="1"/>
  <c r="K63" i="1" s="1"/>
  <c r="J64" i="1"/>
  <c r="K64" i="1" s="1"/>
  <c r="J65" i="1"/>
  <c r="K65" i="1" s="1"/>
  <c r="J66" i="1"/>
  <c r="K66" i="1" s="1"/>
  <c r="J67" i="1"/>
  <c r="K67" i="1" s="1"/>
  <c r="J68" i="1"/>
  <c r="K68" i="1" s="1"/>
  <c r="J69" i="1"/>
  <c r="K69" i="1" s="1"/>
  <c r="J70" i="1"/>
  <c r="K70" i="1" s="1"/>
  <c r="J71" i="1"/>
  <c r="K71" i="1" s="1"/>
  <c r="J72" i="1"/>
  <c r="K72" i="1" s="1"/>
  <c r="J73" i="1"/>
  <c r="K73" i="1" s="1"/>
  <c r="J74" i="1"/>
  <c r="K74" i="1" s="1"/>
  <c r="J75" i="1"/>
  <c r="K75" i="1" s="1"/>
  <c r="J76" i="1"/>
  <c r="K76" i="1" s="1"/>
  <c r="J77" i="1"/>
  <c r="K77" i="1" s="1"/>
  <c r="J78" i="1"/>
  <c r="K78" i="1" s="1"/>
  <c r="J79" i="1"/>
  <c r="K79" i="1" s="1"/>
  <c r="J80" i="1"/>
  <c r="K80" i="1" s="1"/>
  <c r="J81" i="1"/>
  <c r="K81" i="1" s="1"/>
  <c r="J82" i="1"/>
  <c r="K82" i="1" s="1"/>
  <c r="J83" i="1"/>
  <c r="K83" i="1" s="1"/>
  <c r="J84" i="1"/>
  <c r="K84" i="1" s="1"/>
  <c r="J14" i="1"/>
  <c r="K14" i="1" s="1"/>
  <c r="H15" i="1"/>
  <c r="I15" i="1" s="1"/>
  <c r="H16" i="1"/>
  <c r="I16" i="1" s="1"/>
  <c r="H18" i="1"/>
  <c r="I18" i="1" s="1"/>
  <c r="H19" i="1"/>
  <c r="I19" i="1" s="1"/>
  <c r="H20" i="1"/>
  <c r="I20" i="1" s="1"/>
  <c r="H21" i="1"/>
  <c r="I21" i="1" s="1"/>
  <c r="H22" i="1"/>
  <c r="I22" i="1" s="1"/>
  <c r="H23" i="1"/>
  <c r="I23" i="1" s="1"/>
  <c r="H24" i="1"/>
  <c r="I24" i="1" s="1"/>
  <c r="H25" i="1"/>
  <c r="I25" i="1" s="1"/>
  <c r="H26" i="1"/>
  <c r="I26" i="1" s="1"/>
  <c r="H27" i="1"/>
  <c r="I27" i="1" s="1"/>
  <c r="H28" i="1"/>
  <c r="I28" i="1" s="1"/>
  <c r="H29" i="1"/>
  <c r="I29" i="1" s="1"/>
  <c r="H30" i="1"/>
  <c r="I30" i="1" s="1"/>
  <c r="H31" i="1"/>
  <c r="I31" i="1" s="1"/>
  <c r="H55" i="1"/>
  <c r="I55" i="1" s="1"/>
  <c r="H56" i="1"/>
  <c r="I56" i="1" s="1"/>
  <c r="H57" i="1"/>
  <c r="I57" i="1" s="1"/>
  <c r="H58" i="1"/>
  <c r="I58" i="1" s="1"/>
  <c r="H59" i="1"/>
  <c r="I59" i="1" s="1"/>
  <c r="I60" i="1"/>
  <c r="H62" i="1"/>
  <c r="I62" i="1" s="1"/>
  <c r="H63" i="1"/>
  <c r="I63" i="1" s="1"/>
  <c r="H64" i="1"/>
  <c r="I64" i="1" s="1"/>
  <c r="H65" i="1"/>
  <c r="I65" i="1" s="1"/>
  <c r="H66" i="1"/>
  <c r="I66" i="1" s="1"/>
  <c r="H67" i="1"/>
  <c r="I67" i="1" s="1"/>
  <c r="H68" i="1"/>
  <c r="I68" i="1" s="1"/>
  <c r="H69" i="1"/>
  <c r="I69" i="1" s="1"/>
  <c r="H70" i="1"/>
  <c r="I70" i="1" s="1"/>
  <c r="H71" i="1"/>
  <c r="I71" i="1" s="1"/>
  <c r="H72" i="1"/>
  <c r="I72" i="1" s="1"/>
  <c r="H73" i="1"/>
  <c r="I73" i="1" s="1"/>
  <c r="H74" i="1"/>
  <c r="I74" i="1" s="1"/>
  <c r="H75" i="1"/>
  <c r="I75" i="1" s="1"/>
  <c r="H76" i="1"/>
  <c r="I76" i="1" s="1"/>
  <c r="H77" i="1"/>
  <c r="I77" i="1" s="1"/>
  <c r="H78" i="1"/>
  <c r="I78" i="1" s="1"/>
  <c r="H79" i="1"/>
  <c r="I79" i="1" s="1"/>
  <c r="H80" i="1"/>
  <c r="I80" i="1" s="1"/>
  <c r="H81" i="1"/>
  <c r="I81" i="1" s="1"/>
  <c r="H82" i="1"/>
  <c r="I82" i="1" s="1"/>
  <c r="H83" i="1"/>
  <c r="I83" i="1" s="1"/>
  <c r="H84" i="1"/>
  <c r="I84" i="1" s="1"/>
  <c r="H14" i="1"/>
  <c r="G15" i="1"/>
  <c r="G27" i="1"/>
  <c r="G59" i="1"/>
  <c r="G62" i="1"/>
  <c r="G68" i="1"/>
  <c r="G74" i="1"/>
  <c r="G76" i="1"/>
  <c r="F16" i="1"/>
  <c r="G16" i="1" s="1"/>
  <c r="F18" i="1"/>
  <c r="G18" i="1" s="1"/>
  <c r="F19" i="1"/>
  <c r="G19" i="1" s="1"/>
  <c r="F20" i="1"/>
  <c r="G20" i="1" s="1"/>
  <c r="F21" i="1"/>
  <c r="G21" i="1" s="1"/>
  <c r="F22" i="1"/>
  <c r="G22" i="1" s="1"/>
  <c r="F23" i="1"/>
  <c r="G23" i="1" s="1"/>
  <c r="F24" i="1"/>
  <c r="G24" i="1" s="1"/>
  <c r="F25" i="1"/>
  <c r="G25" i="1" s="1"/>
  <c r="F26" i="1"/>
  <c r="G26" i="1" s="1"/>
  <c r="F28" i="1"/>
  <c r="G28" i="1" s="1"/>
  <c r="F29" i="1"/>
  <c r="G29" i="1" s="1"/>
  <c r="F30" i="1"/>
  <c r="G30" i="1" s="1"/>
  <c r="F31" i="1"/>
  <c r="G31" i="1" s="1"/>
  <c r="F55" i="1"/>
  <c r="G55" i="1" s="1"/>
  <c r="F56" i="1"/>
  <c r="G56" i="1" s="1"/>
  <c r="F57" i="1"/>
  <c r="G57" i="1" s="1"/>
  <c r="F58" i="1"/>
  <c r="G58" i="1" s="1"/>
  <c r="F60" i="1"/>
  <c r="G60" i="1" s="1"/>
  <c r="F63" i="1"/>
  <c r="G63" i="1" s="1"/>
  <c r="F64" i="1"/>
  <c r="G64" i="1" s="1"/>
  <c r="F65" i="1"/>
  <c r="G65" i="1" s="1"/>
  <c r="F66" i="1"/>
  <c r="G66" i="1" s="1"/>
  <c r="F67" i="1"/>
  <c r="G67" i="1" s="1"/>
  <c r="F69" i="1"/>
  <c r="G69" i="1" s="1"/>
  <c r="F70" i="1"/>
  <c r="G70" i="1" s="1"/>
  <c r="F71" i="1"/>
  <c r="G71" i="1" s="1"/>
  <c r="F72" i="1"/>
  <c r="G72" i="1" s="1"/>
  <c r="F73" i="1"/>
  <c r="G73" i="1" s="1"/>
  <c r="F75" i="1"/>
  <c r="G75" i="1" s="1"/>
  <c r="F77" i="1"/>
  <c r="G77" i="1" s="1"/>
  <c r="F78" i="1"/>
  <c r="G78" i="1" s="1"/>
  <c r="F79" i="1"/>
  <c r="G79" i="1" s="1"/>
  <c r="F80" i="1"/>
  <c r="G80" i="1" s="1"/>
  <c r="F81" i="1"/>
  <c r="G81" i="1" s="1"/>
  <c r="F82" i="1"/>
  <c r="G82" i="1" s="1"/>
  <c r="F83" i="1"/>
  <c r="G83" i="1" s="1"/>
  <c r="F84" i="1"/>
  <c r="G84" i="1" s="1"/>
  <c r="F14" i="1"/>
  <c r="D14" i="1"/>
  <c r="D69" i="1"/>
  <c r="E69" i="1" s="1"/>
  <c r="D70" i="1"/>
  <c r="E70" i="1" s="1"/>
  <c r="D71" i="1"/>
  <c r="E71" i="1" s="1"/>
  <c r="D72" i="1"/>
  <c r="E72" i="1" s="1"/>
  <c r="D73" i="1"/>
  <c r="E73" i="1" s="1"/>
  <c r="D75" i="1"/>
  <c r="E75" i="1" s="1"/>
  <c r="D77" i="1"/>
  <c r="E77" i="1" s="1"/>
  <c r="D78" i="1"/>
  <c r="E78" i="1" s="1"/>
  <c r="D79" i="1"/>
  <c r="E79" i="1" s="1"/>
  <c r="D80" i="1"/>
  <c r="E80" i="1" s="1"/>
  <c r="D81" i="1"/>
  <c r="E81" i="1" s="1"/>
  <c r="D82" i="1"/>
  <c r="E82" i="1" s="1"/>
  <c r="D83" i="1"/>
  <c r="E83" i="1" s="1"/>
  <c r="D84" i="1"/>
  <c r="E84" i="1" s="1"/>
  <c r="D16" i="1"/>
  <c r="E16" i="1" s="1"/>
  <c r="D18" i="1"/>
  <c r="E18" i="1" s="1"/>
  <c r="D19" i="1"/>
  <c r="E19" i="1" s="1"/>
  <c r="D20" i="1"/>
  <c r="E20" i="1" s="1"/>
  <c r="D21" i="1"/>
  <c r="E21" i="1" s="1"/>
  <c r="D22" i="1"/>
  <c r="E22" i="1" s="1"/>
  <c r="D23" i="1"/>
  <c r="E23" i="1" s="1"/>
  <c r="D24" i="1"/>
  <c r="E24" i="1" s="1"/>
  <c r="D25" i="1"/>
  <c r="E25" i="1" s="1"/>
  <c r="D26" i="1"/>
  <c r="E26" i="1" s="1"/>
  <c r="D28" i="1"/>
  <c r="E28" i="1" s="1"/>
  <c r="D29" i="1"/>
  <c r="E29" i="1" s="1"/>
  <c r="D30" i="1"/>
  <c r="E30" i="1" s="1"/>
  <c r="D31" i="1"/>
  <c r="E31" i="1" s="1"/>
  <c r="D55" i="1"/>
  <c r="E55" i="1" s="1"/>
  <c r="D56" i="1"/>
  <c r="E56" i="1" s="1"/>
  <c r="D57" i="1"/>
  <c r="E57" i="1" s="1"/>
  <c r="D58" i="1"/>
  <c r="E58" i="1" s="1"/>
  <c r="D60" i="1"/>
  <c r="E60" i="1" s="1"/>
  <c r="D63" i="1"/>
  <c r="E63" i="1" s="1"/>
  <c r="D64" i="1"/>
  <c r="E64" i="1" s="1"/>
  <c r="D65" i="1"/>
  <c r="E65" i="1" s="1"/>
  <c r="D66" i="1"/>
  <c r="E66" i="1" s="1"/>
  <c r="D67" i="1"/>
  <c r="E67" i="1" s="1"/>
  <c r="A14" i="1"/>
  <c r="A19" i="1"/>
  <c r="AB5" i="5" l="1"/>
  <c r="M85" i="1"/>
  <c r="F85" i="1"/>
  <c r="J85" i="1"/>
  <c r="L85" i="1"/>
  <c r="G14" i="1"/>
  <c r="E14" i="1"/>
  <c r="D85" i="1"/>
  <c r="I14" i="1"/>
  <c r="H85" i="1"/>
  <c r="C21" i="9"/>
  <c r="A67" i="1" l="1"/>
  <c r="B67" i="1" s="1"/>
  <c r="A66" i="1"/>
  <c r="B66" i="1" s="1"/>
  <c r="F12" i="6"/>
  <c r="O34" i="5" l="1"/>
  <c r="P34" i="5" s="1"/>
  <c r="O42" i="5"/>
  <c r="P42" i="5" s="1"/>
  <c r="C27" i="9"/>
  <c r="C10" i="9"/>
  <c r="D51" i="5"/>
  <c r="E51" i="5" s="1"/>
  <c r="D49" i="5"/>
  <c r="AC47" i="5"/>
  <c r="AD47" i="5" s="1"/>
  <c r="J47" i="5"/>
  <c r="K47" i="5" s="1"/>
  <c r="O47" i="5"/>
  <c r="G19" i="6"/>
  <c r="G18" i="6"/>
  <c r="J8" i="6"/>
  <c r="G9" i="6"/>
  <c r="F65" i="5"/>
  <c r="G65" i="5" s="1"/>
  <c r="F66" i="5"/>
  <c r="F67" i="5"/>
  <c r="F64" i="5"/>
  <c r="G64" i="5" s="1"/>
  <c r="S60" i="5" l="1"/>
  <c r="X60" i="5" s="1"/>
  <c r="R60" i="5"/>
  <c r="T60" i="5" s="1"/>
  <c r="I67" i="5"/>
  <c r="K67" i="5" s="1"/>
  <c r="G67" i="5"/>
  <c r="M66" i="5"/>
  <c r="P66" i="5" s="1"/>
  <c r="G66" i="5"/>
  <c r="R41" i="5"/>
  <c r="S41" i="5" s="1"/>
  <c r="R33" i="5"/>
  <c r="T33" i="5" s="1"/>
  <c r="U33" i="5" s="1"/>
  <c r="R51" i="5"/>
  <c r="R44" i="5"/>
  <c r="R39" i="5"/>
  <c r="R32" i="5"/>
  <c r="R42" i="5"/>
  <c r="R34" i="5"/>
  <c r="R31" i="5"/>
  <c r="R35" i="5"/>
  <c r="R40" i="5"/>
  <c r="R36" i="5"/>
  <c r="R43" i="5"/>
  <c r="R49" i="5"/>
  <c r="R47" i="5"/>
  <c r="M67" i="5"/>
  <c r="P67" i="5" s="1"/>
  <c r="I65" i="5"/>
  <c r="K65" i="5" s="1"/>
  <c r="I66" i="5"/>
  <c r="K66" i="5" s="1"/>
  <c r="M65" i="5"/>
  <c r="P65" i="5" s="1"/>
  <c r="I64" i="5"/>
  <c r="K64" i="5" s="1"/>
  <c r="M64" i="5"/>
  <c r="P64" i="5" s="1"/>
  <c r="V60" i="5" l="1"/>
  <c r="T39" i="5"/>
  <c r="U39" i="5" s="1"/>
  <c r="T44" i="5"/>
  <c r="U44" i="5" s="1"/>
  <c r="T41" i="5"/>
  <c r="U41" i="5" s="1"/>
  <c r="T49" i="5"/>
  <c r="U49" i="5" s="1"/>
  <c r="V49" i="5"/>
  <c r="T51" i="5"/>
  <c r="U51" i="5" s="1"/>
  <c r="T31" i="5"/>
  <c r="U31" i="5" s="1"/>
  <c r="T34" i="5"/>
  <c r="U34" i="5" s="1"/>
  <c r="T32" i="5"/>
  <c r="U32" i="5" s="1"/>
  <c r="T43" i="5"/>
  <c r="U43" i="5" s="1"/>
  <c r="T36" i="5"/>
  <c r="U36" i="5" s="1"/>
  <c r="T40" i="5"/>
  <c r="U40" i="5" s="1"/>
  <c r="T35" i="5"/>
  <c r="U35" i="5" s="1"/>
  <c r="T47" i="5"/>
  <c r="U47" i="5" s="1"/>
  <c r="T42" i="5"/>
  <c r="U42" i="5" s="1"/>
  <c r="U60" i="5"/>
  <c r="Y47" i="5"/>
  <c r="Z47" i="5" s="1"/>
  <c r="V47" i="5"/>
  <c r="S47" i="5"/>
  <c r="X47" i="5" s="1"/>
  <c r="S49" i="5"/>
  <c r="X49" i="5" s="1"/>
  <c r="Y41" i="5"/>
  <c r="Z41" i="5" s="1"/>
  <c r="X41" i="5"/>
  <c r="S34" i="5"/>
  <c r="X34" i="5" s="1"/>
  <c r="Y34" i="5"/>
  <c r="Z34" i="5" s="1"/>
  <c r="S32" i="5"/>
  <c r="X32" i="5" s="1"/>
  <c r="Y32" i="5"/>
  <c r="Z32" i="5" s="1"/>
  <c r="S31" i="5"/>
  <c r="X31" i="5" s="1"/>
  <c r="Y31" i="5"/>
  <c r="Z31" i="5" s="1"/>
  <c r="Y43" i="5"/>
  <c r="Z43" i="5" s="1"/>
  <c r="S43" i="5"/>
  <c r="X43" i="5" s="1"/>
  <c r="Y39" i="5"/>
  <c r="Z39" i="5" s="1"/>
  <c r="S39" i="5"/>
  <c r="X39" i="5" s="1"/>
  <c r="Y42" i="5"/>
  <c r="Z42" i="5" s="1"/>
  <c r="S42" i="5"/>
  <c r="X42" i="5" s="1"/>
  <c r="S36" i="5"/>
  <c r="X36" i="5" s="1"/>
  <c r="Y36" i="5"/>
  <c r="Z36" i="5" s="1"/>
  <c r="S40" i="5"/>
  <c r="X40" i="5" s="1"/>
  <c r="Y40" i="5"/>
  <c r="Z40" i="5" s="1"/>
  <c r="Y35" i="5"/>
  <c r="Z35" i="5" s="1"/>
  <c r="S35" i="5"/>
  <c r="X35" i="5" s="1"/>
  <c r="Y44" i="5"/>
  <c r="Z44" i="5" s="1"/>
  <c r="S44" i="5"/>
  <c r="X44" i="5" s="1"/>
  <c r="Y51" i="5"/>
  <c r="Z51" i="5" s="1"/>
  <c r="S51" i="5"/>
  <c r="V51" i="5" l="1"/>
  <c r="W51" i="5" s="1"/>
  <c r="X51" i="5"/>
  <c r="W49" i="5"/>
  <c r="V41" i="5"/>
  <c r="W41" i="5" s="1"/>
  <c r="W47" i="5"/>
  <c r="V43" i="5"/>
  <c r="W43" i="5" s="1"/>
  <c r="V44" i="5"/>
  <c r="W44" i="5" s="1"/>
  <c r="V40" i="5"/>
  <c r="W40" i="5" s="1"/>
  <c r="V42" i="5"/>
  <c r="W42" i="5" s="1"/>
  <c r="V39" i="5"/>
  <c r="W39" i="5" s="1"/>
  <c r="V36" i="5"/>
  <c r="W36" i="5" s="1"/>
  <c r="V32" i="5"/>
  <c r="W32" i="5" s="1"/>
  <c r="V35" i="5"/>
  <c r="W35" i="5" s="1"/>
  <c r="V34" i="5"/>
  <c r="W34" i="5" s="1"/>
  <c r="V31" i="5"/>
  <c r="W31" i="5" s="1"/>
  <c r="O49" i="5"/>
  <c r="N49" i="5"/>
  <c r="D47" i="5"/>
  <c r="G8" i="6"/>
  <c r="P49" i="5" l="1"/>
  <c r="N47" i="5"/>
  <c r="P47" i="5" s="1"/>
  <c r="AC49" i="5"/>
  <c r="AD49" i="5" s="1"/>
  <c r="G7" i="6" l="1"/>
  <c r="G6" i="6"/>
  <c r="H1" i="9"/>
  <c r="D55" i="5" l="1"/>
  <c r="D26" i="5"/>
  <c r="D25" i="5"/>
  <c r="E25" i="5" s="1"/>
  <c r="R25" i="5" s="1"/>
  <c r="D21" i="5"/>
  <c r="D20" i="5"/>
  <c r="E20" i="5" s="1"/>
  <c r="R20" i="5" s="1"/>
  <c r="D18" i="5"/>
  <c r="D17" i="5"/>
  <c r="E17" i="5" s="1"/>
  <c r="R17" i="5" s="1"/>
  <c r="Y17" i="5" s="1"/>
  <c r="Z17" i="5" s="1"/>
  <c r="R73" i="1"/>
  <c r="D58" i="5" s="1"/>
  <c r="R72" i="1"/>
  <c r="D57" i="5" s="1"/>
  <c r="R71" i="1"/>
  <c r="D56" i="5" s="1"/>
  <c r="G12" i="6"/>
  <c r="T25" i="5" l="1"/>
  <c r="U25" i="5" s="1"/>
  <c r="Y25" i="5"/>
  <c r="Z25" i="5" s="1"/>
  <c r="E26" i="5"/>
  <c r="T26" i="5" s="1"/>
  <c r="E21" i="5"/>
  <c r="R21" i="5" s="1"/>
  <c r="S21" i="5" s="1"/>
  <c r="AC10" i="5"/>
  <c r="S17" i="5"/>
  <c r="X17" i="5" s="1"/>
  <c r="F17" i="5"/>
  <c r="G17" i="5" s="1"/>
  <c r="E18" i="5"/>
  <c r="R18" i="5" s="1"/>
  <c r="S18" i="5" s="1"/>
  <c r="E55" i="5"/>
  <c r="F55" i="5" s="1"/>
  <c r="G55" i="5" s="1"/>
  <c r="U26" i="5" l="1"/>
  <c r="V21" i="5"/>
  <c r="T21" i="5"/>
  <c r="U21" i="5" s="1"/>
  <c r="V18" i="5"/>
  <c r="T18" i="5"/>
  <c r="U18" i="5" s="1"/>
  <c r="X18" i="5"/>
  <c r="X21" i="5"/>
  <c r="Y18" i="5"/>
  <c r="Z18" i="5" s="1"/>
  <c r="Y20" i="5"/>
  <c r="Z20" i="5" s="1"/>
  <c r="T20" i="5"/>
  <c r="U20" i="5" s="1"/>
  <c r="V17" i="5"/>
  <c r="W17" i="5" s="1"/>
  <c r="T17" i="5"/>
  <c r="Y21" i="5"/>
  <c r="Z21" i="5" s="1"/>
  <c r="F21" i="5"/>
  <c r="O17" i="5"/>
  <c r="Y55" i="5"/>
  <c r="Z55" i="5" s="1"/>
  <c r="S20" i="5"/>
  <c r="O25" i="5"/>
  <c r="P25" i="5" s="1"/>
  <c r="J10" i="5"/>
  <c r="F20" i="5"/>
  <c r="G20" i="5" s="1"/>
  <c r="F18" i="5"/>
  <c r="AB17" i="5"/>
  <c r="AD17" i="5" s="1"/>
  <c r="M17" i="5"/>
  <c r="I17" i="5"/>
  <c r="K17" i="5" s="1"/>
  <c r="E56" i="5"/>
  <c r="F56" i="5" s="1"/>
  <c r="G56" i="5" s="1"/>
  <c r="E57" i="5"/>
  <c r="E58" i="5"/>
  <c r="U17" i="5" l="1"/>
  <c r="P17" i="5"/>
  <c r="O21" i="5"/>
  <c r="G21" i="5"/>
  <c r="I18" i="5"/>
  <c r="K18" i="5" s="1"/>
  <c r="G18" i="5"/>
  <c r="V20" i="5"/>
  <c r="W20" i="5" s="1"/>
  <c r="X20" i="5"/>
  <c r="W18" i="5"/>
  <c r="W21" i="5"/>
  <c r="R55" i="5"/>
  <c r="T55" i="5" s="1"/>
  <c r="U55" i="5" s="1"/>
  <c r="I21" i="5"/>
  <c r="K21" i="5" s="1"/>
  <c r="AB21" i="5"/>
  <c r="AD21" i="5" s="1"/>
  <c r="M21" i="5"/>
  <c r="O20" i="5"/>
  <c r="Y56" i="5"/>
  <c r="S25" i="5"/>
  <c r="M20" i="5"/>
  <c r="I20" i="5"/>
  <c r="K20" i="5" s="1"/>
  <c r="AB20" i="5"/>
  <c r="AD20" i="5" s="1"/>
  <c r="M55" i="5"/>
  <c r="P55" i="5" s="1"/>
  <c r="I55" i="5"/>
  <c r="K55" i="5" s="1"/>
  <c r="O18" i="5"/>
  <c r="AB18" i="5"/>
  <c r="AD18" i="5" s="1"/>
  <c r="M18" i="5"/>
  <c r="A26" i="1"/>
  <c r="B26" i="1" s="1"/>
  <c r="A22" i="1"/>
  <c r="B22" i="1" s="1"/>
  <c r="A58" i="1"/>
  <c r="B58" i="1" s="1"/>
  <c r="M1" i="6"/>
  <c r="AC1" i="5"/>
  <c r="Z1" i="1"/>
  <c r="N10" i="5"/>
  <c r="A84" i="1"/>
  <c r="B84" i="1" s="1"/>
  <c r="D27" i="5"/>
  <c r="E27" i="5" s="1"/>
  <c r="R27" i="5" s="1"/>
  <c r="E13" i="10" l="1"/>
  <c r="P18" i="5"/>
  <c r="P21" i="5"/>
  <c r="V25" i="5"/>
  <c r="W25" i="5" s="1"/>
  <c r="X25" i="5"/>
  <c r="P20" i="5"/>
  <c r="R56" i="5"/>
  <c r="S56" i="5" s="1"/>
  <c r="X56" i="5" s="1"/>
  <c r="Z56" i="5"/>
  <c r="S55" i="5"/>
  <c r="V55" i="5" s="1"/>
  <c r="T27" i="5"/>
  <c r="Y27" i="5"/>
  <c r="Z27" i="5" s="1"/>
  <c r="S27" i="5"/>
  <c r="X27" i="5" s="1"/>
  <c r="I56" i="5"/>
  <c r="K56" i="5" s="1"/>
  <c r="M56" i="5"/>
  <c r="F10" i="5"/>
  <c r="G10" i="5" s="1"/>
  <c r="AB55" i="5"/>
  <c r="AD55" i="5" s="1"/>
  <c r="R10" i="5" l="1"/>
  <c r="T56" i="5"/>
  <c r="U56" i="5" s="1"/>
  <c r="AB56" i="5"/>
  <c r="AD56" i="5" s="1"/>
  <c r="P56" i="5"/>
  <c r="W55" i="5"/>
  <c r="X55" i="5"/>
  <c r="X10" i="5" s="1"/>
  <c r="U27" i="5"/>
  <c r="V56" i="5"/>
  <c r="W56" i="5" s="1"/>
  <c r="V27" i="5"/>
  <c r="E11" i="10"/>
  <c r="R5" i="5"/>
  <c r="F9" i="10" s="1"/>
  <c r="I5" i="5"/>
  <c r="D9" i="10" s="1"/>
  <c r="F5" i="5"/>
  <c r="G9" i="10"/>
  <c r="M5" i="5"/>
  <c r="E9" i="10" s="1"/>
  <c r="C15" i="10"/>
  <c r="F15" i="10" s="1"/>
  <c r="G14" i="10"/>
  <c r="C12" i="10"/>
  <c r="D14" i="10"/>
  <c r="I10" i="5"/>
  <c r="K10" i="5" s="1"/>
  <c r="O10" i="5"/>
  <c r="M10" i="5"/>
  <c r="A24" i="1"/>
  <c r="B23" i="1"/>
  <c r="A23" i="1"/>
  <c r="B19" i="1"/>
  <c r="T10" i="5" l="1"/>
  <c r="AB10" i="5"/>
  <c r="AD10" i="5" s="1"/>
  <c r="P10" i="5"/>
  <c r="C9" i="10"/>
  <c r="T7" i="1"/>
  <c r="U7" i="1" s="1"/>
  <c r="W27" i="5"/>
  <c r="Y10" i="5"/>
  <c r="D15" i="10"/>
  <c r="E15" i="10" s="1"/>
  <c r="G15" i="10" s="1"/>
  <c r="F14" i="10"/>
  <c r="E14" i="10"/>
  <c r="E12" i="10"/>
  <c r="D12" i="10"/>
  <c r="B24" i="1"/>
  <c r="A25" i="1"/>
  <c r="B25" i="1" s="1"/>
  <c r="Z10" i="5" l="1"/>
  <c r="F13" i="10"/>
  <c r="B75" i="1"/>
  <c r="B81" i="1"/>
  <c r="B82" i="1"/>
  <c r="B16" i="1"/>
  <c r="B18" i="1"/>
  <c r="B28" i="1"/>
  <c r="B56" i="1"/>
  <c r="B65" i="1"/>
  <c r="B14" i="1"/>
  <c r="A81" i="1"/>
  <c r="A82" i="1"/>
  <c r="A16" i="1"/>
  <c r="A18" i="1"/>
  <c r="A20" i="1"/>
  <c r="B20" i="1" s="1"/>
  <c r="A21" i="1"/>
  <c r="B21" i="1" s="1"/>
  <c r="A28" i="1"/>
  <c r="A29" i="1"/>
  <c r="B29" i="1" s="1"/>
  <c r="A30" i="1"/>
  <c r="B30" i="1" s="1"/>
  <c r="A31" i="1"/>
  <c r="B31" i="1" s="1"/>
  <c r="A55" i="1"/>
  <c r="A56" i="1"/>
  <c r="A57" i="1"/>
  <c r="B57" i="1" s="1"/>
  <c r="A60" i="1"/>
  <c r="B60" i="1" s="1"/>
  <c r="A63" i="1"/>
  <c r="B63" i="1" s="1"/>
  <c r="A64" i="1"/>
  <c r="A65" i="1"/>
  <c r="A69" i="1"/>
  <c r="A70" i="1"/>
  <c r="B70" i="1" s="1"/>
  <c r="A71" i="1"/>
  <c r="B71" i="1" s="1"/>
  <c r="A72" i="1"/>
  <c r="B72" i="1" s="1"/>
  <c r="A73" i="1"/>
  <c r="B73" i="1" s="1"/>
  <c r="A75" i="1"/>
  <c r="A77" i="1"/>
  <c r="B77" i="1" s="1"/>
  <c r="A78" i="1"/>
  <c r="B78" i="1" s="1"/>
  <c r="A79" i="1"/>
  <c r="B79" i="1" s="1"/>
  <c r="A80" i="1"/>
  <c r="B80" i="1" s="1"/>
  <c r="A83" i="1"/>
  <c r="B83" i="1" s="1"/>
  <c r="W60" i="5" l="1"/>
  <c r="V10" i="5"/>
  <c r="B64" i="1"/>
  <c r="B55" i="1"/>
  <c r="B69" i="1"/>
  <c r="U10" i="5"/>
  <c r="S10" i="5" l="1"/>
  <c r="W10" i="5" s="1"/>
</calcChain>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8">
    <bk>
      <extLst>
        <ext uri="{3e2802c4-a4d2-4d8b-9148-e3be6c30e623}">
          <xlrd:rvb i="0"/>
        </ext>
      </extLst>
    </bk>
    <bk>
      <extLst>
        <ext uri="{3e2802c4-a4d2-4d8b-9148-e3be6c30e623}">
          <xlrd:rvb i="1"/>
        </ext>
      </extLst>
    </bk>
    <bk>
      <extLst>
        <ext uri="{3e2802c4-a4d2-4d8b-9148-e3be6c30e623}">
          <xlrd:rvb i="2"/>
        </ext>
      </extLst>
    </bk>
    <bk>
      <extLst>
        <ext uri="{3e2802c4-a4d2-4d8b-9148-e3be6c30e623}">
          <xlrd:rvb i="3"/>
        </ext>
      </extLst>
    </bk>
    <bk>
      <extLst>
        <ext uri="{3e2802c4-a4d2-4d8b-9148-e3be6c30e623}">
          <xlrd:rvb i="4"/>
        </ext>
      </extLst>
    </bk>
    <bk>
      <extLst>
        <ext uri="{3e2802c4-a4d2-4d8b-9148-e3be6c30e623}">
          <xlrd:rvb i="5"/>
        </ext>
      </extLst>
    </bk>
    <bk>
      <extLst>
        <ext uri="{3e2802c4-a4d2-4d8b-9148-e3be6c30e623}">
          <xlrd:rvb i="6"/>
        </ext>
      </extLst>
    </bk>
    <bk>
      <extLst>
        <ext uri="{3e2802c4-a4d2-4d8b-9148-e3be6c30e623}">
          <xlrd:rvb i="7"/>
        </ext>
      </extLst>
    </bk>
  </futureMetadata>
  <cellMetadata count="1">
    <bk>
      <rc t="1" v="0"/>
    </bk>
  </cellMetadata>
  <valueMetadata count="8">
    <bk>
      <rc t="2" v="0"/>
    </bk>
    <bk>
      <rc t="2" v="1"/>
    </bk>
    <bk>
      <rc t="2" v="2"/>
    </bk>
    <bk>
      <rc t="2" v="3"/>
    </bk>
    <bk>
      <rc t="2" v="4"/>
    </bk>
    <bk>
      <rc t="2" v="5"/>
    </bk>
    <bk>
      <rc t="2" v="6"/>
    </bk>
    <bk>
      <rc t="2" v="7"/>
    </bk>
  </valueMetadata>
</metadata>
</file>

<file path=xl/sharedStrings.xml><?xml version="1.0" encoding="utf-8"?>
<sst xmlns="http://schemas.openxmlformats.org/spreadsheetml/2006/main" count="3206" uniqueCount="2984">
  <si>
    <t>Wärme</t>
  </si>
  <si>
    <t>Strom</t>
  </si>
  <si>
    <t>Mobilität</t>
  </si>
  <si>
    <t>Nicht erneuerbare Energie</t>
  </si>
  <si>
    <t>Gas</t>
  </si>
  <si>
    <t>Heizöl</t>
  </si>
  <si>
    <t>Benzin</t>
  </si>
  <si>
    <t>Diesel</t>
  </si>
  <si>
    <t>Weiteres</t>
  </si>
  <si>
    <t>Holz</t>
  </si>
  <si>
    <t>Wärmepumpe</t>
  </si>
  <si>
    <t>Sonnenkollektor</t>
  </si>
  <si>
    <t>Abwärme</t>
  </si>
  <si>
    <t>GWR, Feuerungskontrolle, Kanton</t>
  </si>
  <si>
    <t>Energieversorger</t>
  </si>
  <si>
    <t>GWR, Stromversorger, Kanton</t>
  </si>
  <si>
    <t>opendata, Stromversorger</t>
  </si>
  <si>
    <t>Mögliche Einheit</t>
  </si>
  <si>
    <t>Automatisch</t>
  </si>
  <si>
    <t>Energie</t>
  </si>
  <si>
    <t>Landwirtschaft</t>
  </si>
  <si>
    <t>Landnutzung</t>
  </si>
  <si>
    <t>Scope 1</t>
  </si>
  <si>
    <t>12345</t>
  </si>
  <si>
    <t>1 | Scope 1</t>
  </si>
  <si>
    <t>2 | Scope 1+2</t>
  </si>
  <si>
    <t>Zelle</t>
  </si>
  <si>
    <t>Texte</t>
  </si>
  <si>
    <t>Einheit</t>
  </si>
  <si>
    <t>Scope</t>
  </si>
  <si>
    <t>Abfall (KVA, ARA)</t>
  </si>
  <si>
    <t>Gasversorger, GWR, Feuerungskontrolle, Kanton</t>
  </si>
  <si>
    <t>GWh</t>
  </si>
  <si>
    <t>MW</t>
  </si>
  <si>
    <t>CO2 Heizöl</t>
  </si>
  <si>
    <t>CO2 Gas</t>
  </si>
  <si>
    <t>Wohnen</t>
  </si>
  <si>
    <t>Sprache</t>
  </si>
  <si>
    <t>Gemeinde</t>
  </si>
  <si>
    <t>Index</t>
  </si>
  <si>
    <t>Deutsch</t>
  </si>
  <si>
    <t>Français</t>
  </si>
  <si>
    <t>Italiano</t>
  </si>
  <si>
    <t>KISS NETTO NULL Bilanz</t>
  </si>
  <si>
    <t>Bilan KISS Zéro Net</t>
  </si>
  <si>
    <t>Commune</t>
  </si>
  <si>
    <t>Comune</t>
  </si>
  <si>
    <t>Chaleur</t>
  </si>
  <si>
    <t>Calore</t>
  </si>
  <si>
    <t>Elettricità</t>
  </si>
  <si>
    <t>Mobilité</t>
  </si>
  <si>
    <t>Mobilità</t>
  </si>
  <si>
    <t>Total</t>
  </si>
  <si>
    <t>-&gt; Gemeinde</t>
  </si>
  <si>
    <t>-&gt; Commune</t>
  </si>
  <si>
    <t>-&gt; Comune</t>
  </si>
  <si>
    <t>Agriculture</t>
  </si>
  <si>
    <t>Agricoltura</t>
  </si>
  <si>
    <t>Altro</t>
  </si>
  <si>
    <t>Bülach</t>
  </si>
  <si>
    <t>G_Nr</t>
  </si>
  <si>
    <t>Bevölkerung</t>
  </si>
  <si>
    <t>Aadorf</t>
  </si>
  <si>
    <t>Aarau</t>
  </si>
  <si>
    <t>Aarberg</t>
  </si>
  <si>
    <t>Aarburg</t>
  </si>
  <si>
    <t>Aarwangen</t>
  </si>
  <si>
    <t>Abtwil</t>
  </si>
  <si>
    <t>Aclens</t>
  </si>
  <si>
    <t>Acquarossa</t>
  </si>
  <si>
    <t>Adelboden</t>
  </si>
  <si>
    <t>Adligenswil</t>
  </si>
  <si>
    <t>Adliswil</t>
  </si>
  <si>
    <t>Aedermannsdorf</t>
  </si>
  <si>
    <t>Aefligen</t>
  </si>
  <si>
    <t>Aegerten</t>
  </si>
  <si>
    <t>Aesch (BL)</t>
  </si>
  <si>
    <t>Aesch (LU)</t>
  </si>
  <si>
    <t>Aesch (ZH)</t>
  </si>
  <si>
    <t>Aeschi (SO)</t>
  </si>
  <si>
    <t>Aeschi bei Spiez</t>
  </si>
  <si>
    <t>Aeugst am Albis</t>
  </si>
  <si>
    <t>Affeltrangen</t>
  </si>
  <si>
    <t>Affoltern am Albis</t>
  </si>
  <si>
    <t>Affoltern im Emmental</t>
  </si>
  <si>
    <t>Agarn</t>
  </si>
  <si>
    <t>Agiez</t>
  </si>
  <si>
    <t>Agno</t>
  </si>
  <si>
    <t>Aigle</t>
  </si>
  <si>
    <t>Aire-la-Ville</t>
  </si>
  <si>
    <t>Airolo</t>
  </si>
  <si>
    <t>Alberswil</t>
  </si>
  <si>
    <t>Albinen</t>
  </si>
  <si>
    <t>Albula/Alvra</t>
  </si>
  <si>
    <t>Alchenstorf</t>
  </si>
  <si>
    <t>Allaman</t>
  </si>
  <si>
    <t>Alle</t>
  </si>
  <si>
    <t>Allmendingen</t>
  </si>
  <si>
    <t>Allschwil</t>
  </si>
  <si>
    <t>Alpnach</t>
  </si>
  <si>
    <t>Alpthal</t>
  </si>
  <si>
    <t>Altbüron</t>
  </si>
  <si>
    <t>Altdorf (UR)</t>
  </si>
  <si>
    <t>Altendorf</t>
  </si>
  <si>
    <t>Altikon</t>
  </si>
  <si>
    <t>Altishofen</t>
  </si>
  <si>
    <t>Altnau</t>
  </si>
  <si>
    <t>Alto Malcantone</t>
  </si>
  <si>
    <t>Altstätten</t>
  </si>
  <si>
    <t>Amden</t>
  </si>
  <si>
    <t>Amlikon-Bissegg</t>
  </si>
  <si>
    <t>Ammerswil</t>
  </si>
  <si>
    <t>Amriswil</t>
  </si>
  <si>
    <t>Amsoldingen</t>
  </si>
  <si>
    <t>Andeer</t>
  </si>
  <si>
    <t>Andelfingen</t>
  </si>
  <si>
    <t>Andermatt</t>
  </si>
  <si>
    <t>Andwil (SG)</t>
  </si>
  <si>
    <t>Anières</t>
  </si>
  <si>
    <t>Anniviers</t>
  </si>
  <si>
    <t>Anwil</t>
  </si>
  <si>
    <t>Appenzell</t>
  </si>
  <si>
    <t>Aranno</t>
  </si>
  <si>
    <t>Arbaz</t>
  </si>
  <si>
    <t>Arbedo-Castione</t>
  </si>
  <si>
    <t>Arboldswil</t>
  </si>
  <si>
    <t>Arbon</t>
  </si>
  <si>
    <t>Arch</t>
  </si>
  <si>
    <t>Ardon</t>
  </si>
  <si>
    <t>Arisdorf</t>
  </si>
  <si>
    <t>Aristau</t>
  </si>
  <si>
    <t>Arlesheim</t>
  </si>
  <si>
    <t>Arnex-sur-Nyon</t>
  </si>
  <si>
    <t>Arnex-sur-Orbe</t>
  </si>
  <si>
    <t>Arni (AG)</t>
  </si>
  <si>
    <t>Arni (BE)</t>
  </si>
  <si>
    <t>Arogno</t>
  </si>
  <si>
    <t>Arosa</t>
  </si>
  <si>
    <t>Arth</t>
  </si>
  <si>
    <t>Arzier-Le Muids</t>
  </si>
  <si>
    <t>Ascona</t>
  </si>
  <si>
    <t>Assens</t>
  </si>
  <si>
    <t>Astano</t>
  </si>
  <si>
    <t>Attalens</t>
  </si>
  <si>
    <t>Attinghausen</t>
  </si>
  <si>
    <t>Attiswil</t>
  </si>
  <si>
    <t>Au (SG)</t>
  </si>
  <si>
    <t>Aubonne</t>
  </si>
  <si>
    <t>Auboranges</t>
  </si>
  <si>
    <t>Auenstein</t>
  </si>
  <si>
    <t>Augst</t>
  </si>
  <si>
    <t>Ausserberg</t>
  </si>
  <si>
    <t>Auswil</t>
  </si>
  <si>
    <t>Autigny</t>
  </si>
  <si>
    <t>Auw</t>
  </si>
  <si>
    <t>Avegno Gordevio</t>
  </si>
  <si>
    <t>Avenches</t>
  </si>
  <si>
    <t>Avers</t>
  </si>
  <si>
    <t>Avry</t>
  </si>
  <si>
    <t>Avully</t>
  </si>
  <si>
    <t>Avusy</t>
  </si>
  <si>
    <t>Ayent</t>
  </si>
  <si>
    <t>Baar</t>
  </si>
  <si>
    <t>Bachenbülach</t>
  </si>
  <si>
    <t>Bachs</t>
  </si>
  <si>
    <t>Bad Ragaz</t>
  </si>
  <si>
    <t>Baden</t>
  </si>
  <si>
    <t>Balerna</t>
  </si>
  <si>
    <t>Balgach</t>
  </si>
  <si>
    <t>Ballaigues</t>
  </si>
  <si>
    <t>Ballens</t>
  </si>
  <si>
    <t>Ballwil</t>
  </si>
  <si>
    <t>Balm bei Günsberg</t>
  </si>
  <si>
    <t>Balsthal</t>
  </si>
  <si>
    <t>Baltschieder</t>
  </si>
  <si>
    <t>Bannwil</t>
  </si>
  <si>
    <t>Bardonnex</t>
  </si>
  <si>
    <t>Bäretswil</t>
  </si>
  <si>
    <t>Bargen (BE)</t>
  </si>
  <si>
    <t>Bargen (SH)</t>
  </si>
  <si>
    <t>Bäriswil</t>
  </si>
  <si>
    <t>Bärschwil</t>
  </si>
  <si>
    <t>Basadingen-Schlattingen</t>
  </si>
  <si>
    <t>Basel</t>
  </si>
  <si>
    <t>Bas-Intyamon</t>
  </si>
  <si>
    <t>Basse-Allaine</t>
  </si>
  <si>
    <t>Bassersdorf</t>
  </si>
  <si>
    <t>Bassins</t>
  </si>
  <si>
    <t>Bätterkinden</t>
  </si>
  <si>
    <t>Bättwil</t>
  </si>
  <si>
    <t>Baulmes</t>
  </si>
  <si>
    <t>Bauma</t>
  </si>
  <si>
    <t>Bavois</t>
  </si>
  <si>
    <t>Beatenberg</t>
  </si>
  <si>
    <t>Beckenried</t>
  </si>
  <si>
    <t>Bedano</t>
  </si>
  <si>
    <t>Bedigliora</t>
  </si>
  <si>
    <t>Bedretto</t>
  </si>
  <si>
    <t>Beggingen</t>
  </si>
  <si>
    <t>Begnins</t>
  </si>
  <si>
    <t>Beinwil (Freiamt)</t>
  </si>
  <si>
    <t>Beinwil (SO)</t>
  </si>
  <si>
    <t>Beinwil am See</t>
  </si>
  <si>
    <t>Belfaux</t>
  </si>
  <si>
    <t>Bellach</t>
  </si>
  <si>
    <t>Bellevue</t>
  </si>
  <si>
    <t>Bellikon</t>
  </si>
  <si>
    <t>Bellinzona</t>
  </si>
  <si>
    <t>Bellmund</t>
  </si>
  <si>
    <t>Bellwald</t>
  </si>
  <si>
    <t>Belmont-Broye</t>
  </si>
  <si>
    <t>Belmont-sur-Lausanne</t>
  </si>
  <si>
    <t>Belmont-sur-Yverdon</t>
  </si>
  <si>
    <t>Belp</t>
  </si>
  <si>
    <t>Belprahon</t>
  </si>
  <si>
    <t>Benken (SG)</t>
  </si>
  <si>
    <t>Benken (ZH)</t>
  </si>
  <si>
    <t>Bennwil</t>
  </si>
  <si>
    <t>Bercher</t>
  </si>
  <si>
    <t>Berg (SG)</t>
  </si>
  <si>
    <t>Berg (TG)</t>
  </si>
  <si>
    <t>Berg am Irchel</t>
  </si>
  <si>
    <t>Bergdietikon</t>
  </si>
  <si>
    <t>Bergün Filisur</t>
  </si>
  <si>
    <t>Berikon</t>
  </si>
  <si>
    <t>Beringen</t>
  </si>
  <si>
    <t>Berken</t>
  </si>
  <si>
    <t>Berlingen</t>
  </si>
  <si>
    <t>Bern</t>
  </si>
  <si>
    <t>Berneck</t>
  </si>
  <si>
    <t>Bernex</t>
  </si>
  <si>
    <t>Berolle</t>
  </si>
  <si>
    <t>Beromünster</t>
  </si>
  <si>
    <t>Besenbüren</t>
  </si>
  <si>
    <t>Bettenhausen</t>
  </si>
  <si>
    <t>Bettens</t>
  </si>
  <si>
    <t>Bettingen</t>
  </si>
  <si>
    <t>Bettlach</t>
  </si>
  <si>
    <t>Bettmeralp</t>
  </si>
  <si>
    <t>Bettwiesen</t>
  </si>
  <si>
    <t>Bettwil</t>
  </si>
  <si>
    <t>Bever</t>
  </si>
  <si>
    <t>Bex</t>
  </si>
  <si>
    <t>Biasca</t>
  </si>
  <si>
    <t>Biberist</t>
  </si>
  <si>
    <t>Biberstein</t>
  </si>
  <si>
    <t>Bichelsee-Balterswil</t>
  </si>
  <si>
    <t>Biel/Bienne</t>
  </si>
  <si>
    <t>Biel-Benken</t>
  </si>
  <si>
    <t>Bière</t>
  </si>
  <si>
    <t>Biezwil</t>
  </si>
  <si>
    <t>Biglen</t>
  </si>
  <si>
    <t>Billens-Hennens</t>
  </si>
  <si>
    <t>Binn</t>
  </si>
  <si>
    <t>Binningen</t>
  </si>
  <si>
    <t>Bioggio</t>
  </si>
  <si>
    <t>Bioley-Magnoux</t>
  </si>
  <si>
    <t>Birmensdorf (ZH)</t>
  </si>
  <si>
    <t>Birmenstorf (AG)</t>
  </si>
  <si>
    <t>Birr</t>
  </si>
  <si>
    <t>Birrhard</t>
  </si>
  <si>
    <t>Birrwil</t>
  </si>
  <si>
    <t>Birsfelden</t>
  </si>
  <si>
    <t>Birwinken</t>
  </si>
  <si>
    <t>Bischofszell</t>
  </si>
  <si>
    <t>Bissone</t>
  </si>
  <si>
    <t>Bister</t>
  </si>
  <si>
    <t>Bitsch</t>
  </si>
  <si>
    <t>Blatten</t>
  </si>
  <si>
    <t>Blauen</t>
  </si>
  <si>
    <t>Bleienbach</t>
  </si>
  <si>
    <t>Blenio</t>
  </si>
  <si>
    <t>Blonay - Saint-Légier</t>
  </si>
  <si>
    <t>Blumenstein</t>
  </si>
  <si>
    <t>Böckten</t>
  </si>
  <si>
    <t>Bodio</t>
  </si>
  <si>
    <t>Boécourt</t>
  </si>
  <si>
    <t>Bofflens</t>
  </si>
  <si>
    <t>Bogis-Bossey</t>
  </si>
  <si>
    <t>Bois-d'Amont</t>
  </si>
  <si>
    <t>Bolken</t>
  </si>
  <si>
    <t>Bolligen</t>
  </si>
  <si>
    <t>Boltigen</t>
  </si>
  <si>
    <t>Bonaduz</t>
  </si>
  <si>
    <t>Boncourt</t>
  </si>
  <si>
    <t>Bönigen</t>
  </si>
  <si>
    <t>Boningen</t>
  </si>
  <si>
    <t>Boniswil</t>
  </si>
  <si>
    <t>Bonstetten</t>
  </si>
  <si>
    <t>Bonvillars</t>
  </si>
  <si>
    <t>Boppelsen</t>
  </si>
  <si>
    <t>Borex</t>
  </si>
  <si>
    <t>Bosco/Gurin</t>
  </si>
  <si>
    <t>Bösingen</t>
  </si>
  <si>
    <t>Bossonnens</t>
  </si>
  <si>
    <t>Boswil</t>
  </si>
  <si>
    <t>Bottens</t>
  </si>
  <si>
    <t>Bottenwil</t>
  </si>
  <si>
    <t>Botterens</t>
  </si>
  <si>
    <t>Bottighofen</t>
  </si>
  <si>
    <t>Bottmingen</t>
  </si>
  <si>
    <t>Böttstein</t>
  </si>
  <si>
    <t>Boudry</t>
  </si>
  <si>
    <t>Bougy-Villars</t>
  </si>
  <si>
    <t>Boulens</t>
  </si>
  <si>
    <t>Bourg-en-Lavaux</t>
  </si>
  <si>
    <t>Bourg-Saint-Pierre</t>
  </si>
  <si>
    <t>Bournens</t>
  </si>
  <si>
    <t>Bourrignon</t>
  </si>
  <si>
    <t>Boussens</t>
  </si>
  <si>
    <t>Bovernier</t>
  </si>
  <si>
    <t>Bowil</t>
  </si>
  <si>
    <t>Bözberg</t>
  </si>
  <si>
    <t>Böztal</t>
  </si>
  <si>
    <t>Braunau</t>
  </si>
  <si>
    <t>Bregaglia</t>
  </si>
  <si>
    <t>Breggia</t>
  </si>
  <si>
    <t>Breil/Brigels</t>
  </si>
  <si>
    <t>Breitenbach</t>
  </si>
  <si>
    <t>Bremblens</t>
  </si>
  <si>
    <t>Bremgarten (AG)</t>
  </si>
  <si>
    <t>Bremgarten bei Bern</t>
  </si>
  <si>
    <t>Brenzikofen</t>
  </si>
  <si>
    <t>Bretigny-sur-Morrens</t>
  </si>
  <si>
    <t>Bretonnières</t>
  </si>
  <si>
    <t>Bretzwil</t>
  </si>
  <si>
    <t>Brienz (BE)</t>
  </si>
  <si>
    <t>Brienzwiler</t>
  </si>
  <si>
    <t>Brig-Glis</t>
  </si>
  <si>
    <t>Brione sopra Minusio</t>
  </si>
  <si>
    <t>Brislach</t>
  </si>
  <si>
    <t>Brissago</t>
  </si>
  <si>
    <t>Brittnau</t>
  </si>
  <si>
    <t>Broc</t>
  </si>
  <si>
    <t>Brot-Plamboz</t>
  </si>
  <si>
    <t>Brugg</t>
  </si>
  <si>
    <t>Brügg</t>
  </si>
  <si>
    <t>Brunegg</t>
  </si>
  <si>
    <t>Brünisried</t>
  </si>
  <si>
    <t>Brusino Arsizio</t>
  </si>
  <si>
    <t>Brusio</t>
  </si>
  <si>
    <t>Brüttelen</t>
  </si>
  <si>
    <t>Brütten</t>
  </si>
  <si>
    <t>Bubendorf</t>
  </si>
  <si>
    <t>Bubikon</t>
  </si>
  <si>
    <t>Buch (SH)</t>
  </si>
  <si>
    <t>Buch am Irchel</t>
  </si>
  <si>
    <t>Buchberg</t>
  </si>
  <si>
    <t>Buchegg</t>
  </si>
  <si>
    <t>Buchholterberg</t>
  </si>
  <si>
    <t>Buchillon</t>
  </si>
  <si>
    <t>Buchrain</t>
  </si>
  <si>
    <t>Buchs (AG)</t>
  </si>
  <si>
    <t>Buchs (SG)</t>
  </si>
  <si>
    <t>Buchs (ZH)</t>
  </si>
  <si>
    <t>Buckten</t>
  </si>
  <si>
    <t>Büetigen</t>
  </si>
  <si>
    <t>Bühl</t>
  </si>
  <si>
    <t>Bühler</t>
  </si>
  <si>
    <t>Bulle</t>
  </si>
  <si>
    <t>Bullet</t>
  </si>
  <si>
    <t>Bünzen</t>
  </si>
  <si>
    <t>Buochs</t>
  </si>
  <si>
    <t>Bürchen</t>
  </si>
  <si>
    <t>Bure</t>
  </si>
  <si>
    <t>Büren (SO)</t>
  </si>
  <si>
    <t>Büren an der Aare</t>
  </si>
  <si>
    <t>Burg im Leimental</t>
  </si>
  <si>
    <t>Burgdorf</t>
  </si>
  <si>
    <t>Burgistein</t>
  </si>
  <si>
    <t>Bürglen (TG)</t>
  </si>
  <si>
    <t>Bürglen (UR)</t>
  </si>
  <si>
    <t>Büron</t>
  </si>
  <si>
    <t>Bursinel</t>
  </si>
  <si>
    <t>Bursins</t>
  </si>
  <si>
    <t>Burtigny</t>
  </si>
  <si>
    <t>Buseno</t>
  </si>
  <si>
    <t>Büsserach</t>
  </si>
  <si>
    <t>Bussigny</t>
  </si>
  <si>
    <t>Bussnang</t>
  </si>
  <si>
    <t>Busswil bei Melchnau</t>
  </si>
  <si>
    <t>Bussy-sur-Moudon</t>
  </si>
  <si>
    <t>Bütschwil-Ganterschwil</t>
  </si>
  <si>
    <t>Büttenhardt</t>
  </si>
  <si>
    <t>Büttikon</t>
  </si>
  <si>
    <t>Buttisholz</t>
  </si>
  <si>
    <t>Buttwil</t>
  </si>
  <si>
    <t>Buus</t>
  </si>
  <si>
    <t>Cademario</t>
  </si>
  <si>
    <t>Cadempino</t>
  </si>
  <si>
    <t>Cadenazzo</t>
  </si>
  <si>
    <t>Calanca</t>
  </si>
  <si>
    <t>Cama</t>
  </si>
  <si>
    <t>Campo (Vallemaggia)</t>
  </si>
  <si>
    <t>Canobbio</t>
  </si>
  <si>
    <t>Capriasca</t>
  </si>
  <si>
    <t>Carouge (GE)</t>
  </si>
  <si>
    <t>Cartigny</t>
  </si>
  <si>
    <t>Caslano</t>
  </si>
  <si>
    <t>Castaneda</t>
  </si>
  <si>
    <t>Castel San Pietro</t>
  </si>
  <si>
    <t>Cazis</t>
  </si>
  <si>
    <t>Celerina/Schlarigna</t>
  </si>
  <si>
    <t>Céligny</t>
  </si>
  <si>
    <t>Centovalli</t>
  </si>
  <si>
    <t>Cerentino</t>
  </si>
  <si>
    <t>Cevio</t>
  </si>
  <si>
    <t>Chalais</t>
  </si>
  <si>
    <t>Cham</t>
  </si>
  <si>
    <t>Chamblon</t>
  </si>
  <si>
    <t>Chamoson</t>
  </si>
  <si>
    <t>Champagne</t>
  </si>
  <si>
    <t>Champéry</t>
  </si>
  <si>
    <t>Champoz</t>
  </si>
  <si>
    <t>Champtauroz</t>
  </si>
  <si>
    <t>Champvent</t>
  </si>
  <si>
    <t>Chancy</t>
  </si>
  <si>
    <t>Chapelle (Glâne)</t>
  </si>
  <si>
    <t>Chardonne</t>
  </si>
  <si>
    <t>Château-d'Oex</t>
  </si>
  <si>
    <t>Châtel-Saint-Denis</t>
  </si>
  <si>
    <t>Châtel-sur-Montsalvens</t>
  </si>
  <si>
    <t>Châtillon (FR)</t>
  </si>
  <si>
    <t>Châtillon (JU)</t>
  </si>
  <si>
    <t>Châtonnaye</t>
  </si>
  <si>
    <t>Chavannes-de-Bogis</t>
  </si>
  <si>
    <t>Chavannes-des-Bois</t>
  </si>
  <si>
    <t>Chavannes-le-Chêne</t>
  </si>
  <si>
    <t>Chavannes-le-Veyron</t>
  </si>
  <si>
    <t>Chavannes-près-Renens</t>
  </si>
  <si>
    <t>Chavannes-sur-Moudon</t>
  </si>
  <si>
    <t>Chavornay</t>
  </si>
  <si>
    <t>Chêne-Bougeries</t>
  </si>
  <si>
    <t>Chêne-Bourg</t>
  </si>
  <si>
    <t>Chénens</t>
  </si>
  <si>
    <t>Chêne-Pâquier</t>
  </si>
  <si>
    <t>Cheseaux-Noréaz</t>
  </si>
  <si>
    <t>Cheseaux-sur-Lausanne</t>
  </si>
  <si>
    <t>Chéserex</t>
  </si>
  <si>
    <t>Chessel</t>
  </si>
  <si>
    <t>Chevilly</t>
  </si>
  <si>
    <t>Chevroux</t>
  </si>
  <si>
    <t>Chexbres</t>
  </si>
  <si>
    <t>Cheyres-Châbles</t>
  </si>
  <si>
    <t>Chiasso</t>
  </si>
  <si>
    <t>Chigny</t>
  </si>
  <si>
    <t>Chippis</t>
  </si>
  <si>
    <t>Choulex</t>
  </si>
  <si>
    <t>Chur</t>
  </si>
  <si>
    <t>Churwalden</t>
  </si>
  <si>
    <t>Clarmont</t>
  </si>
  <si>
    <t>Clos du Doubs</t>
  </si>
  <si>
    <t>Coeuve</t>
  </si>
  <si>
    <t>Coinsins</t>
  </si>
  <si>
    <t>Coldrerio</t>
  </si>
  <si>
    <t>Collex-Bossy</t>
  </si>
  <si>
    <t>Collina d'Oro</t>
  </si>
  <si>
    <t>Collombey-Muraz</t>
  </si>
  <si>
    <t>Collonge-Bellerive</t>
  </si>
  <si>
    <t>Collonges</t>
  </si>
  <si>
    <t>Cologny</t>
  </si>
  <si>
    <t>Comano</t>
  </si>
  <si>
    <t>Commugny</t>
  </si>
  <si>
    <t>Concise</t>
  </si>
  <si>
    <t>Confignon</t>
  </si>
  <si>
    <t>Conters im Prättigau</t>
  </si>
  <si>
    <t>Conthey</t>
  </si>
  <si>
    <t>Coppet</t>
  </si>
  <si>
    <t>Corbeyrier</t>
  </si>
  <si>
    <t>Corbières</t>
  </si>
  <si>
    <t>Corcelles (BE)</t>
  </si>
  <si>
    <t>Corcelles-le-Jorat</t>
  </si>
  <si>
    <t>Corcelles-près-Concise</t>
  </si>
  <si>
    <t>Corcelles-près-Payerne</t>
  </si>
  <si>
    <t>Corgémont</t>
  </si>
  <si>
    <t>Corminboeuf</t>
  </si>
  <si>
    <t>Cormoret</t>
  </si>
  <si>
    <t>Cornaux</t>
  </si>
  <si>
    <t>Cornol</t>
  </si>
  <si>
    <t>Corseaux</t>
  </si>
  <si>
    <t>Corsier (GE)</t>
  </si>
  <si>
    <t>Corsier-sur-Vevey</t>
  </si>
  <si>
    <t>Cortaillod</t>
  </si>
  <si>
    <t>Cortébert</t>
  </si>
  <si>
    <t>Cossonay</t>
  </si>
  <si>
    <t>Cottens (FR)</t>
  </si>
  <si>
    <t>Courchapoix</t>
  </si>
  <si>
    <t>Courchavon</t>
  </si>
  <si>
    <t>Courgenay</t>
  </si>
  <si>
    <t>Courgevaux</t>
  </si>
  <si>
    <t>Courrendlin</t>
  </si>
  <si>
    <t>Courroux</t>
  </si>
  <si>
    <t>Court</t>
  </si>
  <si>
    <t>Courtedoux</t>
  </si>
  <si>
    <t>Courtelary</t>
  </si>
  <si>
    <t>Courtepin</t>
  </si>
  <si>
    <t>Courtételle</t>
  </si>
  <si>
    <t>Crans (VD)</t>
  </si>
  <si>
    <t>Crans-Montana</t>
  </si>
  <si>
    <t>Crassier</t>
  </si>
  <si>
    <t>Crémines</t>
  </si>
  <si>
    <t>Cressier (FR)</t>
  </si>
  <si>
    <t>Cressier (NE)</t>
  </si>
  <si>
    <t>Crésuz</t>
  </si>
  <si>
    <t>Crissier</t>
  </si>
  <si>
    <t>Cronay</t>
  </si>
  <si>
    <t>Croy</t>
  </si>
  <si>
    <t>Cuarnens</t>
  </si>
  <si>
    <t>Cuarny</t>
  </si>
  <si>
    <t>Cudrefin</t>
  </si>
  <si>
    <t>Cugnasco-Gerra</t>
  </si>
  <si>
    <t>Cugy (FR)</t>
  </si>
  <si>
    <t>Cugy (VD)</t>
  </si>
  <si>
    <t>Cureglia</t>
  </si>
  <si>
    <t>Curio</t>
  </si>
  <si>
    <t>Curtilles</t>
  </si>
  <si>
    <t>Dachsen</t>
  </si>
  <si>
    <t>Dägerlen</t>
  </si>
  <si>
    <t>Dagmersellen</t>
  </si>
  <si>
    <t>Daillens</t>
  </si>
  <si>
    <t>Dallenwil</t>
  </si>
  <si>
    <t>Dällikon</t>
  </si>
  <si>
    <t>Dalpe</t>
  </si>
  <si>
    <t>Damphreux-Lugnez</t>
  </si>
  <si>
    <t>Däniken</t>
  </si>
  <si>
    <t>Dänikon</t>
  </si>
  <si>
    <t>Dardagny</t>
  </si>
  <si>
    <t>Därligen</t>
  </si>
  <si>
    <t>Därstetten</t>
  </si>
  <si>
    <t>Dättlikon</t>
  </si>
  <si>
    <t>Davos</t>
  </si>
  <si>
    <t>Degersheim</t>
  </si>
  <si>
    <t>Deisswil bei Münchenbuchsee</t>
  </si>
  <si>
    <t>Deitingen</t>
  </si>
  <si>
    <t>Delémont</t>
  </si>
  <si>
    <t>Delley-Portalban</t>
  </si>
  <si>
    <t>Démoret</t>
  </si>
  <si>
    <t>Denens</t>
  </si>
  <si>
    <t>Denges</t>
  </si>
  <si>
    <t>Densbüren</t>
  </si>
  <si>
    <t>Derendingen</t>
  </si>
  <si>
    <t>Develier</t>
  </si>
  <si>
    <t>Diegten</t>
  </si>
  <si>
    <t>Dielsdorf</t>
  </si>
  <si>
    <t>Diemtigen</t>
  </si>
  <si>
    <t>Diepflingen</t>
  </si>
  <si>
    <t>Diepoldsau</t>
  </si>
  <si>
    <t>Dierikon</t>
  </si>
  <si>
    <t>Diessbach bei Büren</t>
  </si>
  <si>
    <t>Diessenhofen</t>
  </si>
  <si>
    <t>Dietikon</t>
  </si>
  <si>
    <t>Dietlikon</t>
  </si>
  <si>
    <t>Dietwil</t>
  </si>
  <si>
    <t>Dinhard</t>
  </si>
  <si>
    <t>Dintikon</t>
  </si>
  <si>
    <t>Disentis/Mustér</t>
  </si>
  <si>
    <t>Dittingen</t>
  </si>
  <si>
    <t>Dizy</t>
  </si>
  <si>
    <t>Domat/Ems</t>
  </si>
  <si>
    <t>Domleschg</t>
  </si>
  <si>
    <t>Dompierre (VD)</t>
  </si>
  <si>
    <t>Donneloye</t>
  </si>
  <si>
    <t>Doppleschwand</t>
  </si>
  <si>
    <t>Dorénaz</t>
  </si>
  <si>
    <t>Dorf</t>
  </si>
  <si>
    <t>Dörflingen</t>
  </si>
  <si>
    <t>Dornach</t>
  </si>
  <si>
    <t>Dottikon</t>
  </si>
  <si>
    <t>Döttingen</t>
  </si>
  <si>
    <t>Dotzigen</t>
  </si>
  <si>
    <t>Dozwil</t>
  </si>
  <si>
    <t>Drei Höfe</t>
  </si>
  <si>
    <t>Dübendorf</t>
  </si>
  <si>
    <t>Düdingen</t>
  </si>
  <si>
    <t>Duggingen</t>
  </si>
  <si>
    <t>Duillier</t>
  </si>
  <si>
    <t>Dulliken</t>
  </si>
  <si>
    <t>Dully</t>
  </si>
  <si>
    <t>Dürnten</t>
  </si>
  <si>
    <t>Dürrenäsch</t>
  </si>
  <si>
    <t>Dürrenroth</t>
  </si>
  <si>
    <t>Ebikon</t>
  </si>
  <si>
    <t>Ebnat-Kappel</t>
  </si>
  <si>
    <t>Echallens</t>
  </si>
  <si>
    <t>Echandens</t>
  </si>
  <si>
    <t>Echarlens</t>
  </si>
  <si>
    <t>Echichens</t>
  </si>
  <si>
    <t>Eclépens</t>
  </si>
  <si>
    <t>Ecublens (FR)</t>
  </si>
  <si>
    <t>Ecublens (VD)</t>
  </si>
  <si>
    <t>Ederswiler</t>
  </si>
  <si>
    <t>Egerkingen</t>
  </si>
  <si>
    <t>Egg</t>
  </si>
  <si>
    <t>Eggenwil</t>
  </si>
  <si>
    <t>Eggerberg</t>
  </si>
  <si>
    <t>Eggersriet</t>
  </si>
  <si>
    <t>Eggiwil</t>
  </si>
  <si>
    <t>Eglisau</t>
  </si>
  <si>
    <t>Egliswil</t>
  </si>
  <si>
    <t>Egnach</t>
  </si>
  <si>
    <t>Egolzwil</t>
  </si>
  <si>
    <t>Ehrendingen</t>
  </si>
  <si>
    <t>Eich</t>
  </si>
  <si>
    <t>Eichberg</t>
  </si>
  <si>
    <t>Eiken</t>
  </si>
  <si>
    <t>Einsiedeln</t>
  </si>
  <si>
    <t>Eischoll</t>
  </si>
  <si>
    <t>Eisten</t>
  </si>
  <si>
    <t>Elgg</t>
  </si>
  <si>
    <t>Ellikon an der Thur</t>
  </si>
  <si>
    <t>Elsau</t>
  </si>
  <si>
    <t>Embd</t>
  </si>
  <si>
    <t>Embrach</t>
  </si>
  <si>
    <t>Emmen</t>
  </si>
  <si>
    <t>Emmetten</t>
  </si>
  <si>
    <t>Endingen</t>
  </si>
  <si>
    <t>Engelberg</t>
  </si>
  <si>
    <t>Enges</t>
  </si>
  <si>
    <t>Ennetbaden</t>
  </si>
  <si>
    <t>Ennetbürgen</t>
  </si>
  <si>
    <t>Ennetmoos</t>
  </si>
  <si>
    <t>Entlebuch</t>
  </si>
  <si>
    <t>Epalinges</t>
  </si>
  <si>
    <t>Ependes (VD)</t>
  </si>
  <si>
    <t>Eppenberg-Wöschnau</t>
  </si>
  <si>
    <t>Epsach</t>
  </si>
  <si>
    <t>Eptingen</t>
  </si>
  <si>
    <t>Ergisch</t>
  </si>
  <si>
    <t>Eriswil</t>
  </si>
  <si>
    <t>Eriz</t>
  </si>
  <si>
    <t>Erlach</t>
  </si>
  <si>
    <t>Erlen</t>
  </si>
  <si>
    <t>Erlenbach (ZH)</t>
  </si>
  <si>
    <t>Erlenbach im Simmental</t>
  </si>
  <si>
    <t>Erlinsbach (AG)</t>
  </si>
  <si>
    <t>Erlinsbach (SO)</t>
  </si>
  <si>
    <t>Ermatingen</t>
  </si>
  <si>
    <t>Ermensee</t>
  </si>
  <si>
    <t>Ernen</t>
  </si>
  <si>
    <t>Erschwil</t>
  </si>
  <si>
    <t>Ersigen</t>
  </si>
  <si>
    <t>Erstfeld</t>
  </si>
  <si>
    <t>Eschenbach (LU)</t>
  </si>
  <si>
    <t>Eschenbach (SG)</t>
  </si>
  <si>
    <t>Eschenz</t>
  </si>
  <si>
    <t>Eschert</t>
  </si>
  <si>
    <t>Eschlikon</t>
  </si>
  <si>
    <t>Escholzmatt-Marbach</t>
  </si>
  <si>
    <t>Essertines-sur-Rolle</t>
  </si>
  <si>
    <t>Essertines-sur-Yverdon</t>
  </si>
  <si>
    <t>Estavayer</t>
  </si>
  <si>
    <t>Etagnières</t>
  </si>
  <si>
    <t>Etoy</t>
  </si>
  <si>
    <t>Ettingen</t>
  </si>
  <si>
    <t>Ettiswil</t>
  </si>
  <si>
    <t>Etziken</t>
  </si>
  <si>
    <t>Evilard</t>
  </si>
  <si>
    <t>Evionnaz</t>
  </si>
  <si>
    <t>Evolène</t>
  </si>
  <si>
    <t>Eysins</t>
  </si>
  <si>
    <t>Fahrni</t>
  </si>
  <si>
    <t>Fahrwangen</t>
  </si>
  <si>
    <t>Fahy</t>
  </si>
  <si>
    <t>Faido</t>
  </si>
  <si>
    <t>Falera</t>
  </si>
  <si>
    <t>Fällanden</t>
  </si>
  <si>
    <t>Faoug</t>
  </si>
  <si>
    <t>Farnern</t>
  </si>
  <si>
    <t>Féchy</t>
  </si>
  <si>
    <t>Fehraltorf</t>
  </si>
  <si>
    <t>Fehren</t>
  </si>
  <si>
    <t>Felben-Wellhausen</t>
  </si>
  <si>
    <t>Feldbrunnen-St. Niklaus</t>
  </si>
  <si>
    <t>Felsberg</t>
  </si>
  <si>
    <t>Ferden</t>
  </si>
  <si>
    <t>Ferenbalm</t>
  </si>
  <si>
    <t>Ferpicloz</t>
  </si>
  <si>
    <t>Ferrera</t>
  </si>
  <si>
    <t>Ferreyres</t>
  </si>
  <si>
    <t>Fétigny</t>
  </si>
  <si>
    <t>Feuerthalen</t>
  </si>
  <si>
    <t>Feusisberg</t>
  </si>
  <si>
    <t>Fey</t>
  </si>
  <si>
    <t>Fideris</t>
  </si>
  <si>
    <t>Fiesch</t>
  </si>
  <si>
    <t>Fieschertal</t>
  </si>
  <si>
    <t>Fiez</t>
  </si>
  <si>
    <t>Finhaut</t>
  </si>
  <si>
    <t>Finsterhennen</t>
  </si>
  <si>
    <t>Fischbach</t>
  </si>
  <si>
    <t>Fischbach-Göslikon</t>
  </si>
  <si>
    <t>Fischenthal</t>
  </si>
  <si>
    <t>Fischingen</t>
  </si>
  <si>
    <t>Fisibach</t>
  </si>
  <si>
    <t>Fislisbach</t>
  </si>
  <si>
    <t>Flaach</t>
  </si>
  <si>
    <t>Fläsch</t>
  </si>
  <si>
    <t>Flawil</t>
  </si>
  <si>
    <t>Flerden</t>
  </si>
  <si>
    <t>Flims</t>
  </si>
  <si>
    <t>Flüelen</t>
  </si>
  <si>
    <t>Flühli</t>
  </si>
  <si>
    <t>Flumenthal</t>
  </si>
  <si>
    <t>Flums</t>
  </si>
  <si>
    <t>Flurlingen</t>
  </si>
  <si>
    <t>Fontaines-sur-Grandson</t>
  </si>
  <si>
    <t>Fontenais</t>
  </si>
  <si>
    <t>Forel (Lavaux)</t>
  </si>
  <si>
    <t>Forst-Längenbühl</t>
  </si>
  <si>
    <t>Founex</t>
  </si>
  <si>
    <t>Fräschels</t>
  </si>
  <si>
    <t>Fraubrunnen</t>
  </si>
  <si>
    <t>Frauenfeld</t>
  </si>
  <si>
    <t>Frauenkappelen</t>
  </si>
  <si>
    <t>Freienbach</t>
  </si>
  <si>
    <t>Freienstein-Teufen</t>
  </si>
  <si>
    <t>Freienwil</t>
  </si>
  <si>
    <t>Freimettigen</t>
  </si>
  <si>
    <t>Frenkendorf</t>
  </si>
  <si>
    <t>Fribourg</t>
  </si>
  <si>
    <t>Frick</t>
  </si>
  <si>
    <t>Froideville</t>
  </si>
  <si>
    <t>Frutigen</t>
  </si>
  <si>
    <t>Fulenbach</t>
  </si>
  <si>
    <t>Füllinsdorf</t>
  </si>
  <si>
    <t>Full-Reuenthal</t>
  </si>
  <si>
    <t>Fully</t>
  </si>
  <si>
    <t>Furna</t>
  </si>
  <si>
    <t>Fürstenau</t>
  </si>
  <si>
    <t>Gächlingen</t>
  </si>
  <si>
    <t>Gachnang</t>
  </si>
  <si>
    <t>Gais</t>
  </si>
  <si>
    <t>Gaiserwald</t>
  </si>
  <si>
    <t>Galgenen</t>
  </si>
  <si>
    <t>Gals</t>
  </si>
  <si>
    <t>Gambarogno</t>
  </si>
  <si>
    <t>Gampel-Bratsch</t>
  </si>
  <si>
    <t>Gampelen</t>
  </si>
  <si>
    <t>Gams</t>
  </si>
  <si>
    <t>Gansingen</t>
  </si>
  <si>
    <t>Gebenstorf</t>
  </si>
  <si>
    <t>Gelterkinden</t>
  </si>
  <si>
    <t>Geltwil</t>
  </si>
  <si>
    <t>Gempen</t>
  </si>
  <si>
    <t>Genève</t>
  </si>
  <si>
    <t>Genolier</t>
  </si>
  <si>
    <t>Genthod</t>
  </si>
  <si>
    <t>Gerlafingen</t>
  </si>
  <si>
    <t>Geroldswil</t>
  </si>
  <si>
    <t>Gersau</t>
  </si>
  <si>
    <t>Gerzensee</t>
  </si>
  <si>
    <t>Geuensee</t>
  </si>
  <si>
    <t>Gibloux</t>
  </si>
  <si>
    <t>Giebenach</t>
  </si>
  <si>
    <t>Giez</t>
  </si>
  <si>
    <t>Giffers</t>
  </si>
  <si>
    <t>Gilly</t>
  </si>
  <si>
    <t>Gimel</t>
  </si>
  <si>
    <t>Gingins</t>
  </si>
  <si>
    <t>Giornico</t>
  </si>
  <si>
    <t>Gipf-Oberfrick</t>
  </si>
  <si>
    <t>Gisikon</t>
  </si>
  <si>
    <t>Giswil</t>
  </si>
  <si>
    <t>Givisiez</t>
  </si>
  <si>
    <t>Givrins</t>
  </si>
  <si>
    <t>Gland</t>
  </si>
  <si>
    <t>Glarus</t>
  </si>
  <si>
    <t>Glarus Nord</t>
  </si>
  <si>
    <t>Glarus Süd</t>
  </si>
  <si>
    <t>Glattfelden</t>
  </si>
  <si>
    <t>Gletterens</t>
  </si>
  <si>
    <t>Goldach</t>
  </si>
  <si>
    <t>Gollion</t>
  </si>
  <si>
    <t>Gommiswald</t>
  </si>
  <si>
    <t>Goms</t>
  </si>
  <si>
    <t>Gondiswil</t>
  </si>
  <si>
    <t>Gonten</t>
  </si>
  <si>
    <t>Gontenschwil</t>
  </si>
  <si>
    <t>Gordola</t>
  </si>
  <si>
    <t>Göschenen</t>
  </si>
  <si>
    <t>Gossau (SG)</t>
  </si>
  <si>
    <t>Gossau (ZH)</t>
  </si>
  <si>
    <t>Gottlieben</t>
  </si>
  <si>
    <t>Goumoëns</t>
  </si>
  <si>
    <t>Graben</t>
  </si>
  <si>
    <t>Grabs</t>
  </si>
  <si>
    <t>Grächen</t>
  </si>
  <si>
    <t>Grancia</t>
  </si>
  <si>
    <t>Grancy</t>
  </si>
  <si>
    <t>Grandcour</t>
  </si>
  <si>
    <t>Grandevent</t>
  </si>
  <si>
    <t>Grandfontaine</t>
  </si>
  <si>
    <t>Grandson</t>
  </si>
  <si>
    <t>Grandval</t>
  </si>
  <si>
    <t>Grandvillard</t>
  </si>
  <si>
    <t>Granges (Veveyse)</t>
  </si>
  <si>
    <t>Granges-Paccot</t>
  </si>
  <si>
    <t>Grangettes</t>
  </si>
  <si>
    <t>Gränichen</t>
  </si>
  <si>
    <t>Gravesano</t>
  </si>
  <si>
    <t>Greifensee</t>
  </si>
  <si>
    <t>Grellingen</t>
  </si>
  <si>
    <t>Grenchen</t>
  </si>
  <si>
    <t>Greng</t>
  </si>
  <si>
    <t>Grengiols</t>
  </si>
  <si>
    <t>Grens</t>
  </si>
  <si>
    <t>Greppen</t>
  </si>
  <si>
    <t>Gretzenbach</t>
  </si>
  <si>
    <t>Grimisuat</t>
  </si>
  <si>
    <t>Grindel</t>
  </si>
  <si>
    <t>Grindelwald</t>
  </si>
  <si>
    <t>Grolley</t>
  </si>
  <si>
    <t>Grône</t>
  </si>
  <si>
    <t>Grono</t>
  </si>
  <si>
    <t>Grossaffoltern</t>
  </si>
  <si>
    <t>Grossdietwil</t>
  </si>
  <si>
    <t>Grosshöchstetten</t>
  </si>
  <si>
    <t>Grosswangen</t>
  </si>
  <si>
    <t>Grub (AR)</t>
  </si>
  <si>
    <t>Grüningen</t>
  </si>
  <si>
    <t>Grüsch</t>
  </si>
  <si>
    <t>Gruyères</t>
  </si>
  <si>
    <t>Gryon</t>
  </si>
  <si>
    <t>Gsteig</t>
  </si>
  <si>
    <t>Gsteigwiler</t>
  </si>
  <si>
    <t>Guggisberg</t>
  </si>
  <si>
    <t>Gündlischwand</t>
  </si>
  <si>
    <t>Günsberg</t>
  </si>
  <si>
    <t>Gunzgen</t>
  </si>
  <si>
    <t>Gurbrü</t>
  </si>
  <si>
    <t>Gurmels</t>
  </si>
  <si>
    <t>Gurtnellen</t>
  </si>
  <si>
    <t>Gurzelen</t>
  </si>
  <si>
    <t>Guttannen</t>
  </si>
  <si>
    <t>Guttet-Feschel</t>
  </si>
  <si>
    <t>Güttingen</t>
  </si>
  <si>
    <t>Gy</t>
  </si>
  <si>
    <t>Habkern</t>
  </si>
  <si>
    <t>Habsburg</t>
  </si>
  <si>
    <t>Häfelfingen</t>
  </si>
  <si>
    <t>Hagenbuch</t>
  </si>
  <si>
    <t>Hägendorf</t>
  </si>
  <si>
    <t>Häggenschwil</t>
  </si>
  <si>
    <t>Hägglingen</t>
  </si>
  <si>
    <t>Hagneck</t>
  </si>
  <si>
    <t>Hallau</t>
  </si>
  <si>
    <t>Hallwil</t>
  </si>
  <si>
    <t>Halten</t>
  </si>
  <si>
    <t>Härkingen</t>
  </si>
  <si>
    <t>Hasle (LU)</t>
  </si>
  <si>
    <t>Hasle bei Burgdorf</t>
  </si>
  <si>
    <t>Hasliberg</t>
  </si>
  <si>
    <t>Hauenstein-Ifenthal</t>
  </si>
  <si>
    <t>Hauptwil-Gottshaus</t>
  </si>
  <si>
    <t>Hausen (AG)</t>
  </si>
  <si>
    <t>Hausen am Albis</t>
  </si>
  <si>
    <t>Haute-Ajoie</t>
  </si>
  <si>
    <t>Hautemorges</t>
  </si>
  <si>
    <t>Hauterive (FR)</t>
  </si>
  <si>
    <t>Hauterive (NE)</t>
  </si>
  <si>
    <t>Haute-Sorne</t>
  </si>
  <si>
    <t>Hauteville</t>
  </si>
  <si>
    <t>Haut-Intyamon</t>
  </si>
  <si>
    <t>Häutligen</t>
  </si>
  <si>
    <t>Hedingen</t>
  </si>
  <si>
    <t>Hefenhofen</t>
  </si>
  <si>
    <t>Heiden</t>
  </si>
  <si>
    <t>Heiligenschwendi</t>
  </si>
  <si>
    <t>Heimberg</t>
  </si>
  <si>
    <t>Heimenhausen</t>
  </si>
  <si>
    <t>Heimiswil</t>
  </si>
  <si>
    <t>Heitenried</t>
  </si>
  <si>
    <t>Hellikon</t>
  </si>
  <si>
    <t>Hellsau</t>
  </si>
  <si>
    <t>Hemishofen</t>
  </si>
  <si>
    <t>Hemmiken</t>
  </si>
  <si>
    <t>Hendschiken</t>
  </si>
  <si>
    <t>Henggart</t>
  </si>
  <si>
    <t>Henniez</t>
  </si>
  <si>
    <t>Herbetswil</t>
  </si>
  <si>
    <t>Herbligen</t>
  </si>
  <si>
    <t>Herdern</t>
  </si>
  <si>
    <t>Hérémence</t>
  </si>
  <si>
    <t>Hergiswil (NW)</t>
  </si>
  <si>
    <t>Hergiswil bei Willisau</t>
  </si>
  <si>
    <t>Herisau</t>
  </si>
  <si>
    <t>Hermance</t>
  </si>
  <si>
    <t>Hermenches</t>
  </si>
  <si>
    <t>Hermrigen</t>
  </si>
  <si>
    <t>Herrliberg</t>
  </si>
  <si>
    <t>Hersberg</t>
  </si>
  <si>
    <t>Herznach-Ueken</t>
  </si>
  <si>
    <t>Herzogenbuchsee</t>
  </si>
  <si>
    <t>Hettlingen</t>
  </si>
  <si>
    <t>Hildisrieden</t>
  </si>
  <si>
    <t>Hilterfingen</t>
  </si>
  <si>
    <t>Himmelried</t>
  </si>
  <si>
    <t>Hindelbank</t>
  </si>
  <si>
    <t>Hinwil</t>
  </si>
  <si>
    <t>Hirschthal</t>
  </si>
  <si>
    <t>Hittnau</t>
  </si>
  <si>
    <t>Hitzkirch</t>
  </si>
  <si>
    <t>Hochdorf</t>
  </si>
  <si>
    <t>Hochfelden</t>
  </si>
  <si>
    <t>Höchstetten</t>
  </si>
  <si>
    <t>Hochwald</t>
  </si>
  <si>
    <t>Hofstetten bei Brienz</t>
  </si>
  <si>
    <t>Hofstetten-Flüh</t>
  </si>
  <si>
    <t>Hohenrain</t>
  </si>
  <si>
    <t>Hohentannen</t>
  </si>
  <si>
    <t>Holderbank (AG)</t>
  </si>
  <si>
    <t>Holderbank (SO)</t>
  </si>
  <si>
    <t>Hölstein</t>
  </si>
  <si>
    <t>Holziken</t>
  </si>
  <si>
    <t>Homberg</t>
  </si>
  <si>
    <t>Hombrechtikon</t>
  </si>
  <si>
    <t>Homburg</t>
  </si>
  <si>
    <t>Honau</t>
  </si>
  <si>
    <t>Horgen</t>
  </si>
  <si>
    <t>Höri</t>
  </si>
  <si>
    <t>Horn</t>
  </si>
  <si>
    <t>Horrenbach-Buchen</t>
  </si>
  <si>
    <t>Horriwil</t>
  </si>
  <si>
    <t>Horw</t>
  </si>
  <si>
    <t>Hospental</t>
  </si>
  <si>
    <t>Hubersdorf</t>
  </si>
  <si>
    <t>Hundwil</t>
  </si>
  <si>
    <t>Hünenberg</t>
  </si>
  <si>
    <t>Hüniken</t>
  </si>
  <si>
    <t>Hüntwangen</t>
  </si>
  <si>
    <t>Hunzenschwil</t>
  </si>
  <si>
    <t>Hüttikon</t>
  </si>
  <si>
    <t>Hüttlingen</t>
  </si>
  <si>
    <t>Huttwil</t>
  </si>
  <si>
    <t>Hüttwilen</t>
  </si>
  <si>
    <t>Icogne</t>
  </si>
  <si>
    <t>Iffwil</t>
  </si>
  <si>
    <t>Ilanz/Glion</t>
  </si>
  <si>
    <t>Illgau</t>
  </si>
  <si>
    <t>Illnau-Effretikon</t>
  </si>
  <si>
    <t>Inden</t>
  </si>
  <si>
    <t>Ingenbohl</t>
  </si>
  <si>
    <t>Inkwil</t>
  </si>
  <si>
    <t>Innerthal</t>
  </si>
  <si>
    <t>Innertkirchen</t>
  </si>
  <si>
    <t>Ins</t>
  </si>
  <si>
    <t>Interlaken</t>
  </si>
  <si>
    <t>Inwil</t>
  </si>
  <si>
    <t>Ipsach</t>
  </si>
  <si>
    <t>Iseltwald</t>
  </si>
  <si>
    <t>Isenthal</t>
  </si>
  <si>
    <t>Isérables</t>
  </si>
  <si>
    <t>Islisberg</t>
  </si>
  <si>
    <t>Isone</t>
  </si>
  <si>
    <t>Itingen</t>
  </si>
  <si>
    <t>Ittigen</t>
  </si>
  <si>
    <t>Jaberg</t>
  </si>
  <si>
    <t>Jaun</t>
  </si>
  <si>
    <t>Jegenstorf</t>
  </si>
  <si>
    <t>Jenaz</t>
  </si>
  <si>
    <t>Jenins</t>
  </si>
  <si>
    <t>Jens</t>
  </si>
  <si>
    <t>Jonen</t>
  </si>
  <si>
    <t>Jongny</t>
  </si>
  <si>
    <t>Jonschwil</t>
  </si>
  <si>
    <t>Jorat-Menthue</t>
  </si>
  <si>
    <t>Jorat-Mézières</t>
  </si>
  <si>
    <t>Jouxtens-Mézery</t>
  </si>
  <si>
    <t>Juriens</t>
  </si>
  <si>
    <t>Jussy</t>
  </si>
  <si>
    <t>Kaiseraugst</t>
  </si>
  <si>
    <t>Kaisten</t>
  </si>
  <si>
    <t>Kallern</t>
  </si>
  <si>
    <t>Kallnach</t>
  </si>
  <si>
    <t>Kaltbrunn</t>
  </si>
  <si>
    <t>Kammersrohr</t>
  </si>
  <si>
    <t>Kandergrund</t>
  </si>
  <si>
    <t>Kandersteg</t>
  </si>
  <si>
    <t>Känerkinden</t>
  </si>
  <si>
    <t>Kappel (SO)</t>
  </si>
  <si>
    <t>Kappel am Albis</t>
  </si>
  <si>
    <t>Kappelen</t>
  </si>
  <si>
    <t>Kaufdorf</t>
  </si>
  <si>
    <t>Kehrsatz</t>
  </si>
  <si>
    <t>Kemmental</t>
  </si>
  <si>
    <t>Kernenried</t>
  </si>
  <si>
    <t>Kerns</t>
  </si>
  <si>
    <t>Kerzers</t>
  </si>
  <si>
    <t>Kesswil</t>
  </si>
  <si>
    <t>Kestenholz</t>
  </si>
  <si>
    <t>Kienberg</t>
  </si>
  <si>
    <t>Kiesen</t>
  </si>
  <si>
    <t>Kilchberg (BL)</t>
  </si>
  <si>
    <t>Kilchberg (ZH)</t>
  </si>
  <si>
    <t>Killwangen</t>
  </si>
  <si>
    <t>Kippel</t>
  </si>
  <si>
    <t>Kirchberg (BE)</t>
  </si>
  <si>
    <t>Kirchberg (SG)</t>
  </si>
  <si>
    <t>Kirchdorf (BE)</t>
  </si>
  <si>
    <t>Kirchleerau</t>
  </si>
  <si>
    <t>Kirchlindach</t>
  </si>
  <si>
    <t>Kleinandelfingen</t>
  </si>
  <si>
    <t>Kleinbösingen</t>
  </si>
  <si>
    <t>Kleinlützel</t>
  </si>
  <si>
    <t>Klingnau</t>
  </si>
  <si>
    <t>Klosters</t>
  </si>
  <si>
    <t>Kloten</t>
  </si>
  <si>
    <t>Knonau</t>
  </si>
  <si>
    <t>Knutwil</t>
  </si>
  <si>
    <t>Koblenz</t>
  </si>
  <si>
    <t>Kölliken</t>
  </si>
  <si>
    <t>Köniz</t>
  </si>
  <si>
    <t>Konolfingen</t>
  </si>
  <si>
    <t>Koppigen</t>
  </si>
  <si>
    <t>Kradolf-Schönenberg</t>
  </si>
  <si>
    <t>Krattigen</t>
  </si>
  <si>
    <t>Krauchthal</t>
  </si>
  <si>
    <t>Kreuzlingen</t>
  </si>
  <si>
    <t>Kriechenwil</t>
  </si>
  <si>
    <t>Kriegstetten</t>
  </si>
  <si>
    <t>Kriens</t>
  </si>
  <si>
    <t>Küblis</t>
  </si>
  <si>
    <t>Künten</t>
  </si>
  <si>
    <t>Küsnacht (ZH)</t>
  </si>
  <si>
    <t>Küssnacht (SZ)</t>
  </si>
  <si>
    <t>Küttigen</t>
  </si>
  <si>
    <t>La Baroche</t>
  </si>
  <si>
    <t>La Brévine</t>
  </si>
  <si>
    <t>La Brillaz</t>
  </si>
  <si>
    <t>La Chaux (Cossonay)</t>
  </si>
  <si>
    <t>La Chaux-de-Fonds</t>
  </si>
  <si>
    <t>La Chaux-du-Milieu</t>
  </si>
  <si>
    <t>La Côte-aux-Fées</t>
  </si>
  <si>
    <t>La Ferrière</t>
  </si>
  <si>
    <t>La Grande Béroche</t>
  </si>
  <si>
    <t>La Neuveville</t>
  </si>
  <si>
    <t>La Praz</t>
  </si>
  <si>
    <t>La Punt Chamues-ch</t>
  </si>
  <si>
    <t>La Rippe</t>
  </si>
  <si>
    <t>La Roche</t>
  </si>
  <si>
    <t>La Sagne</t>
  </si>
  <si>
    <t>La Sarraz</t>
  </si>
  <si>
    <t>La Sonnaz</t>
  </si>
  <si>
    <t>La Tène</t>
  </si>
  <si>
    <t>La Tour-de-Peilz</t>
  </si>
  <si>
    <t>La Verrerie</t>
  </si>
  <si>
    <t>Laax</t>
  </si>
  <si>
    <t>L'Abbaye</t>
  </si>
  <si>
    <t>L'Abergement</t>
  </si>
  <si>
    <t>Lachen</t>
  </si>
  <si>
    <t>Laconnex</t>
  </si>
  <si>
    <t>Lajoux (JU)</t>
  </si>
  <si>
    <t>Lalden</t>
  </si>
  <si>
    <t>Lamone</t>
  </si>
  <si>
    <t>Lampenberg</t>
  </si>
  <si>
    <t>Lancy</t>
  </si>
  <si>
    <t>Landiswil</t>
  </si>
  <si>
    <t>Landquart</t>
  </si>
  <si>
    <t>Langenbruck</t>
  </si>
  <si>
    <t>Langendorf</t>
  </si>
  <si>
    <t>Langenthal</t>
  </si>
  <si>
    <t>Langnau am Albis</t>
  </si>
  <si>
    <t>Langnau im Emmental</t>
  </si>
  <si>
    <t>Langrickenbach</t>
  </si>
  <si>
    <t>Lantsch/Lenz</t>
  </si>
  <si>
    <t>Lauenen</t>
  </si>
  <si>
    <t>Lauerz</t>
  </si>
  <si>
    <t>Läufelfingen</t>
  </si>
  <si>
    <t>Laufen</t>
  </si>
  <si>
    <t>Laufenburg</t>
  </si>
  <si>
    <t>Laufen-Uhwiesen</t>
  </si>
  <si>
    <t>Laupen</t>
  </si>
  <si>
    <t>Laupersdorf</t>
  </si>
  <si>
    <t>Lauperswil</t>
  </si>
  <si>
    <t>Lausanne</t>
  </si>
  <si>
    <t>Lausen</t>
  </si>
  <si>
    <t>Lauterbrunnen</t>
  </si>
  <si>
    <t>Lauwil</t>
  </si>
  <si>
    <t>Lavertezzo</t>
  </si>
  <si>
    <t>Lavey-Morcles</t>
  </si>
  <si>
    <t>Lavigny</t>
  </si>
  <si>
    <t>Lavizzara</t>
  </si>
  <si>
    <t>Lax</t>
  </si>
  <si>
    <t>Le Bémont (JU)</t>
  </si>
  <si>
    <t>Le Cerneux-Péquignot</t>
  </si>
  <si>
    <t>Le Châtelard</t>
  </si>
  <si>
    <t>Le Chenit</t>
  </si>
  <si>
    <t>Le Flon</t>
  </si>
  <si>
    <t>Le Grand-Saconnex</t>
  </si>
  <si>
    <t>Le Landeron</t>
  </si>
  <si>
    <t>Le Lieu</t>
  </si>
  <si>
    <t>Le Locle</t>
  </si>
  <si>
    <t>Le Mont-sur-Lausanne</t>
  </si>
  <si>
    <t>Le Mouret</t>
  </si>
  <si>
    <t>Le Noirmont</t>
  </si>
  <si>
    <t>Le Pâquier (FR)</t>
  </si>
  <si>
    <t>Le Vaud</t>
  </si>
  <si>
    <t>Leibstadt</t>
  </si>
  <si>
    <t>Leimbach (AG)</t>
  </si>
  <si>
    <t>Leissigen</t>
  </si>
  <si>
    <t>Lengnau (AG)</t>
  </si>
  <si>
    <t>Lengnau (BE)</t>
  </si>
  <si>
    <t>Lengwil</t>
  </si>
  <si>
    <t>Lenk</t>
  </si>
  <si>
    <t>Lens</t>
  </si>
  <si>
    <t>Lenzburg</t>
  </si>
  <si>
    <t>Les Bois</t>
  </si>
  <si>
    <t>Les Breuleux</t>
  </si>
  <si>
    <t>Les Clées</t>
  </si>
  <si>
    <t>Les Enfers</t>
  </si>
  <si>
    <t>Les Genevez (JU)</t>
  </si>
  <si>
    <t>Les Montets</t>
  </si>
  <si>
    <t>Les Planchettes</t>
  </si>
  <si>
    <t>Les Ponts-de-Martel</t>
  </si>
  <si>
    <t>Les Verrières</t>
  </si>
  <si>
    <t>Leuggern</t>
  </si>
  <si>
    <t>Leuk</t>
  </si>
  <si>
    <t>Leukerbad</t>
  </si>
  <si>
    <t>Leutwil</t>
  </si>
  <si>
    <t>Leuzigen</t>
  </si>
  <si>
    <t>Leysin</t>
  </si>
  <si>
    <t>Leytron</t>
  </si>
  <si>
    <t>Lichtensteig</t>
  </si>
  <si>
    <t>Liddes</t>
  </si>
  <si>
    <t>Liedertswil</t>
  </si>
  <si>
    <t>Liesberg</t>
  </si>
  <si>
    <t>Liestal</t>
  </si>
  <si>
    <t>Ligerz</t>
  </si>
  <si>
    <t>Lignerolle</t>
  </si>
  <si>
    <t>Lignières</t>
  </si>
  <si>
    <t>Lindau</t>
  </si>
  <si>
    <t>Linden</t>
  </si>
  <si>
    <t>Linescio</t>
  </si>
  <si>
    <t>L'Isle</t>
  </si>
  <si>
    <t>Locarno</t>
  </si>
  <si>
    <t>Lohn (SH)</t>
  </si>
  <si>
    <t>Lohn-Ammannsegg</t>
  </si>
  <si>
    <t>Löhningen</t>
  </si>
  <si>
    <t>Lommis</t>
  </si>
  <si>
    <t>Lommiswil</t>
  </si>
  <si>
    <t>Lonay</t>
  </si>
  <si>
    <t>Longirod</t>
  </si>
  <si>
    <t>Losone</t>
  </si>
  <si>
    <t>Lostallo</t>
  </si>
  <si>
    <t>Lostorf</t>
  </si>
  <si>
    <t>Lotzwil</t>
  </si>
  <si>
    <t>Lovatens</t>
  </si>
  <si>
    <t>Loveresse</t>
  </si>
  <si>
    <t>Lucens</t>
  </si>
  <si>
    <t>Lufingen</t>
  </si>
  <si>
    <t>Lugano</t>
  </si>
  <si>
    <t>Luins</t>
  </si>
  <si>
    <t>Lully (FR)</t>
  </si>
  <si>
    <t>Lully (VD)</t>
  </si>
  <si>
    <t>Lumino</t>
  </si>
  <si>
    <t>Lumnezia</t>
  </si>
  <si>
    <t>Lungern</t>
  </si>
  <si>
    <t>Lupfig</t>
  </si>
  <si>
    <t>Lupsingen</t>
  </si>
  <si>
    <t>Lüscherz</t>
  </si>
  <si>
    <t>Lussery-Villars</t>
  </si>
  <si>
    <t>Lüsslingen-Nennigkofen</t>
  </si>
  <si>
    <t>Lussy-sur-Morges</t>
  </si>
  <si>
    <t>Luterbach</t>
  </si>
  <si>
    <t>Lüterkofen-Ichertswil</t>
  </si>
  <si>
    <t>Luthern</t>
  </si>
  <si>
    <t>Lütisburg</t>
  </si>
  <si>
    <t>Lutry</t>
  </si>
  <si>
    <t>Lütschental</t>
  </si>
  <si>
    <t>Lützelflüh</t>
  </si>
  <si>
    <t>Lutzenberg</t>
  </si>
  <si>
    <t>Luzein</t>
  </si>
  <si>
    <t>Luzern</t>
  </si>
  <si>
    <t>Lyss</t>
  </si>
  <si>
    <t>Lyssach</t>
  </si>
  <si>
    <t>Madiswil</t>
  </si>
  <si>
    <t>Madulain</t>
  </si>
  <si>
    <t>Magden</t>
  </si>
  <si>
    <t>Mägenwil</t>
  </si>
  <si>
    <t>Maggia</t>
  </si>
  <si>
    <t>Magliaso</t>
  </si>
  <si>
    <t>Maienfeld</t>
  </si>
  <si>
    <t>Maisprach</t>
  </si>
  <si>
    <t>Malans</t>
  </si>
  <si>
    <t>Malters</t>
  </si>
  <si>
    <t>Mammern</t>
  </si>
  <si>
    <t>Mandach</t>
  </si>
  <si>
    <t>Männedorf</t>
  </si>
  <si>
    <t>Manno</t>
  </si>
  <si>
    <t>Maracon</t>
  </si>
  <si>
    <t>Marbach (SG)</t>
  </si>
  <si>
    <t>Marchissy</t>
  </si>
  <si>
    <t>Marly</t>
  </si>
  <si>
    <t>Marsens</t>
  </si>
  <si>
    <t>Märstetten</t>
  </si>
  <si>
    <t>Marthalen</t>
  </si>
  <si>
    <t>Martigny</t>
  </si>
  <si>
    <t>Martigny-Combe</t>
  </si>
  <si>
    <t>Maschwanden</t>
  </si>
  <si>
    <t>Masein</t>
  </si>
  <si>
    <t>Massagno</t>
  </si>
  <si>
    <t>Massongex</t>
  </si>
  <si>
    <t>Massonnens</t>
  </si>
  <si>
    <t>Mathod</t>
  </si>
  <si>
    <t>Matran</t>
  </si>
  <si>
    <t>Matten bei Interlaken</t>
  </si>
  <si>
    <t>Mattstetten</t>
  </si>
  <si>
    <t>Matzendorf</t>
  </si>
  <si>
    <t>Matzingen</t>
  </si>
  <si>
    <t>Mauborget</t>
  </si>
  <si>
    <t>Mauensee</t>
  </si>
  <si>
    <t>Maur</t>
  </si>
  <si>
    <t>Mauraz</t>
  </si>
  <si>
    <t>Medel (Lucmagn)</t>
  </si>
  <si>
    <t>Meggen</t>
  </si>
  <si>
    <t>Meienried</t>
  </si>
  <si>
    <t>Meierskappel</t>
  </si>
  <si>
    <t>Meikirch</t>
  </si>
  <si>
    <t>Meilen</t>
  </si>
  <si>
    <t>Meinier</t>
  </si>
  <si>
    <t>Meinisberg</t>
  </si>
  <si>
    <t>Meiringen</t>
  </si>
  <si>
    <t>Meisterschwanden</t>
  </si>
  <si>
    <t>Melchnau</t>
  </si>
  <si>
    <t>Melide</t>
  </si>
  <si>
    <t>Mellikon</t>
  </si>
  <si>
    <t>Mellingen</t>
  </si>
  <si>
    <t>Mels</t>
  </si>
  <si>
    <t>Meltingen</t>
  </si>
  <si>
    <t>Mendrisio</t>
  </si>
  <si>
    <t>Ménières</t>
  </si>
  <si>
    <t>Menziken</t>
  </si>
  <si>
    <t>Menzingen</t>
  </si>
  <si>
    <t>Menznau</t>
  </si>
  <si>
    <t>Merenschwand</t>
  </si>
  <si>
    <t>Mergoscia</t>
  </si>
  <si>
    <t>Merishausen</t>
  </si>
  <si>
    <t>Mervelier</t>
  </si>
  <si>
    <t>Merzligen</t>
  </si>
  <si>
    <t>Mesocco</t>
  </si>
  <si>
    <t>Messen</t>
  </si>
  <si>
    <t>Mettauertal</t>
  </si>
  <si>
    <t>Mettembert</t>
  </si>
  <si>
    <t>Mettmenstetten</t>
  </si>
  <si>
    <t>Metzerlen-Mariastein</t>
  </si>
  <si>
    <t>Mex (VD)</t>
  </si>
  <si>
    <t>Meyriez</t>
  </si>
  <si>
    <t>Meyrin</t>
  </si>
  <si>
    <t>Mézières (FR)</t>
  </si>
  <si>
    <t>Mezzovico-Vira</t>
  </si>
  <si>
    <t>Mies</t>
  </si>
  <si>
    <t>Miglieglia</t>
  </si>
  <si>
    <t>Milvignes</t>
  </si>
  <si>
    <t>Minusio</t>
  </si>
  <si>
    <t>Mirchel</t>
  </si>
  <si>
    <t>Misery-Courtion</t>
  </si>
  <si>
    <t>Missy</t>
  </si>
  <si>
    <t>Möhlin</t>
  </si>
  <si>
    <t>Moiry</t>
  </si>
  <si>
    <t>Mollens (VD)</t>
  </si>
  <si>
    <t>Molondin</t>
  </si>
  <si>
    <t>Mönchaltorf</t>
  </si>
  <si>
    <t>Montagny (FR)</t>
  </si>
  <si>
    <t>Montagny-près-Yverdon</t>
  </si>
  <si>
    <t>Montanaire</t>
  </si>
  <si>
    <t>Montcherand</t>
  </si>
  <si>
    <t>Monteceneri</t>
  </si>
  <si>
    <t>Montet (Glâne)</t>
  </si>
  <si>
    <t>Montfaucon</t>
  </si>
  <si>
    <t>Mönthal</t>
  </si>
  <si>
    <t>Monthey</t>
  </si>
  <si>
    <t>Montilliez</t>
  </si>
  <si>
    <t>Mont-la-Ville</t>
  </si>
  <si>
    <t>Mont-Noble</t>
  </si>
  <si>
    <t>Montpreveyres</t>
  </si>
  <si>
    <t>Montreux</t>
  </si>
  <si>
    <t>Montricher</t>
  </si>
  <si>
    <t>Mont-sur-Rolle</t>
  </si>
  <si>
    <t>Mont-Tramelan</t>
  </si>
  <si>
    <t>Mont-Vully</t>
  </si>
  <si>
    <t>Moosleerau</t>
  </si>
  <si>
    <t>Moosseedorf</t>
  </si>
  <si>
    <t>Morbio Inferiore</t>
  </si>
  <si>
    <t>Morcote</t>
  </si>
  <si>
    <t>Mörel-Filet</t>
  </si>
  <si>
    <t>Morges</t>
  </si>
  <si>
    <t>Mörigen</t>
  </si>
  <si>
    <t>Möriken-Wildegg</t>
  </si>
  <si>
    <t>Morlon</t>
  </si>
  <si>
    <t>Morrens (VD)</t>
  </si>
  <si>
    <t>Morschach</t>
  </si>
  <si>
    <t>Mörschwil</t>
  </si>
  <si>
    <t>Mosnang</t>
  </si>
  <si>
    <t>Moudon</t>
  </si>
  <si>
    <t>Moutier</t>
  </si>
  <si>
    <t>Movelier</t>
  </si>
  <si>
    <t>Muhen</t>
  </si>
  <si>
    <t>Mühlau</t>
  </si>
  <si>
    <t>Mühleberg</t>
  </si>
  <si>
    <t>Müllheim</t>
  </si>
  <si>
    <t>Mülligen</t>
  </si>
  <si>
    <t>Mümliswil-Ramiswil</t>
  </si>
  <si>
    <t>Mumpf</t>
  </si>
  <si>
    <t>Münchenbuchsee</t>
  </si>
  <si>
    <t>Münchenstein</t>
  </si>
  <si>
    <t>Münchenwiler</t>
  </si>
  <si>
    <t>Münchwilen (AG)</t>
  </si>
  <si>
    <t>Münchwilen (TG)</t>
  </si>
  <si>
    <t>Münsingen</t>
  </si>
  <si>
    <t>Münsterlingen</t>
  </si>
  <si>
    <t>Muntelier</t>
  </si>
  <si>
    <t>Muntogna da Schons</t>
  </si>
  <si>
    <t>Müntschemier</t>
  </si>
  <si>
    <t>Muolen</t>
  </si>
  <si>
    <t>Muotathal</t>
  </si>
  <si>
    <t>Muralto</t>
  </si>
  <si>
    <t>Murgenthal</t>
  </si>
  <si>
    <t>Muri (AG)</t>
  </si>
  <si>
    <t>Muri bei Bern</t>
  </si>
  <si>
    <t>Muriaux</t>
  </si>
  <si>
    <t>Murten</t>
  </si>
  <si>
    <t>Mutrux</t>
  </si>
  <si>
    <t>Muttenz</t>
  </si>
  <si>
    <t>Muzzano</t>
  </si>
  <si>
    <t>Naters</t>
  </si>
  <si>
    <t>Nebikon</t>
  </si>
  <si>
    <t>Neckertal</t>
  </si>
  <si>
    <t>Neerach</t>
  </si>
  <si>
    <t>Neftenbach</t>
  </si>
  <si>
    <t>Neggio</t>
  </si>
  <si>
    <t>Nendaz</t>
  </si>
  <si>
    <t>Nenzlingen</t>
  </si>
  <si>
    <t>Nesslau</t>
  </si>
  <si>
    <t>Neuchâtel</t>
  </si>
  <si>
    <t>Neuendorf</t>
  </si>
  <si>
    <t>Neuenegg</t>
  </si>
  <si>
    <t>Neuenhof</t>
  </si>
  <si>
    <t>Neuenkirch</t>
  </si>
  <si>
    <t>Neuhausen am Rheinfall</t>
  </si>
  <si>
    <t>Neuheim</t>
  </si>
  <si>
    <t>Neunforn</t>
  </si>
  <si>
    <t>Neunkirch</t>
  </si>
  <si>
    <t>Neyruz (FR)</t>
  </si>
  <si>
    <t>Nidau</t>
  </si>
  <si>
    <t>Niederbipp</t>
  </si>
  <si>
    <t>Niederbuchsiten</t>
  </si>
  <si>
    <t>Niederbüren</t>
  </si>
  <si>
    <t>Niederdorf</t>
  </si>
  <si>
    <t>Niedergesteln</t>
  </si>
  <si>
    <t>Niederglatt</t>
  </si>
  <si>
    <t>Niedergösgen</t>
  </si>
  <si>
    <t>Niederhasli</t>
  </si>
  <si>
    <t>Niederhelfenschwil</t>
  </si>
  <si>
    <t>Niederhünigen</t>
  </si>
  <si>
    <t>Niederlenz</t>
  </si>
  <si>
    <t>Niedermuhlern</t>
  </si>
  <si>
    <t>Niederönz</t>
  </si>
  <si>
    <t>Niederried bei Interlaken</t>
  </si>
  <si>
    <t>Niederrohrdorf</t>
  </si>
  <si>
    <t>Niederweningen</t>
  </si>
  <si>
    <t>Niederwil (AG)</t>
  </si>
  <si>
    <t>Noble-Contrée</t>
  </si>
  <si>
    <t>Nods</t>
  </si>
  <si>
    <t>Nottwil</t>
  </si>
  <si>
    <t>Novaggio</t>
  </si>
  <si>
    <t>Novalles</t>
  </si>
  <si>
    <t>Novazzano</t>
  </si>
  <si>
    <t>Noville</t>
  </si>
  <si>
    <t>Nuglar-St. Pantaleon</t>
  </si>
  <si>
    <t>Nunningen</t>
  </si>
  <si>
    <t>Nürensdorf</t>
  </si>
  <si>
    <t>Nusshof</t>
  </si>
  <si>
    <t>Nuvilly</t>
  </si>
  <si>
    <t>Nyon</t>
  </si>
  <si>
    <t>Oberägeri</t>
  </si>
  <si>
    <t>Oberbalm</t>
  </si>
  <si>
    <t>Oberbipp</t>
  </si>
  <si>
    <t>Oberbuchsiten</t>
  </si>
  <si>
    <t>Oberbüren</t>
  </si>
  <si>
    <t>Oberburg</t>
  </si>
  <si>
    <t>Oberdiessbach</t>
  </si>
  <si>
    <t>Oberdorf (BL)</t>
  </si>
  <si>
    <t>Oberdorf (NW)</t>
  </si>
  <si>
    <t>Oberdorf (SO)</t>
  </si>
  <si>
    <t>Oberegg</t>
  </si>
  <si>
    <t>Oberembrach</t>
  </si>
  <si>
    <t>Oberems</t>
  </si>
  <si>
    <t>Oberengstringen</t>
  </si>
  <si>
    <t>Oberentfelden</t>
  </si>
  <si>
    <t>Obergerlafingen</t>
  </si>
  <si>
    <t>Oberglatt</t>
  </si>
  <si>
    <t>Obergoms</t>
  </si>
  <si>
    <t>Obergösgen</t>
  </si>
  <si>
    <t>Oberhallau</t>
  </si>
  <si>
    <t>Oberhof</t>
  </si>
  <si>
    <t>Oberhofen am Thunersee</t>
  </si>
  <si>
    <t>Oberhünigen</t>
  </si>
  <si>
    <t>Oberiberg</t>
  </si>
  <si>
    <t>Oberkirch</t>
  </si>
  <si>
    <t>Oberkulm</t>
  </si>
  <si>
    <t>Oberlangenegg</t>
  </si>
  <si>
    <t>Oberlunkhofen</t>
  </si>
  <si>
    <t>Obermumpf</t>
  </si>
  <si>
    <t>Oberried am Brienzersee</t>
  </si>
  <si>
    <t>Oberrieden</t>
  </si>
  <si>
    <t>Oberriet (SG)</t>
  </si>
  <si>
    <t>Oberrohrdorf</t>
  </si>
  <si>
    <t>Oberrüti</t>
  </si>
  <si>
    <t>Obersaxen Mundaun</t>
  </si>
  <si>
    <t>Obersiggenthal</t>
  </si>
  <si>
    <t>Oberthal</t>
  </si>
  <si>
    <t>Oberuzwil</t>
  </si>
  <si>
    <t>Oberweningen</t>
  </si>
  <si>
    <t>Oberwil (BL)</t>
  </si>
  <si>
    <t>Oberwil bei Büren</t>
  </si>
  <si>
    <t>Oberwil im Simmental</t>
  </si>
  <si>
    <t>Oberwil-Lieli</t>
  </si>
  <si>
    <t>Obfelden</t>
  </si>
  <si>
    <t>Ochlenberg</t>
  </si>
  <si>
    <t>Oekingen</t>
  </si>
  <si>
    <t>Oensingen</t>
  </si>
  <si>
    <t>Oeschenbach</t>
  </si>
  <si>
    <t>Oeschgen</t>
  </si>
  <si>
    <t>Oetwil am See</t>
  </si>
  <si>
    <t>Oetwil an der Limmat</t>
  </si>
  <si>
    <t>Oftringen</t>
  </si>
  <si>
    <t>Ogens</t>
  </si>
  <si>
    <t>Ollon</t>
  </si>
  <si>
    <t>Olsberg</t>
  </si>
  <si>
    <t>Olten</t>
  </si>
  <si>
    <t>Oltingen</t>
  </si>
  <si>
    <t>Onex</t>
  </si>
  <si>
    <t>Onnens (VD)</t>
  </si>
  <si>
    <t>Onsernone</t>
  </si>
  <si>
    <t>Opfikon</t>
  </si>
  <si>
    <t>Oppens</t>
  </si>
  <si>
    <t>Oppligen</t>
  </si>
  <si>
    <t>Orbe</t>
  </si>
  <si>
    <t>Orges</t>
  </si>
  <si>
    <t>Origlio</t>
  </si>
  <si>
    <t>Ormalingen</t>
  </si>
  <si>
    <t>Ormont-Dessous</t>
  </si>
  <si>
    <t>Ormont-Dessus</t>
  </si>
  <si>
    <t>Orny</t>
  </si>
  <si>
    <t>Oron</t>
  </si>
  <si>
    <t>Orpund</t>
  </si>
  <si>
    <t>Orselina</t>
  </si>
  <si>
    <t>Orsières</t>
  </si>
  <si>
    <t>Orvin</t>
  </si>
  <si>
    <t>Orzens</t>
  </si>
  <si>
    <t>Ossingen</t>
  </si>
  <si>
    <t>Ostermundigen</t>
  </si>
  <si>
    <t>Otelfingen</t>
  </si>
  <si>
    <t>Othmarsingen</t>
  </si>
  <si>
    <t>Ottenbach</t>
  </si>
  <si>
    <t>Oulens-sous-Echallens</t>
  </si>
  <si>
    <t>Pailly</t>
  </si>
  <si>
    <t>Paradiso</t>
  </si>
  <si>
    <t>Paudex</t>
  </si>
  <si>
    <t>Payerne</t>
  </si>
  <si>
    <t>Penthalaz</t>
  </si>
  <si>
    <t>Penthaz</t>
  </si>
  <si>
    <t>Penthéréaz</t>
  </si>
  <si>
    <t>Perly-Certoux</t>
  </si>
  <si>
    <t>Perrefitte</t>
  </si>
  <si>
    <t>Perroy</t>
  </si>
  <si>
    <t>Personico</t>
  </si>
  <si>
    <t>Péry-La Heutte</t>
  </si>
  <si>
    <t>Petit-Val</t>
  </si>
  <si>
    <t>Pfäfers</t>
  </si>
  <si>
    <t>Pfäffikon</t>
  </si>
  <si>
    <t>Pfaffnau</t>
  </si>
  <si>
    <t>Pfeffingen</t>
  </si>
  <si>
    <t>Pfungen</t>
  </si>
  <si>
    <t>Pfyn</t>
  </si>
  <si>
    <t>Pierrafortscha</t>
  </si>
  <si>
    <t>Pieterlen</t>
  </si>
  <si>
    <t>Plaffeien</t>
  </si>
  <si>
    <t>Plan-les-Ouates</t>
  </si>
  <si>
    <t>Plasselb</t>
  </si>
  <si>
    <t>Plateau de Diesse</t>
  </si>
  <si>
    <t>Pleigne</t>
  </si>
  <si>
    <t>Pohlern</t>
  </si>
  <si>
    <t>Poliez-Pittet</t>
  </si>
  <si>
    <t>Pollegio</t>
  </si>
  <si>
    <t>Pompaples</t>
  </si>
  <si>
    <t>Pomy</t>
  </si>
  <si>
    <t>Ponte Capriasca</t>
  </si>
  <si>
    <t>Pont-en-Ogoz</t>
  </si>
  <si>
    <t>Ponthaux</t>
  </si>
  <si>
    <t>Pont-la-Ville</t>
  </si>
  <si>
    <t>Pontresina</t>
  </si>
  <si>
    <t>Porrentruy</t>
  </si>
  <si>
    <t>Port</t>
  </si>
  <si>
    <t>Port-Valais</t>
  </si>
  <si>
    <t>Porza</t>
  </si>
  <si>
    <t>Poschiavo</t>
  </si>
  <si>
    <t>Prangins</t>
  </si>
  <si>
    <t>Prato (Leventina)</t>
  </si>
  <si>
    <t>Pratteln</t>
  </si>
  <si>
    <t>Pregny-Chambésy</t>
  </si>
  <si>
    <t>Premier</t>
  </si>
  <si>
    <t>Presinge</t>
  </si>
  <si>
    <t>Préverenges</t>
  </si>
  <si>
    <t>Prévondavaux</t>
  </si>
  <si>
    <t>Prévonloup</t>
  </si>
  <si>
    <t>Prez</t>
  </si>
  <si>
    <t>Prilly</t>
  </si>
  <si>
    <t>Provence</t>
  </si>
  <si>
    <t>Puidoux</t>
  </si>
  <si>
    <t>Pully</t>
  </si>
  <si>
    <t>Puplinge</t>
  </si>
  <si>
    <t>Pura</t>
  </si>
  <si>
    <t>Quarten</t>
  </si>
  <si>
    <t>Quinto</t>
  </si>
  <si>
    <t>Radelfingen</t>
  </si>
  <si>
    <t>Rafz</t>
  </si>
  <si>
    <t>Rain</t>
  </si>
  <si>
    <t>Ramlinsburg</t>
  </si>
  <si>
    <t>Ramsen</t>
  </si>
  <si>
    <t>Rances</t>
  </si>
  <si>
    <t>Randa</t>
  </si>
  <si>
    <t>Raperswilen</t>
  </si>
  <si>
    <t>Rapperswil (BE)</t>
  </si>
  <si>
    <t>Rapperswil-Jona</t>
  </si>
  <si>
    <t>Raron</t>
  </si>
  <si>
    <t>Realp</t>
  </si>
  <si>
    <t>Rebévelier</t>
  </si>
  <si>
    <t>Rebstein</t>
  </si>
  <si>
    <t>Recherswil</t>
  </si>
  <si>
    <t>Rechthalten</t>
  </si>
  <si>
    <t>Reconvilier</t>
  </si>
  <si>
    <t>Regensberg</t>
  </si>
  <si>
    <t>Regensdorf</t>
  </si>
  <si>
    <t>Rehetobel</t>
  </si>
  <si>
    <t>Reichenbach im Kandertal</t>
  </si>
  <si>
    <t>Reichenburg</t>
  </si>
  <si>
    <t>Reiden</t>
  </si>
  <si>
    <t>Reigoldswil</t>
  </si>
  <si>
    <t>Reinach (AG)</t>
  </si>
  <si>
    <t>Reinach (BL)</t>
  </si>
  <si>
    <t>Reisiswil</t>
  </si>
  <si>
    <t>Reitnau</t>
  </si>
  <si>
    <t>Remaufens</t>
  </si>
  <si>
    <t>Remetschwil</t>
  </si>
  <si>
    <t>Remigen</t>
  </si>
  <si>
    <t>Renan (BE)</t>
  </si>
  <si>
    <t>Renens (VD)</t>
  </si>
  <si>
    <t>Rennaz</t>
  </si>
  <si>
    <t>Reute (AR)</t>
  </si>
  <si>
    <t>Reutigen</t>
  </si>
  <si>
    <t>Rhäzüns</t>
  </si>
  <si>
    <t>Rheinau</t>
  </si>
  <si>
    <t>Rheineck</t>
  </si>
  <si>
    <t>Rheinfelden</t>
  </si>
  <si>
    <t>Rheinwald</t>
  </si>
  <si>
    <t>Riaz</t>
  </si>
  <si>
    <t>Richterswil</t>
  </si>
  <si>
    <t>Rickenbach (BL)</t>
  </si>
  <si>
    <t>Rickenbach (LU)</t>
  </si>
  <si>
    <t>Rickenbach (SO)</t>
  </si>
  <si>
    <t>Rickenbach (TG)</t>
  </si>
  <si>
    <t>Rickenbach (ZH)</t>
  </si>
  <si>
    <t>Riddes</t>
  </si>
  <si>
    <t>Ried bei Kerzers</t>
  </si>
  <si>
    <t>Ried-Brig</t>
  </si>
  <si>
    <t>Riederalp</t>
  </si>
  <si>
    <t>Riedholz</t>
  </si>
  <si>
    <t>Riehen</t>
  </si>
  <si>
    <t>Riemenstalden</t>
  </si>
  <si>
    <t>Rifferswil</t>
  </si>
  <si>
    <t>Riggisberg</t>
  </si>
  <si>
    <t>Ringgenberg (BE)</t>
  </si>
  <si>
    <t>Riniken</t>
  </si>
  <si>
    <t>Risch</t>
  </si>
  <si>
    <t>Riva San Vitale</t>
  </si>
  <si>
    <t>Rivaz</t>
  </si>
  <si>
    <t>Riviera</t>
  </si>
  <si>
    <t>Roche (VD)</t>
  </si>
  <si>
    <t>Rochefort</t>
  </si>
  <si>
    <t>Roches (BE)</t>
  </si>
  <si>
    <t>Rodersdorf</t>
  </si>
  <si>
    <t>Roggenburg</t>
  </si>
  <si>
    <t>Roggliswil</t>
  </si>
  <si>
    <t>Roggwil (BE)</t>
  </si>
  <si>
    <t>Roggwil (TG)</t>
  </si>
  <si>
    <t>Rohrbach</t>
  </si>
  <si>
    <t>Rohrbachgraben</t>
  </si>
  <si>
    <t>Rolle</t>
  </si>
  <si>
    <t>Romainmôtier-Envy</t>
  </si>
  <si>
    <t>Romanel-sur-Lausanne</t>
  </si>
  <si>
    <t>Romanel-sur-Morges</t>
  </si>
  <si>
    <t>Romanshorn</t>
  </si>
  <si>
    <t>Römerswil</t>
  </si>
  <si>
    <t>Romont (BE)</t>
  </si>
  <si>
    <t>Romont (FR)</t>
  </si>
  <si>
    <t>Romoos</t>
  </si>
  <si>
    <t>Ronco sopra Ascona</t>
  </si>
  <si>
    <t>Rongellen</t>
  </si>
  <si>
    <t>Root</t>
  </si>
  <si>
    <t>Ropraz</t>
  </si>
  <si>
    <t>Rorbas</t>
  </si>
  <si>
    <t>Rorschach</t>
  </si>
  <si>
    <t>Rorschacherberg</t>
  </si>
  <si>
    <t>Röschenz</t>
  </si>
  <si>
    <t>Rossa</t>
  </si>
  <si>
    <t>Rossemaison</t>
  </si>
  <si>
    <t>Rossenges</t>
  </si>
  <si>
    <t>Rossinière</t>
  </si>
  <si>
    <t>Röthenbach im Emmental</t>
  </si>
  <si>
    <t>Rothenbrunnen</t>
  </si>
  <si>
    <t>Rothenburg</t>
  </si>
  <si>
    <t>Rothenfluh</t>
  </si>
  <si>
    <t>Rothenthurm</t>
  </si>
  <si>
    <t>Rothrist</t>
  </si>
  <si>
    <t>Rottenschwil</t>
  </si>
  <si>
    <t>Rougemont</t>
  </si>
  <si>
    <t>Roveredo (GR)</t>
  </si>
  <si>
    <t>Rovray</t>
  </si>
  <si>
    <t>Rubigen</t>
  </si>
  <si>
    <t>Rüderswil</t>
  </si>
  <si>
    <t>Rüdlingen</t>
  </si>
  <si>
    <t>Rudolfstetten-Friedlisberg</t>
  </si>
  <si>
    <t>Rüdtligen-Alchenflüh</t>
  </si>
  <si>
    <t>Rue</t>
  </si>
  <si>
    <t>Rüeggisberg</t>
  </si>
  <si>
    <t>Rüegsau</t>
  </si>
  <si>
    <t>Rueyres</t>
  </si>
  <si>
    <t>Rüfenach</t>
  </si>
  <si>
    <t>Rumendingen</t>
  </si>
  <si>
    <t>Rumisberg</t>
  </si>
  <si>
    <t>Rümlang</t>
  </si>
  <si>
    <t>Rümlingen</t>
  </si>
  <si>
    <t>Rünenberg</t>
  </si>
  <si>
    <t>Rupperswil</t>
  </si>
  <si>
    <t>Rüschegg</t>
  </si>
  <si>
    <t>Rüschlikon</t>
  </si>
  <si>
    <t>Russikon</t>
  </si>
  <si>
    <t>Russin</t>
  </si>
  <si>
    <t>Ruswil</t>
  </si>
  <si>
    <t>Rüthi (SG)</t>
  </si>
  <si>
    <t>Rüti (ZH)</t>
  </si>
  <si>
    <t>Rüti bei Büren</t>
  </si>
  <si>
    <t>Rüti bei Lyssach</t>
  </si>
  <si>
    <t>Rütschelen</t>
  </si>
  <si>
    <t>Rüttenen</t>
  </si>
  <si>
    <t>Saanen</t>
  </si>
  <si>
    <t>Saas-Almagell</t>
  </si>
  <si>
    <t>Saas-Balen</t>
  </si>
  <si>
    <t>Saas-Fee</t>
  </si>
  <si>
    <t>Saas-Grund</t>
  </si>
  <si>
    <t>Sachseln</t>
  </si>
  <si>
    <t>Safenwil</t>
  </si>
  <si>
    <t>Safiental</t>
  </si>
  <si>
    <t>Safnern</t>
  </si>
  <si>
    <t>Sagogn</t>
  </si>
  <si>
    <t>Saicourt</t>
  </si>
  <si>
    <t>Saignelégier</t>
  </si>
  <si>
    <t>Saillon</t>
  </si>
  <si>
    <t>Saint-Aubin (FR)</t>
  </si>
  <si>
    <t>Saint-Barthélemy (VD)</t>
  </si>
  <si>
    <t>Saint-Blaise</t>
  </si>
  <si>
    <t>Saint-Brais</t>
  </si>
  <si>
    <t>Saint-Cergue</t>
  </si>
  <si>
    <t>Sainte-Croix</t>
  </si>
  <si>
    <t>Saint-George</t>
  </si>
  <si>
    <t>Saint-Gingolph</t>
  </si>
  <si>
    <t>Saint-Imier</t>
  </si>
  <si>
    <t>Saint-Léonard</t>
  </si>
  <si>
    <t>Saint-Livres</t>
  </si>
  <si>
    <t>Saint-Martin (FR)</t>
  </si>
  <si>
    <t>Saint-Martin (VS)</t>
  </si>
  <si>
    <t>Saint-Maurice</t>
  </si>
  <si>
    <t>Saint-Oyens</t>
  </si>
  <si>
    <t>Saint-Prex</t>
  </si>
  <si>
    <t>Saint-Saphorin (Lavaux)</t>
  </si>
  <si>
    <t>Saint-Sulpice (VD)</t>
  </si>
  <si>
    <t>Salenstein</t>
  </si>
  <si>
    <t>Sâles</t>
  </si>
  <si>
    <t>Salgesch</t>
  </si>
  <si>
    <t>Salmsach</t>
  </si>
  <si>
    <t>Salvan</t>
  </si>
  <si>
    <t>Samedan</t>
  </si>
  <si>
    <t>Samnaun</t>
  </si>
  <si>
    <t>San Vittore</t>
  </si>
  <si>
    <t>Santa Maria in Calanca</t>
  </si>
  <si>
    <t>Sant'Antonino</t>
  </si>
  <si>
    <t>Sargans</t>
  </si>
  <si>
    <t>Sarmenstorf</t>
  </si>
  <si>
    <t>Sarnen</t>
  </si>
  <si>
    <t>Satigny</t>
  </si>
  <si>
    <t>Sattel</t>
  </si>
  <si>
    <t>Saubraz</t>
  </si>
  <si>
    <t>Sauge</t>
  </si>
  <si>
    <t>Saulcy</t>
  </si>
  <si>
    <t>Saules (BE)</t>
  </si>
  <si>
    <t>Savièse</t>
  </si>
  <si>
    <t>Savigny</t>
  </si>
  <si>
    <t>Savosa</t>
  </si>
  <si>
    <t>Saxeten</t>
  </si>
  <si>
    <t>Saxon</t>
  </si>
  <si>
    <t>Schaffhausen</t>
  </si>
  <si>
    <t>Schafisheim</t>
  </si>
  <si>
    <t>S-chanf</t>
  </si>
  <si>
    <t>Schangnau</t>
  </si>
  <si>
    <t>Schänis</t>
  </si>
  <si>
    <t>Scharans</t>
  </si>
  <si>
    <t>Schattdorf</t>
  </si>
  <si>
    <t>Schattenhalb</t>
  </si>
  <si>
    <t>Schelten</t>
  </si>
  <si>
    <t>Schenkon</t>
  </si>
  <si>
    <t>Scheuren</t>
  </si>
  <si>
    <t>Schiers</t>
  </si>
  <si>
    <t>Schinznach</t>
  </si>
  <si>
    <t>Schlatt (TG)</t>
  </si>
  <si>
    <t>Schlatt (ZH)</t>
  </si>
  <si>
    <t>Schlatt-Haslen</t>
  </si>
  <si>
    <t>Schleinikon</t>
  </si>
  <si>
    <t>Schleitheim</t>
  </si>
  <si>
    <t>Schlierbach</t>
  </si>
  <si>
    <t>Schlieren</t>
  </si>
  <si>
    <t>Schlossrued</t>
  </si>
  <si>
    <t>Schluein</t>
  </si>
  <si>
    <t>Schmerikon</t>
  </si>
  <si>
    <t>Schmiedrued</t>
  </si>
  <si>
    <t>Schmitten (FR)</t>
  </si>
  <si>
    <t>Schmitten (GR)</t>
  </si>
  <si>
    <t>Schneisingen</t>
  </si>
  <si>
    <t>Schnottwil</t>
  </si>
  <si>
    <t>Schöfflisdorf</t>
  </si>
  <si>
    <t>Schöftland</t>
  </si>
  <si>
    <t>Schönenbuch</t>
  </si>
  <si>
    <t>Schönengrund</t>
  </si>
  <si>
    <t>Schönenwerd</t>
  </si>
  <si>
    <t>Schongau</t>
  </si>
  <si>
    <t>Schönholzerswilen</t>
  </si>
  <si>
    <t>Schötz</t>
  </si>
  <si>
    <t>Schübelbach</t>
  </si>
  <si>
    <t>Schupfart</t>
  </si>
  <si>
    <t>Schüpfen</t>
  </si>
  <si>
    <t>Schüpfheim</t>
  </si>
  <si>
    <t>Schwaderloch</t>
  </si>
  <si>
    <t>Schwadernau</t>
  </si>
  <si>
    <t>Schwanden bei Brienz</t>
  </si>
  <si>
    <t>Schwarzenberg</t>
  </si>
  <si>
    <t>Schwarzenburg</t>
  </si>
  <si>
    <t>Schwarzhäusern</t>
  </si>
  <si>
    <t>Schwellbrunn</t>
  </si>
  <si>
    <t>Schwende-Rüte</t>
  </si>
  <si>
    <t>Schwerzenbach</t>
  </si>
  <si>
    <t>Schwyz</t>
  </si>
  <si>
    <t>Scuol</t>
  </si>
  <si>
    <t>Seeberg</t>
  </si>
  <si>
    <t>Seedorf (BE)</t>
  </si>
  <si>
    <t>Seedorf (UR)</t>
  </si>
  <si>
    <t>Seegräben</t>
  </si>
  <si>
    <t>Seehof</t>
  </si>
  <si>
    <t>Seelisberg</t>
  </si>
  <si>
    <t>Seengen</t>
  </si>
  <si>
    <t>Seewen</t>
  </si>
  <si>
    <t>Seewis im Prättigau</t>
  </si>
  <si>
    <t>Seftigen</t>
  </si>
  <si>
    <t>Seltisberg</t>
  </si>
  <si>
    <t>Selzach</t>
  </si>
  <si>
    <t>Sembrancher</t>
  </si>
  <si>
    <t>Sempach</t>
  </si>
  <si>
    <t>Semsales</t>
  </si>
  <si>
    <t>Senarclens</t>
  </si>
  <si>
    <t>Sennwald</t>
  </si>
  <si>
    <t>Seon</t>
  </si>
  <si>
    <t>Sergey</t>
  </si>
  <si>
    <t>Serravalle</t>
  </si>
  <si>
    <t>Servion</t>
  </si>
  <si>
    <t>Seuzach</t>
  </si>
  <si>
    <t>Sévaz</t>
  </si>
  <si>
    <t>Sevelen</t>
  </si>
  <si>
    <t>Siblingen</t>
  </si>
  <si>
    <t>Sierre</t>
  </si>
  <si>
    <t>Siglistorf</t>
  </si>
  <si>
    <t>Signau</t>
  </si>
  <si>
    <t>Signy-Avenex</t>
  </si>
  <si>
    <t>Sigriswil</t>
  </si>
  <si>
    <t>Silenen</t>
  </si>
  <si>
    <t>Sils im Domleschg</t>
  </si>
  <si>
    <t>Sils im Engadin/Segl</t>
  </si>
  <si>
    <t>Silvaplana</t>
  </si>
  <si>
    <t>Simplon</t>
  </si>
  <si>
    <t>Sins</t>
  </si>
  <si>
    <t>Sion</t>
  </si>
  <si>
    <t>Sirnach</t>
  </si>
  <si>
    <t>Siselen</t>
  </si>
  <si>
    <t>Sisikon</t>
  </si>
  <si>
    <t>Sissach</t>
  </si>
  <si>
    <t>Sisseln</t>
  </si>
  <si>
    <t>Siviriez</t>
  </si>
  <si>
    <t>Soazza</t>
  </si>
  <si>
    <t>Solothurn</t>
  </si>
  <si>
    <t>Sommeri</t>
  </si>
  <si>
    <t>Sonceboz-Sombeval</t>
  </si>
  <si>
    <t>Sonvilier</t>
  </si>
  <si>
    <t>Soral</t>
  </si>
  <si>
    <t>Sorengo</t>
  </si>
  <si>
    <t>Sorens</t>
  </si>
  <si>
    <t>Sorvilier</t>
  </si>
  <si>
    <t>Soubey</t>
  </si>
  <si>
    <t>Soyhières</t>
  </si>
  <si>
    <t>Speicher</t>
  </si>
  <si>
    <t>Spiez</t>
  </si>
  <si>
    <t>Spiringen</t>
  </si>
  <si>
    <t>Spreitenbach</t>
  </si>
  <si>
    <t>St. Gallen</t>
  </si>
  <si>
    <t>St. Margrethen</t>
  </si>
  <si>
    <t>St. Moritz</t>
  </si>
  <si>
    <t>St. Niklaus</t>
  </si>
  <si>
    <t>St. Silvester</t>
  </si>
  <si>
    <t>St. Stephan</t>
  </si>
  <si>
    <t>St. Ursen</t>
  </si>
  <si>
    <t>Stabio</t>
  </si>
  <si>
    <t>Stadel</t>
  </si>
  <si>
    <t>Stäfa</t>
  </si>
  <si>
    <t>Staffelbach</t>
  </si>
  <si>
    <t>Stalden (VS)</t>
  </si>
  <si>
    <t>Staldenried</t>
  </si>
  <si>
    <t>Stallikon</t>
  </si>
  <si>
    <t>Stammheim</t>
  </si>
  <si>
    <t>Stans</t>
  </si>
  <si>
    <t>Stansstad</t>
  </si>
  <si>
    <t>Starrkirch-Wil</t>
  </si>
  <si>
    <t>Staufen</t>
  </si>
  <si>
    <t>Steckborn</t>
  </si>
  <si>
    <t>Steffisburg</t>
  </si>
  <si>
    <t>Steg-Hohtenn</t>
  </si>
  <si>
    <t>Stein (AG)</t>
  </si>
  <si>
    <t>Stein (AR)</t>
  </si>
  <si>
    <t>Stein am Rhein</t>
  </si>
  <si>
    <t>Steinach</t>
  </si>
  <si>
    <t>Steinen</t>
  </si>
  <si>
    <t>Steinerberg</t>
  </si>
  <si>
    <t>Steinhausen</t>
  </si>
  <si>
    <t>Steinmaur</t>
  </si>
  <si>
    <t>Stetten (AG)</t>
  </si>
  <si>
    <t>Stetten (SH)</t>
  </si>
  <si>
    <t>Stettfurt</t>
  </si>
  <si>
    <t>Stettlen</t>
  </si>
  <si>
    <t>Stocken-Höfen</t>
  </si>
  <si>
    <t>Strengelbach</t>
  </si>
  <si>
    <t>Studen (BE)</t>
  </si>
  <si>
    <t>Stüsslingen</t>
  </si>
  <si>
    <t>Subingen</t>
  </si>
  <si>
    <t>Suchy</t>
  </si>
  <si>
    <t>Sufers</t>
  </si>
  <si>
    <t>Suhr</t>
  </si>
  <si>
    <t>Sulgen</t>
  </si>
  <si>
    <t>Sullens</t>
  </si>
  <si>
    <t>Sumiswald</t>
  </si>
  <si>
    <t>Sumvitg</t>
  </si>
  <si>
    <t>Surpierre</t>
  </si>
  <si>
    <t>Sursee</t>
  </si>
  <si>
    <t>Surses</t>
  </si>
  <si>
    <t>Suscévaz</t>
  </si>
  <si>
    <t>Sutz-Lattrigen</t>
  </si>
  <si>
    <t>Syens</t>
  </si>
  <si>
    <t>Tafers</t>
  </si>
  <si>
    <t>Tägerig</t>
  </si>
  <si>
    <t>Tägerwilen</t>
  </si>
  <si>
    <t>Tamins</t>
  </si>
  <si>
    <t>Tannay</t>
  </si>
  <si>
    <t>Tartegnin</t>
  </si>
  <si>
    <t>Täsch</t>
  </si>
  <si>
    <t>Täuffelen</t>
  </si>
  <si>
    <t>Tavannes</t>
  </si>
  <si>
    <t>Tecknau</t>
  </si>
  <si>
    <t>Tegerfelden</t>
  </si>
  <si>
    <t>Tenero-Contra</t>
  </si>
  <si>
    <t>Tenniken</t>
  </si>
  <si>
    <t>Tentlingen</t>
  </si>
  <si>
    <t>Termen</t>
  </si>
  <si>
    <t>Terre di Pedemonte</t>
  </si>
  <si>
    <t>Teufen (AR)</t>
  </si>
  <si>
    <t>Teufenthal (AG)</t>
  </si>
  <si>
    <t>Teuffenthal (BE)</t>
  </si>
  <si>
    <t>Tévenon</t>
  </si>
  <si>
    <t>Thal</t>
  </si>
  <si>
    <t>Thalheim (AG)</t>
  </si>
  <si>
    <t>Thalheim an der Thur</t>
  </si>
  <si>
    <t>Thalwil</t>
  </si>
  <si>
    <t>Thayngen</t>
  </si>
  <si>
    <t>Therwil</t>
  </si>
  <si>
    <t>Thierachern</t>
  </si>
  <si>
    <t>Thônex</t>
  </si>
  <si>
    <t>Thörigen</t>
  </si>
  <si>
    <t>Thun</t>
  </si>
  <si>
    <t>Thundorf</t>
  </si>
  <si>
    <t>Thunstetten</t>
  </si>
  <si>
    <t>Thurnen</t>
  </si>
  <si>
    <t>Thürnen</t>
  </si>
  <si>
    <t>Thusis</t>
  </si>
  <si>
    <t>Titterten</t>
  </si>
  <si>
    <t>Tobel-Tägerschen</t>
  </si>
  <si>
    <t>Toffen</t>
  </si>
  <si>
    <t>Tolochenaz</t>
  </si>
  <si>
    <t>Törbel</t>
  </si>
  <si>
    <t>Torny</t>
  </si>
  <si>
    <t>Torricella-Taverne</t>
  </si>
  <si>
    <t>Trachselwald</t>
  </si>
  <si>
    <t>Tramelan</t>
  </si>
  <si>
    <t>Trasadingen</t>
  </si>
  <si>
    <t>Treiten</t>
  </si>
  <si>
    <t>Trélex</t>
  </si>
  <si>
    <t>Tresa</t>
  </si>
  <si>
    <t>Trey</t>
  </si>
  <si>
    <t>Treycovagnes</t>
  </si>
  <si>
    <t>Treytorrens (Payerne)</t>
  </si>
  <si>
    <t>Treyvaux</t>
  </si>
  <si>
    <t>Triengen</t>
  </si>
  <si>
    <t>Trient</t>
  </si>
  <si>
    <t>Trimbach</t>
  </si>
  <si>
    <t>Trimmis</t>
  </si>
  <si>
    <t>Trin</t>
  </si>
  <si>
    <t>Trogen</t>
  </si>
  <si>
    <t>Troinex</t>
  </si>
  <si>
    <t>Troistorrents</t>
  </si>
  <si>
    <t>Trub</t>
  </si>
  <si>
    <t>Trubschachen</t>
  </si>
  <si>
    <t>Trüllikon</t>
  </si>
  <si>
    <t>Trun</t>
  </si>
  <si>
    <t>Truttikon</t>
  </si>
  <si>
    <t>Tschappina</t>
  </si>
  <si>
    <t>Tschiertschen-Praden</t>
  </si>
  <si>
    <t>Tschugg</t>
  </si>
  <si>
    <t>Tübach</t>
  </si>
  <si>
    <t>Tuggen</t>
  </si>
  <si>
    <t>Tujetsch</t>
  </si>
  <si>
    <t>Turbenthal</t>
  </si>
  <si>
    <t>Turtmann-Unterems</t>
  </si>
  <si>
    <t>Twann-Tüscherz</t>
  </si>
  <si>
    <t>Udligenswil</t>
  </si>
  <si>
    <t>Ueberstorf</t>
  </si>
  <si>
    <t>Uebeschi</t>
  </si>
  <si>
    <t>Uerkheim</t>
  </si>
  <si>
    <t>Uesslingen-Buch</t>
  </si>
  <si>
    <t>Uetendorf</t>
  </si>
  <si>
    <t>Uetikon am See</t>
  </si>
  <si>
    <t>Uezwil</t>
  </si>
  <si>
    <t>Ufhusen</t>
  </si>
  <si>
    <t>Uitikon</t>
  </si>
  <si>
    <t>Ulmiz</t>
  </si>
  <si>
    <t>Unterägeri</t>
  </si>
  <si>
    <t>Unterbäch</t>
  </si>
  <si>
    <t>Untereggen</t>
  </si>
  <si>
    <t>Unterengstringen</t>
  </si>
  <si>
    <t>Unterentfelden</t>
  </si>
  <si>
    <t>Unteriberg</t>
  </si>
  <si>
    <t>Unterkulm</t>
  </si>
  <si>
    <t>Unterlangenegg</t>
  </si>
  <si>
    <t>Unterlunkhofen</t>
  </si>
  <si>
    <t>Unterramsern</t>
  </si>
  <si>
    <t>Unterschächen</t>
  </si>
  <si>
    <t>Unterseen</t>
  </si>
  <si>
    <t>Untersiggenthal</t>
  </si>
  <si>
    <t>Untervaz</t>
  </si>
  <si>
    <t>Urdorf</t>
  </si>
  <si>
    <t>Urmein</t>
  </si>
  <si>
    <t>Urnäsch</t>
  </si>
  <si>
    <t>Ursenbach</t>
  </si>
  <si>
    <t>Ursins</t>
  </si>
  <si>
    <t>Ursy</t>
  </si>
  <si>
    <t>Urtenen-Schönbühl</t>
  </si>
  <si>
    <t>Uster</t>
  </si>
  <si>
    <t>Uttigen</t>
  </si>
  <si>
    <t>Uttwil</t>
  </si>
  <si>
    <t>Utzenstorf</t>
  </si>
  <si>
    <t>Uznach</t>
  </si>
  <si>
    <t>Uzwil</t>
  </si>
  <si>
    <t>Vacallo</t>
  </si>
  <si>
    <t>Val de Bagnes</t>
  </si>
  <si>
    <t>Val Mara</t>
  </si>
  <si>
    <t>Val Müstair</t>
  </si>
  <si>
    <t>Val Terbi</t>
  </si>
  <si>
    <t>Valbirse</t>
  </si>
  <si>
    <t>Valbroye</t>
  </si>
  <si>
    <t>Val-de-Charmey</t>
  </si>
  <si>
    <t>Val-de-Ruz</t>
  </si>
  <si>
    <t>Val-de-Travers</t>
  </si>
  <si>
    <t>Val-d'Illiez</t>
  </si>
  <si>
    <t>Valeyres-sous-Montagny</t>
  </si>
  <si>
    <t>Valeyres-sous-Rances</t>
  </si>
  <si>
    <t>Valeyres-sous-Ursins</t>
  </si>
  <si>
    <t>Vallon</t>
  </si>
  <si>
    <t>Vallorbe</t>
  </si>
  <si>
    <t>Vals</t>
  </si>
  <si>
    <t>Valsot</t>
  </si>
  <si>
    <t>Vandoeuvres</t>
  </si>
  <si>
    <t>Varen</t>
  </si>
  <si>
    <t>Vaulion</t>
  </si>
  <si>
    <t>Vaulruz</t>
  </si>
  <si>
    <t>Vaux-sur-Morges</t>
  </si>
  <si>
    <t>Vaz/Obervaz</t>
  </si>
  <si>
    <t>Vechigen</t>
  </si>
  <si>
    <t>Veltheim (AG)</t>
  </si>
  <si>
    <t>Vendlincourt</t>
  </si>
  <si>
    <t>Vernate</t>
  </si>
  <si>
    <t>Vernayaz</t>
  </si>
  <si>
    <t>Vernier</t>
  </si>
  <si>
    <t>Vérossaz</t>
  </si>
  <si>
    <t>Versoix</t>
  </si>
  <si>
    <t>Verzasca</t>
  </si>
  <si>
    <t>Vétroz</t>
  </si>
  <si>
    <t>Vevey</t>
  </si>
  <si>
    <t>Vex</t>
  </si>
  <si>
    <t>Veyrier</t>
  </si>
  <si>
    <t>Veysonnaz</t>
  </si>
  <si>
    <t>Veytaux</t>
  </si>
  <si>
    <t>Vezia</t>
  </si>
  <si>
    <t>Vich</t>
  </si>
  <si>
    <t>Vico Morcote</t>
  </si>
  <si>
    <t>Villarsel-sur-Marly</t>
  </si>
  <si>
    <t>Villars-Epeney</t>
  </si>
  <si>
    <t>Villars-le-Comte</t>
  </si>
  <si>
    <t>Villars-le-Terroir</t>
  </si>
  <si>
    <t>Villars-Sainte-Croix</t>
  </si>
  <si>
    <t>Villars-sous-Yens</t>
  </si>
  <si>
    <t>Villars-sur-Glâne</t>
  </si>
  <si>
    <t>Villarzel</t>
  </si>
  <si>
    <t>Villaz</t>
  </si>
  <si>
    <t>Villeneuve (VD)</t>
  </si>
  <si>
    <t>Villeret</t>
  </si>
  <si>
    <t>Villigen</t>
  </si>
  <si>
    <t>Villmergen</t>
  </si>
  <si>
    <t>Villnachern</t>
  </si>
  <si>
    <t>Villorsonnens</t>
  </si>
  <si>
    <t>Vilters-Wangs</t>
  </si>
  <si>
    <t>Vinelz</t>
  </si>
  <si>
    <t>Vinzel</t>
  </si>
  <si>
    <t>Vionnaz</t>
  </si>
  <si>
    <t>Visp</t>
  </si>
  <si>
    <t>Visperterminen</t>
  </si>
  <si>
    <t>Vitznau</t>
  </si>
  <si>
    <t>Volken</t>
  </si>
  <si>
    <t>Volketswil</t>
  </si>
  <si>
    <t>Vordemwald</t>
  </si>
  <si>
    <t>Vorderthal</t>
  </si>
  <si>
    <t>Vouvry</t>
  </si>
  <si>
    <t>Vuadens</t>
  </si>
  <si>
    <t>Vuarrens</t>
  </si>
  <si>
    <t>Vucherens</t>
  </si>
  <si>
    <t>Vufflens-la-Ville</t>
  </si>
  <si>
    <t>Vufflens-le-Château</t>
  </si>
  <si>
    <t>Vugelles-La Mothe</t>
  </si>
  <si>
    <t>Vuisternens-devant-Romont</t>
  </si>
  <si>
    <t>Vuiteboeuf</t>
  </si>
  <si>
    <t>Vulliens</t>
  </si>
  <si>
    <t>Vullierens</t>
  </si>
  <si>
    <t>Vully-les-Lacs</t>
  </si>
  <si>
    <t>Wachseldorn</t>
  </si>
  <si>
    <t>Wädenswil</t>
  </si>
  <si>
    <t>Wagenhausen</t>
  </si>
  <si>
    <t>Wahlen</t>
  </si>
  <si>
    <t>Walchwil</t>
  </si>
  <si>
    <t>Wald (AR)</t>
  </si>
  <si>
    <t>Wald (BE)</t>
  </si>
  <si>
    <t>Wald (ZH)</t>
  </si>
  <si>
    <t>Waldenburg</t>
  </si>
  <si>
    <t>Wäldi</t>
  </si>
  <si>
    <t>Waldkirch</t>
  </si>
  <si>
    <t>Waldstatt</t>
  </si>
  <si>
    <t>Walenstadt</t>
  </si>
  <si>
    <t>Walkringen</t>
  </si>
  <si>
    <t>Wallbach</t>
  </si>
  <si>
    <t>Wallisellen</t>
  </si>
  <si>
    <t>Walliswil bei Niederbipp</t>
  </si>
  <si>
    <t>Walliswil bei Wangen</t>
  </si>
  <si>
    <t>Walperswil</t>
  </si>
  <si>
    <t>Waltenschwil</t>
  </si>
  <si>
    <t>Walterswil (BE)</t>
  </si>
  <si>
    <t>Walterswil (SO)</t>
  </si>
  <si>
    <t>Walzenhausen</t>
  </si>
  <si>
    <t>Wangen (SZ)</t>
  </si>
  <si>
    <t>Wangen an der Aare</t>
  </si>
  <si>
    <t>Wangen bei Olten</t>
  </si>
  <si>
    <t>Wangen-Brüttisellen</t>
  </si>
  <si>
    <t>Wängi</t>
  </si>
  <si>
    <t>Wartau</t>
  </si>
  <si>
    <t>Warth-Weiningen</t>
  </si>
  <si>
    <t>Wassen</t>
  </si>
  <si>
    <t>Wasterkingen</t>
  </si>
  <si>
    <t>Wattenwil</t>
  </si>
  <si>
    <t>Wattwil</t>
  </si>
  <si>
    <t>Wauwil</t>
  </si>
  <si>
    <t>Weesen</t>
  </si>
  <si>
    <t>Wegenstetten</t>
  </si>
  <si>
    <t>Weggis</t>
  </si>
  <si>
    <t>Weiach</t>
  </si>
  <si>
    <t>Weinfelden</t>
  </si>
  <si>
    <t>Weiningen (ZH)</t>
  </si>
  <si>
    <t>Weisslingen</t>
  </si>
  <si>
    <t>Welschenrohr-Gänsbrunnen</t>
  </si>
  <si>
    <t>Wengi</t>
  </si>
  <si>
    <t>Wenslingen</t>
  </si>
  <si>
    <t>Werthenstein</t>
  </si>
  <si>
    <t>Wettingen</t>
  </si>
  <si>
    <t>Wettswil am Albis</t>
  </si>
  <si>
    <t>Wetzikon (ZH)</t>
  </si>
  <si>
    <t>Wichtrach</t>
  </si>
  <si>
    <t>Widen</t>
  </si>
  <si>
    <t>Widnau</t>
  </si>
  <si>
    <t>Wiedlisbach</t>
  </si>
  <si>
    <t>Wiesendangen</t>
  </si>
  <si>
    <t>Wiggiswil</t>
  </si>
  <si>
    <t>Wigoltingen</t>
  </si>
  <si>
    <t>Wikon</t>
  </si>
  <si>
    <t>Wil (SG)</t>
  </si>
  <si>
    <t>Wil (ZH)</t>
  </si>
  <si>
    <t>Wila</t>
  </si>
  <si>
    <t>Wilchingen</t>
  </si>
  <si>
    <t>Wildberg</t>
  </si>
  <si>
    <t>Wilderswil</t>
  </si>
  <si>
    <t>Wildhaus-Alt St. Johann</t>
  </si>
  <si>
    <t>Wilen (TG)</t>
  </si>
  <si>
    <t>Wiler (Lötschen)</t>
  </si>
  <si>
    <t>Wiler bei Utzenstorf</t>
  </si>
  <si>
    <t>Wileroltigen</t>
  </si>
  <si>
    <t>Wiliberg</t>
  </si>
  <si>
    <t>Willadingen</t>
  </si>
  <si>
    <t>Willisau</t>
  </si>
  <si>
    <t>Wimmis</t>
  </si>
  <si>
    <t>Windisch</t>
  </si>
  <si>
    <t>Winkel</t>
  </si>
  <si>
    <t>Wintersingen</t>
  </si>
  <si>
    <t>Winterthur</t>
  </si>
  <si>
    <t>Winznau</t>
  </si>
  <si>
    <t>Wisen (SO)</t>
  </si>
  <si>
    <t>Wittenbach</t>
  </si>
  <si>
    <t>Witterswil</t>
  </si>
  <si>
    <t>Wittinsburg</t>
  </si>
  <si>
    <t>Wittnau</t>
  </si>
  <si>
    <t>Wohlen (AG)</t>
  </si>
  <si>
    <t>Wohlen bei Bern</t>
  </si>
  <si>
    <t>Wohlenschwil</t>
  </si>
  <si>
    <t>Wolfenschiessen</t>
  </si>
  <si>
    <t>Wolfhalden</t>
  </si>
  <si>
    <t>Wölflinswil</t>
  </si>
  <si>
    <t>Wolfwil</t>
  </si>
  <si>
    <t>Wolhusen</t>
  </si>
  <si>
    <t>Wollerau</t>
  </si>
  <si>
    <t>Worb</t>
  </si>
  <si>
    <t>Worben</t>
  </si>
  <si>
    <t>Wünnewil-Flamatt</t>
  </si>
  <si>
    <t>Wuppenau</t>
  </si>
  <si>
    <t>Würenlingen</t>
  </si>
  <si>
    <t>Würenlos</t>
  </si>
  <si>
    <t>Wynau</t>
  </si>
  <si>
    <t>Wynigen</t>
  </si>
  <si>
    <t>Wyssachen</t>
  </si>
  <si>
    <t>Yens</t>
  </si>
  <si>
    <t>Yverdon-les-Bains</t>
  </si>
  <si>
    <t>Yvonand</t>
  </si>
  <si>
    <t>Yvorne</t>
  </si>
  <si>
    <t>Zäziwil</t>
  </si>
  <si>
    <t>Zeglingen</t>
  </si>
  <si>
    <t>Zeihen</t>
  </si>
  <si>
    <t>Zeiningen</t>
  </si>
  <si>
    <t>Zell (LU)</t>
  </si>
  <si>
    <t>Zell (ZH)</t>
  </si>
  <si>
    <t>Zeneggen</t>
  </si>
  <si>
    <t>Zermatt</t>
  </si>
  <si>
    <t>Zernez</t>
  </si>
  <si>
    <t>Zetzwil</t>
  </si>
  <si>
    <t>Ziefen</t>
  </si>
  <si>
    <t>Zielebach</t>
  </si>
  <si>
    <t>Zihlschlacht-Sitterdorf</t>
  </si>
  <si>
    <t>Zillis-Reischen</t>
  </si>
  <si>
    <t>Zizers</t>
  </si>
  <si>
    <t>Zofingen</t>
  </si>
  <si>
    <t>Zollikofen</t>
  </si>
  <si>
    <t>Zollikon</t>
  </si>
  <si>
    <t>Zuchwil</t>
  </si>
  <si>
    <t>Zufikon</t>
  </si>
  <si>
    <t>Zug</t>
  </si>
  <si>
    <t>Zullwil</t>
  </si>
  <si>
    <t>Zumikon</t>
  </si>
  <si>
    <t>Zunzgen</t>
  </si>
  <si>
    <t>Zuoz</t>
  </si>
  <si>
    <t>Zürich</t>
  </si>
  <si>
    <t>Zurzach</t>
  </si>
  <si>
    <t>Zuzgen</t>
  </si>
  <si>
    <t>Zuzwil (BE)</t>
  </si>
  <si>
    <t>Zuzwil (SG)</t>
  </si>
  <si>
    <t>Zweisimmen</t>
  </si>
  <si>
    <t>Zwingen</t>
  </si>
  <si>
    <t>Zwischbergen</t>
  </si>
  <si>
    <t>Langue</t>
  </si>
  <si>
    <t>Lingua</t>
  </si>
  <si>
    <t>Scope / Perimeter</t>
  </si>
  <si>
    <t>Scope / Périmètre</t>
  </si>
  <si>
    <t>Scope / Perimetro</t>
  </si>
  <si>
    <t>id1</t>
  </si>
  <si>
    <t>id2</t>
  </si>
  <si>
    <t>id3</t>
  </si>
  <si>
    <t>id4</t>
  </si>
  <si>
    <t>id5</t>
  </si>
  <si>
    <t>id6</t>
  </si>
  <si>
    <t>id7</t>
  </si>
  <si>
    <t>id8</t>
  </si>
  <si>
    <t>id9</t>
  </si>
  <si>
    <t>id10</t>
  </si>
  <si>
    <t>id11</t>
  </si>
  <si>
    <t>id12</t>
  </si>
  <si>
    <t>id13</t>
  </si>
  <si>
    <t>id14</t>
  </si>
  <si>
    <t>id15</t>
  </si>
  <si>
    <t>id16</t>
  </si>
  <si>
    <t>id17</t>
  </si>
  <si>
    <t>id18</t>
  </si>
  <si>
    <t>id19</t>
  </si>
  <si>
    <t>id20</t>
  </si>
  <si>
    <t>id21</t>
  </si>
  <si>
    <t>id22</t>
  </si>
  <si>
    <t>id23</t>
  </si>
  <si>
    <t>id24</t>
  </si>
  <si>
    <t>id25</t>
  </si>
  <si>
    <t>id26</t>
  </si>
  <si>
    <t>id27</t>
  </si>
  <si>
    <t>id28</t>
  </si>
  <si>
    <t>id29</t>
  </si>
  <si>
    <t>id30</t>
  </si>
  <si>
    <t>id31</t>
  </si>
  <si>
    <t>id32</t>
  </si>
  <si>
    <t>id33</t>
  </si>
  <si>
    <t>id34</t>
  </si>
  <si>
    <t>id35</t>
  </si>
  <si>
    <t>id36</t>
  </si>
  <si>
    <t>id37</t>
  </si>
  <si>
    <t>id38</t>
  </si>
  <si>
    <t>id39</t>
  </si>
  <si>
    <t>id40</t>
  </si>
  <si>
    <t>id41</t>
  </si>
  <si>
    <t>id42</t>
  </si>
  <si>
    <t>id43</t>
  </si>
  <si>
    <t>id44</t>
  </si>
  <si>
    <t>id45</t>
  </si>
  <si>
    <t>id46</t>
  </si>
  <si>
    <t>id47</t>
  </si>
  <si>
    <t>id48</t>
  </si>
  <si>
    <t>id49</t>
  </si>
  <si>
    <t>id50</t>
  </si>
  <si>
    <t>id51</t>
  </si>
  <si>
    <t>id52</t>
  </si>
  <si>
    <t>id53</t>
  </si>
  <si>
    <t>id54</t>
  </si>
  <si>
    <t>id55</t>
  </si>
  <si>
    <t>id56</t>
  </si>
  <si>
    <t>id57</t>
  </si>
  <si>
    <t>id58</t>
  </si>
  <si>
    <t>id59</t>
  </si>
  <si>
    <t>id60</t>
  </si>
  <si>
    <t>id61</t>
  </si>
  <si>
    <t>id62</t>
  </si>
  <si>
    <t>id63</t>
  </si>
  <si>
    <t>id64</t>
  </si>
  <si>
    <t>id65</t>
  </si>
  <si>
    <t>id66</t>
  </si>
  <si>
    <t>id67</t>
  </si>
  <si>
    <t>id68</t>
  </si>
  <si>
    <t>id69</t>
  </si>
  <si>
    <t>id70</t>
  </si>
  <si>
    <t>id71</t>
  </si>
  <si>
    <t>id72</t>
  </si>
  <si>
    <t>id73</t>
  </si>
  <si>
    <t>id74</t>
  </si>
  <si>
    <t>id75</t>
  </si>
  <si>
    <t>id76</t>
  </si>
  <si>
    <t>id77</t>
  </si>
  <si>
    <t>id78</t>
  </si>
  <si>
    <t>id79</t>
  </si>
  <si>
    <t>id80</t>
  </si>
  <si>
    <t>id81</t>
  </si>
  <si>
    <t>id82</t>
  </si>
  <si>
    <t>id83</t>
  </si>
  <si>
    <t>id84</t>
  </si>
  <si>
    <t>id85</t>
  </si>
  <si>
    <t>id86</t>
  </si>
  <si>
    <t>id87</t>
  </si>
  <si>
    <t>id88</t>
  </si>
  <si>
    <t>id89</t>
  </si>
  <si>
    <t>id90</t>
  </si>
  <si>
    <t>id91</t>
  </si>
  <si>
    <t>id92</t>
  </si>
  <si>
    <t>id93</t>
  </si>
  <si>
    <t>id94</t>
  </si>
  <si>
    <t>id95</t>
  </si>
  <si>
    <t>id96</t>
  </si>
  <si>
    <t>id97</t>
  </si>
  <si>
    <t>id98</t>
  </si>
  <si>
    <t>id99</t>
  </si>
  <si>
    <t>id100</t>
  </si>
  <si>
    <t>id101</t>
  </si>
  <si>
    <t>id102</t>
  </si>
  <si>
    <t>id103</t>
  </si>
  <si>
    <t>id104</t>
  </si>
  <si>
    <t>2345</t>
  </si>
  <si>
    <t/>
  </si>
  <si>
    <t>4</t>
  </si>
  <si>
    <t>123</t>
  </si>
  <si>
    <t>Automatique</t>
  </si>
  <si>
    <t>Unité possible</t>
  </si>
  <si>
    <t>Habitat</t>
  </si>
  <si>
    <t>Mazout</t>
  </si>
  <si>
    <t>Gaz</t>
  </si>
  <si>
    <t>Bois</t>
  </si>
  <si>
    <t>Pompe à chaleur</t>
  </si>
  <si>
    <t>Chaleur résiduelle</t>
  </si>
  <si>
    <t>Approvisionnement de base</t>
  </si>
  <si>
    <t>Marché libre</t>
  </si>
  <si>
    <t>Essence</t>
  </si>
  <si>
    <t>Autre</t>
  </si>
  <si>
    <t>Non énergétique</t>
  </si>
  <si>
    <t>Processus industriel</t>
  </si>
  <si>
    <t>Déchets (UIOM, STEP)</t>
  </si>
  <si>
    <t>Consommation/services</t>
  </si>
  <si>
    <t>Energia</t>
  </si>
  <si>
    <t>Automatico</t>
  </si>
  <si>
    <t>Unità possibile</t>
  </si>
  <si>
    <t>Energia non rinnovabile</t>
  </si>
  <si>
    <t>Residenziale</t>
  </si>
  <si>
    <t>Energia rinnovabile</t>
  </si>
  <si>
    <t>Legno</t>
  </si>
  <si>
    <t>Pompa di calore</t>
  </si>
  <si>
    <t>Fornitura di base</t>
  </si>
  <si>
    <t>Non energia</t>
  </si>
  <si>
    <t>Panneau solaire thermique</t>
  </si>
  <si>
    <t>Valeur proposée</t>
  </si>
  <si>
    <t>Vorgeschlagener Wert</t>
  </si>
  <si>
    <t>Benzina</t>
  </si>
  <si>
    <t>Sources possibles</t>
  </si>
  <si>
    <t>Mögliche Quellen</t>
  </si>
  <si>
    <t>Fournisseur d'énergie</t>
  </si>
  <si>
    <t>opendata, fournisseur d'électricité</t>
  </si>
  <si>
    <t>RegBL, contrôle de combustion, canton</t>
  </si>
  <si>
    <t>Fournisseurs de gaz, RegBL, contrôle de combustion, canton</t>
  </si>
  <si>
    <t>RegBL, fournisseur d'électricité, canton</t>
  </si>
  <si>
    <t>Fornitore di energia</t>
  </si>
  <si>
    <t>opendata ASTRA</t>
  </si>
  <si>
    <t>opendata OFROU</t>
  </si>
  <si>
    <t>opendata USTRA</t>
  </si>
  <si>
    <t>opendata BFS</t>
  </si>
  <si>
    <t>opendata OFS</t>
  </si>
  <si>
    <t>opendata BAFU</t>
  </si>
  <si>
    <t>opendata OFEV</t>
  </si>
  <si>
    <t>opendata UFAM</t>
  </si>
  <si>
    <t>t CO2-eq</t>
  </si>
  <si>
    <t>Fläche [m²]</t>
  </si>
  <si>
    <t>Surface [m²]</t>
  </si>
  <si>
    <t>Superficie [m²]</t>
  </si>
  <si>
    <t>t CO2-eq / abitante</t>
  </si>
  <si>
    <t>t CO2-eq / Einwohner</t>
  </si>
  <si>
    <t>Emissions de gas à effet de serre liées à la consommation</t>
  </si>
  <si>
    <t>Emissioni di gas serra legate al consumo</t>
  </si>
  <si>
    <t>Nombre d'habitants</t>
  </si>
  <si>
    <t>Qualité du RegBL</t>
  </si>
  <si>
    <t>Version</t>
  </si>
  <si>
    <t>Versione</t>
  </si>
  <si>
    <t>Bonne</t>
  </si>
  <si>
    <t>Moyenne</t>
  </si>
  <si>
    <t>Insuffisante</t>
  </si>
  <si>
    <t>Media</t>
  </si>
  <si>
    <t>Insufficiente</t>
  </si>
  <si>
    <t>Gut</t>
  </si>
  <si>
    <t>Mittelmässig</t>
  </si>
  <si>
    <t>Ungenügend</t>
  </si>
  <si>
    <t>GWR, Gemeinde, Kanton</t>
  </si>
  <si>
    <t>RegBL, Commune, Canton</t>
  </si>
  <si>
    <t>1A4b</t>
  </si>
  <si>
    <t>1A4a</t>
  </si>
  <si>
    <t>1A3b</t>
  </si>
  <si>
    <t xml:space="preserve">1A3b,c,d </t>
  </si>
  <si>
    <t xml:space="preserve"> 2 - 5</t>
  </si>
  <si>
    <t>Energie non renouvelable</t>
  </si>
  <si>
    <t>Energie renouvelable</t>
  </si>
  <si>
    <t>Electricité</t>
  </si>
  <si>
    <t>Scope 3</t>
  </si>
  <si>
    <t>Scope 2</t>
  </si>
  <si>
    <t>Endenergie</t>
  </si>
  <si>
    <t>Energie finale</t>
  </si>
  <si>
    <t>Primärenergie</t>
  </si>
  <si>
    <t>Energie primaire</t>
  </si>
  <si>
    <t>Energia finale</t>
  </si>
  <si>
    <t>Energia primaria</t>
  </si>
  <si>
    <t>Watt / Einwohner</t>
  </si>
  <si>
    <t>Watt / habitant</t>
  </si>
  <si>
    <t>Watt / abitante</t>
  </si>
  <si>
    <t>Résultat total</t>
  </si>
  <si>
    <t>Gesamtergebnis</t>
  </si>
  <si>
    <t>Résultats détaillés</t>
  </si>
  <si>
    <t>Detaillierte Ergebnisse</t>
  </si>
  <si>
    <t>Risultati dettagliati</t>
  </si>
  <si>
    <t>BAFU Faktoren (KlG)</t>
  </si>
  <si>
    <t>Facteurs OFEV (LCl)</t>
  </si>
  <si>
    <t>Fattori UFAM (LOCli)</t>
  </si>
  <si>
    <t>KBOB,  2009/1:2022, Version 6.2</t>
  </si>
  <si>
    <t>Einführung</t>
  </si>
  <si>
    <t>Grenzen</t>
  </si>
  <si>
    <t>Introduction</t>
  </si>
  <si>
    <t>Limites</t>
  </si>
  <si>
    <t>Introduzione</t>
  </si>
  <si>
    <t>Limiti</t>
  </si>
  <si>
    <t>Bemerkung</t>
  </si>
  <si>
    <t>Remarques</t>
  </si>
  <si>
    <t>Moyenne entre pellets et plaquettes</t>
  </si>
  <si>
    <t>Durchschnitt zwischen Holzschnitzel und Holzpellets</t>
  </si>
  <si>
    <t>Media tra cippato e pellet</t>
  </si>
  <si>
    <t>[kg CO2-eq / kWh]</t>
  </si>
  <si>
    <r>
      <t>kg CO</t>
    </r>
    <r>
      <rPr>
        <vertAlign val="subscript"/>
        <sz val="10"/>
        <color theme="1"/>
        <rFont val="Arial"/>
        <family val="2"/>
      </rPr>
      <t>2</t>
    </r>
    <r>
      <rPr>
        <sz val="10"/>
        <color theme="1"/>
        <rFont val="Arial"/>
        <family val="2"/>
      </rPr>
      <t xml:space="preserve"> / kWh</t>
    </r>
  </si>
  <si>
    <t>Biogas</t>
  </si>
  <si>
    <t>Biogaz</t>
  </si>
  <si>
    <t>MWh</t>
  </si>
  <si>
    <t>MWh in W pro Jahr</t>
  </si>
  <si>
    <t>Qualität des GWR</t>
  </si>
  <si>
    <t>Kilomètres parcourus</t>
  </si>
  <si>
    <t>Geleistete Kilometer</t>
  </si>
  <si>
    <t>Chilometri percorsi</t>
  </si>
  <si>
    <t>Anzahl PW</t>
  </si>
  <si>
    <t>Nombre VT</t>
  </si>
  <si>
    <t>Scope 1 + 2</t>
  </si>
  <si>
    <t>Scope 1 + 2 + 3</t>
  </si>
  <si>
    <t>Energie 1 + 2 + 3</t>
  </si>
  <si>
    <t>Energie 1 + 2</t>
  </si>
  <si>
    <t>KISS Netto Null</t>
  </si>
  <si>
    <t>Kiss Zéro Net</t>
  </si>
  <si>
    <t>KISS Zero Netto</t>
  </si>
  <si>
    <t>t CO2-eq (Scope 1)</t>
  </si>
  <si>
    <t>Liter</t>
  </si>
  <si>
    <t>Litres</t>
  </si>
  <si>
    <t>Litri</t>
  </si>
  <si>
    <t>m³</t>
  </si>
  <si>
    <t>UnitOel</t>
  </si>
  <si>
    <t>UnitGas</t>
  </si>
  <si>
    <t>UnitFW</t>
  </si>
  <si>
    <t>UnitMobility</t>
  </si>
  <si>
    <t>UnitOther</t>
  </si>
  <si>
    <t>Parameter</t>
  </si>
  <si>
    <t>Wert</t>
  </si>
  <si>
    <t>Paramètre</t>
  </si>
  <si>
    <t>Unité</t>
  </si>
  <si>
    <t>Valeur</t>
  </si>
  <si>
    <t>Unità</t>
  </si>
  <si>
    <t>Valore</t>
  </si>
  <si>
    <t xml:space="preserve">Volllaststunden </t>
  </si>
  <si>
    <t>Ore a pieno carico</t>
  </si>
  <si>
    <t>heures / année</t>
  </si>
  <si>
    <t>ore/anno</t>
  </si>
  <si>
    <t>Stunden / Jahr</t>
  </si>
  <si>
    <t>id105</t>
  </si>
  <si>
    <t>id106</t>
  </si>
  <si>
    <t>id107</t>
  </si>
  <si>
    <t>id108</t>
  </si>
  <si>
    <t>id109</t>
  </si>
  <si>
    <t>id110</t>
  </si>
  <si>
    <t>id111</t>
  </si>
  <si>
    <t>id112</t>
  </si>
  <si>
    <t>id113</t>
  </si>
  <si>
    <t>id114</t>
  </si>
  <si>
    <t>id115</t>
  </si>
  <si>
    <t>id116</t>
  </si>
  <si>
    <t>id117</t>
  </si>
  <si>
    <t>id118</t>
  </si>
  <si>
    <t>id119</t>
  </si>
  <si>
    <t>id120</t>
  </si>
  <si>
    <t>id121</t>
  </si>
  <si>
    <t>id122</t>
  </si>
  <si>
    <t>id123</t>
  </si>
  <si>
    <t>id124</t>
  </si>
  <si>
    <t>id125</t>
  </si>
  <si>
    <t>id126</t>
  </si>
  <si>
    <t>id127</t>
  </si>
  <si>
    <t>id128</t>
  </si>
  <si>
    <t>id129</t>
  </si>
  <si>
    <t>id130</t>
  </si>
  <si>
    <t>id131</t>
  </si>
  <si>
    <t>id132</t>
  </si>
  <si>
    <t>id133</t>
  </si>
  <si>
    <t>id134</t>
  </si>
  <si>
    <t>id135</t>
  </si>
  <si>
    <t>id136</t>
  </si>
  <si>
    <t>id137</t>
  </si>
  <si>
    <t>id138</t>
  </si>
  <si>
    <t>id139</t>
  </si>
  <si>
    <t>id140</t>
  </si>
  <si>
    <t>id141</t>
  </si>
  <si>
    <t>id142</t>
  </si>
  <si>
    <t>id143</t>
  </si>
  <si>
    <t>id144</t>
  </si>
  <si>
    <t>id145</t>
  </si>
  <si>
    <t>id146</t>
  </si>
  <si>
    <t>id147</t>
  </si>
  <si>
    <t>id148</t>
  </si>
  <si>
    <t>id149</t>
  </si>
  <si>
    <t>id150</t>
  </si>
  <si>
    <t>id151</t>
  </si>
  <si>
    <t>id152</t>
  </si>
  <si>
    <t>id153</t>
  </si>
  <si>
    <t>id154</t>
  </si>
  <si>
    <t>id155</t>
  </si>
  <si>
    <t>id156</t>
  </si>
  <si>
    <t>id157</t>
  </si>
  <si>
    <t>id158</t>
  </si>
  <si>
    <t>id159</t>
  </si>
  <si>
    <t>id160</t>
  </si>
  <si>
    <t>id161</t>
  </si>
  <si>
    <t>id162</t>
  </si>
  <si>
    <t>id163</t>
  </si>
  <si>
    <t>id164</t>
  </si>
  <si>
    <t>id165</t>
  </si>
  <si>
    <t>id166</t>
  </si>
  <si>
    <t>id167</t>
  </si>
  <si>
    <t>id168</t>
  </si>
  <si>
    <t>id169</t>
  </si>
  <si>
    <t>id170</t>
  </si>
  <si>
    <t>id171</t>
  </si>
  <si>
    <t>id172</t>
  </si>
  <si>
    <t>id173</t>
  </si>
  <si>
    <t>id174</t>
  </si>
  <si>
    <t>id175</t>
  </si>
  <si>
    <t>id176</t>
  </si>
  <si>
    <t>id177</t>
  </si>
  <si>
    <t>id178</t>
  </si>
  <si>
    <t>id179</t>
  </si>
  <si>
    <t>Quelle</t>
  </si>
  <si>
    <t xml:space="preserve">Source </t>
  </si>
  <si>
    <t xml:space="preserve">https://www.bafu.admin.ch/bafu/de/home/themen/klima/zustand/daten/treibhausgasinventar.html </t>
  </si>
  <si>
    <t>CO2-eq / m³</t>
  </si>
  <si>
    <t>dont part de chaleur renouvelable</t>
  </si>
  <si>
    <t>di cui calore rinnovabile</t>
  </si>
  <si>
    <t>davon Anteil erneuerbare Wärme</t>
  </si>
  <si>
    <t>Actualisé chaque année</t>
  </si>
  <si>
    <t>Jedes Jahr aktualisiert</t>
  </si>
  <si>
    <t>Aggiornato ogni anno</t>
  </si>
  <si>
    <t>Ja</t>
  </si>
  <si>
    <t>Oui</t>
  </si>
  <si>
    <t>Non</t>
  </si>
  <si>
    <t>Nein</t>
  </si>
  <si>
    <t>Emissions CO2 moyennes par véhicules benzine ou diesel</t>
  </si>
  <si>
    <t>Emissioni medie di CO2 per veicolo a benzina o diesel</t>
  </si>
  <si>
    <t>Durchschnittliche CO2-Emissionen von benzin- oder dieselbetriebenen Fahrzeugen</t>
  </si>
  <si>
    <t>Inclus dans l'électricité</t>
  </si>
  <si>
    <t>In Strom enthalten</t>
  </si>
  <si>
    <t>Incluso nell'elettricità</t>
  </si>
  <si>
    <t>tCO2-eq / veicolo</t>
  </si>
  <si>
    <t>tCO2-eq / Fahrzeug</t>
  </si>
  <si>
    <t>CO2-Emissionen Scope 3 pro Kopf</t>
  </si>
  <si>
    <t>tCO2-eq / Einwohner</t>
  </si>
  <si>
    <t>tCO2-eq / abitante</t>
  </si>
  <si>
    <t>Dans Scope 1</t>
  </si>
  <si>
    <t>Im Scope 1</t>
  </si>
  <si>
    <t>Emissions CO2 Scope 3 par habitant</t>
  </si>
  <si>
    <t>Pouvoir calorifique du mazout</t>
  </si>
  <si>
    <t>Heizwert von Heizöl</t>
  </si>
  <si>
    <t>kWh / Liter</t>
  </si>
  <si>
    <t>kWh / litre</t>
  </si>
  <si>
    <t>KWh / litro</t>
  </si>
  <si>
    <t>MWh in W all'anno</t>
  </si>
  <si>
    <t>MWh en W par an</t>
  </si>
  <si>
    <t>Pouvoir calorifique du gaz naturel</t>
  </si>
  <si>
    <t>kWh / m³</t>
  </si>
  <si>
    <t>Fernwärme Durchschnitt erneuerbar</t>
  </si>
  <si>
    <t>Fernwärme Durchschnitt nicht erneuerbar</t>
  </si>
  <si>
    <t>Chauffage à distance moyenne non renouvelable</t>
  </si>
  <si>
    <t>KISS Faktoren</t>
  </si>
  <si>
    <t>Facteurs KISS</t>
  </si>
  <si>
    <t>Spezifische Wärmeproduktion Solarthermie</t>
  </si>
  <si>
    <t>Production spécifique de chaleur solaire thermique</t>
  </si>
  <si>
    <t xml:space="preserve">kWh/(m²·a) </t>
  </si>
  <si>
    <t>Electricité renouvelable provenant de Suisse</t>
  </si>
  <si>
    <t>Elettricità rinnovabile dalla Svizzera</t>
  </si>
  <si>
    <t>Erneuerbarer Strom aus der Schweiz</t>
  </si>
  <si>
    <t>UnitPV</t>
  </si>
  <si>
    <t xml:space="preserve">m² </t>
  </si>
  <si>
    <t>kW</t>
  </si>
  <si>
    <t>46.001</t>
  </si>
  <si>
    <t>Photovoltaik, Marktmix</t>
  </si>
  <si>
    <t>Spezifische Stromproduktion Photovoltaik</t>
  </si>
  <si>
    <t>Production spécifique d'électricité photovoltaïque</t>
  </si>
  <si>
    <t>kWh/kWp</t>
  </si>
  <si>
    <t>Taux d'autoconsommation</t>
  </si>
  <si>
    <t>Anteil des Eigenverbrauchs</t>
  </si>
  <si>
    <t>%</t>
  </si>
  <si>
    <t>Kilomètres parcourus moyen par véhicule</t>
  </si>
  <si>
    <t>Durchschnittlich gefahrene Kilometer pro Fahrzeug</t>
  </si>
  <si>
    <t>km</t>
  </si>
  <si>
    <t>64.007</t>
  </si>
  <si>
    <t>Personenwagen, Durchschnitt</t>
  </si>
  <si>
    <t>UnitResult</t>
  </si>
  <si>
    <t>Factor</t>
  </si>
  <si>
    <t>in %</t>
  </si>
  <si>
    <t>en %</t>
  </si>
  <si>
    <t>100% Elektro</t>
  </si>
  <si>
    <t>100% Electrique</t>
  </si>
  <si>
    <t>Stadt/Land-Typologie</t>
  </si>
  <si>
    <t>Typologie urbain-rural</t>
  </si>
  <si>
    <t>Tipologia urbana/rurale</t>
  </si>
  <si>
    <t>km / Tag</t>
  </si>
  <si>
    <t>km / jour</t>
  </si>
  <si>
    <t>km / giorno</t>
  </si>
  <si>
    <t>CityTypologie</t>
  </si>
  <si>
    <t>Städtisch</t>
  </si>
  <si>
    <t>Intermediär</t>
  </si>
  <si>
    <t>Ländlich</t>
  </si>
  <si>
    <t>Urbano</t>
  </si>
  <si>
    <t>Intermedio</t>
  </si>
  <si>
    <t>Rurale</t>
  </si>
  <si>
    <t>Urbain</t>
  </si>
  <si>
    <t>Intermédiaire</t>
  </si>
  <si>
    <t>Rural</t>
  </si>
  <si>
    <t>Scope 1 Energie</t>
  </si>
  <si>
    <t>Scope 2 Energie</t>
  </si>
  <si>
    <t>Scope 3 Energie</t>
  </si>
  <si>
    <t>Scope 1 übrige</t>
  </si>
  <si>
    <t>Scope 3 übrige</t>
  </si>
  <si>
    <t>Scope 1 autres</t>
  </si>
  <si>
    <t>Scope 3 autres</t>
  </si>
  <si>
    <t>Grundversorgung</t>
  </si>
  <si>
    <t>GraphUnit</t>
  </si>
  <si>
    <t>UnitGraph</t>
  </si>
  <si>
    <t>Fattori KISS</t>
  </si>
  <si>
    <t>Comparaison des variantes</t>
  </si>
  <si>
    <t>Confronto tra le varianti</t>
  </si>
  <si>
    <t>Vergleich der Varianten</t>
  </si>
  <si>
    <t>Distance journalière TIM - CH par personne</t>
  </si>
  <si>
    <t>Tagesdistanz MIV - CH pro Person</t>
  </si>
  <si>
    <t>Distanza giornaliera TIM - CH  per persona</t>
  </si>
  <si>
    <t>Mobilitätsfaktor</t>
  </si>
  <si>
    <t>Fattore di mobilità</t>
  </si>
  <si>
    <t>Facteur de mobilité</t>
  </si>
  <si>
    <t>[-]</t>
  </si>
  <si>
    <t>Benzin in Personenwagen</t>
  </si>
  <si>
    <t>Diesel in Personenwagen</t>
  </si>
  <si>
    <t>61.003</t>
  </si>
  <si>
    <t>61.004</t>
  </si>
  <si>
    <t>Jérôme Attinger</t>
  </si>
  <si>
    <t>Thomas Blindenbacher</t>
  </si>
  <si>
    <t>044 305 94 65</t>
  </si>
  <si>
    <t xml:space="preserve">2000W-Schweiz@local-energy.swiss </t>
  </si>
  <si>
    <t>044 305 91 48</t>
  </si>
  <si>
    <t>2000W-Suisse@local-energy.swiss</t>
  </si>
  <si>
    <t>Michela Sormani</t>
  </si>
  <si>
    <t>091 224 64 71</t>
  </si>
  <si>
    <t>2000W-Svizzera@local-energy.swiss</t>
  </si>
  <si>
    <t xml:space="preserve">tCO2-eq </t>
  </si>
  <si>
    <t>N/A</t>
  </si>
  <si>
    <t>#Input1</t>
  </si>
  <si>
    <t>#Filled1</t>
  </si>
  <si>
    <t>#Filled2</t>
  </si>
  <si>
    <t>#Input2</t>
  </si>
  <si>
    <t>#Input3</t>
  </si>
  <si>
    <t>#Filled3</t>
  </si>
  <si>
    <t>#Input4</t>
  </si>
  <si>
    <t>#Filled4</t>
  </si>
  <si>
    <t>#Input5</t>
  </si>
  <si>
    <t>#Filled5</t>
  </si>
  <si>
    <t>UnitHP</t>
  </si>
  <si>
    <t>COP moyen pompe à chaleur</t>
  </si>
  <si>
    <t>Durchschnittlicher JAZ Wärmepumpe</t>
  </si>
  <si>
    <t>COP medio della pompa di calore</t>
  </si>
  <si>
    <t>Bilanzjahr</t>
  </si>
  <si>
    <t>Anno di bilancio</t>
  </si>
  <si>
    <t>Année du bilan</t>
  </si>
  <si>
    <t>La méthodologie KISS n'a pas la prétention de définir le Zéro Net de manière scientifiquement correcte et définitive. Elle constitue un compromis pragmatique entre la marge de manœuvre de la commune, la disponibilité des données avec un rapport coût/utilité approprié pour la saisie et un niveau de détail suffisant pour être compatible avec les objectifs supérieurs et l'effet recherché.</t>
  </si>
  <si>
    <t>Grundlagen &amp; Methodik</t>
  </si>
  <si>
    <t>Bases &amp; Méthodologie</t>
  </si>
  <si>
    <t>kiss-netto-null.ch</t>
  </si>
  <si>
    <t xml:space="preserve">kiss-zero-net.ch </t>
  </si>
  <si>
    <t>kiss-zero-netto.ch</t>
  </si>
  <si>
    <t>Diese Dokumente sind unter folgender Adresse abrufbar:</t>
  </si>
  <si>
    <t>Ces documents sont disponibles à l'adresse suivante:</t>
  </si>
  <si>
    <t>Questi documenti sono disponibili al seguente indirizzo:</t>
  </si>
  <si>
    <t>Datenvollständigkeit</t>
  </si>
  <si>
    <t>Intégralité des données</t>
  </si>
  <si>
    <t>Completezza dei dati</t>
  </si>
  <si>
    <t>Nombre de voitures de tourisme immatriculées</t>
  </si>
  <si>
    <t>ENTSO-E-Mix (ehemals UCTE-Mix)</t>
  </si>
  <si>
    <t>Fernwärme mit Wärmeerzeugung ausserhalb Gemeinde</t>
  </si>
  <si>
    <t>Chauffage à distance avec production de chaleur hors commune</t>
  </si>
  <si>
    <t>UnitSolarPannel</t>
  </si>
  <si>
    <t>Mix Stromprodukte aus erneuerbaren Energien</t>
  </si>
  <si>
    <t>3 | Scope 1+2+3</t>
  </si>
  <si>
    <t>4 | Scope 1+2+3 Energie</t>
  </si>
  <si>
    <t>5 | Scope 1+2 Energie</t>
  </si>
  <si>
    <t>4 | Scope 1+2+3 energie</t>
  </si>
  <si>
    <t>5 | Scope 1+2 energie</t>
  </si>
  <si>
    <t>4 | Scope 1+2+3 energia</t>
  </si>
  <si>
    <t>5 | Scope 1+2 energia</t>
  </si>
  <si>
    <r>
      <t>CO</t>
    </r>
    <r>
      <rPr>
        <vertAlign val="subscript"/>
        <sz val="10"/>
        <color theme="1"/>
        <rFont val="Arial"/>
        <family val="2"/>
      </rPr>
      <t>2</t>
    </r>
    <r>
      <rPr>
        <sz val="10"/>
        <color theme="1"/>
        <rFont val="Arial"/>
        <family val="2"/>
      </rPr>
      <t>-Emissionsfaktoren Heizöl</t>
    </r>
  </si>
  <si>
    <r>
      <t>Facteurs d'émission de CO</t>
    </r>
    <r>
      <rPr>
        <vertAlign val="subscript"/>
        <sz val="10"/>
        <color theme="1"/>
        <rFont val="Arial"/>
        <family val="2"/>
      </rPr>
      <t>2</t>
    </r>
    <r>
      <rPr>
        <sz val="10"/>
        <color theme="1"/>
        <rFont val="Arial"/>
        <family val="2"/>
      </rPr>
      <t xml:space="preserve"> du mazout</t>
    </r>
  </si>
  <si>
    <r>
      <t>CO</t>
    </r>
    <r>
      <rPr>
        <vertAlign val="subscript"/>
        <sz val="10"/>
        <color theme="1"/>
        <rFont val="Arial"/>
        <family val="2"/>
      </rPr>
      <t>2-eq</t>
    </r>
    <r>
      <rPr>
        <sz val="10"/>
        <color theme="1"/>
        <rFont val="Arial"/>
        <family val="2"/>
      </rPr>
      <t xml:space="preserve"> / Liter</t>
    </r>
  </si>
  <si>
    <r>
      <t>CO</t>
    </r>
    <r>
      <rPr>
        <vertAlign val="subscript"/>
        <sz val="10"/>
        <color theme="1"/>
        <rFont val="Arial"/>
        <family val="2"/>
      </rPr>
      <t>2</t>
    </r>
    <r>
      <rPr>
        <sz val="10"/>
        <color theme="1"/>
        <rFont val="Arial"/>
        <family val="2"/>
      </rPr>
      <t>-Emissionsfaktoren Erdgas (2024)</t>
    </r>
  </si>
  <si>
    <r>
      <t>Facteurs d'émission de CO</t>
    </r>
    <r>
      <rPr>
        <vertAlign val="subscript"/>
        <sz val="10"/>
        <color theme="1"/>
        <rFont val="Arial"/>
        <family val="2"/>
      </rPr>
      <t>2</t>
    </r>
    <r>
      <rPr>
        <sz val="10"/>
        <color theme="1"/>
        <rFont val="Arial"/>
        <family val="2"/>
      </rPr>
      <t xml:space="preserve"> du gaz naturel (2024)</t>
    </r>
  </si>
  <si>
    <t>Remarques internes à la commune</t>
  </si>
  <si>
    <t>Interne Bemerkungen der Gemeinde</t>
  </si>
  <si>
    <t>BFS</t>
  </si>
  <si>
    <t>Eingabewert</t>
  </si>
  <si>
    <t>Erneuerbare Energie</t>
  </si>
  <si>
    <t>Freier Markt</t>
  </si>
  <si>
    <t>Anzahl immatrikulierte Personenwagen</t>
  </si>
  <si>
    <t>Nicht Energetisch</t>
  </si>
  <si>
    <t>Industrielle Prozesse</t>
  </si>
  <si>
    <t>Konsum/Dienstleistung</t>
  </si>
  <si>
    <t>Heizwert von Erdgas</t>
  </si>
  <si>
    <t>ENTSO-E-Mix</t>
  </si>
  <si>
    <t>Inclus dans les véhicules benzin et diesel</t>
  </si>
  <si>
    <t>In Benzin- und Dieselfahrzeugen enthalten</t>
  </si>
  <si>
    <t>Incluso nei veicoli a benzina e diesel</t>
  </si>
  <si>
    <t>Valeur standard</t>
  </si>
  <si>
    <t>Standardwert</t>
  </si>
  <si>
    <t>Valore standard</t>
  </si>
  <si>
    <t>Valeur calculée</t>
  </si>
  <si>
    <t>Valore calcolato</t>
  </si>
  <si>
    <t>Berechneter Wert</t>
  </si>
  <si>
    <t>Siehe Berechnung im Anwendungshandbuch zum KISS Netto Null Tool</t>
  </si>
  <si>
    <t>Tagesdistanz Motorisierter Individualverkehr je nach Kanton und Urbanisierungsgrad</t>
  </si>
  <si>
    <t>Distance journalière ent transport individuel motorisé selon le canton et le degré d'urbanisation</t>
  </si>
  <si>
    <t>MW el</t>
  </si>
  <si>
    <t>MW élec</t>
  </si>
  <si>
    <t xml:space="preserve">https://stromlandschaft.mynewenergy.ch/ </t>
  </si>
  <si>
    <t>davon Anteil der im Standardprodukt gelieferten erneuerbaren Energie, die in der Schweiz mit Herkunftsnachweis produziert wurde</t>
  </si>
  <si>
    <t>dont part d'énergie renouvelable livrée dans le produit standard produite en Suisse avec garantie d'origine</t>
  </si>
  <si>
    <t>davon Anteil der im freien Markt gelieferten erneuerbaren Energie, die in der Schweiz mit Herkunftsnachweis produziert wurde (sofern bekannt)</t>
  </si>
  <si>
    <t>dont part d'énergie renouvelable livrée sur le marché libre produite en Suisse avec une garantie d'origine (si connue)</t>
  </si>
  <si>
    <t>Population</t>
  </si>
  <si>
    <t>Popolazione</t>
  </si>
  <si>
    <t>Habitants</t>
  </si>
  <si>
    <t>Einwohner</t>
  </si>
  <si>
    <t>Valeur de saisie</t>
  </si>
  <si>
    <t>BFS, Kanton</t>
  </si>
  <si>
    <t>OFS, Canton</t>
  </si>
  <si>
    <t>Struktur</t>
  </si>
  <si>
    <t>Structure</t>
  </si>
  <si>
    <t>Struttura</t>
  </si>
  <si>
    <t>Les feuilles de calcul sont par défaut protégées pour éviter des erreurs de manipulation. Cependant, aucun mot de passe n'est nécessaire pour envlever la protection.</t>
  </si>
  <si>
    <t>Arbeitsblätter sind standardmässig geschützt, um Fehlbedienungen zu verhindern. Es ist jedoch kein Passwort erforderlich, um den Schutz aufzuheben.</t>
  </si>
  <si>
    <t>Protection des feuilles de calcul</t>
  </si>
  <si>
    <t>Contact pour la Suisse romande</t>
  </si>
  <si>
    <t>Contatto per la Svizzera italiana</t>
  </si>
  <si>
    <t>Kontakt für die Deutschschweiz</t>
  </si>
  <si>
    <t>Sektion Gebäude</t>
  </si>
  <si>
    <t>Ricardo Bandli</t>
  </si>
  <si>
    <t>058 462 54 35</t>
  </si>
  <si>
    <t>ricardo.bandli@bfe.admin.ch</t>
  </si>
  <si>
    <t>Ufficio federale dell'energia</t>
  </si>
  <si>
    <t>Bundesamt für Energie</t>
  </si>
  <si>
    <t>Office fédéral de l'énergie</t>
  </si>
  <si>
    <t>Section Bâtiments</t>
  </si>
  <si>
    <t>Impressum</t>
  </si>
  <si>
    <t>Olio combustibile</t>
  </si>
  <si>
    <t>Industrie und Dienstleistungen (inkl. Energieumwandlung)</t>
  </si>
  <si>
    <t>Industrie et services (y compris la conversion d'énergie)</t>
  </si>
  <si>
    <t>Industria e servizi (incl. conversione energetica)</t>
  </si>
  <si>
    <t>Calore residuo</t>
  </si>
  <si>
    <t>Libero mercato</t>
  </si>
  <si>
    <t>100% elettrico</t>
  </si>
  <si>
    <t>Rifiuti (RSU, IDA)</t>
  </si>
  <si>
    <t>Consumo/servizi</t>
  </si>
  <si>
    <t>Numero autoveicoli</t>
  </si>
  <si>
    <t>REA, Catasto della combustione, Cantone</t>
  </si>
  <si>
    <t>Fornitore di gas, REA, Catasto della combustione, Cantone</t>
  </si>
  <si>
    <t>REA, fornitore di elettricità, Cantone</t>
  </si>
  <si>
    <t>REA, Comune, Cantone</t>
  </si>
  <si>
    <t>opendata, fornitore di elettricità</t>
  </si>
  <si>
    <t>Numero di abitanti</t>
  </si>
  <si>
    <t>Qualità del REA</t>
  </si>
  <si>
    <t>Buona</t>
  </si>
  <si>
    <t>Risultato complessivo</t>
  </si>
  <si>
    <t>Osservazioni</t>
  </si>
  <si>
    <t>Parametro</t>
  </si>
  <si>
    <t>Fonte</t>
  </si>
  <si>
    <t>Fattori di emissione di CO2 olio combustibile</t>
  </si>
  <si>
    <t>CO2-eq / litro</t>
  </si>
  <si>
    <t>Fattori di emissione di CO2 gas naturale (2024)</t>
  </si>
  <si>
    <t>No</t>
  </si>
  <si>
    <t>Emissioni di CO2 per abitante Scope 3</t>
  </si>
  <si>
    <t>Nello Scope 1</t>
  </si>
  <si>
    <t>Potere calorifico olio combustibile</t>
  </si>
  <si>
    <t>Potere calorifico gas naturale</t>
  </si>
  <si>
    <t>Teleriscaldamento: media non rinnovabile</t>
  </si>
  <si>
    <t>Teleriscaldamento: media rinnovabile</t>
  </si>
  <si>
    <t>Produzione specifica di calore del solare termico</t>
  </si>
  <si>
    <t>Produzione specifica di elettricità del solare fotovoltaico</t>
  </si>
  <si>
    <t>Chilometri percorsi in media per veicolo</t>
  </si>
  <si>
    <t>Unité du graphique</t>
  </si>
  <si>
    <t>Einheit der Grafik</t>
  </si>
  <si>
    <t>Sheet « Data » : permet de saisir les données (cellules avec un fond orange) en fonction de la méthodologie de bilan choisie. Les valeurs proposées indiquées dans la colonne T sont basées sur des données publiques, par exemple de l'OFS, et peuvent être reprises (attention à l'année). 
Sheet « Results » : permet de présenter les résultats sous forme de tableau.
Sheet « Graph » : permet de présenter les résultats sous forme de graphique.
Les autres feuilles contiennent des données et des paramètres qui permettent le fonctionnement des calculs et qui peuvent être adaptés selon les besoins.</t>
  </si>
  <si>
    <t>Das Tool KISS (Keep It Short and Simple) Netto-Null wird vom Programm Netto-Null | 2000 Watt von EnergieSchweiz für Gemeinden den schweizerischen Städten, Gemeinden und Regionen zur Verfügung gestellt. Es ermöglicht, mit einer begrenzten Anzahl von Daten eine Treibhausgasbilanz gemäss der KISS-Methodik (Energie Scope 1 und 2) zu erstellen. Das Tool erlaubt auch die Erarbeitung von Bilanzen konform zur GHG-Protocol-Methodik und dem Leitkonzept 2000-Watt-Gesellschaft (Version Oktober 2020) und den Vergleich der entsprechenden Resultate.
Das Sheet „Data“ ermöglicht die Eingabe der Daten entsprechend der gewählten Methodik.
Die Sheets „Results“ und „Graph“ ermöglichen die Darstellung der Ergebnisse in Tabellenform und als Grafik.
Die anderen Sheets enthalten weitere Daten, die das Funktionieren der Berechnungen ermöglichen.</t>
  </si>
  <si>
    <t>L'outil KISS (Keep It Short and Simple) Zéro Net est mis à la disposition des villes, communes et régions suisses par le programme Zéro Net | 2000 watts de SuisseEnergie pour les communes. Il permet, avec un nombre limité de données, d'établir un bilan des gaz à effet de serre selon la méthodologie KISS (Energie Scope 1 et 2). Dans tous les cas, l'outil permet également d'élaborer des bilans conformes aux méthodologies GHG Protocol et au concept directeur de la société à 2000 watts (version octobre 2020) et de comparer les résultats en conséquence.
La feuille « Data » permet d'entrer les données en fonction de la méthodologie choisie.
Les feuilles « Results » et « Graph » permettent de présenter les résultats sous forme de tableau et de graphique.
Les autres feuilles continuent à contenir des données qui permettent le fonctionnement des calculs.</t>
  </si>
  <si>
    <t>Sheet „Data“: ermöglicht die Eingabe der Daten (Zellen mit orangem Hintergrund) entsprechend der gewählten Bilanzmethodik. Die in Spalte T angegebenen vorgeschlagenen Werte basieren auf öffentlichen Daten z.B. vom BFS und können übernommen werden (auf das Jahr aufpassen). 
Sheet „Results“: ermöglicht die Darstellung der Ergebnisse in Tabellenform.
Sheet „Graph“: ermöglicht die Darstellung der Ergebnisse als Grafik.
Die anderen Sheets enthalten Daten und Parameter, die das Funktionieren der Berechnungen ermöglichen und je nach Bedarf angepasst werden können.</t>
  </si>
  <si>
    <t>Die KISS-Methodik hat nicht den Anspruch, wissenschaftlich korrekt und abschliessend NETTO NULL zu definieren. Sie bildet einen pragmatischen Kompromiss zwischen dem Handlungsspielraum der Gemeinde, Datenverfügbarkeiten mit zweckmässigem Aufwand-/ Nutzenverhältnis in der Erfassung, und einer doch ausreichenden Detailtiefe, um mit übergeordneten Zielen und der angestrebten Wirkung kompatibel zu sein.</t>
  </si>
  <si>
    <t>Schutz von Arbeitsblättern</t>
  </si>
  <si>
    <t>Anzahl Einwohner</t>
  </si>
  <si>
    <t>Treibhausgasemissionen durch den Konsum</t>
  </si>
  <si>
    <t>LK 2000 WG</t>
  </si>
  <si>
    <t>GHGP</t>
  </si>
  <si>
    <t>Basse-Vendline</t>
  </si>
  <si>
    <t>GWR_Qualität</t>
  </si>
  <si>
    <t>PV Ertrag</t>
  </si>
  <si>
    <t>Gemeinde Typologie</t>
  </si>
  <si>
    <t>MIV km</t>
  </si>
  <si>
    <t>PW Benzin</t>
  </si>
  <si>
    <t>PW Diesel</t>
  </si>
  <si>
    <t>PW Elektro</t>
  </si>
  <si>
    <t>PW Weiters</t>
  </si>
  <si>
    <t>Industirelle Prozesse</t>
  </si>
  <si>
    <t xml:space="preserve"> t CO2-eq</t>
  </si>
  <si>
    <t>04.2025</t>
  </si>
  <si>
    <t>Date</t>
  </si>
  <si>
    <t>Datum</t>
  </si>
  <si>
    <t>Data</t>
  </si>
  <si>
    <t>03.2024</t>
  </si>
  <si>
    <t>2023 / 2014</t>
  </si>
  <si>
    <t>03.2025</t>
  </si>
  <si>
    <t>MWh th</t>
  </si>
  <si>
    <t>-&gt; Sprache</t>
  </si>
  <si>
    <t>Société à 2000 watts</t>
  </si>
  <si>
    <t>Anteil Gas</t>
  </si>
  <si>
    <t>Anteil Öl</t>
  </si>
  <si>
    <t>Anteil Holz</t>
  </si>
  <si>
    <t>Anteil Abwärme</t>
  </si>
  <si>
    <t>Installations de chauffage individuelles</t>
  </si>
  <si>
    <t>Individuelle Heizanlagen</t>
  </si>
  <si>
    <t>Sistemi di riscaldamento individuali</t>
  </si>
  <si>
    <t>Chauffage à distance</t>
  </si>
  <si>
    <t>Fernwärme</t>
  </si>
  <si>
    <t>Erzeugung auf dem Gemeindegebiet (Scope 1)</t>
  </si>
  <si>
    <t>Production sur le territoire communal (Scope 1)</t>
  </si>
  <si>
    <t>Erzeugung ausserhalb des Gemeindegebiets (Scope 2)</t>
  </si>
  <si>
    <t>Production en dehors le territoire communal (Scope 2)</t>
  </si>
  <si>
    <t>Production totale de chaleur</t>
  </si>
  <si>
    <t>Produzione totale di calore</t>
  </si>
  <si>
    <t>Gesamte Wärmeerzeugung</t>
  </si>
  <si>
    <t>Part de chaleur livrée sur le territoire communal</t>
  </si>
  <si>
    <t>Anteil der auf dem Gemeindegebiet gelieferten Wärme</t>
  </si>
  <si>
    <t>Anteil Wärmepumpe</t>
  </si>
  <si>
    <t>Part gaz</t>
  </si>
  <si>
    <t>Part mazout</t>
  </si>
  <si>
    <t>Part bois</t>
  </si>
  <si>
    <t>Part chaleur résiduelle</t>
  </si>
  <si>
    <t>Anteil Biogas</t>
  </si>
  <si>
    <t>Part biogaz</t>
  </si>
  <si>
    <t>Pertes dans les réseaux de chaleurs</t>
  </si>
  <si>
    <t>Verluste in Wärmenetzen</t>
  </si>
  <si>
    <t>Energie primaire renouvelable</t>
  </si>
  <si>
    <t>Erneuerbare Primärenergie</t>
  </si>
  <si>
    <t>Energia primaria rinnovabile</t>
  </si>
  <si>
    <t>CH-Verbrauchermix</t>
  </si>
  <si>
    <t>Mix consommateur CH</t>
  </si>
  <si>
    <t>45.020</t>
  </si>
  <si>
    <t>Strassengüter-, Bahn-, Schiff- und Flugverkehr</t>
  </si>
  <si>
    <t>Transports routiers de marchandises, ferroviaires, maritimes et aériens</t>
  </si>
  <si>
    <t>Energie finale [kWh] / habitant</t>
  </si>
  <si>
    <t>Energie primaire [kWh] / habitant</t>
  </si>
  <si>
    <t>Endenergie [kWh] / Einwohner</t>
  </si>
  <si>
    <t>Primärenergie [kWh] / Einwohner</t>
  </si>
  <si>
    <t>Heizzentrale EWP</t>
  </si>
  <si>
    <t>Energie finale renouvelable</t>
  </si>
  <si>
    <t>Erneuerbare Endenergie</t>
  </si>
  <si>
    <t>Energia finale rinnovabile</t>
  </si>
  <si>
    <t>42.007</t>
  </si>
  <si>
    <t>Fernwärme - Heizzentrale EWP Grundwasser (JAZ 3.1)</t>
  </si>
  <si>
    <t>ARA/KVA</t>
  </si>
  <si>
    <t>CH</t>
  </si>
  <si>
    <t>id180</t>
  </si>
  <si>
    <t>id181</t>
  </si>
  <si>
    <t>id182</t>
  </si>
  <si>
    <t>id183</t>
  </si>
  <si>
    <t>id184</t>
  </si>
  <si>
    <t>id185</t>
  </si>
  <si>
    <t>id186</t>
  </si>
  <si>
    <t>Emissionsfaktor für F-Gase</t>
  </si>
  <si>
    <t>Facteur d'émission pour les gaz fluorés</t>
  </si>
  <si>
    <t>tCO2-eq (Scope 1)</t>
  </si>
  <si>
    <t>tCO2-eq (Scope 1+2+3)</t>
  </si>
  <si>
    <t>tCO2-eq</t>
  </si>
  <si>
    <t>idx_lang</t>
  </si>
  <si>
    <t>Centrale de chauffage PACE</t>
  </si>
  <si>
    <t>idx_variante</t>
  </si>
  <si>
    <t>05.2025</t>
  </si>
  <si>
    <t>Heures pleine charge</t>
  </si>
  <si>
    <t>Part pompe à chaleur</t>
  </si>
  <si>
    <t>t CO2-éq / habitant</t>
  </si>
  <si>
    <r>
      <t>CO</t>
    </r>
    <r>
      <rPr>
        <vertAlign val="subscript"/>
        <sz val="10"/>
        <color theme="1"/>
        <rFont val="Arial"/>
        <family val="2"/>
      </rPr>
      <t>2</t>
    </r>
    <r>
      <rPr>
        <sz val="10"/>
        <color theme="1"/>
        <rFont val="Arial"/>
        <family val="2"/>
      </rPr>
      <t>-équ / litre</t>
    </r>
  </si>
  <si>
    <t>tCO2-éq / véhicule</t>
  </si>
  <si>
    <t>tCO2-éq / habitant</t>
  </si>
  <si>
    <t>Valore suggerito</t>
  </si>
  <si>
    <t>Possibili fonti</t>
  </si>
  <si>
    <t>Teleriscaldamento con produzione di calore all'esterno del Comune</t>
  </si>
  <si>
    <t>Collettore solare termico</t>
  </si>
  <si>
    <t>Numero di autoveicoli immatricolati</t>
  </si>
  <si>
    <t>Trasporto merci stradale, ferroviario, marittimo e aereo</t>
  </si>
  <si>
    <t>Processi industriali</t>
  </si>
  <si>
    <t>Bilancio KISS Zero Netto</t>
  </si>
  <si>
    <t>Scope 1+2</t>
  </si>
  <si>
    <t>Scope 1+2+3</t>
  </si>
  <si>
    <t>Scope 1+2+3 energia</t>
  </si>
  <si>
    <t>Scope 1+2 energia</t>
  </si>
  <si>
    <t>Sì</t>
  </si>
  <si>
    <t>Quota di autoconsumo</t>
  </si>
  <si>
    <t>Distanza giornaliera traffico individuale motorizzato a seconda del Cantone e del grado di urbanizzazione</t>
  </si>
  <si>
    <t>Scope 1 energia</t>
  </si>
  <si>
    <t>Scope 2 energia</t>
  </si>
  <si>
    <t>Scope 3 energia</t>
  </si>
  <si>
    <t>Scope 1 altro</t>
  </si>
  <si>
    <t>Scope 3 altro</t>
  </si>
  <si>
    <t>di cui quota di energia rinnovabile fornita sul mercato libero prodotta in Svizzera con garanzia di origine (se nota)</t>
  </si>
  <si>
    <t>Commenti interni del Comune</t>
  </si>
  <si>
    <t>Abitanti</t>
  </si>
  <si>
    <t>Sezione Edifici</t>
  </si>
  <si>
    <t>Unità del grafico</t>
  </si>
  <si>
    <t>Teleriscaldamento</t>
  </si>
  <si>
    <t>Produzione all'interno del Comune (Scope 1)</t>
  </si>
  <si>
    <t>Produzione all'esterno del Comune (Scope 2)</t>
  </si>
  <si>
    <t>Percentuale di calore fornita all'interno del Comune</t>
  </si>
  <si>
    <t>Quota gas</t>
  </si>
  <si>
    <t>Quota olio combustibile</t>
  </si>
  <si>
    <t>Quota pompe di calore</t>
  </si>
  <si>
    <t>Quota legno</t>
  </si>
  <si>
    <t>Quota biogas</t>
  </si>
  <si>
    <t>Quota calore residuo</t>
  </si>
  <si>
    <t>Perdite nelle reti di teleriscaldamento</t>
  </si>
  <si>
    <t>Mix consumatori CH</t>
  </si>
  <si>
    <t>Energia finale [kWh] / abitante</t>
  </si>
  <si>
    <t>Energia primaria [kWh] / abitante</t>
  </si>
  <si>
    <t>Centrale di riscaldamento PdC</t>
  </si>
  <si>
    <t xml:space="preserve">Il Tool KISS (Keep It Short and Simple) Zero Netto è messo a disposizione di città, comuni e regioni svizzere dal Programma Zero Netto | 2000 Watt di SvizzeraEnergia per i comuni. Esso consente, con una quantità limitata di dati, di redigere un bilancio delle emissioni di gas serra secondo la metodologia KISS (Scope 1 e 2 energia). Lo strumento permette di elaborare anche bilanci conformi alle metodologie del GHG-Protocol e del Concetto guida per la Società a 2000 watt (versione ottobre 2020) e di confrontarne i risultati.
Il foglio di lavoro “Data” consente di inserire i dati in base alla metodologia selezionata.
I fogli di lavoro “Results” e “Graph” consentono di visualizzare i risultati in forma tabellare e grafica.
Gli altri fogli di lavoro riportano dati e parametri funzionali ai calcoli. </t>
  </si>
  <si>
    <t>Basi &amp; Metodologia</t>
  </si>
  <si>
    <t>Foglio di lavoro “Data”: consente di inserire i dati (celle con sfondo arancione) in base alla metodologia di bilancio selezionata. I valori suggeriti nella colonna T si basano su dati pubblici, ad esempio quelli dell'UST, e possono essere ripresi (attenzione all'anno). 
Foglio di lavoro “Results”: consente di visualizzare i risultati in forma tabellare.
Foglio di lavoro “Graph”: consente di visualizzare i risultati sotto forma di grafico.
Gli altri fogli contengono dati e parametri funzionali ai calcoli e possono essere personalizzati a seconda delle esigenze.</t>
  </si>
  <si>
    <t>La metodologia KISS non pretende di definire lo ZERO NETTO in modo scientificamente corretto e definitivo. Essa rappresenta un compromesso pragmatico tra il margine di manovra del Comune, la disponibilità di dati, un adeguato rapporto investimento/benefici per la loro raccolta e un livello di dettaglio tale da permettere la compatibilità con gli obiettivi sovraordinati e l’efficacia auspicata.</t>
  </si>
  <si>
    <t>Protezione dei fogli di lavoro</t>
  </si>
  <si>
    <t>I fogli di lavoro sono protetti per impostazione predefinita per evitare errori di manipolazione. Per rimuovere la protezione non è tuttavia richiesta alcuna password.</t>
  </si>
  <si>
    <r>
      <t>Il Tool KISS Zero Netto è messo liberamente a disposizione di città, comuni, regioni e dei loro consulenti e non è protetto. L'Ufficio Federale dell'Energia</t>
    </r>
    <r>
      <rPr>
        <sz val="11"/>
        <rFont val="Arial"/>
        <family val="2"/>
      </rPr>
      <t>, SvizzeraEnergia</t>
    </r>
    <r>
      <rPr>
        <sz val="11"/>
        <color theme="1"/>
        <rFont val="Arial"/>
        <family val="2"/>
      </rPr>
      <t xml:space="preserve"> e il Programma Zero Netto | 2000 Watt di SvizzeraEnergia per i comuni non si assumono alcuna responsabilità per l'accuratezza dei dati inseriti, dei rispettivi risultati di bilancio e del loro utilizzo.
Le basi metodologiche del Tool Zero Netto sono descritte nel document</t>
    </r>
    <r>
      <rPr>
        <sz val="11"/>
        <rFont val="Arial"/>
        <family val="2"/>
      </rPr>
      <t>o “</t>
    </r>
    <r>
      <rPr>
        <sz val="11"/>
        <color rgb="FFFF0000"/>
        <rFont val="Arial"/>
        <family val="2"/>
      </rPr>
      <t>Ausilio per il bilancio dei gas serra a livello comunale KISS Zero Netto</t>
    </r>
    <r>
      <rPr>
        <sz val="11"/>
        <rFont val="Arial"/>
        <family val="2"/>
      </rPr>
      <t>” di SvizzeraEnergia per i comuni, come anche nel “</t>
    </r>
    <r>
      <rPr>
        <sz val="11"/>
        <color rgb="FFFF0000"/>
        <rFont val="Arial"/>
        <family val="2"/>
      </rPr>
      <t>Manuale d’uso per il Tool KISS Zero Netto</t>
    </r>
    <r>
      <rPr>
        <sz val="11"/>
        <rFont val="Arial"/>
        <family val="2"/>
      </rPr>
      <t>”.</t>
    </r>
  </si>
  <si>
    <t>Voir calcul dans le Manuel d'utilisation de l'outil KISS Zéro Net</t>
  </si>
  <si>
    <t>dont part de gaz renouvelables couvert avec des GO CCr</t>
  </si>
  <si>
    <t>Voir définition dans le Manuel d'utilisation de l'outil KISS Zéro Net</t>
  </si>
  <si>
    <t>Siehe Definition im Anwendungshandbuch zum KISS Netto Null Tool</t>
  </si>
  <si>
    <t>davon Anteil erneuerbarer Gase mit eTS/eBS HKN abgedeckt</t>
  </si>
  <si>
    <t>di cui quota di gas rinnovabili coperta con GO CCr</t>
  </si>
  <si>
    <t>Vedere la definizione nel Manuale d'uso per il Tool KISS Zero Netto</t>
  </si>
  <si>
    <r>
      <t>Das Tool KISS Netto-Null wird den Städten, Gemeinden, Regionen und deren Beratern zur freien Verfügung gestellt und ist nicht geschützt. Das Bundesamt für Energie und das Programm Netto-Null | 2000 Watt von EnergieSchweiz für Gemeinden übernehmen keine Gewähr für die Korrektheit der eingegeben Daten, der entsprechenden Bilanzresultate und deren Verwendung.
Die methodischen Grundlagen des KISS Netto-Null-Tools sind einerseits im Dokument "</t>
    </r>
    <r>
      <rPr>
        <sz val="11"/>
        <color rgb="FFFF0000"/>
        <rFont val="Arial"/>
        <family val="2"/>
      </rPr>
      <t>Arbeitshilfe kommunale Treibhausgasbilanzen | Methodikpapier KISS Netto Null</t>
    </r>
    <r>
      <rPr>
        <sz val="11"/>
        <color theme="1"/>
        <rFont val="Arial"/>
        <family val="2"/>
      </rPr>
      <t>" von EnergieSchweiz für Gemeinden und andererseits im "</t>
    </r>
    <r>
      <rPr>
        <sz val="11"/>
        <color rgb="FFFF0000"/>
        <rFont val="Arial"/>
        <family val="2"/>
      </rPr>
      <t>Anwendungshandbuch KISS Netto-Null-Tool</t>
    </r>
    <r>
      <rPr>
        <sz val="11"/>
        <color theme="1"/>
        <rFont val="Arial"/>
        <family val="2"/>
      </rPr>
      <t xml:space="preserve">" beschrieben.
</t>
    </r>
  </si>
  <si>
    <r>
      <t>L'outil KISS Zéro Net est mis à la libre disposition des villes, des communes, des régions et de leurs conseillers et n'est pas protégé. L'Office fédéral de l'énergie et le programme Zéro net | 2000 watts de SuisseEnergie pour les communes ne garantissent pas l'exactitude des données saisies, des résultats de bilan correspondants et de leur utilisation.
Les bases méthodologiques de l'outil KISS Zéro Net sont décrites d'une part dans le document «</t>
    </r>
    <r>
      <rPr>
        <sz val="11"/>
        <color rgb="FFFF0000"/>
        <rFont val="Arial"/>
        <family val="2"/>
      </rPr>
      <t xml:space="preserve"> Guide pratique pour les bilans communaux des gaz à effet de serre | Document méthodologique KISS Zéro net </t>
    </r>
    <r>
      <rPr>
        <sz val="11"/>
        <color theme="1"/>
        <rFont val="Arial"/>
        <family val="2"/>
      </rPr>
      <t xml:space="preserve"> » de SuisseEnergie pour les communes et d'autre part dans le « </t>
    </r>
    <r>
      <rPr>
        <sz val="11"/>
        <color rgb="FFFF0000"/>
        <rFont val="Arial"/>
        <family val="2"/>
      </rPr>
      <t xml:space="preserve">Manuel d'utilisation de l'outil KISS Zéro Net </t>
    </r>
    <r>
      <rPr>
        <sz val="11"/>
        <color theme="1"/>
        <rFont val="Arial"/>
        <family val="2"/>
      </rPr>
      <t>».</t>
    </r>
  </si>
  <si>
    <t>Heizöl EL</t>
  </si>
  <si>
    <t>Erdgas</t>
  </si>
  <si>
    <t>Production PV autoconsomée</t>
  </si>
  <si>
    <t>Eigenverbrauchte PV-Produktion</t>
  </si>
  <si>
    <t>Produzione fotovoltaica autoconsumata</t>
  </si>
  <si>
    <t>Energie provenant de l'environnement</t>
  </si>
  <si>
    <t>Umweltenergie</t>
  </si>
  <si>
    <t>Energia dall'ambiente</t>
  </si>
  <si>
    <t xml:space="preserve">CO2-Bindung Wald </t>
  </si>
  <si>
    <t>Capture du CO2 par les forêts</t>
  </si>
  <si>
    <t>PV Gesamte Produktion</t>
  </si>
  <si>
    <t>Production totale PV</t>
  </si>
  <si>
    <t>Produzione totale FV</t>
  </si>
  <si>
    <t>Anpassungen</t>
  </si>
  <si>
    <t>Primärenergiefaktor Heizöl, Gas und Biogas korrigiert (für Berechnung Variante 4)</t>
  </si>
  <si>
    <t>Fehlerbehebung in den Versionen it und fr bei der Anzeige der Grafik</t>
  </si>
  <si>
    <t>UnitGWR</t>
  </si>
  <si>
    <t>Endenergiekorrektur für Umweltenergie (Wärmepumpe)</t>
  </si>
  <si>
    <t>di cui quota di energia rinnovabile fornita nel prodotto standard e prodotta in Svizzera con garanzia di origine</t>
  </si>
  <si>
    <t>Die vorgeschlagenen Werte für den Heizöl- und Gasverbrauch sind auch in MWh verfügbar.</t>
  </si>
  <si>
    <t>Korrektur der Summe der installierten Photovoltaikleistung pro Gemeinde (vorgeschlagener Wert).</t>
  </si>
  <si>
    <t>Korrektur des Anteils erneuerbarer Energien in Variante 4 (Gesamtergebnis)</t>
  </si>
  <si>
    <t>Anpassung einiger Texte zum besseren Verständnis (Umweltenergie, PV-Produktion und Eigenverbrauch, CO2-Bindung Wald).</t>
  </si>
  <si>
    <t>Integration der Treibhausgasemissionen des nicht individualisierten Verkehrs in Variante 3 (Strassengüter-, Schienen-, Schiffs- und Luftverkehr)</t>
  </si>
  <si>
    <t>Korrektur der Referenz zum Primärenergieparameter von Biogas für den Gasverbrauch</t>
  </si>
  <si>
    <t>1.8 | 03.11.2025</t>
  </si>
  <si>
    <t>Anpassung des Indikators Datenvollständigkeit, um einen Nullwert für die Fernwärme zu berücksichtigen</t>
  </si>
  <si>
    <t>Veröffentlichung auf local-energy.swiss Version 1.8 | 13.06.2025</t>
  </si>
  <si>
    <t>Veröffentlichung auf local-energy.swiss Version 1.8 | 03.11.2025</t>
  </si>
  <si>
    <t>xx.11.2025</t>
  </si>
  <si>
    <t>Excel-Registerkarte „Version History“ mit den Änderungen zwischen den veröffentlichten Versionen wurde hinzugefügt.</t>
  </si>
  <si>
    <t>Dato di input</t>
  </si>
  <si>
    <t>Assorbimento del CO2 da parte delle foreste</t>
  </si>
  <si>
    <t>opendata UST</t>
  </si>
  <si>
    <t>Società a 2000 watt</t>
  </si>
  <si>
    <t>Vedere il calcolo nel Manuale d'uso per il Tool KISS Zero Netto</t>
  </si>
  <si>
    <t>UST, Cantone</t>
  </si>
  <si>
    <t>Fattore di emissione per i gas fluorurati (F-gas)</t>
  </si>
  <si>
    <t>Chauffage à distance renouvelable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</si>
</sst>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
    <numFmt numFmtId="165" formatCode="0.000"/>
    <numFmt numFmtId="166" formatCode="0.0"/>
  </numFmts>
  <fonts count="47" x14ac:knownFonts="1">
    <font>
      <sz val="11"/>
      <color theme="1"/>
      <name val="Aptos Narrow"/>
      <family val="2"/>
      <scheme val="minor"/>
    </font>
    <font>
      <b/>
      <sz val="11"/>
      <color theme="1"/>
      <name val="Aptos Narrow"/>
      <family val="2"/>
      <scheme val="minor"/>
    </font>
    <font>
      <b/>
      <sz val="11"/>
      <color theme="1"/>
      <name val="Arial"/>
      <family val="2"/>
    </font>
    <font>
      <sz val="10"/>
      <color theme="1"/>
      <name val="Arial"/>
      <family val="2"/>
    </font>
    <font>
      <b/>
      <sz val="10"/>
      <color theme="1"/>
      <name val="Arial"/>
      <family val="2"/>
    </font>
    <font>
      <sz val="8"/>
      <name val="Aptos Narrow"/>
      <family val="2"/>
      <scheme val="minor"/>
    </font>
    <font>
      <sz val="10"/>
      <color theme="0"/>
      <name val="Arial"/>
      <family val="2"/>
    </font>
    <font>
      <b/>
      <sz val="10"/>
      <color theme="0"/>
      <name val="Arial"/>
      <family val="2"/>
    </font>
    <font>
      <b/>
      <sz val="11"/>
      <color theme="0"/>
      <name val="Arial"/>
      <family val="2"/>
    </font>
    <font>
      <sz val="9"/>
      <color theme="0"/>
      <name val="Arial"/>
      <family val="2"/>
    </font>
    <font>
      <sz val="10"/>
      <color theme="0" tint="-0.14999847407452621"/>
      <name val="Arial"/>
      <family val="2"/>
    </font>
    <font>
      <b/>
      <sz val="10"/>
      <color theme="0" tint="-0.14999847407452621"/>
      <name val="Arial"/>
      <family val="2"/>
    </font>
    <font>
      <b/>
      <sz val="14"/>
      <color theme="0"/>
      <name val="Arial"/>
      <family val="2"/>
    </font>
    <font>
      <sz val="10"/>
      <name val="MS Sans Serif"/>
      <family val="2"/>
    </font>
    <font>
      <i/>
      <sz val="10"/>
      <color theme="1"/>
      <name val="Arial"/>
      <family val="2"/>
    </font>
    <font>
      <b/>
      <i/>
      <sz val="10"/>
      <color theme="1"/>
      <name val="Arial"/>
      <family val="2"/>
    </font>
    <font>
      <b/>
      <sz val="14"/>
      <color theme="1"/>
      <name val="Arial"/>
      <family val="2"/>
    </font>
    <font>
      <b/>
      <sz val="16"/>
      <color theme="0"/>
      <name val="Arial"/>
      <family val="2"/>
    </font>
    <font>
      <sz val="11"/>
      <color theme="1"/>
      <name val="Aptos Narrow"/>
      <family val="2"/>
      <scheme val="minor"/>
    </font>
    <font>
      <vertAlign val="subscript"/>
      <sz val="10"/>
      <color theme="1"/>
      <name val="Arial"/>
      <family val="2"/>
    </font>
    <font>
      <u/>
      <sz val="11"/>
      <color theme="10"/>
      <name val="Aptos Narrow"/>
      <family val="2"/>
      <scheme val="minor"/>
    </font>
    <font>
      <sz val="10"/>
      <name val="Arial"/>
      <family val="2"/>
    </font>
    <font>
      <sz val="10"/>
      <color rgb="FF000000"/>
      <name val="Arial"/>
      <family val="2"/>
    </font>
    <font>
      <sz val="10"/>
      <color rgb="FF12385F"/>
      <name val="Arial"/>
      <family val="2"/>
    </font>
    <font>
      <b/>
      <sz val="11"/>
      <color theme="0" tint="-0.14999847407452621"/>
      <name val="Arial"/>
      <family val="2"/>
    </font>
    <font>
      <sz val="11"/>
      <color theme="0" tint="-0.14999847407452621"/>
      <name val="Arial"/>
      <family val="2"/>
    </font>
    <font>
      <b/>
      <sz val="11"/>
      <color rgb="FF12385F"/>
      <name val="Arial"/>
      <family val="2"/>
    </font>
    <font>
      <sz val="11"/>
      <color rgb="FF12385F"/>
      <name val="Arial"/>
      <family val="2"/>
    </font>
    <font>
      <sz val="11"/>
      <color theme="1"/>
      <name val="Arial"/>
      <family val="2"/>
    </font>
    <font>
      <u/>
      <sz val="11"/>
      <color theme="10"/>
      <name val="Arial"/>
      <family val="2"/>
    </font>
    <font>
      <b/>
      <sz val="12"/>
      <color theme="0"/>
      <name val="Arial"/>
      <family val="2"/>
    </font>
    <font>
      <sz val="12"/>
      <color theme="1"/>
      <name val="Arial"/>
      <family val="2"/>
    </font>
    <font>
      <sz val="12"/>
      <color theme="0"/>
      <name val="Arial"/>
      <family val="2"/>
    </font>
    <font>
      <b/>
      <sz val="12"/>
      <color theme="1"/>
      <name val="Arial"/>
      <family val="2"/>
    </font>
    <font>
      <sz val="11"/>
      <color rgb="FFFF0000"/>
      <name val="Arial"/>
      <family val="2"/>
    </font>
    <font>
      <b/>
      <sz val="10"/>
      <color rgb="FFEA5B0C"/>
      <name val="Arial"/>
      <family val="2"/>
    </font>
    <font>
      <b/>
      <sz val="12"/>
      <color rgb="FFEA5B0C"/>
      <name val="Arial"/>
      <family val="2"/>
    </font>
    <font>
      <b/>
      <sz val="14"/>
      <color rgb="FFEA5B0C"/>
      <name val="Arial"/>
      <family val="2"/>
    </font>
    <font>
      <sz val="13"/>
      <color theme="1"/>
      <name val="Arial"/>
      <family val="2"/>
    </font>
    <font>
      <b/>
      <sz val="13"/>
      <color theme="1"/>
      <name val="Arial"/>
      <family val="2"/>
    </font>
    <font>
      <sz val="13"/>
      <color theme="0"/>
      <name val="Arial"/>
      <family val="2"/>
    </font>
    <font>
      <b/>
      <sz val="13"/>
      <color theme="0"/>
      <name val="Arial"/>
      <family val="2"/>
    </font>
    <font>
      <b/>
      <sz val="11"/>
      <name val="Arial"/>
      <family val="2"/>
    </font>
    <font>
      <u/>
      <sz val="10"/>
      <color theme="10"/>
      <name val="Arial"/>
      <family val="2"/>
    </font>
    <font>
      <sz val="11"/>
      <color theme="0"/>
      <name val="Arial"/>
      <family val="2"/>
    </font>
    <font>
      <b/>
      <i/>
      <sz val="10"/>
      <color rgb="FFFF0000"/>
      <name val="Arial"/>
      <family val="2"/>
    </font>
    <font>
      <sz val="11"/>
      <name val="Arial"/>
      <family val="2"/>
    </font>
  </fonts>
  <fills count="18">
    <fill>
      <patternFill patternType="none"/>
    </fill>
    <fill>
      <patternFill patternType="gray125"/>
    </fill>
    <fill>
      <patternFill patternType="solid">
        <fgColor theme="0" tint="-0.14999847407452621"/>
        <bgColor indexed="64"/>
      </patternFill>
    </fill>
    <fill>
      <patternFill patternType="solid">
        <fgColor theme="5" tint="0.39997558519241921"/>
        <bgColor indexed="64"/>
      </patternFill>
    </fill>
    <fill>
      <patternFill patternType="solid">
        <fgColor theme="3" tint="0.89999084444715716"/>
        <bgColor indexed="64"/>
      </patternFill>
    </fill>
    <fill>
      <patternFill patternType="solid">
        <fgColor theme="9" tint="0.79998168889431442"/>
        <bgColor indexed="64"/>
      </patternFill>
    </fill>
    <fill>
      <patternFill patternType="solid">
        <fgColor theme="0"/>
        <bgColor indexed="64"/>
      </patternFill>
    </fill>
    <fill>
      <patternFill patternType="solid">
        <fgColor theme="0" tint="-4.9989318521683403E-2"/>
        <bgColor indexed="64"/>
      </patternFill>
    </fill>
    <fill>
      <patternFill patternType="solid">
        <fgColor rgb="FF12385F"/>
        <bgColor indexed="64"/>
      </patternFill>
    </fill>
    <fill>
      <patternFill patternType="solid">
        <fgColor rgb="FFCAD2D9"/>
        <bgColor indexed="64"/>
      </patternFill>
    </fill>
    <fill>
      <patternFill patternType="solid">
        <fgColor rgb="FF71889F"/>
        <bgColor indexed="64"/>
      </patternFill>
    </fill>
    <fill>
      <patternFill patternType="solid">
        <fgColor rgb="FFF9B087"/>
        <bgColor indexed="64"/>
      </patternFill>
    </fill>
    <fill>
      <patternFill patternType="solid">
        <fgColor rgb="FFA9D0ED"/>
        <bgColor indexed="64"/>
      </patternFill>
    </fill>
    <fill>
      <patternFill patternType="solid">
        <fgColor rgb="FFF9B691"/>
        <bgColor indexed="64"/>
      </patternFill>
    </fill>
    <fill>
      <patternFill patternType="solid">
        <fgColor rgb="FF92BEEA"/>
        <bgColor indexed="64"/>
      </patternFill>
    </fill>
    <fill>
      <patternFill patternType="solid">
        <fgColor theme="0" tint="-0.34998626667073579"/>
        <bgColor indexed="64"/>
      </patternFill>
    </fill>
    <fill>
      <patternFill patternType="solid">
        <fgColor rgb="FFFF6D6D"/>
        <bgColor indexed="64"/>
      </patternFill>
    </fill>
    <fill>
      <patternFill patternType="solid">
        <fgColor theme="0" tint="-0.249977111117893"/>
        <bgColor indexed="64"/>
      </patternFill>
    </fill>
  </fills>
  <borders count="22">
    <border>
      <left/>
      <right/>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rgb="FF12385F"/>
      </bottom>
      <diagonal/>
    </border>
    <border>
      <left style="thin">
        <color indexed="64"/>
      </left>
      <right style="medium">
        <color rgb="FF12385F"/>
      </right>
      <top style="thin">
        <color indexed="64"/>
      </top>
      <bottom style="thin">
        <color rgb="FF12385F"/>
      </bottom>
      <diagonal/>
    </border>
    <border>
      <left style="medium">
        <color rgb="FF12385F"/>
      </left>
      <right style="thin">
        <color indexed="64"/>
      </right>
      <top style="thin">
        <color indexed="64"/>
      </top>
      <bottom style="thin">
        <color rgb="FF12385F"/>
      </bottom>
      <diagonal/>
    </border>
    <border>
      <left style="thin">
        <color rgb="FF12385F"/>
      </left>
      <right/>
      <top style="thin">
        <color rgb="FF12385F"/>
      </top>
      <bottom/>
      <diagonal/>
    </border>
    <border>
      <left/>
      <right style="thin">
        <color rgb="FF12385F"/>
      </right>
      <top style="thin">
        <color rgb="FF12385F"/>
      </top>
      <bottom/>
      <diagonal/>
    </border>
    <border>
      <left/>
      <right/>
      <top style="thin">
        <color rgb="FF12385F"/>
      </top>
      <bottom/>
      <diagonal/>
    </border>
    <border>
      <left style="thin">
        <color rgb="FF12385F"/>
      </left>
      <right/>
      <top/>
      <bottom/>
      <diagonal/>
    </border>
    <border>
      <left/>
      <right style="thin">
        <color rgb="FF12385F"/>
      </right>
      <top/>
      <bottom/>
      <diagonal/>
    </border>
    <border>
      <left/>
      <right/>
      <top style="thin">
        <color indexed="64"/>
      </top>
      <bottom style="thin">
        <color indexed="64"/>
      </bottom>
      <diagonal/>
    </border>
    <border>
      <left style="hair">
        <color auto="1"/>
      </left>
      <right/>
      <top/>
      <bottom/>
      <diagonal/>
    </border>
    <border>
      <left/>
      <right style="hair">
        <color auto="1"/>
      </right>
      <top/>
      <bottom/>
      <diagonal/>
    </border>
  </borders>
  <cellStyleXfs count="6">
    <xf numFmtId="0" fontId="0" fillId="0" borderId="0"/>
    <xf numFmtId="0" fontId="3" fillId="0" borderId="0"/>
    <xf numFmtId="0" fontId="13" fillId="0" borderId="0"/>
    <xf numFmtId="9" fontId="18" fillId="0" borderId="0" applyFont="0" applyFill="0" applyBorder="0" applyAlignment="0" applyProtection="0"/>
    <xf numFmtId="0" fontId="20" fillId="0" borderId="0" applyNumberFormat="0" applyFill="0" applyBorder="0" applyAlignment="0" applyProtection="0"/>
    <xf numFmtId="0" fontId="21" fillId="0" borderId="0"/>
  </cellStyleXfs>
  <cellXfs count="355">
    <xf numFmtId="0" fontId="0" fillId="0" borderId="0" xfId="0"/>
    <xf numFmtId="0" fontId="2" fillId="2" borderId="0" xfId="0" applyFont="1" applyFill="1"/>
    <xf numFmtId="0" fontId="3" fillId="0" borderId="0" xfId="0" applyFont="1"/>
    <xf numFmtId="0" fontId="3" fillId="0" borderId="0" xfId="0" applyFont="1" applyAlignment="1">
      <alignment horizontal="center"/>
    </xf>
    <xf numFmtId="0" fontId="3" fillId="0" borderId="0" xfId="0" applyFont="1" applyAlignment="1">
      <alignment horizontal="left"/>
    </xf>
    <xf numFmtId="0" fontId="4" fillId="0" borderId="0" xfId="0" applyFont="1" applyAlignment="1">
      <alignment horizontal="left"/>
    </xf>
    <xf numFmtId="0" fontId="4" fillId="0" borderId="0" xfId="0" applyFont="1" applyAlignment="1">
      <alignment horizontal="center"/>
    </xf>
    <xf numFmtId="0" fontId="3" fillId="0" borderId="0" xfId="0" applyFont="1" applyAlignment="1">
      <alignment horizontal="left" indent="1"/>
    </xf>
    <xf numFmtId="0" fontId="3" fillId="0" borderId="0" xfId="0" applyFont="1" applyAlignment="1">
      <alignment horizontal="left" indent="2"/>
    </xf>
    <xf numFmtId="0" fontId="3" fillId="0" borderId="0" xfId="0" applyFont="1" applyAlignment="1">
      <alignment horizontal="left" indent="3"/>
    </xf>
    <xf numFmtId="0" fontId="3" fillId="0" borderId="0" xfId="0" applyFont="1" applyAlignment="1" applyProtection="1">
      <alignment horizontal="center"/>
      <protection locked="0"/>
    </xf>
    <xf numFmtId="0" fontId="1" fillId="0" borderId="0" xfId="0" applyFont="1"/>
    <xf numFmtId="0" fontId="1" fillId="0" borderId="0" xfId="0" quotePrefix="1" applyFont="1"/>
    <xf numFmtId="1" fontId="0" fillId="0" borderId="0" xfId="0" applyNumberFormat="1"/>
    <xf numFmtId="0" fontId="9" fillId="3" borderId="0" xfId="0" quotePrefix="1" applyFont="1" applyFill="1"/>
    <xf numFmtId="0" fontId="10" fillId="0" borderId="0" xfId="0" applyFont="1"/>
    <xf numFmtId="0" fontId="11" fillId="0" borderId="0" xfId="0" quotePrefix="1" applyFont="1" applyAlignment="1">
      <alignment horizontal="left"/>
    </xf>
    <xf numFmtId="0" fontId="12" fillId="3" borderId="0" xfId="0" applyFont="1" applyFill="1"/>
    <xf numFmtId="0" fontId="4" fillId="0" borderId="0" xfId="0" quotePrefix="1" applyFont="1" applyAlignment="1">
      <alignment horizontal="center"/>
    </xf>
    <xf numFmtId="0" fontId="4" fillId="0" borderId="1" xfId="0" applyFont="1" applyBorder="1"/>
    <xf numFmtId="0" fontId="4" fillId="0" borderId="1" xfId="0" applyFont="1" applyBorder="1" applyAlignment="1">
      <alignment horizontal="center"/>
    </xf>
    <xf numFmtId="0" fontId="3" fillId="0" borderId="1" xfId="0" applyFont="1" applyBorder="1" applyAlignment="1">
      <alignment horizontal="left"/>
    </xf>
    <xf numFmtId="0" fontId="3" fillId="0" borderId="1" xfId="0" applyFont="1" applyBorder="1"/>
    <xf numFmtId="0" fontId="3" fillId="0" borderId="1" xfId="0" applyFont="1" applyBorder="1" applyAlignment="1">
      <alignment horizontal="left" indent="2"/>
    </xf>
    <xf numFmtId="0" fontId="3" fillId="0" borderId="1" xfId="0" applyFont="1" applyBorder="1" applyAlignment="1">
      <alignment horizontal="center"/>
    </xf>
    <xf numFmtId="0" fontId="3" fillId="0" borderId="1" xfId="0" applyFont="1" applyBorder="1" applyAlignment="1">
      <alignment horizontal="left" indent="1"/>
    </xf>
    <xf numFmtId="0" fontId="3" fillId="0" borderId="0" xfId="0" applyFont="1" applyAlignment="1">
      <alignment horizontal="left" indent="4"/>
    </xf>
    <xf numFmtId="0" fontId="3" fillId="0" borderId="1" xfId="0" applyFont="1" applyBorder="1" applyAlignment="1">
      <alignment horizontal="left" indent="4"/>
    </xf>
    <xf numFmtId="0" fontId="17" fillId="3" borderId="0" xfId="0" applyFont="1" applyFill="1"/>
    <xf numFmtId="0" fontId="2" fillId="2" borderId="4" xfId="0" applyFont="1" applyFill="1" applyBorder="1"/>
    <xf numFmtId="0" fontId="2" fillId="2" borderId="5" xfId="0" applyFont="1" applyFill="1" applyBorder="1"/>
    <xf numFmtId="0" fontId="12" fillId="0" borderId="0" xfId="0" applyFont="1"/>
    <xf numFmtId="0" fontId="14" fillId="0" borderId="0" xfId="0" applyFont="1" applyAlignment="1">
      <alignment horizontal="left" wrapText="1" indent="2"/>
    </xf>
    <xf numFmtId="0" fontId="3" fillId="0" borderId="0" xfId="0" applyFont="1" applyAlignment="1">
      <alignment horizontal="left" vertical="center"/>
    </xf>
    <xf numFmtId="0" fontId="4" fillId="0" borderId="6" xfId="0" applyFont="1" applyBorder="1"/>
    <xf numFmtId="0" fontId="3" fillId="0" borderId="4" xfId="0" applyFont="1" applyBorder="1" applyAlignment="1">
      <alignment horizontal="left" indent="1"/>
    </xf>
    <xf numFmtId="0" fontId="3" fillId="0" borderId="4" xfId="0" applyFont="1" applyBorder="1" applyAlignment="1">
      <alignment horizontal="left"/>
    </xf>
    <xf numFmtId="0" fontId="9" fillId="3" borderId="0" xfId="0" quotePrefix="1" applyFont="1" applyFill="1" applyAlignment="1">
      <alignment horizontal="center"/>
    </xf>
    <xf numFmtId="0" fontId="3" fillId="0" borderId="5" xfId="0" applyFont="1" applyBorder="1" applyAlignment="1">
      <alignment horizontal="center"/>
    </xf>
    <xf numFmtId="0" fontId="8" fillId="3" borderId="0" xfId="0" applyFont="1" applyFill="1" applyAlignment="1">
      <alignment horizontal="center"/>
    </xf>
    <xf numFmtId="0" fontId="3" fillId="0" borderId="4" xfId="0" applyFont="1" applyBorder="1" applyAlignment="1">
      <alignment horizontal="center"/>
    </xf>
    <xf numFmtId="166" fontId="2" fillId="2" borderId="5" xfId="0" applyNumberFormat="1" applyFont="1" applyFill="1" applyBorder="1"/>
    <xf numFmtId="1" fontId="2" fillId="2" borderId="0" xfId="0" applyNumberFormat="1" applyFont="1" applyFill="1"/>
    <xf numFmtId="3" fontId="3" fillId="0" borderId="0" xfId="0" applyNumberFormat="1" applyFont="1" applyAlignment="1">
      <alignment horizontal="center"/>
    </xf>
    <xf numFmtId="3" fontId="2" fillId="2" borderId="4" xfId="0" applyNumberFormat="1" applyFont="1" applyFill="1" applyBorder="1"/>
    <xf numFmtId="3" fontId="2" fillId="2" borderId="0" xfId="0" applyNumberFormat="1" applyFont="1" applyFill="1"/>
    <xf numFmtId="0" fontId="12" fillId="3" borderId="0" xfId="0" applyFont="1" applyFill="1" applyAlignment="1">
      <alignment horizontal="center"/>
    </xf>
    <xf numFmtId="0" fontId="8" fillId="3" borderId="0" xfId="0" applyFont="1" applyFill="1" applyAlignment="1">
      <alignment horizontal="right" indent="1"/>
    </xf>
    <xf numFmtId="0" fontId="3" fillId="0" borderId="0" xfId="0" quotePrefix="1" applyFont="1"/>
    <xf numFmtId="3" fontId="3" fillId="0" borderId="0" xfId="0" applyNumberFormat="1" applyFont="1" applyAlignment="1" applyProtection="1">
      <alignment horizontal="center"/>
      <protection locked="0"/>
    </xf>
    <xf numFmtId="0" fontId="3" fillId="4" borderId="3" xfId="0" applyFont="1" applyFill="1" applyBorder="1" applyAlignment="1">
      <alignment horizontal="center"/>
    </xf>
    <xf numFmtId="0" fontId="3" fillId="0" borderId="6" xfId="0" applyFont="1" applyBorder="1" applyAlignment="1">
      <alignment horizontal="left" indent="1"/>
    </xf>
    <xf numFmtId="0" fontId="10" fillId="0" borderId="0" xfId="0" applyFont="1" applyAlignment="1">
      <alignment horizontal="left"/>
    </xf>
    <xf numFmtId="0" fontId="11" fillId="0" borderId="0" xfId="0" applyFont="1" applyAlignment="1">
      <alignment horizontal="left"/>
    </xf>
    <xf numFmtId="0" fontId="4" fillId="0" borderId="0" xfId="0" applyFont="1"/>
    <xf numFmtId="49" fontId="3" fillId="0" borderId="0" xfId="0" quotePrefix="1" applyNumberFormat="1" applyFont="1"/>
    <xf numFmtId="0" fontId="22" fillId="0" borderId="0" xfId="0" applyFont="1" applyAlignment="1">
      <alignment horizontal="justify" vertical="center"/>
    </xf>
    <xf numFmtId="0" fontId="3" fillId="0" borderId="0" xfId="0" applyFont="1" applyAlignment="1">
      <alignment horizontal="center" vertical="center"/>
    </xf>
    <xf numFmtId="0" fontId="3" fillId="6" borderId="1" xfId="0" applyFont="1" applyFill="1" applyBorder="1"/>
    <xf numFmtId="0" fontId="4" fillId="0" borderId="0" xfId="0" applyFont="1" applyAlignment="1">
      <alignment horizontal="left" indent="1"/>
    </xf>
    <xf numFmtId="0" fontId="3" fillId="0" borderId="0" xfId="0" applyFont="1" applyAlignment="1">
      <alignment horizontal="left" wrapText="1" indent="1"/>
    </xf>
    <xf numFmtId="0" fontId="4" fillId="0" borderId="0" xfId="0" applyFont="1" applyAlignment="1">
      <alignment horizontal="center" vertical="center"/>
    </xf>
    <xf numFmtId="0" fontId="3" fillId="0" borderId="0" xfId="0" applyFont="1" applyAlignment="1">
      <alignment vertical="center"/>
    </xf>
    <xf numFmtId="0" fontId="14" fillId="0" borderId="0" xfId="0" applyFont="1" applyAlignment="1">
      <alignment horizontal="left" vertical="center" wrapText="1" indent="2"/>
    </xf>
    <xf numFmtId="0" fontId="3" fillId="0" borderId="0" xfId="0" applyFont="1" applyAlignment="1" applyProtection="1">
      <alignment horizontal="left"/>
      <protection locked="0"/>
    </xf>
    <xf numFmtId="9" fontId="14" fillId="0" borderId="0" xfId="3" applyFont="1" applyAlignment="1" applyProtection="1">
      <alignment horizontal="center"/>
      <protection locked="0"/>
    </xf>
    <xf numFmtId="0" fontId="14" fillId="0" borderId="0" xfId="0" applyFont="1" applyAlignment="1" applyProtection="1">
      <alignment horizontal="left" vertical="center"/>
      <protection locked="0"/>
    </xf>
    <xf numFmtId="0" fontId="3" fillId="0" borderId="0" xfId="0" applyFont="1" applyProtection="1">
      <protection locked="0"/>
    </xf>
    <xf numFmtId="0" fontId="4" fillId="0" borderId="0" xfId="0" applyFont="1" applyAlignment="1" applyProtection="1">
      <alignment horizontal="left"/>
      <protection locked="0"/>
    </xf>
    <xf numFmtId="0" fontId="3" fillId="6" borderId="0" xfId="0" applyFont="1" applyFill="1" applyAlignment="1" applyProtection="1">
      <alignment horizontal="left"/>
      <protection locked="0"/>
    </xf>
    <xf numFmtId="9" fontId="14" fillId="0" borderId="0" xfId="0" applyNumberFormat="1" applyFont="1" applyAlignment="1" applyProtection="1">
      <alignment horizontal="center" vertical="center"/>
      <protection locked="0"/>
    </xf>
    <xf numFmtId="9" fontId="14" fillId="0" borderId="0" xfId="3" applyFont="1" applyAlignment="1" applyProtection="1">
      <alignment horizontal="center" vertical="center"/>
      <protection locked="0"/>
    </xf>
    <xf numFmtId="0" fontId="3" fillId="0" borderId="0" xfId="0" applyFont="1" applyAlignment="1" applyProtection="1">
      <alignment horizontal="left" vertical="center"/>
      <protection locked="0"/>
    </xf>
    <xf numFmtId="0" fontId="3" fillId="6" borderId="0" xfId="0" applyFont="1" applyFill="1" applyAlignment="1" applyProtection="1">
      <alignment horizontal="center"/>
      <protection locked="0"/>
    </xf>
    <xf numFmtId="0" fontId="3" fillId="0" borderId="0" xfId="0" applyFont="1" applyAlignment="1" applyProtection="1">
      <alignment horizontal="center" vertical="center"/>
      <protection locked="0"/>
    </xf>
    <xf numFmtId="0" fontId="3" fillId="7" borderId="0" xfId="0" applyFont="1" applyFill="1" applyProtection="1">
      <protection locked="0"/>
    </xf>
    <xf numFmtId="0" fontId="23" fillId="8" borderId="0" xfId="0" applyFont="1" applyFill="1" applyAlignment="1">
      <alignment horizontal="center"/>
    </xf>
    <xf numFmtId="0" fontId="17" fillId="8" borderId="0" xfId="0" applyFont="1" applyFill="1"/>
    <xf numFmtId="0" fontId="6" fillId="8" borderId="0" xfId="0" applyFont="1" applyFill="1" applyAlignment="1">
      <alignment horizontal="center"/>
    </xf>
    <xf numFmtId="0" fontId="8" fillId="8" borderId="0" xfId="0" applyFont="1" applyFill="1" applyAlignment="1">
      <alignment horizontal="left" indent="1"/>
    </xf>
    <xf numFmtId="0" fontId="7" fillId="8" borderId="0" xfId="0" applyFont="1" applyFill="1"/>
    <xf numFmtId="0" fontId="6" fillId="8" borderId="0" xfId="0" quotePrefix="1" applyFont="1" applyFill="1" applyAlignment="1">
      <alignment horizontal="left"/>
    </xf>
    <xf numFmtId="0" fontId="24" fillId="0" borderId="0" xfId="0" applyFont="1" applyAlignment="1">
      <alignment vertical="center" wrapText="1"/>
    </xf>
    <xf numFmtId="0" fontId="24" fillId="0" borderId="0" xfId="0" quotePrefix="1" applyFont="1" applyAlignment="1">
      <alignment horizontal="left" vertical="center" wrapText="1"/>
    </xf>
    <xf numFmtId="0" fontId="8" fillId="10" borderId="0" xfId="0" quotePrefix="1" applyFont="1" applyFill="1" applyAlignment="1">
      <alignment horizontal="center" vertical="center" wrapText="1"/>
    </xf>
    <xf numFmtId="0" fontId="8" fillId="10" borderId="0" xfId="0" applyFont="1" applyFill="1" applyAlignment="1">
      <alignment vertical="center" wrapText="1"/>
    </xf>
    <xf numFmtId="0" fontId="8" fillId="10" borderId="0" xfId="0" applyFont="1" applyFill="1" applyAlignment="1">
      <alignment horizontal="center" vertical="center" wrapText="1"/>
    </xf>
    <xf numFmtId="0" fontId="8" fillId="10" borderId="0" xfId="0" applyFont="1" applyFill="1" applyAlignment="1">
      <alignment horizontal="left" vertical="center" wrapText="1"/>
    </xf>
    <xf numFmtId="0" fontId="8" fillId="0" borderId="0" xfId="0" applyFont="1" applyAlignment="1">
      <alignment vertical="center" wrapText="1"/>
    </xf>
    <xf numFmtId="0" fontId="25" fillId="0" borderId="0" xfId="0" applyFont="1"/>
    <xf numFmtId="0" fontId="24" fillId="0" borderId="0" xfId="0" applyFont="1" applyAlignment="1">
      <alignment horizontal="left"/>
    </xf>
    <xf numFmtId="0" fontId="26" fillId="9" borderId="0" xfId="2" applyFont="1" applyFill="1" applyAlignment="1">
      <alignment horizontal="center" vertical="center"/>
    </xf>
    <xf numFmtId="0" fontId="26" fillId="9" borderId="0" xfId="0" applyFont="1" applyFill="1"/>
    <xf numFmtId="0" fontId="26" fillId="9" borderId="0" xfId="0" applyFont="1" applyFill="1" applyAlignment="1">
      <alignment horizontal="center"/>
    </xf>
    <xf numFmtId="0" fontId="27" fillId="9" borderId="0" xfId="0" applyFont="1" applyFill="1" applyAlignment="1">
      <alignment horizontal="left"/>
    </xf>
    <xf numFmtId="0" fontId="28" fillId="9" borderId="0" xfId="0" applyFont="1" applyFill="1" applyAlignment="1">
      <alignment horizontal="left"/>
    </xf>
    <xf numFmtId="0" fontId="27" fillId="9" borderId="0" xfId="0" applyFont="1" applyFill="1"/>
    <xf numFmtId="0" fontId="28" fillId="9" borderId="0" xfId="0" applyFont="1" applyFill="1"/>
    <xf numFmtId="0" fontId="28" fillId="0" borderId="0" xfId="0" applyFont="1"/>
    <xf numFmtId="0" fontId="29" fillId="0" borderId="0" xfId="4" applyFont="1" applyBorder="1"/>
    <xf numFmtId="0" fontId="29" fillId="0" borderId="0" xfId="4" applyFont="1" applyBorder="1" applyAlignment="1">
      <alignment vertical="center"/>
    </xf>
    <xf numFmtId="0" fontId="29" fillId="0" borderId="0" xfId="4" applyFont="1" applyFill="1"/>
    <xf numFmtId="0" fontId="12" fillId="8" borderId="0" xfId="0" applyFont="1" applyFill="1"/>
    <xf numFmtId="3" fontId="12" fillId="8" borderId="0" xfId="0" applyNumberFormat="1" applyFont="1" applyFill="1"/>
    <xf numFmtId="1" fontId="12" fillId="8" borderId="0" xfId="0" applyNumberFormat="1" applyFont="1" applyFill="1"/>
    <xf numFmtId="166" fontId="12" fillId="8" borderId="0" xfId="0" applyNumberFormat="1" applyFont="1" applyFill="1"/>
    <xf numFmtId="0" fontId="28" fillId="0" borderId="0" xfId="0" applyFont="1" applyAlignment="1">
      <alignment horizontal="center"/>
    </xf>
    <xf numFmtId="0" fontId="31" fillId="0" borderId="0" xfId="0" applyFont="1" applyAlignment="1">
      <alignment horizontal="center"/>
    </xf>
    <xf numFmtId="0" fontId="12" fillId="8" borderId="0" xfId="0" applyFont="1" applyFill="1" applyAlignment="1">
      <alignment horizontal="center"/>
    </xf>
    <xf numFmtId="0" fontId="8" fillId="8" borderId="0" xfId="0" applyFont="1" applyFill="1" applyAlignment="1">
      <alignment horizontal="right"/>
    </xf>
    <xf numFmtId="0" fontId="9" fillId="8" borderId="0" xfId="0" quotePrefix="1" applyFont="1" applyFill="1" applyAlignment="1">
      <alignment horizontal="left" indent="1"/>
    </xf>
    <xf numFmtId="0" fontId="32" fillId="10" borderId="0" xfId="0" applyFont="1" applyFill="1"/>
    <xf numFmtId="0" fontId="30" fillId="10" borderId="0" xfId="0" applyFont="1" applyFill="1"/>
    <xf numFmtId="0" fontId="32" fillId="10" borderId="0" xfId="0" applyFont="1" applyFill="1" applyAlignment="1">
      <alignment horizontal="center"/>
    </xf>
    <xf numFmtId="0" fontId="31" fillId="0" borderId="0" xfId="0" applyFont="1"/>
    <xf numFmtId="0" fontId="32" fillId="0" borderId="0" xfId="0" applyFont="1"/>
    <xf numFmtId="0" fontId="28" fillId="5" borderId="0" xfId="0" applyFont="1" applyFill="1" applyProtection="1">
      <protection locked="0"/>
    </xf>
    <xf numFmtId="0" fontId="28" fillId="0" borderId="0" xfId="0" applyFont="1" applyProtection="1">
      <protection locked="0"/>
    </xf>
    <xf numFmtId="0" fontId="2" fillId="7" borderId="1" xfId="0" applyFont="1" applyFill="1" applyBorder="1"/>
    <xf numFmtId="0" fontId="2" fillId="7" borderId="1" xfId="0" applyFont="1" applyFill="1" applyBorder="1" applyAlignment="1">
      <alignment horizontal="center"/>
    </xf>
    <xf numFmtId="0" fontId="31" fillId="0" borderId="0" xfId="0" applyFont="1" applyAlignment="1">
      <alignment horizontal="left" indent="1"/>
    </xf>
    <xf numFmtId="0" fontId="30" fillId="8" borderId="12" xfId="0" applyFont="1" applyFill="1" applyBorder="1"/>
    <xf numFmtId="0" fontId="30" fillId="8" borderId="13" xfId="0" applyFont="1" applyFill="1" applyBorder="1"/>
    <xf numFmtId="0" fontId="33" fillId="0" borderId="0" xfId="0" applyFont="1"/>
    <xf numFmtId="0" fontId="28" fillId="0" borderId="0" xfId="0" applyFont="1" applyAlignment="1">
      <alignment horizontal="left" indent="1"/>
    </xf>
    <xf numFmtId="0" fontId="28" fillId="0" borderId="4" xfId="0" applyFont="1" applyBorder="1" applyAlignment="1">
      <alignment horizontal="left" indent="1"/>
    </xf>
    <xf numFmtId="0" fontId="28" fillId="0" borderId="5" xfId="0" applyFont="1" applyBorder="1"/>
    <xf numFmtId="0" fontId="2" fillId="0" borderId="4" xfId="0" applyFont="1" applyBorder="1" applyAlignment="1">
      <alignment horizontal="left" indent="1"/>
    </xf>
    <xf numFmtId="0" fontId="2" fillId="0" borderId="0" xfId="0" applyFont="1"/>
    <xf numFmtId="0" fontId="28" fillId="0" borderId="4" xfId="0" applyFont="1" applyBorder="1" applyAlignment="1">
      <alignment horizontal="left" indent="2"/>
    </xf>
    <xf numFmtId="0" fontId="28" fillId="0" borderId="9" xfId="0" applyFont="1" applyBorder="1" applyAlignment="1">
      <alignment horizontal="left" wrapText="1" indent="1"/>
    </xf>
    <xf numFmtId="0" fontId="28" fillId="0" borderId="9" xfId="0" applyFont="1" applyBorder="1" applyAlignment="1">
      <alignment horizontal="left" indent="1"/>
    </xf>
    <xf numFmtId="0" fontId="29" fillId="0" borderId="4" xfId="4" applyFont="1" applyBorder="1" applyAlignment="1">
      <alignment horizontal="left" indent="2"/>
    </xf>
    <xf numFmtId="0" fontId="28" fillId="0" borderId="6" xfId="0" applyFont="1" applyBorder="1" applyAlignment="1">
      <alignment horizontal="left" indent="1"/>
    </xf>
    <xf numFmtId="0" fontId="28" fillId="0" borderId="7" xfId="0" quotePrefix="1" applyFont="1" applyBorder="1"/>
    <xf numFmtId="0" fontId="28" fillId="0" borderId="0" xfId="0" applyFont="1" applyAlignment="1">
      <alignment horizontal="left" wrapText="1" indent="1"/>
    </xf>
    <xf numFmtId="0" fontId="28" fillId="0" borderId="0" xfId="0" applyFont="1" applyAlignment="1">
      <alignment vertical="top"/>
    </xf>
    <xf numFmtId="3" fontId="28" fillId="0" borderId="0" xfId="0" applyNumberFormat="1" applyFont="1" applyAlignment="1">
      <alignment horizontal="center"/>
    </xf>
    <xf numFmtId="1" fontId="28" fillId="0" borderId="0" xfId="0" applyNumberFormat="1" applyFont="1" applyAlignment="1">
      <alignment horizontal="center"/>
    </xf>
    <xf numFmtId="166" fontId="28" fillId="0" borderId="0" xfId="0" applyNumberFormat="1" applyFont="1" applyAlignment="1">
      <alignment horizontal="center"/>
    </xf>
    <xf numFmtId="3" fontId="28" fillId="0" borderId="4" xfId="0" applyNumberFormat="1" applyFont="1" applyBorder="1" applyAlignment="1">
      <alignment horizontal="center"/>
    </xf>
    <xf numFmtId="0" fontId="28" fillId="0" borderId="5" xfId="0" applyFont="1" applyBorder="1" applyAlignment="1">
      <alignment horizontal="center"/>
    </xf>
    <xf numFmtId="0" fontId="28" fillId="0" borderId="4" xfId="0" applyFont="1" applyBorder="1" applyAlignment="1">
      <alignment horizontal="center"/>
    </xf>
    <xf numFmtId="166" fontId="28" fillId="0" borderId="5" xfId="0" applyNumberFormat="1" applyFont="1" applyBorder="1" applyAlignment="1">
      <alignment horizontal="center"/>
    </xf>
    <xf numFmtId="0" fontId="28" fillId="0" borderId="5" xfId="0" applyFont="1" applyBorder="1" applyAlignment="1">
      <alignment horizontal="center" wrapText="1"/>
    </xf>
    <xf numFmtId="0" fontId="28" fillId="0" borderId="4" xfId="0" applyFont="1" applyBorder="1" applyAlignment="1">
      <alignment horizontal="center" wrapText="1"/>
    </xf>
    <xf numFmtId="0" fontId="28" fillId="0" borderId="0" xfId="0" applyFont="1" applyAlignment="1">
      <alignment horizontal="center" wrapText="1"/>
    </xf>
    <xf numFmtId="166" fontId="28" fillId="0" borderId="5" xfId="0" applyNumberFormat="1" applyFont="1" applyBorder="1" applyAlignment="1">
      <alignment horizontal="center" wrapText="1"/>
    </xf>
    <xf numFmtId="0" fontId="28" fillId="5" borderId="4" xfId="0" applyFont="1" applyFill="1" applyBorder="1" applyAlignment="1" applyProtection="1">
      <alignment horizontal="center" vertical="center"/>
      <protection locked="0"/>
    </xf>
    <xf numFmtId="0" fontId="28" fillId="0" borderId="0" xfId="0" applyFont="1" applyAlignment="1">
      <alignment horizontal="center" vertical="center"/>
    </xf>
    <xf numFmtId="1" fontId="28" fillId="0" borderId="0" xfId="0" applyNumberFormat="1" applyFont="1" applyAlignment="1">
      <alignment horizontal="center" vertical="center"/>
    </xf>
    <xf numFmtId="166" fontId="28" fillId="0" borderId="5" xfId="0" applyNumberFormat="1" applyFont="1" applyBorder="1" applyAlignment="1">
      <alignment horizontal="center" vertical="center"/>
    </xf>
    <xf numFmtId="0" fontId="35" fillId="0" borderId="0" xfId="0" applyFont="1"/>
    <xf numFmtId="0" fontId="36" fillId="0" borderId="0" xfId="0" applyFont="1"/>
    <xf numFmtId="9" fontId="2" fillId="0" borderId="0" xfId="3" applyFont="1" applyFill="1" applyAlignment="1">
      <alignment horizontal="center"/>
    </xf>
    <xf numFmtId="3" fontId="3" fillId="0" borderId="4" xfId="0" applyNumberFormat="1" applyFont="1" applyBorder="1" applyAlignment="1">
      <alignment horizontal="center"/>
    </xf>
    <xf numFmtId="1" fontId="3" fillId="0" borderId="0" xfId="0" applyNumberFormat="1" applyFont="1" applyAlignment="1">
      <alignment horizontal="center"/>
    </xf>
    <xf numFmtId="166" fontId="3" fillId="0" borderId="5" xfId="0" applyNumberFormat="1" applyFont="1" applyBorder="1" applyAlignment="1">
      <alignment horizontal="center"/>
    </xf>
    <xf numFmtId="3" fontId="3" fillId="0" borderId="4" xfId="0" applyNumberFormat="1" applyFont="1" applyBorder="1" applyAlignment="1">
      <alignment horizontal="left"/>
    </xf>
    <xf numFmtId="2" fontId="3" fillId="0" borderId="5" xfId="0" applyNumberFormat="1" applyFont="1" applyBorder="1" applyAlignment="1">
      <alignment horizontal="center"/>
    </xf>
    <xf numFmtId="3" fontId="3" fillId="0" borderId="6" xfId="0" applyNumberFormat="1" applyFont="1" applyBorder="1" applyAlignment="1">
      <alignment horizontal="center"/>
    </xf>
    <xf numFmtId="0" fontId="3" fillId="0" borderId="7" xfId="0" applyFont="1" applyBorder="1" applyAlignment="1">
      <alignment horizontal="center"/>
    </xf>
    <xf numFmtId="1" fontId="3" fillId="0" borderId="1" xfId="0" applyNumberFormat="1" applyFont="1" applyBorder="1" applyAlignment="1">
      <alignment horizontal="center"/>
    </xf>
    <xf numFmtId="0" fontId="3" fillId="0" borderId="6" xfId="0" applyFont="1" applyBorder="1" applyAlignment="1">
      <alignment horizontal="center"/>
    </xf>
    <xf numFmtId="166" fontId="3" fillId="0" borderId="7" xfId="0" applyNumberFormat="1" applyFont="1" applyBorder="1" applyAlignment="1">
      <alignment horizontal="center"/>
    </xf>
    <xf numFmtId="0" fontId="42" fillId="2" borderId="0" xfId="2" applyFont="1" applyFill="1" applyAlignment="1">
      <alignment horizontal="center" vertical="center"/>
    </xf>
    <xf numFmtId="16" fontId="2" fillId="2" borderId="0" xfId="0" quotePrefix="1" applyNumberFormat="1" applyFont="1" applyFill="1" applyAlignment="1">
      <alignment horizontal="center" vertical="center"/>
    </xf>
    <xf numFmtId="0" fontId="2" fillId="2" borderId="0" xfId="0" applyFont="1" applyFill="1" applyAlignment="1">
      <alignment horizontal="center"/>
    </xf>
    <xf numFmtId="0" fontId="38" fillId="0" borderId="0" xfId="0" applyFont="1" applyAlignment="1">
      <alignment vertical="center"/>
    </xf>
    <xf numFmtId="0" fontId="39" fillId="2" borderId="0" xfId="0" applyFont="1" applyFill="1" applyAlignment="1">
      <alignment vertical="center"/>
    </xf>
    <xf numFmtId="0" fontId="41" fillId="0" borderId="0" xfId="0" applyFont="1" applyAlignment="1">
      <alignment horizontal="center" vertical="center"/>
    </xf>
    <xf numFmtId="0" fontId="38" fillId="0" borderId="0" xfId="0" applyFont="1" applyAlignment="1">
      <alignment horizontal="center" vertical="center"/>
    </xf>
    <xf numFmtId="0" fontId="43" fillId="0" borderId="0" xfId="4" applyFont="1" applyAlignment="1">
      <alignment vertical="center"/>
    </xf>
    <xf numFmtId="0" fontId="3" fillId="11" borderId="0" xfId="0" applyFont="1" applyFill="1" applyAlignment="1" applyProtection="1">
      <alignment horizontal="left" indent="1"/>
      <protection locked="0"/>
    </xf>
    <xf numFmtId="3" fontId="21" fillId="12" borderId="0" xfId="0" applyNumberFormat="1" applyFont="1" applyFill="1" applyAlignment="1">
      <alignment horizontal="center"/>
    </xf>
    <xf numFmtId="0" fontId="3" fillId="12" borderId="0" xfId="0" applyFont="1" applyFill="1" applyAlignment="1" applyProtection="1">
      <alignment horizontal="center"/>
      <protection locked="0"/>
    </xf>
    <xf numFmtId="0" fontId="4" fillId="0" borderId="0" xfId="0" applyFont="1" applyAlignment="1">
      <alignment horizontal="right" indent="2"/>
    </xf>
    <xf numFmtId="0" fontId="3" fillId="0" borderId="0" xfId="0" applyFont="1" applyAlignment="1">
      <alignment horizontal="left" vertical="center" indent="1"/>
    </xf>
    <xf numFmtId="0" fontId="10" fillId="0" borderId="0" xfId="0" applyFont="1" applyAlignment="1">
      <alignment vertical="center"/>
    </xf>
    <xf numFmtId="0" fontId="10" fillId="0" borderId="0" xfId="0" applyFont="1" applyAlignment="1">
      <alignment horizontal="left" vertical="center"/>
    </xf>
    <xf numFmtId="0" fontId="15" fillId="0" borderId="0" xfId="0" applyFont="1" applyAlignment="1">
      <alignment horizontal="right" vertical="center" indent="2"/>
    </xf>
    <xf numFmtId="0" fontId="37" fillId="0" borderId="0" xfId="0" applyFont="1" applyAlignment="1">
      <alignment horizontal="right"/>
    </xf>
    <xf numFmtId="3" fontId="3" fillId="13" borderId="4" xfId="0" applyNumberFormat="1" applyFont="1" applyFill="1" applyBorder="1" applyAlignment="1">
      <alignment horizontal="center"/>
    </xf>
    <xf numFmtId="2" fontId="3" fillId="13" borderId="5" xfId="0" applyNumberFormat="1" applyFont="1" applyFill="1" applyBorder="1" applyAlignment="1">
      <alignment horizontal="center"/>
    </xf>
    <xf numFmtId="0" fontId="3" fillId="13" borderId="5" xfId="0" applyFont="1" applyFill="1" applyBorder="1" applyAlignment="1">
      <alignment horizontal="center"/>
    </xf>
    <xf numFmtId="1" fontId="3" fillId="13" borderId="0" xfId="0" applyNumberFormat="1" applyFont="1" applyFill="1" applyAlignment="1">
      <alignment horizontal="center"/>
    </xf>
    <xf numFmtId="3" fontId="3" fillId="13" borderId="0" xfId="0" applyNumberFormat="1" applyFont="1" applyFill="1" applyAlignment="1">
      <alignment horizontal="center"/>
    </xf>
    <xf numFmtId="3" fontId="3" fillId="13" borderId="6" xfId="0" applyNumberFormat="1" applyFont="1" applyFill="1" applyBorder="1" applyAlignment="1">
      <alignment horizontal="center"/>
    </xf>
    <xf numFmtId="3" fontId="3" fillId="13" borderId="1" xfId="0" applyNumberFormat="1" applyFont="1" applyFill="1" applyBorder="1" applyAlignment="1">
      <alignment horizontal="center"/>
    </xf>
    <xf numFmtId="2" fontId="3" fillId="13" borderId="7" xfId="0" applyNumberFormat="1" applyFont="1" applyFill="1" applyBorder="1" applyAlignment="1">
      <alignment horizontal="center"/>
    </xf>
    <xf numFmtId="3" fontId="3" fillId="13" borderId="0" xfId="0" applyNumberFormat="1" applyFont="1" applyFill="1" applyAlignment="1">
      <alignment horizontal="left" indent="1"/>
    </xf>
    <xf numFmtId="0" fontId="3" fillId="13" borderId="0" xfId="0" applyFont="1" applyFill="1" applyAlignment="1">
      <alignment horizontal="center"/>
    </xf>
    <xf numFmtId="166" fontId="3" fillId="13" borderId="5" xfId="0" applyNumberFormat="1" applyFont="1" applyFill="1" applyBorder="1" applyAlignment="1">
      <alignment horizontal="center"/>
    </xf>
    <xf numFmtId="3" fontId="3" fillId="13" borderId="4" xfId="0" applyNumberFormat="1" applyFont="1" applyFill="1" applyBorder="1" applyAlignment="1">
      <alignment horizontal="left" indent="1"/>
    </xf>
    <xf numFmtId="0" fontId="3" fillId="13" borderId="4" xfId="0" applyFont="1" applyFill="1" applyBorder="1" applyAlignment="1">
      <alignment horizontal="center"/>
    </xf>
    <xf numFmtId="1" fontId="3" fillId="13" borderId="4" xfId="0" applyNumberFormat="1" applyFont="1" applyFill="1" applyBorder="1" applyAlignment="1">
      <alignment horizontal="center"/>
    </xf>
    <xf numFmtId="3" fontId="40" fillId="14" borderId="4" xfId="0" applyNumberFormat="1" applyFont="1" applyFill="1" applyBorder="1" applyAlignment="1">
      <alignment horizontal="center" vertical="center"/>
    </xf>
    <xf numFmtId="3" fontId="40" fillId="14" borderId="0" xfId="0" applyNumberFormat="1" applyFont="1" applyFill="1" applyAlignment="1">
      <alignment horizontal="center" vertical="center"/>
    </xf>
    <xf numFmtId="2" fontId="41" fillId="8" borderId="5" xfId="0" applyNumberFormat="1" applyFont="1" applyFill="1" applyBorder="1" applyAlignment="1">
      <alignment horizontal="center" vertical="center"/>
    </xf>
    <xf numFmtId="0" fontId="7" fillId="0" borderId="0" xfId="0" applyFont="1"/>
    <xf numFmtId="0" fontId="7" fillId="0" borderId="0" xfId="0" applyFont="1" applyAlignment="1">
      <alignment horizontal="center"/>
    </xf>
    <xf numFmtId="0" fontId="7" fillId="0" borderId="0" xfId="0" applyFont="1" applyAlignment="1">
      <alignment horizontal="left" indent="1"/>
    </xf>
    <xf numFmtId="0" fontId="6" fillId="0" borderId="0" xfId="0" quotePrefix="1" applyFont="1" applyAlignment="1">
      <alignment horizontal="left"/>
    </xf>
    <xf numFmtId="0" fontId="3" fillId="4" borderId="2" xfId="0" applyFont="1" applyFill="1" applyBorder="1"/>
    <xf numFmtId="0" fontId="3" fillId="4" borderId="8" xfId="0" applyFont="1" applyFill="1" applyBorder="1"/>
    <xf numFmtId="0" fontId="3" fillId="0" borderId="4" xfId="0" applyFont="1" applyBorder="1"/>
    <xf numFmtId="164" fontId="3" fillId="0" borderId="0" xfId="0" applyNumberFormat="1" applyFont="1" applyAlignment="1">
      <alignment horizontal="center"/>
    </xf>
    <xf numFmtId="164" fontId="3" fillId="0" borderId="5" xfId="0" applyNumberFormat="1" applyFont="1" applyBorder="1" applyAlignment="1">
      <alignment horizontal="center"/>
    </xf>
    <xf numFmtId="164" fontId="3" fillId="0" borderId="4" xfId="0" applyNumberFormat="1" applyFont="1" applyBorder="1" applyAlignment="1">
      <alignment horizontal="center"/>
    </xf>
    <xf numFmtId="2" fontId="3" fillId="0" borderId="4" xfId="0" applyNumberFormat="1" applyFont="1" applyBorder="1" applyAlignment="1">
      <alignment horizontal="center"/>
    </xf>
    <xf numFmtId="3" fontId="3" fillId="5" borderId="0" xfId="0" applyNumberFormat="1" applyFont="1" applyFill="1" applyAlignment="1" applyProtection="1">
      <alignment horizontal="center"/>
      <protection locked="0"/>
    </xf>
    <xf numFmtId="0" fontId="3" fillId="5" borderId="0" xfId="0" applyFont="1" applyFill="1" applyAlignment="1" applyProtection="1">
      <alignment horizontal="center"/>
      <protection locked="0"/>
    </xf>
    <xf numFmtId="0" fontId="43" fillId="0" borderId="0" xfId="4" applyFont="1"/>
    <xf numFmtId="2" fontId="3" fillId="5" borderId="0" xfId="0" applyNumberFormat="1" applyFont="1" applyFill="1" applyAlignment="1" applyProtection="1">
      <alignment horizontal="center"/>
      <protection locked="0"/>
    </xf>
    <xf numFmtId="9" fontId="3" fillId="5" borderId="0" xfId="0" applyNumberFormat="1" applyFont="1" applyFill="1" applyAlignment="1" applyProtection="1">
      <alignment horizontal="center"/>
      <protection locked="0"/>
    </xf>
    <xf numFmtId="166" fontId="3" fillId="5" borderId="0" xfId="0" applyNumberFormat="1" applyFont="1" applyFill="1" applyAlignment="1" applyProtection="1">
      <alignment horizontal="center"/>
      <protection locked="0"/>
    </xf>
    <xf numFmtId="0" fontId="3" fillId="0" borderId="0" xfId="0" quotePrefix="1" applyFont="1" applyAlignment="1">
      <alignment horizontal="left"/>
    </xf>
    <xf numFmtId="0" fontId="10" fillId="0" borderId="0" xfId="0" applyFont="1" applyAlignment="1">
      <alignment horizontal="center" vertical="center"/>
    </xf>
    <xf numFmtId="0" fontId="3" fillId="9" borderId="0" xfId="0" applyFont="1" applyFill="1" applyAlignment="1">
      <alignment horizontal="center"/>
    </xf>
    <xf numFmtId="0" fontId="10" fillId="12" borderId="0" xfId="0" applyFont="1" applyFill="1" applyAlignment="1">
      <alignment horizontal="center" vertical="center"/>
    </xf>
    <xf numFmtId="0" fontId="3" fillId="12" borderId="0" xfId="0" applyFont="1" applyFill="1" applyAlignment="1">
      <alignment horizontal="center"/>
    </xf>
    <xf numFmtId="0" fontId="7" fillId="8" borderId="0" xfId="0" applyFont="1" applyFill="1" applyAlignment="1">
      <alignment horizontal="right" indent="1"/>
    </xf>
    <xf numFmtId="0" fontId="30" fillId="8" borderId="11" xfId="0" applyFont="1" applyFill="1" applyBorder="1" applyAlignment="1">
      <alignment horizontal="left" indent="1"/>
    </xf>
    <xf numFmtId="0" fontId="2" fillId="0" borderId="9" xfId="0" applyFont="1" applyBorder="1" applyAlignment="1">
      <alignment horizontal="left" indent="1"/>
    </xf>
    <xf numFmtId="0" fontId="28" fillId="0" borderId="9" xfId="0" applyFont="1" applyBorder="1" applyAlignment="1">
      <alignment horizontal="left" wrapText="1" indent="2"/>
    </xf>
    <xf numFmtId="0" fontId="28" fillId="0" borderId="9" xfId="0" applyFont="1" applyBorder="1" applyAlignment="1">
      <alignment horizontal="left" indent="2"/>
    </xf>
    <xf numFmtId="0" fontId="29" fillId="0" borderId="9" xfId="4" applyFont="1" applyBorder="1" applyAlignment="1">
      <alignment horizontal="left" indent="2"/>
    </xf>
    <xf numFmtId="0" fontId="26" fillId="9" borderId="9" xfId="0" applyFont="1" applyFill="1" applyBorder="1" applyAlignment="1">
      <alignment horizontal="left" indent="1"/>
    </xf>
    <xf numFmtId="0" fontId="28" fillId="0" borderId="9" xfId="0" applyFont="1" applyBorder="1" applyAlignment="1">
      <alignment horizontal="left" vertical="top" wrapText="1" indent="1"/>
    </xf>
    <xf numFmtId="0" fontId="28" fillId="0" borderId="10" xfId="0" applyFont="1" applyBorder="1" applyAlignment="1">
      <alignment horizontal="left" indent="1"/>
    </xf>
    <xf numFmtId="0" fontId="28" fillId="0" borderId="0" xfId="0" applyFont="1" applyAlignment="1">
      <alignment horizontal="left" vertical="top" indent="1"/>
    </xf>
    <xf numFmtId="0" fontId="2" fillId="7" borderId="0" xfId="0" applyFont="1" applyFill="1"/>
    <xf numFmtId="0" fontId="2" fillId="7" borderId="0" xfId="0" applyFont="1" applyFill="1" applyAlignment="1">
      <alignment horizontal="center"/>
    </xf>
    <xf numFmtId="2" fontId="1" fillId="15" borderId="0" xfId="0" applyNumberFormat="1" applyFont="1" applyFill="1"/>
    <xf numFmtId="0" fontId="1" fillId="15" borderId="0" xfId="0" quotePrefix="1" applyFont="1" applyFill="1"/>
    <xf numFmtId="0" fontId="1" fillId="15" borderId="0" xfId="0" applyFont="1" applyFill="1"/>
    <xf numFmtId="0" fontId="1" fillId="15" borderId="0" xfId="0" applyFont="1" applyFill="1" applyAlignment="1">
      <alignment horizontal="center"/>
    </xf>
    <xf numFmtId="0" fontId="0" fillId="0" borderId="0" xfId="0" applyAlignment="1">
      <alignment horizontal="center"/>
    </xf>
    <xf numFmtId="1" fontId="0" fillId="0" borderId="0" xfId="0" applyNumberFormat="1" applyAlignment="1">
      <alignment horizontal="center"/>
    </xf>
    <xf numFmtId="0" fontId="3" fillId="12" borderId="0" xfId="0" applyFont="1" applyFill="1" applyAlignment="1">
      <alignment horizontal="center" vertical="center"/>
    </xf>
    <xf numFmtId="3" fontId="1" fillId="15" borderId="0" xfId="0" applyNumberFormat="1" applyFont="1" applyFill="1" applyAlignment="1">
      <alignment horizontal="center"/>
    </xf>
    <xf numFmtId="3" fontId="0" fillId="0" borderId="0" xfId="0" applyNumberFormat="1" applyAlignment="1">
      <alignment horizontal="center"/>
    </xf>
    <xf numFmtId="3" fontId="3" fillId="12" borderId="0" xfId="0" applyNumberFormat="1" applyFont="1" applyFill="1" applyAlignment="1">
      <alignment horizontal="center"/>
    </xf>
    <xf numFmtId="0" fontId="8" fillId="8" borderId="0" xfId="0" applyFont="1" applyFill="1"/>
    <xf numFmtId="3" fontId="21" fillId="12" borderId="0" xfId="0" applyNumberFormat="1" applyFont="1" applyFill="1"/>
    <xf numFmtId="0" fontId="3" fillId="12" borderId="0" xfId="0" applyFont="1" applyFill="1"/>
    <xf numFmtId="0" fontId="3" fillId="12" borderId="0" xfId="0" applyFont="1" applyFill="1" applyAlignment="1">
      <alignment vertical="center"/>
    </xf>
    <xf numFmtId="3" fontId="3" fillId="12" borderId="0" xfId="0" applyNumberFormat="1" applyFont="1" applyFill="1" applyProtection="1">
      <protection locked="0"/>
    </xf>
    <xf numFmtId="0" fontId="3" fillId="12" borderId="0" xfId="0" applyFont="1" applyFill="1" applyProtection="1">
      <protection locked="0"/>
    </xf>
    <xf numFmtId="2" fontId="3" fillId="0" borderId="0" xfId="0" applyNumberFormat="1" applyFont="1" applyAlignment="1" applyProtection="1">
      <alignment horizontal="center" vertical="center"/>
      <protection locked="0"/>
    </xf>
    <xf numFmtId="2" fontId="3" fillId="12" borderId="0" xfId="0" applyNumberFormat="1" applyFont="1" applyFill="1" applyAlignment="1">
      <alignment horizontal="center" vertical="center"/>
    </xf>
    <xf numFmtId="2" fontId="3" fillId="12" borderId="0" xfId="0" applyNumberFormat="1" applyFont="1" applyFill="1" applyAlignment="1">
      <alignment vertical="center" wrapText="1"/>
    </xf>
    <xf numFmtId="0" fontId="21" fillId="12" borderId="0" xfId="0" applyFont="1" applyFill="1" applyAlignment="1">
      <alignment horizontal="center"/>
    </xf>
    <xf numFmtId="0" fontId="44" fillId="10" borderId="0" xfId="0" applyFont="1" applyFill="1" applyAlignment="1">
      <alignment horizontal="center" vertical="center" wrapText="1"/>
    </xf>
    <xf numFmtId="0" fontId="44" fillId="10" borderId="0" xfId="0" applyFont="1" applyFill="1" applyAlignment="1">
      <alignment horizontal="left" vertical="center" wrapText="1"/>
    </xf>
    <xf numFmtId="0" fontId="3" fillId="12" borderId="0" xfId="0" quotePrefix="1" applyFont="1" applyFill="1" applyAlignment="1">
      <alignment horizontal="center"/>
    </xf>
    <xf numFmtId="0" fontId="3" fillId="12" borderId="0" xfId="0" quotePrefix="1" applyFont="1" applyFill="1" applyAlignment="1" applyProtection="1">
      <alignment horizontal="center"/>
      <protection locked="0"/>
    </xf>
    <xf numFmtId="3" fontId="3" fillId="0" borderId="1" xfId="0" applyNumberFormat="1" applyFont="1" applyBorder="1" applyAlignment="1" applyProtection="1">
      <alignment horizontal="center"/>
      <protection locked="0"/>
    </xf>
    <xf numFmtId="0" fontId="3" fillId="6" borderId="1" xfId="0" applyFont="1" applyFill="1" applyBorder="1" applyAlignment="1" applyProtection="1">
      <alignment horizontal="left"/>
      <protection locked="0"/>
    </xf>
    <xf numFmtId="0" fontId="3" fillId="7" borderId="1" xfId="0" applyFont="1" applyFill="1" applyBorder="1" applyProtection="1">
      <protection locked="0"/>
    </xf>
    <xf numFmtId="0" fontId="3" fillId="0" borderId="1" xfId="0" applyFont="1" applyBorder="1" applyAlignment="1">
      <alignment horizontal="left" indent="3"/>
    </xf>
    <xf numFmtId="0" fontId="4" fillId="0" borderId="1" xfId="0" applyFont="1" applyBorder="1" applyAlignment="1">
      <alignment horizontal="left" indent="2"/>
    </xf>
    <xf numFmtId="0" fontId="14" fillId="0" borderId="0" xfId="0" applyFont="1" applyAlignment="1">
      <alignment horizontal="left" indent="4"/>
    </xf>
    <xf numFmtId="0" fontId="14" fillId="0" borderId="0" xfId="0" applyFont="1" applyAlignment="1">
      <alignment horizontal="center"/>
    </xf>
    <xf numFmtId="0" fontId="14" fillId="6" borderId="0" xfId="0" applyFont="1" applyFill="1" applyAlignment="1" applyProtection="1">
      <alignment horizontal="left"/>
      <protection locked="0"/>
    </xf>
    <xf numFmtId="0" fontId="14" fillId="0" borderId="0" xfId="0" applyFont="1" applyAlignment="1">
      <alignment horizontal="left" indent="3"/>
    </xf>
    <xf numFmtId="3" fontId="3" fillId="0" borderId="0" xfId="0" applyNumberFormat="1" applyFont="1" applyAlignment="1" applyProtection="1">
      <alignment horizontal="center" vertical="center"/>
      <protection locked="0"/>
    </xf>
    <xf numFmtId="0" fontId="4" fillId="0" borderId="1" xfId="0" applyFont="1" applyBorder="1" applyAlignment="1">
      <alignment horizontal="left" vertical="top" indent="1"/>
    </xf>
    <xf numFmtId="0" fontId="3" fillId="0" borderId="19" xfId="0" applyFont="1" applyBorder="1" applyAlignment="1">
      <alignment horizontal="left" indent="2"/>
    </xf>
    <xf numFmtId="0" fontId="3" fillId="7" borderId="0" xfId="0" applyFont="1" applyFill="1"/>
    <xf numFmtId="4" fontId="3" fillId="7" borderId="0" xfId="0" applyNumberFormat="1" applyFont="1" applyFill="1" applyAlignment="1">
      <alignment horizontal="center"/>
    </xf>
    <xf numFmtId="165" fontId="3" fillId="0" borderId="0" xfId="0" applyNumberFormat="1" applyFont="1" applyAlignment="1">
      <alignment horizontal="center"/>
    </xf>
    <xf numFmtId="10" fontId="3" fillId="0" borderId="5" xfId="3" applyNumberFormat="1" applyFont="1" applyBorder="1" applyAlignment="1">
      <alignment horizontal="center"/>
    </xf>
    <xf numFmtId="10" fontId="3" fillId="0" borderId="5" xfId="0" applyNumberFormat="1" applyFont="1" applyBorder="1" applyAlignment="1">
      <alignment horizontal="center"/>
    </xf>
    <xf numFmtId="10" fontId="3" fillId="0" borderId="7" xfId="0" applyNumberFormat="1" applyFont="1" applyBorder="1" applyAlignment="1">
      <alignment horizontal="center"/>
    </xf>
    <xf numFmtId="0" fontId="28" fillId="0" borderId="8" xfId="0" applyFont="1" applyBorder="1"/>
    <xf numFmtId="9" fontId="14" fillId="0" borderId="0" xfId="3" applyFont="1" applyAlignment="1" applyProtection="1">
      <alignment horizontal="right" indent="2"/>
      <protection locked="0"/>
    </xf>
    <xf numFmtId="9" fontId="45" fillId="0" borderId="8" xfId="3" applyFont="1" applyBorder="1" applyAlignment="1" applyProtection="1">
      <alignment horizontal="right" indent="2"/>
    </xf>
    <xf numFmtId="9" fontId="14" fillId="0" borderId="1" xfId="3" applyFont="1" applyBorder="1" applyAlignment="1" applyProtection="1">
      <alignment horizontal="right" indent="2"/>
      <protection locked="0"/>
    </xf>
    <xf numFmtId="10" fontId="3" fillId="5" borderId="0" xfId="0" applyNumberFormat="1" applyFont="1" applyFill="1" applyAlignment="1" applyProtection="1">
      <alignment horizontal="center"/>
      <protection locked="0"/>
    </xf>
    <xf numFmtId="0" fontId="3" fillId="0" borderId="5" xfId="0" applyFont="1" applyBorder="1" applyAlignment="1">
      <alignment horizontal="center" wrapText="1"/>
    </xf>
    <xf numFmtId="0" fontId="3" fillId="0" borderId="0" xfId="0" applyFont="1" applyAlignment="1">
      <alignment horizontal="center" wrapText="1"/>
    </xf>
    <xf numFmtId="9" fontId="3" fillId="0" borderId="0" xfId="3" applyFont="1" applyAlignment="1">
      <alignment horizontal="center"/>
    </xf>
    <xf numFmtId="9" fontId="3" fillId="0" borderId="1" xfId="3" applyFont="1" applyBorder="1" applyAlignment="1">
      <alignment horizontal="center"/>
    </xf>
    <xf numFmtId="0" fontId="28" fillId="0" borderId="20" xfId="0" applyFont="1" applyBorder="1" applyAlignment="1">
      <alignment horizontal="center" vertical="center"/>
    </xf>
    <xf numFmtId="0" fontId="28" fillId="0" borderId="21" xfId="0" applyFont="1" applyBorder="1" applyAlignment="1">
      <alignment horizontal="center" vertical="center"/>
    </xf>
    <xf numFmtId="0" fontId="28" fillId="0" borderId="20" xfId="0" applyFont="1" applyBorder="1" applyAlignment="1">
      <alignment horizontal="center"/>
    </xf>
    <xf numFmtId="0" fontId="28" fillId="0" borderId="21" xfId="0" applyFont="1" applyBorder="1" applyAlignment="1">
      <alignment horizontal="center"/>
    </xf>
    <xf numFmtId="3" fontId="40" fillId="14" borderId="20" xfId="0" applyNumberFormat="1" applyFont="1" applyFill="1" applyBorder="1" applyAlignment="1">
      <alignment horizontal="center" vertical="center"/>
    </xf>
    <xf numFmtId="0" fontId="2" fillId="2" borderId="20" xfId="0" applyFont="1" applyFill="1" applyBorder="1"/>
    <xf numFmtId="0" fontId="2" fillId="2" borderId="21" xfId="0" applyFont="1" applyFill="1" applyBorder="1"/>
    <xf numFmtId="0" fontId="3" fillId="0" borderId="20" xfId="0" applyFont="1" applyBorder="1" applyAlignment="1">
      <alignment horizontal="center"/>
    </xf>
    <xf numFmtId="0" fontId="3" fillId="0" borderId="21" xfId="0" applyFont="1" applyBorder="1" applyAlignment="1">
      <alignment horizontal="center"/>
    </xf>
    <xf numFmtId="3" fontId="3" fillId="13" borderId="20" xfId="0" applyNumberFormat="1" applyFont="1" applyFill="1" applyBorder="1" applyAlignment="1">
      <alignment horizontal="center"/>
    </xf>
    <xf numFmtId="9" fontId="3" fillId="13" borderId="21" xfId="3" applyFont="1" applyFill="1" applyBorder="1" applyAlignment="1">
      <alignment horizontal="center"/>
    </xf>
    <xf numFmtId="3" fontId="3" fillId="0" borderId="20" xfId="0" applyNumberFormat="1" applyFont="1" applyBorder="1" applyAlignment="1">
      <alignment horizontal="center"/>
    </xf>
    <xf numFmtId="3" fontId="3" fillId="0" borderId="21" xfId="0" applyNumberFormat="1" applyFont="1" applyBorder="1" applyAlignment="1">
      <alignment horizontal="center"/>
    </xf>
    <xf numFmtId="3" fontId="3" fillId="13" borderId="20" xfId="0" applyNumberFormat="1" applyFont="1" applyFill="1" applyBorder="1" applyAlignment="1">
      <alignment horizontal="left" indent="1"/>
    </xf>
    <xf numFmtId="3" fontId="3" fillId="13" borderId="21" xfId="0" applyNumberFormat="1" applyFont="1" applyFill="1" applyBorder="1" applyAlignment="1">
      <alignment horizontal="left" indent="1"/>
    </xf>
    <xf numFmtId="3" fontId="3" fillId="13" borderId="21" xfId="0" applyNumberFormat="1" applyFont="1" applyFill="1" applyBorder="1" applyAlignment="1">
      <alignment horizontal="center"/>
    </xf>
    <xf numFmtId="9" fontId="40" fillId="14" borderId="21" xfId="3" applyFont="1" applyFill="1" applyBorder="1" applyAlignment="1">
      <alignment horizontal="center" vertical="center"/>
    </xf>
    <xf numFmtId="0" fontId="2" fillId="2" borderId="20" xfId="0" applyFont="1" applyFill="1" applyBorder="1" applyAlignment="1">
      <alignment horizontal="center"/>
    </xf>
    <xf numFmtId="10" fontId="3" fillId="0" borderId="0" xfId="3" applyNumberFormat="1" applyFont="1" applyAlignment="1">
      <alignment horizontal="center"/>
    </xf>
    <xf numFmtId="10" fontId="3" fillId="0" borderId="1" xfId="3" applyNumberFormat="1" applyFont="1" applyBorder="1" applyAlignment="1">
      <alignment horizontal="center"/>
    </xf>
    <xf numFmtId="2" fontId="3" fillId="0" borderId="6" xfId="0" applyNumberFormat="1" applyFont="1" applyBorder="1" applyAlignment="1">
      <alignment horizontal="center"/>
    </xf>
    <xf numFmtId="0" fontId="4" fillId="2" borderId="1" xfId="0" applyFont="1" applyFill="1" applyBorder="1"/>
    <xf numFmtId="0" fontId="4" fillId="2" borderId="1" xfId="0" applyFont="1" applyFill="1" applyBorder="1" applyAlignment="1">
      <alignment horizontal="center"/>
    </xf>
    <xf numFmtId="0" fontId="4" fillId="2" borderId="1" xfId="0" applyFont="1" applyFill="1" applyBorder="1" applyAlignment="1">
      <alignment horizontal="left"/>
    </xf>
    <xf numFmtId="0" fontId="14" fillId="6" borderId="0" xfId="0" applyFont="1" applyFill="1" applyAlignment="1" applyProtection="1">
      <alignment horizontal="left" vertical="center"/>
      <protection locked="0"/>
    </xf>
    <xf numFmtId="0" fontId="4" fillId="0" borderId="0" xfId="0" applyFont="1" applyAlignment="1">
      <alignment horizontal="right" vertical="center"/>
    </xf>
    <xf numFmtId="0" fontId="4" fillId="0" borderId="0" xfId="0" applyFont="1" applyAlignment="1">
      <alignment horizontal="right" indent="1"/>
    </xf>
    <xf numFmtId="0" fontId="4" fillId="0" borderId="0" xfId="0" applyFont="1" applyAlignment="1">
      <alignment horizontal="right"/>
    </xf>
    <xf numFmtId="9" fontId="28" fillId="0" borderId="0" xfId="0" applyNumberFormat="1" applyFont="1" applyAlignment="1">
      <alignment horizontal="left"/>
    </xf>
    <xf numFmtId="0" fontId="25" fillId="0" borderId="0" xfId="0" applyFont="1" applyAlignment="1">
      <alignment horizontal="left" vertical="center" indent="2"/>
    </xf>
    <xf numFmtId="0" fontId="14" fillId="13" borderId="0" xfId="0" applyFont="1" applyFill="1" applyAlignment="1" applyProtection="1">
      <alignment horizontal="left" vertical="center"/>
      <protection locked="0"/>
    </xf>
    <xf numFmtId="0" fontId="3" fillId="13" borderId="0" xfId="0" applyFont="1" applyFill="1" applyAlignment="1" applyProtection="1">
      <alignment horizontal="left"/>
      <protection locked="0"/>
    </xf>
    <xf numFmtId="0" fontId="4" fillId="13" borderId="0" xfId="0" applyFont="1" applyFill="1" applyAlignment="1" applyProtection="1">
      <alignment horizontal="left"/>
      <protection locked="0"/>
    </xf>
    <xf numFmtId="9" fontId="3" fillId="16" borderId="0" xfId="3" applyFont="1" applyFill="1" applyAlignment="1">
      <alignment horizontal="left" indent="1"/>
    </xf>
    <xf numFmtId="0" fontId="10" fillId="17" borderId="0" xfId="0" applyFont="1" applyFill="1"/>
    <xf numFmtId="0" fontId="11" fillId="17" borderId="0" xfId="0" applyFont="1" applyFill="1" applyAlignment="1">
      <alignment horizontal="left"/>
    </xf>
    <xf numFmtId="0" fontId="14" fillId="0" borderId="0" xfId="0" applyFont="1" applyAlignment="1">
      <alignment horizontal="left" wrapText="1" indent="5"/>
    </xf>
    <xf numFmtId="0" fontId="3" fillId="0" borderId="0" xfId="0" applyFont="1" applyAlignment="1" applyProtection="1">
      <alignment vertical="center"/>
      <protection locked="0"/>
    </xf>
    <xf numFmtId="164" fontId="3" fillId="0" borderId="1" xfId="0" applyNumberFormat="1" applyFont="1" applyBorder="1" applyAlignment="1">
      <alignment horizontal="center"/>
    </xf>
    <xf numFmtId="0" fontId="0" fillId="0" borderId="0" xfId="0" applyAlignment="1">
      <alignment horizontal="center" vertical="top"/>
    </xf>
    <xf numFmtId="14" fontId="0" fillId="0" borderId="0" xfId="0" applyNumberFormat="1" applyAlignment="1">
      <alignment horizontal="center" vertical="top"/>
    </xf>
    <xf numFmtId="0" fontId="0" fillId="0" borderId="0" xfId="0" applyAlignment="1">
      <alignment vertical="top" wrapText="1"/>
    </xf>
    <xf numFmtId="0" fontId="4" fillId="12" borderId="0" xfId="0" applyFont="1" applyFill="1" applyProtection="1">
      <protection locked="0"/>
    </xf>
    <xf numFmtId="0" fontId="0" fillId="0" borderId="0" xfId="0" applyAlignment="1">
      <alignment wrapText="1"/>
    </xf>
    <xf numFmtId="0" fontId="1" fillId="0" borderId="0" xfId="0" applyFont="1" applyAlignment="1">
      <alignment horizontal="center" vertical="top"/>
    </xf>
    <xf numFmtId="14" fontId="1" fillId="0" borderId="0" xfId="0" applyNumberFormat="1" applyFont="1" applyAlignment="1">
      <alignment horizontal="center" vertical="top"/>
    </xf>
    <xf numFmtId="0" fontId="1" fillId="0" borderId="0" xfId="0" applyFont="1" applyAlignment="1">
      <alignment vertical="top" wrapText="1"/>
    </xf>
    <xf numFmtId="0" fontId="3" fillId="0" borderId="0" xfId="0" applyFont="1" applyAlignment="1">
      <alignment horizontal="left" vertical="center" wrapText="1"/>
    </xf>
    <xf numFmtId="0" fontId="8" fillId="10" borderId="0" xfId="0" applyFont="1" applyFill="1" applyAlignment="1">
      <alignment horizontal="center" vertical="center" wrapText="1"/>
    </xf>
    <xf numFmtId="0" fontId="3" fillId="0" borderId="0" xfId="0" applyFont="1" applyAlignment="1">
      <alignment horizontal="center" vertical="center"/>
    </xf>
    <xf numFmtId="0" fontId="9" fillId="8" borderId="0" xfId="0" quotePrefix="1" applyFont="1" applyFill="1" applyAlignment="1">
      <alignment horizontal="left"/>
    </xf>
    <xf numFmtId="0" fontId="30" fillId="10" borderId="14" xfId="0" applyFont="1" applyFill="1" applyBorder="1" applyAlignment="1">
      <alignment horizontal="center"/>
    </xf>
    <xf numFmtId="0" fontId="30" fillId="10" borderId="15" xfId="0" applyFont="1" applyFill="1" applyBorder="1" applyAlignment="1">
      <alignment horizontal="center"/>
    </xf>
    <xf numFmtId="0" fontId="30" fillId="10" borderId="16" xfId="0" applyFont="1" applyFill="1" applyBorder="1" applyAlignment="1">
      <alignment horizontal="center"/>
    </xf>
    <xf numFmtId="3" fontId="30" fillId="10" borderId="17" xfId="0" applyNumberFormat="1" applyFont="1" applyFill="1" applyBorder="1" applyAlignment="1">
      <alignment horizontal="center"/>
    </xf>
    <xf numFmtId="3" fontId="30" fillId="10" borderId="18" xfId="0" applyNumberFormat="1" applyFont="1" applyFill="1" applyBorder="1" applyAlignment="1">
      <alignment horizontal="center"/>
    </xf>
    <xf numFmtId="3" fontId="30" fillId="10" borderId="0" xfId="0" applyNumberFormat="1" applyFont="1" applyFill="1" applyAlignment="1">
      <alignment horizontal="center"/>
    </xf>
    <xf numFmtId="0" fontId="30" fillId="10" borderId="17" xfId="0" applyFont="1" applyFill="1" applyBorder="1" applyAlignment="1">
      <alignment horizontal="center"/>
    </xf>
    <xf numFmtId="0" fontId="30" fillId="10" borderId="0" xfId="0" applyFont="1" applyFill="1" applyAlignment="1">
      <alignment horizontal="center"/>
    </xf>
    <xf numFmtId="0" fontId="30" fillId="10" borderId="18" xfId="0" applyFont="1" applyFill="1" applyBorder="1" applyAlignment="1">
      <alignment horizontal="center"/>
    </xf>
    <xf numFmtId="0" fontId="28" fillId="0" borderId="20" xfId="0" applyFont="1" applyBorder="1" applyAlignment="1">
      <alignment horizontal="center" wrapText="1"/>
    </xf>
    <xf numFmtId="0" fontId="28" fillId="0" borderId="21" xfId="0" applyFont="1" applyBorder="1" applyAlignment="1">
      <alignment horizontal="center" wrapText="1"/>
    </xf>
    <xf numFmtId="9" fontId="16" fillId="7" borderId="4" xfId="3" applyFont="1" applyFill="1" applyBorder="1" applyAlignment="1">
      <alignment horizontal="center"/>
    </xf>
    <xf numFmtId="9" fontId="16" fillId="7" borderId="0" xfId="3" applyFont="1" applyFill="1" applyBorder="1" applyAlignment="1">
      <alignment horizontal="center"/>
    </xf>
    <xf numFmtId="9" fontId="16" fillId="7" borderId="5" xfId="3" applyFont="1" applyFill="1" applyBorder="1" applyAlignment="1">
      <alignment horizontal="center"/>
    </xf>
    <xf numFmtId="0" fontId="4" fillId="4" borderId="8" xfId="0" applyFont="1" applyFill="1" applyBorder="1" applyAlignment="1">
      <alignment horizontal="center"/>
    </xf>
    <xf numFmtId="0" fontId="3" fillId="0" borderId="1" xfId="0" applyFont="1" applyBorder="1" applyAlignment="1">
      <alignment horizontal="center"/>
    </xf>
    <xf numFmtId="0" fontId="4" fillId="4" borderId="2" xfId="0" applyFont="1" applyFill="1" applyBorder="1" applyAlignment="1">
      <alignment horizontal="center"/>
    </xf>
    <xf numFmtId="0" fontId="4" fillId="4" borderId="3" xfId="0" applyFont="1" applyFill="1" applyBorder="1" applyAlignment="1">
      <alignment horizontal="center"/>
    </xf>
    <xf numFmtId="0" fontId="3" fillId="0" borderId="6" xfId="0" applyFont="1" applyBorder="1" applyAlignment="1">
      <alignment horizontal="center"/>
    </xf>
    <xf numFmtId="0" fontId="3" fillId="0" borderId="7" xfId="0" applyFont="1" applyBorder="1" applyAlignment="1">
      <alignment horizontal="center"/>
    </xf>
  </cellXfs>
  <cellStyles count="6">
    <cellStyle name="Link" xfId="4" builtinId="8"/>
    <cellStyle name="Prozent" xfId="3" builtinId="5"/>
    <cellStyle name="Standard" xfId="0" builtinId="0"/>
    <cellStyle name="Standard 2" xfId="1" xr:uid="{E4DDF7A5-3F6A-4649-BD22-CD61BCD32CF3}"/>
    <cellStyle name="Standard 24" xfId="5" xr:uid="{801D8367-0C33-461B-A3B5-7154F2A092A3}"/>
    <cellStyle name="Standard_90_7A" xfId="2" xr:uid="{A8E9EF42-57ED-4ED4-9ED3-EFCC025CC5A4}"/>
  </cellStyles>
  <dxfs count="117">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numFmt numFmtId="3" formatCode="#,##0"/>
    </dxf>
    <dxf>
      <fill>
        <patternFill>
          <bgColor rgb="FFB5E6A2"/>
        </patternFill>
      </fill>
    </dxf>
    <dxf>
      <fill>
        <patternFill>
          <bgColor rgb="FFFF6600"/>
        </patternFill>
      </fill>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ill>
        <patternFill>
          <bgColor rgb="FFB5E6A2"/>
        </patternFill>
      </fill>
    </dxf>
    <dxf>
      <fill>
        <patternFill>
          <bgColor rgb="FFFF6600"/>
        </patternFill>
      </fill>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ill>
        <patternFill>
          <bgColor rgb="FF77D157"/>
        </patternFill>
      </fill>
    </dxf>
    <dxf>
      <fill>
        <patternFill>
          <bgColor rgb="FFFFCE33"/>
        </patternFill>
      </fill>
    </dxf>
    <dxf>
      <fill>
        <patternFill>
          <bgColor rgb="FFFF6D6D"/>
        </patternFill>
      </fill>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ill>
        <patternFill>
          <bgColor theme="9" tint="0.39994506668294322"/>
        </patternFill>
      </fill>
    </dxf>
    <dxf>
      <fill>
        <patternFill>
          <bgColor rgb="FF77D157"/>
        </patternFill>
      </fill>
    </dxf>
    <dxf>
      <fill>
        <patternFill>
          <bgColor rgb="FFFFCE33"/>
        </patternFill>
      </fill>
    </dxf>
    <dxf>
      <fill>
        <patternFill>
          <bgColor rgb="FFFF6D6D"/>
        </patternFill>
      </fill>
    </dxf>
    <dxf>
      <fill>
        <patternFill>
          <bgColor theme="5" tint="0.59996337778862885"/>
        </patternFill>
      </fill>
    </dxf>
    <dxf>
      <font>
        <color theme="2" tint="-0.24994659260841701"/>
      </font>
    </dxf>
    <dxf>
      <font>
        <color theme="2" tint="-0.24994659260841701"/>
      </font>
    </dxf>
    <dxf>
      <font>
        <color theme="2" tint="-0.24994659260841701"/>
      </font>
    </dxf>
    <dxf>
      <font>
        <color theme="2" tint="-0.24994659260841701"/>
      </font>
    </dxf>
    <dxf>
      <font>
        <color theme="6" tint="-0.24994659260841701"/>
      </font>
      <fill>
        <patternFill>
          <bgColor theme="9" tint="0.79998168889431442"/>
        </patternFill>
      </fill>
      <border>
        <vertical/>
        <horizontal/>
      </border>
    </dxf>
    <dxf>
      <font>
        <color theme="6" tint="-0.24994659260841701"/>
      </font>
      <fill>
        <patternFill>
          <bgColor theme="9" tint="0.79998168889431442"/>
        </patternFill>
      </fill>
      <border>
        <vertical/>
        <horizontal/>
      </border>
    </dxf>
    <dxf>
      <numFmt numFmtId="167" formatCode="#,##0.0"/>
    </dxf>
    <dxf>
      <fill>
        <patternFill>
          <bgColor theme="5" tint="0.59996337778862885"/>
        </patternFill>
      </fill>
    </dxf>
    <dxf>
      <font>
        <color theme="2" tint="-0.24994659260841701"/>
      </font>
    </dxf>
    <dxf>
      <font>
        <color theme="2" tint="-0.24994659260841701"/>
      </font>
    </dxf>
    <dxf>
      <font>
        <color theme="2" tint="-0.24994659260841701"/>
      </font>
    </dxf>
    <dxf>
      <font>
        <color theme="2" tint="-0.24994659260841701"/>
      </font>
    </dxf>
    <dxf>
      <font>
        <color theme="2" tint="-0.24994659260841701"/>
      </font>
    </dxf>
    <dxf>
      <alignment horizontal="general" textRotation="0" wrapText="1" indent="0" justifyLastLine="0" shrinkToFit="0" readingOrder="0"/>
    </dxf>
    <dxf>
      <alignment horizontal="center" vertical="top" textRotation="0" wrapText="0" indent="0" justifyLastLine="0" shrinkToFit="0" readingOrder="0"/>
    </dxf>
    <dxf>
      <alignment horizontal="center" vertical="top" textRotation="0" wrapText="0" indent="0" justifyLastLine="0" shrinkToFit="0" readingOrder="0"/>
    </dxf>
    <dxf>
      <font>
        <b/>
        <i val="0"/>
        <strike val="0"/>
        <condense val="0"/>
        <extend val="0"/>
        <outline val="0"/>
        <shadow val="0"/>
        <u val="none"/>
        <vertAlign val="baseline"/>
        <sz val="11"/>
        <color theme="1"/>
        <name val="Aptos Narrow"/>
        <family val="2"/>
        <scheme val="minor"/>
      </font>
    </dxf>
    <dxf>
      <font>
        <b/>
        <i val="0"/>
        <strike val="0"/>
        <condense val="0"/>
        <extend val="0"/>
        <outline val="0"/>
        <shadow val="0"/>
        <u val="none"/>
        <vertAlign val="baseline"/>
        <sz val="11"/>
        <color theme="1"/>
        <name val="Aptos Narrow"/>
        <family val="2"/>
        <scheme val="minor"/>
      </font>
    </dxf>
    <dxf>
      <font>
        <b/>
        <i val="0"/>
        <strike val="0"/>
        <condense val="0"/>
        <extend val="0"/>
        <outline val="0"/>
        <shadow val="0"/>
        <u val="none"/>
        <vertAlign val="baseline"/>
        <sz val="11"/>
        <color theme="1"/>
        <name val="Aptos Narrow"/>
        <family val="2"/>
        <scheme val="minor"/>
      </font>
    </dxf>
    <dxf>
      <font>
        <strike val="0"/>
        <outline val="0"/>
        <shadow val="0"/>
        <u val="none"/>
        <sz val="10"/>
        <name val="Arial"/>
        <family val="2"/>
        <scheme val="none"/>
      </font>
    </dxf>
    <dxf>
      <font>
        <strike val="0"/>
        <outline val="0"/>
        <shadow val="0"/>
        <u val="none"/>
        <sz val="10"/>
        <name val="Arial"/>
        <family val="2"/>
        <scheme val="none"/>
      </font>
    </dxf>
    <dxf>
      <font>
        <strike val="0"/>
        <outline val="0"/>
        <shadow val="0"/>
        <u val="none"/>
        <sz val="10"/>
        <name val="Arial"/>
        <family val="2"/>
        <scheme val="none"/>
      </font>
    </dxf>
    <dxf>
      <font>
        <strike val="0"/>
        <outline val="0"/>
        <shadow val="0"/>
        <u val="none"/>
        <sz val="10"/>
        <name val="Arial"/>
        <family val="2"/>
        <scheme val="none"/>
      </font>
    </dxf>
    <dxf>
      <font>
        <strike val="0"/>
        <outline val="0"/>
        <shadow val="0"/>
        <u val="none"/>
        <sz val="10"/>
        <name val="Arial"/>
        <family val="2"/>
        <scheme val="none"/>
      </font>
    </dxf>
    <dxf>
      <font>
        <b/>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strike val="0"/>
        <outline val="0"/>
        <shadow val="0"/>
        <u val="none"/>
        <vertAlign val="baseline"/>
        <sz val="10"/>
        <name val="Arial"/>
        <family val="2"/>
        <scheme val="none"/>
      </font>
    </dxf>
    <dxf>
      <font>
        <strike val="0"/>
        <outline val="0"/>
        <shadow val="0"/>
        <u val="none"/>
        <vertAlign val="baseline"/>
        <sz val="10"/>
        <name val="Arial"/>
        <family val="2"/>
        <scheme val="none"/>
      </font>
    </dxf>
    <dxf>
      <font>
        <strike val="0"/>
        <outline val="0"/>
        <shadow val="0"/>
        <u val="none"/>
        <vertAlign val="baseline"/>
        <sz val="10"/>
        <name val="Arial"/>
        <family val="2"/>
        <scheme val="none"/>
      </font>
    </dxf>
    <dxf>
      <font>
        <strike val="0"/>
        <outline val="0"/>
        <shadow val="0"/>
        <u val="none"/>
        <vertAlign val="baseline"/>
        <sz val="10"/>
        <name val="Arial"/>
        <family val="2"/>
        <scheme val="none"/>
      </font>
      <fill>
        <patternFill patternType="none">
          <fgColor indexed="64"/>
          <bgColor auto="1"/>
        </patternFill>
      </fill>
      <alignment horizontal="left" vertical="bottom" textRotation="0" wrapText="0" indent="0" justifyLastLine="0" shrinkToFit="0" readingOrder="0"/>
    </dxf>
    <dxf>
      <border outline="0">
        <bottom style="thin">
          <color theme="4" tint="0.39997558519241921"/>
        </bottom>
      </border>
    </dxf>
    <dxf>
      <font>
        <strike val="0"/>
        <outline val="0"/>
        <shadow val="0"/>
        <u val="none"/>
        <vertAlign val="baseline"/>
        <sz val="10"/>
        <name val="Arial"/>
        <family val="2"/>
        <scheme val="none"/>
      </font>
      <fill>
        <patternFill patternType="none">
          <fgColor indexed="64"/>
          <bgColor auto="1"/>
        </patternFill>
      </fill>
      <alignment horizontal="left" vertical="bottom" textRotation="0" wrapText="0" indent="0" justifyLastLine="0" shrinkToFit="0" readingOrder="0"/>
    </dxf>
    <dxf>
      <font>
        <strike val="0"/>
        <outline val="0"/>
        <shadow val="0"/>
        <u val="none"/>
        <vertAlign val="baseline"/>
        <sz val="10"/>
        <name val="Arial"/>
        <family val="2"/>
        <scheme val="none"/>
      </font>
      <fill>
        <patternFill patternType="none">
          <fgColor indexed="64"/>
          <bgColor auto="1"/>
        </patternFill>
      </fill>
    </dxf>
    <dxf>
      <font>
        <strike val="0"/>
        <outline val="0"/>
        <shadow val="0"/>
        <u val="none"/>
        <vertAlign val="baseline"/>
        <sz val="10"/>
        <name val="Arial"/>
        <family val="2"/>
        <scheme val="none"/>
      </font>
    </dxf>
    <dxf>
      <font>
        <strike val="0"/>
        <outline val="0"/>
        <shadow val="0"/>
        <u val="none"/>
        <vertAlign val="baseline"/>
        <sz val="10"/>
        <name val="Arial"/>
        <family val="2"/>
        <scheme val="none"/>
      </font>
    </dxf>
    <dxf>
      <font>
        <strike val="0"/>
        <outline val="0"/>
        <shadow val="0"/>
        <u val="none"/>
        <vertAlign val="baseline"/>
        <sz val="10"/>
        <name val="Arial"/>
        <family val="2"/>
        <scheme val="none"/>
      </font>
    </dxf>
    <dxf>
      <font>
        <b val="0"/>
        <i val="0"/>
        <strike val="0"/>
        <condense val="0"/>
        <extend val="0"/>
        <outline val="0"/>
        <shadow val="0"/>
        <u val="none"/>
        <vertAlign val="baseline"/>
        <sz val="10"/>
        <color rgb="FF000000"/>
        <name val="Arial"/>
        <family val="2"/>
        <scheme val="none"/>
      </font>
      <alignment horizontal="justify" vertical="center" textRotation="0" wrapText="0" indent="0" justifyLastLine="0" shrinkToFit="0" readingOrder="0"/>
    </dxf>
    <dxf>
      <font>
        <b val="0"/>
        <i val="0"/>
        <strike val="0"/>
        <condense val="0"/>
        <extend val="0"/>
        <outline val="0"/>
        <shadow val="0"/>
        <u val="none"/>
        <vertAlign val="baseline"/>
        <sz val="10"/>
        <color rgb="FF000000"/>
        <name val="Arial"/>
        <family val="2"/>
        <scheme val="none"/>
      </font>
      <alignment horizontal="justify" vertical="center" textRotation="0" wrapText="0" indent="0" justifyLastLine="0" shrinkToFit="0" readingOrder="0"/>
    </dxf>
    <dxf>
      <font>
        <strike val="0"/>
        <outline val="0"/>
        <shadow val="0"/>
        <u val="none"/>
        <vertAlign val="baseline"/>
        <sz val="10"/>
        <name val="Arial"/>
        <family val="2"/>
        <scheme val="none"/>
      </font>
    </dxf>
    <dxf>
      <font>
        <strike val="0"/>
        <outline val="0"/>
        <shadow val="0"/>
        <u val="none"/>
        <vertAlign val="baseline"/>
        <sz val="10"/>
        <name val="Arial"/>
        <family val="2"/>
        <scheme val="none"/>
      </font>
    </dxf>
    <dxf>
      <font>
        <strike val="0"/>
        <outline val="0"/>
        <shadow val="0"/>
        <u val="none"/>
        <vertAlign val="baseline"/>
        <sz val="10"/>
        <name val="Arial"/>
        <family val="2"/>
        <scheme val="none"/>
      </font>
    </dxf>
    <dxf>
      <font>
        <strike val="0"/>
        <outline val="0"/>
        <shadow val="0"/>
        <u val="none"/>
        <vertAlign val="baseline"/>
        <sz val="10"/>
        <name val="Arial"/>
        <family val="2"/>
        <scheme val="none"/>
      </font>
    </dxf>
    <dxf>
      <font>
        <strike val="0"/>
        <outline val="0"/>
        <shadow val="0"/>
        <u val="none"/>
        <vertAlign val="baseline"/>
        <sz val="10"/>
        <name val="Arial"/>
        <family val="2"/>
        <scheme val="none"/>
      </font>
    </dxf>
    <dxf>
      <font>
        <strike val="0"/>
        <outline val="0"/>
        <shadow val="0"/>
        <u val="none"/>
        <vertAlign val="baseline"/>
        <sz val="10"/>
        <name val="Arial"/>
        <family val="2"/>
        <scheme val="none"/>
      </font>
      <fill>
        <patternFill patternType="none">
          <fgColor indexed="64"/>
          <bgColor auto="1"/>
        </patternFill>
      </fill>
      <alignment horizontal="left" vertical="bottom" textRotation="0" wrapText="0" indent="0" justifyLastLine="0" shrinkToFit="0" readingOrder="0"/>
    </dxf>
    <dxf>
      <font>
        <strike val="0"/>
        <outline val="0"/>
        <shadow val="0"/>
        <u val="none"/>
        <vertAlign val="baseline"/>
        <sz val="10"/>
        <name val="Arial"/>
        <family val="2"/>
        <scheme val="none"/>
      </font>
      <fill>
        <patternFill patternType="none">
          <fgColor indexed="64"/>
          <bgColor auto="1"/>
        </patternFill>
      </fill>
      <alignment horizontal="left" vertical="bottom" textRotation="0" wrapText="0" indent="0" justifyLastLine="0" shrinkToFit="0" readingOrder="0"/>
    </dxf>
    <dxf>
      <font>
        <strike val="0"/>
        <outline val="0"/>
        <shadow val="0"/>
        <u val="none"/>
        <vertAlign val="baseline"/>
        <sz val="10"/>
        <name val="Arial"/>
        <family val="2"/>
        <scheme val="none"/>
      </font>
      <fill>
        <patternFill patternType="none">
          <fgColor indexed="64"/>
          <bgColor auto="1"/>
        </patternFill>
      </fill>
    </dxf>
    <dxf>
      <font>
        <strike val="0"/>
        <outline val="0"/>
        <shadow val="0"/>
        <u val="none"/>
        <vertAlign val="baseline"/>
        <sz val="10"/>
        <name val="Arial"/>
        <family val="2"/>
        <scheme val="none"/>
      </font>
      <fill>
        <patternFill patternType="none">
          <fgColor indexed="64"/>
          <bgColor auto="1"/>
        </patternFill>
      </fill>
      <alignment horizontal="left" vertical="bottom" textRotation="0" wrapText="0" indent="0" justifyLastLine="0" shrinkToFit="0" readingOrder="0"/>
    </dxf>
    <dxf>
      <border outline="0">
        <bottom style="thin">
          <color theme="4" tint="0.39997558519241921"/>
        </bottom>
      </border>
    </dxf>
    <dxf>
      <font>
        <strike val="0"/>
        <outline val="0"/>
        <shadow val="0"/>
        <u val="none"/>
        <vertAlign val="baseline"/>
        <sz val="10"/>
        <name val="Arial"/>
        <family val="2"/>
        <scheme val="none"/>
      </font>
      <fill>
        <patternFill patternType="none">
          <fgColor indexed="64"/>
          <bgColor auto="1"/>
        </patternFill>
      </fill>
      <alignment horizontal="left" vertical="bottom" textRotation="0" wrapText="0" indent="0" justifyLastLine="0" shrinkToFit="0" readingOrder="0"/>
    </dxf>
    <dxf>
      <font>
        <strike val="0"/>
        <outline val="0"/>
        <shadow val="0"/>
        <u val="none"/>
        <vertAlign val="baseline"/>
        <sz val="10"/>
        <name val="Arial"/>
        <family val="2"/>
        <scheme val="none"/>
      </font>
      <fill>
        <patternFill patternType="none">
          <fgColor indexed="64"/>
          <bgColor auto="1"/>
        </patternFill>
      </fill>
    </dxf>
    <dxf>
      <font>
        <strike val="0"/>
        <outline val="0"/>
        <shadow val="0"/>
        <u val="none"/>
        <vertAlign val="baseline"/>
        <sz val="10"/>
        <name val="Arial"/>
        <family val="2"/>
        <scheme val="none"/>
      </font>
      <fill>
        <patternFill patternType="none">
          <fgColor indexed="64"/>
          <bgColor auto="1"/>
        </patternFill>
      </fill>
      <alignment horizontal="left" vertical="bottom" textRotation="0" wrapText="0" indent="0" justifyLastLine="0" shrinkToFit="0" readingOrder="0"/>
    </dxf>
    <dxf>
      <border outline="0">
        <bottom style="thin">
          <color theme="4" tint="0.39997558519241921"/>
        </bottom>
      </border>
    </dxf>
    <dxf>
      <font>
        <strike val="0"/>
        <outline val="0"/>
        <shadow val="0"/>
        <u val="none"/>
        <vertAlign val="baseline"/>
        <sz val="10"/>
        <name val="Arial"/>
        <family val="2"/>
        <scheme val="none"/>
      </font>
      <fill>
        <patternFill patternType="none">
          <fgColor indexed="64"/>
          <bgColor auto="1"/>
        </patternFill>
      </fill>
      <alignment horizontal="left" vertical="bottom" textRotation="0" wrapText="0" indent="0" justifyLastLine="0" shrinkToFit="0" readingOrder="0"/>
    </dxf>
    <dxf>
      <font>
        <strike val="0"/>
        <outline val="0"/>
        <shadow val="0"/>
        <u val="none"/>
        <vertAlign val="baseline"/>
        <sz val="10"/>
        <name val="Arial"/>
        <family val="2"/>
        <scheme val="none"/>
      </font>
      <fill>
        <patternFill patternType="none">
          <fgColor indexed="64"/>
          <bgColor auto="1"/>
        </patternFill>
      </fill>
    </dxf>
    <dxf>
      <font>
        <strike val="0"/>
        <outline val="0"/>
        <shadow val="0"/>
        <u val="none"/>
        <vertAlign val="baseline"/>
        <sz val="10"/>
        <name val="Arial"/>
        <family val="2"/>
        <scheme val="none"/>
      </font>
      <alignment horizontal="left" vertical="bottom" textRotation="0" wrapText="0" indent="0" justifyLastLine="0" shrinkToFit="0" readingOrder="0"/>
    </dxf>
    <dxf>
      <font>
        <strike val="0"/>
        <outline val="0"/>
        <shadow val="0"/>
        <u val="none"/>
        <vertAlign val="baseline"/>
        <sz val="10"/>
        <name val="Arial"/>
        <family val="2"/>
        <scheme val="none"/>
      </font>
      <alignment horizontal="left" vertical="bottom" textRotation="0" wrapText="0" indent="0" justifyLastLine="0" shrinkToFit="0" readingOrder="0"/>
    </dxf>
    <dxf>
      <font>
        <strike val="0"/>
        <outline val="0"/>
        <shadow val="0"/>
        <u val="none"/>
        <vertAlign val="baseline"/>
        <sz val="10"/>
        <name val="Arial"/>
        <family val="2"/>
        <scheme val="none"/>
      </font>
    </dxf>
    <dxf>
      <font>
        <strike val="0"/>
        <outline val="0"/>
        <shadow val="0"/>
        <u val="none"/>
        <vertAlign val="baseline"/>
        <sz val="10"/>
        <name val="Arial"/>
        <family val="2"/>
        <scheme val="none"/>
      </font>
    </dxf>
    <dxf>
      <font>
        <strike val="0"/>
        <outline val="0"/>
        <shadow val="0"/>
        <u val="none"/>
        <vertAlign val="baseline"/>
        <sz val="10"/>
        <name val="Arial"/>
        <family val="2"/>
        <scheme val="none"/>
      </font>
    </dxf>
    <dxf>
      <font>
        <strike val="0"/>
        <outline val="0"/>
        <shadow val="0"/>
        <u val="none"/>
        <vertAlign val="baseline"/>
        <sz val="10"/>
        <name val="Arial"/>
        <family val="2"/>
        <scheme val="none"/>
      </font>
    </dxf>
    <dxf>
      <font>
        <strike val="0"/>
        <outline val="0"/>
        <shadow val="0"/>
        <u val="none"/>
        <vertAlign val="baseline"/>
        <sz val="10"/>
        <name val="Arial"/>
        <family val="2"/>
        <scheme val="none"/>
      </font>
      <alignment horizontal="left" vertical="bottom" textRotation="0" wrapText="0" indent="0" justifyLastLine="0" shrinkToFit="0" readingOrder="0"/>
    </dxf>
    <dxf>
      <font>
        <strike val="0"/>
        <outline val="0"/>
        <shadow val="0"/>
        <u val="none"/>
        <vertAlign val="baseline"/>
        <sz val="10"/>
        <name val="Arial"/>
        <family val="2"/>
        <scheme val="none"/>
      </font>
      <alignment horizontal="left" vertical="bottom" textRotation="0" wrapText="0" indent="0" justifyLastLine="0" shrinkToFit="0" readingOrder="0"/>
    </dxf>
    <dxf>
      <font>
        <strike val="0"/>
        <outline val="0"/>
        <shadow val="0"/>
        <u val="none"/>
        <vertAlign val="baseline"/>
        <sz val="10"/>
        <name val="Arial"/>
        <family val="2"/>
        <scheme val="none"/>
      </font>
    </dxf>
    <dxf>
      <font>
        <strike val="0"/>
        <outline val="0"/>
        <shadow val="0"/>
        <u val="none"/>
        <vertAlign val="baseline"/>
        <sz val="10"/>
        <name val="Arial"/>
        <family val="2"/>
        <scheme val="none"/>
      </font>
      <alignment horizontal="left" vertical="bottom" textRotation="0" wrapText="0" indent="0" justifyLastLine="0" shrinkToFit="0" readingOrder="0"/>
    </dxf>
    <dxf>
      <font>
        <strike val="0"/>
        <outline val="0"/>
        <shadow val="0"/>
        <u val="none"/>
        <vertAlign val="baseline"/>
        <sz val="10"/>
        <name val="Arial"/>
        <family val="2"/>
        <scheme val="none"/>
      </font>
      <alignment horizontal="left" vertical="bottom" textRotation="0" wrapText="0" indent="0" justifyLastLine="0" shrinkToFit="0" readingOrder="0"/>
    </dxf>
    <dxf>
      <font>
        <strike val="0"/>
        <outline val="0"/>
        <shadow val="0"/>
        <u val="none"/>
        <vertAlign val="baseline"/>
        <sz val="10"/>
        <name val="Arial"/>
        <family val="2"/>
        <scheme val="none"/>
      </font>
    </dxf>
  </dxfs>
  <tableStyles count="0" defaultTableStyle="TableStyleMedium2" defaultPivotStyle="PivotStyleLight16"/>
  <colors>
    <mruColors>
      <color rgb="FFFF6D6D"/>
      <color rgb="FFF9B691"/>
      <color rgb="FFFF8B8B"/>
      <color rgb="FFA9D0ED"/>
      <color rgb="FF12385F"/>
      <color rgb="FF92BEEA"/>
      <color rgb="FFF79965"/>
      <color rgb="FF77D157"/>
      <color rgb="FFFFCE33"/>
      <color rgb="FFFABB9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microsoft.com/office/2017/06/relationships/rdRichValueStructure" Target="richData/rdrichvaluestructure.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theme" Target="theme/theme1.xml"/><Relationship Id="rId17" Type="http://schemas.microsoft.com/office/2017/06/relationships/rdRichValue" Target="richData/rdrichvalue.xml"/><Relationship Id="rId2" Type="http://schemas.openxmlformats.org/officeDocument/2006/relationships/worksheet" Target="worksheets/sheet2.xml"/><Relationship Id="rId16" Type="http://schemas.microsoft.com/office/2022/10/relationships/richValueRel" Target="richData/richValueRel.xml"/><Relationship Id="rId20"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microsoft.com/office/2017/06/relationships/rdRichValueTypes" Target="richData/rdRichValueTyp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Graph!$B$5</c:f>
          <c:strCache>
            <c:ptCount val="1"/>
            <c:pt idx="0">
              <c:v>Vergleich der Varianten | -&gt; Gemeinde | 2024</c:v>
            </c:pt>
          </c:strCache>
        </c:strRef>
      </c:tx>
      <c:overlay val="0"/>
      <c:spPr>
        <a:noFill/>
        <a:ln>
          <a:noFill/>
        </a:ln>
        <a:effectLst/>
      </c:spPr>
      <c:txPr>
        <a:bodyPr rot="0" spcFirstLastPara="1" vertOverflow="ellipsis" vert="horz" wrap="square" anchor="ctr" anchorCtr="1"/>
        <a:lstStyle/>
        <a:p>
          <a:pPr>
            <a:defRPr sz="2000" b="1"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manualLayout>
          <c:layoutTarget val="inner"/>
          <c:xMode val="edge"/>
          <c:yMode val="edge"/>
          <c:x val="0.13010282428389397"/>
          <c:y val="0.12962869788955336"/>
          <c:w val="0.73761962327323205"/>
          <c:h val="0.81140143133831655"/>
        </c:manualLayout>
      </c:layout>
      <c:barChart>
        <c:barDir val="col"/>
        <c:grouping val="stacked"/>
        <c:varyColors val="0"/>
        <c:ser>
          <c:idx val="0"/>
          <c:order val="0"/>
          <c:tx>
            <c:strRef>
              <c:f>Graph!$B$15</c:f>
              <c:strCache>
                <c:ptCount val="1"/>
                <c:pt idx="0">
                  <c:v>Scope 1 Energie</c:v>
                </c:pt>
              </c:strCache>
            </c:strRef>
          </c:tx>
          <c:spPr>
            <a:solidFill>
              <a:srgbClr val="F36025">
                <a:alpha val="80000"/>
              </a:srgbClr>
            </a:solidFill>
            <a:ln>
              <a:noFill/>
            </a:ln>
            <a:effectLst/>
          </c:spPr>
          <c:invertIfNegative val="0"/>
          <c:dPt>
            <c:idx val="0"/>
            <c:invertIfNegative val="0"/>
            <c:bubble3D val="0"/>
            <c:spPr>
              <a:solidFill>
                <a:srgbClr val="F36025">
                  <a:alpha val="60000"/>
                </a:srgbClr>
              </a:solidFill>
              <a:ln>
                <a:noFill/>
              </a:ln>
              <a:effectLst/>
            </c:spPr>
            <c:extLst>
              <c:ext xmlns:c16="http://schemas.microsoft.com/office/drawing/2014/chart" uri="{C3380CC4-5D6E-409C-BE32-E72D297353CC}">
                <c16:uniqueId val="{00000000-77EC-47AF-9ADA-5D2A35A262E2}"/>
              </c:ext>
            </c:extLst>
          </c:dPt>
          <c:dPt>
            <c:idx val="1"/>
            <c:invertIfNegative val="0"/>
            <c:bubble3D val="0"/>
            <c:spPr>
              <a:solidFill>
                <a:srgbClr val="F36025">
                  <a:alpha val="60000"/>
                </a:srgbClr>
              </a:solidFill>
              <a:ln>
                <a:noFill/>
              </a:ln>
              <a:effectLst/>
            </c:spPr>
            <c:extLst>
              <c:ext xmlns:c16="http://schemas.microsoft.com/office/drawing/2014/chart" uri="{C3380CC4-5D6E-409C-BE32-E72D297353CC}">
                <c16:uniqueId val="{00000001-77EC-47AF-9ADA-5D2A35A262E2}"/>
              </c:ext>
            </c:extLst>
          </c:dPt>
          <c:dPt>
            <c:idx val="2"/>
            <c:invertIfNegative val="0"/>
            <c:bubble3D val="0"/>
            <c:spPr>
              <a:solidFill>
                <a:srgbClr val="F36025">
                  <a:alpha val="60000"/>
                </a:srgbClr>
              </a:solidFill>
              <a:ln>
                <a:noFill/>
              </a:ln>
              <a:effectLst/>
            </c:spPr>
            <c:extLst>
              <c:ext xmlns:c16="http://schemas.microsoft.com/office/drawing/2014/chart" uri="{C3380CC4-5D6E-409C-BE32-E72D297353CC}">
                <c16:uniqueId val="{00000002-77EC-47AF-9ADA-5D2A35A262E2}"/>
              </c:ext>
            </c:extLst>
          </c:dPt>
          <c:dPt>
            <c:idx val="3"/>
            <c:invertIfNegative val="0"/>
            <c:bubble3D val="0"/>
            <c:spPr>
              <a:solidFill>
                <a:srgbClr val="F36025">
                  <a:alpha val="60000"/>
                </a:srgbClr>
              </a:solidFill>
              <a:ln>
                <a:noFill/>
              </a:ln>
              <a:effectLst/>
            </c:spPr>
            <c:extLst>
              <c:ext xmlns:c16="http://schemas.microsoft.com/office/drawing/2014/chart" uri="{C3380CC4-5D6E-409C-BE32-E72D297353CC}">
                <c16:uniqueId val="{00000003-77EC-47AF-9ADA-5D2A35A262E2}"/>
              </c:ext>
            </c:extLst>
          </c:dPt>
          <c:dPt>
            <c:idx val="4"/>
            <c:invertIfNegative val="0"/>
            <c:bubble3D val="0"/>
            <c:spPr>
              <a:solidFill>
                <a:srgbClr val="F36025">
                  <a:alpha val="90000"/>
                </a:srgbClr>
              </a:solidFill>
              <a:ln>
                <a:noFill/>
              </a:ln>
              <a:effectLst/>
            </c:spPr>
            <c:extLst>
              <c:ext xmlns:c16="http://schemas.microsoft.com/office/drawing/2014/chart" uri="{C3380CC4-5D6E-409C-BE32-E72D297353CC}">
                <c16:uniqueId val="{00000005-77EC-47AF-9ADA-5D2A35A262E2}"/>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de-D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Graph!$C$7:$G$7</c:f>
              <c:strCache>
                <c:ptCount val="5"/>
                <c:pt idx="0">
                  <c:v>Scope 1</c:v>
                </c:pt>
                <c:pt idx="1">
                  <c:v>Scope 1 + 2</c:v>
                </c:pt>
                <c:pt idx="2">
                  <c:v>Scope 1 + 2 + 3</c:v>
                </c:pt>
                <c:pt idx="3">
                  <c:v>Energie 1 + 2 + 3</c:v>
                </c:pt>
                <c:pt idx="4">
                  <c:v>Energie 1 + 2</c:v>
                </c:pt>
              </c:strCache>
            </c:strRef>
          </c:cat>
          <c:val>
            <c:numRef>
              <c:f>Graph!$C$15:$G$15</c:f>
              <c:numCache>
                <c:formatCode>#,##0.00</c:formatCode>
                <c:ptCount val="5"/>
                <c:pt idx="0">
                  <c:v>0</c:v>
                </c:pt>
                <c:pt idx="1">
                  <c:v>0</c:v>
                </c:pt>
                <c:pt idx="2">
                  <c:v>0</c:v>
                </c:pt>
                <c:pt idx="3">
                  <c:v>0</c:v>
                </c:pt>
                <c:pt idx="4">
                  <c:v>0</c:v>
                </c:pt>
              </c:numCache>
            </c:numRef>
          </c:val>
          <c:extLst>
            <c:ext xmlns:c16="http://schemas.microsoft.com/office/drawing/2014/chart" uri="{C3380CC4-5D6E-409C-BE32-E72D297353CC}">
              <c16:uniqueId val="{00000000-7BCF-4F1E-B2A8-67A25EB0FF92}"/>
            </c:ext>
          </c:extLst>
        </c:ser>
        <c:ser>
          <c:idx val="1"/>
          <c:order val="1"/>
          <c:tx>
            <c:strRef>
              <c:f>Graph!$B$14</c:f>
              <c:strCache>
                <c:ptCount val="1"/>
                <c:pt idx="0">
                  <c:v>Scope 2 Energie</c:v>
                </c:pt>
              </c:strCache>
            </c:strRef>
          </c:tx>
          <c:spPr>
            <a:solidFill>
              <a:srgbClr val="002060">
                <a:alpha val="50000"/>
              </a:srgbClr>
            </a:solidFill>
            <a:ln>
              <a:noFill/>
            </a:ln>
            <a:effectLst/>
          </c:spPr>
          <c:invertIfNegative val="0"/>
          <c:dPt>
            <c:idx val="4"/>
            <c:invertIfNegative val="0"/>
            <c:bubble3D val="0"/>
            <c:spPr>
              <a:solidFill>
                <a:srgbClr val="002060">
                  <a:alpha val="90000"/>
                </a:srgbClr>
              </a:solidFill>
              <a:ln>
                <a:noFill/>
              </a:ln>
              <a:effectLst/>
            </c:spPr>
            <c:extLst>
              <c:ext xmlns:c16="http://schemas.microsoft.com/office/drawing/2014/chart" uri="{C3380CC4-5D6E-409C-BE32-E72D297353CC}">
                <c16:uniqueId val="{00000004-77EC-47AF-9ADA-5D2A35A262E2}"/>
              </c:ext>
            </c:extLst>
          </c:dPt>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n-US" sz="900" b="0" i="0" u="none" strike="noStrike" kern="1200" baseline="0">
                    <a:solidFill>
                      <a:schemeClr val="bg1"/>
                    </a:solidFill>
                    <a:latin typeface="+mn-lt"/>
                    <a:ea typeface="+mn-ea"/>
                    <a:cs typeface="+mn-cs"/>
                  </a:defRPr>
                </a:pPr>
                <a:endParaRPr lang="de-D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Graph!$C$7:$G$7</c:f>
              <c:strCache>
                <c:ptCount val="5"/>
                <c:pt idx="0">
                  <c:v>Scope 1</c:v>
                </c:pt>
                <c:pt idx="1">
                  <c:v>Scope 1 + 2</c:v>
                </c:pt>
                <c:pt idx="2">
                  <c:v>Scope 1 + 2 + 3</c:v>
                </c:pt>
                <c:pt idx="3">
                  <c:v>Energie 1 + 2 + 3</c:v>
                </c:pt>
                <c:pt idx="4">
                  <c:v>Energie 1 + 2</c:v>
                </c:pt>
              </c:strCache>
            </c:strRef>
          </c:cat>
          <c:val>
            <c:numRef>
              <c:f>Graph!$C$14:$G$14</c:f>
              <c:numCache>
                <c:formatCode>#,##0.00</c:formatCode>
                <c:ptCount val="5"/>
                <c:pt idx="1">
                  <c:v>0</c:v>
                </c:pt>
                <c:pt idx="2">
                  <c:v>0</c:v>
                </c:pt>
                <c:pt idx="3">
                  <c:v>0</c:v>
                </c:pt>
                <c:pt idx="4">
                  <c:v>0</c:v>
                </c:pt>
              </c:numCache>
            </c:numRef>
          </c:val>
          <c:extLst>
            <c:ext xmlns:c16="http://schemas.microsoft.com/office/drawing/2014/chart" uri="{C3380CC4-5D6E-409C-BE32-E72D297353CC}">
              <c16:uniqueId val="{00000001-7BCF-4F1E-B2A8-67A25EB0FF92}"/>
            </c:ext>
          </c:extLst>
        </c:ser>
        <c:ser>
          <c:idx val="2"/>
          <c:order val="2"/>
          <c:tx>
            <c:strRef>
              <c:f>Graph!$B$13</c:f>
              <c:strCache>
                <c:ptCount val="1"/>
                <c:pt idx="0">
                  <c:v>Scope 3 Energie</c:v>
                </c:pt>
              </c:strCache>
            </c:strRef>
          </c:tx>
          <c:spPr>
            <a:solidFill>
              <a:schemeClr val="bg1">
                <a:lumMod val="85000"/>
                <a:alpha val="50000"/>
              </a:schemeClr>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Graph!$C$7:$G$7</c:f>
              <c:strCache>
                <c:ptCount val="5"/>
                <c:pt idx="0">
                  <c:v>Scope 1</c:v>
                </c:pt>
                <c:pt idx="1">
                  <c:v>Scope 1 + 2</c:v>
                </c:pt>
                <c:pt idx="2">
                  <c:v>Scope 1 + 2 + 3</c:v>
                </c:pt>
                <c:pt idx="3">
                  <c:v>Energie 1 + 2 + 3</c:v>
                </c:pt>
                <c:pt idx="4">
                  <c:v>Energie 1 + 2</c:v>
                </c:pt>
              </c:strCache>
            </c:strRef>
          </c:cat>
          <c:val>
            <c:numRef>
              <c:f>Graph!$C$13:$G$13</c:f>
              <c:numCache>
                <c:formatCode>#,##0.00</c:formatCode>
                <c:ptCount val="5"/>
                <c:pt idx="2">
                  <c:v>0</c:v>
                </c:pt>
                <c:pt idx="3">
                  <c:v>0</c:v>
                </c:pt>
              </c:numCache>
            </c:numRef>
          </c:val>
          <c:extLst>
            <c:ext xmlns:c16="http://schemas.microsoft.com/office/drawing/2014/chart" uri="{C3380CC4-5D6E-409C-BE32-E72D297353CC}">
              <c16:uniqueId val="{00000002-7BCF-4F1E-B2A8-67A25EB0FF92}"/>
            </c:ext>
          </c:extLst>
        </c:ser>
        <c:ser>
          <c:idx val="3"/>
          <c:order val="3"/>
          <c:tx>
            <c:strRef>
              <c:f>Graph!$B$12</c:f>
              <c:strCache>
                <c:ptCount val="1"/>
                <c:pt idx="0">
                  <c:v>Scope 1 übrige</c:v>
                </c:pt>
              </c:strCache>
            </c:strRef>
          </c:tx>
          <c:spPr>
            <a:solidFill>
              <a:schemeClr val="accent2">
                <a:lumMod val="40000"/>
                <a:lumOff val="60000"/>
                <a:alpha val="50000"/>
              </a:schemeClr>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Graph!$C$7:$G$7</c:f>
              <c:strCache>
                <c:ptCount val="5"/>
                <c:pt idx="0">
                  <c:v>Scope 1</c:v>
                </c:pt>
                <c:pt idx="1">
                  <c:v>Scope 1 + 2</c:v>
                </c:pt>
                <c:pt idx="2">
                  <c:v>Scope 1 + 2 + 3</c:v>
                </c:pt>
                <c:pt idx="3">
                  <c:v>Energie 1 + 2 + 3</c:v>
                </c:pt>
                <c:pt idx="4">
                  <c:v>Energie 1 + 2</c:v>
                </c:pt>
              </c:strCache>
            </c:strRef>
          </c:cat>
          <c:val>
            <c:numRef>
              <c:f>Graph!$C$12:$G$12</c:f>
              <c:numCache>
                <c:formatCode>#,##0.00</c:formatCode>
                <c:ptCount val="5"/>
                <c:pt idx="0">
                  <c:v>0</c:v>
                </c:pt>
                <c:pt idx="1">
                  <c:v>0</c:v>
                </c:pt>
                <c:pt idx="2">
                  <c:v>0</c:v>
                </c:pt>
              </c:numCache>
            </c:numRef>
          </c:val>
          <c:extLst>
            <c:ext xmlns:c16="http://schemas.microsoft.com/office/drawing/2014/chart" uri="{C3380CC4-5D6E-409C-BE32-E72D297353CC}">
              <c16:uniqueId val="{00000003-7BCF-4F1E-B2A8-67A25EB0FF92}"/>
            </c:ext>
          </c:extLst>
        </c:ser>
        <c:ser>
          <c:idx val="4"/>
          <c:order val="4"/>
          <c:tx>
            <c:strRef>
              <c:f>Graph!$B$11</c:f>
              <c:strCache>
                <c:ptCount val="1"/>
                <c:pt idx="0">
                  <c:v>Scope 3 übrige</c:v>
                </c:pt>
              </c:strCache>
            </c:strRef>
          </c:tx>
          <c:spPr>
            <a:solidFill>
              <a:schemeClr val="tx2">
                <a:lumMod val="25000"/>
                <a:lumOff val="75000"/>
                <a:alpha val="50000"/>
              </a:schemeClr>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Graph!$C$7:$G$7</c:f>
              <c:strCache>
                <c:ptCount val="5"/>
                <c:pt idx="0">
                  <c:v>Scope 1</c:v>
                </c:pt>
                <c:pt idx="1">
                  <c:v>Scope 1 + 2</c:v>
                </c:pt>
                <c:pt idx="2">
                  <c:v>Scope 1 + 2 + 3</c:v>
                </c:pt>
                <c:pt idx="3">
                  <c:v>Energie 1 + 2 + 3</c:v>
                </c:pt>
                <c:pt idx="4">
                  <c:v>Energie 1 + 2</c:v>
                </c:pt>
              </c:strCache>
            </c:strRef>
          </c:cat>
          <c:val>
            <c:numRef>
              <c:f>Graph!$C$11:$G$11</c:f>
              <c:numCache>
                <c:formatCode>#,##0.00</c:formatCode>
                <c:ptCount val="5"/>
                <c:pt idx="2">
                  <c:v>0</c:v>
                </c:pt>
              </c:numCache>
            </c:numRef>
          </c:val>
          <c:extLst>
            <c:ext xmlns:c16="http://schemas.microsoft.com/office/drawing/2014/chart" uri="{C3380CC4-5D6E-409C-BE32-E72D297353CC}">
              <c16:uniqueId val="{00000004-7BCF-4F1E-B2A8-67A25EB0FF92}"/>
            </c:ext>
          </c:extLst>
        </c:ser>
        <c:dLbls>
          <c:dLblPos val="ctr"/>
          <c:showLegendKey val="0"/>
          <c:showVal val="1"/>
          <c:showCatName val="0"/>
          <c:showSerName val="0"/>
          <c:showPercent val="0"/>
          <c:showBubbleSize val="0"/>
        </c:dLbls>
        <c:gapWidth val="40"/>
        <c:overlap val="100"/>
        <c:axId val="1392796735"/>
        <c:axId val="1407219999"/>
      </c:barChart>
      <c:catAx>
        <c:axId val="139279673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de-DE"/>
          </a:p>
        </c:txPr>
        <c:crossAx val="1407219999"/>
        <c:crosses val="autoZero"/>
        <c:auto val="1"/>
        <c:lblAlgn val="ctr"/>
        <c:lblOffset val="100"/>
        <c:noMultiLvlLbl val="0"/>
      </c:catAx>
      <c:valAx>
        <c:axId val="1407219999"/>
        <c:scaling>
          <c:orientation val="minMax"/>
        </c:scaling>
        <c:delete val="0"/>
        <c:axPos val="l"/>
        <c:majorGridlines>
          <c:spPr>
            <a:ln w="9525" cap="flat" cmpd="sng" algn="ctr">
              <a:solidFill>
                <a:schemeClr val="tx1">
                  <a:lumMod val="15000"/>
                  <a:lumOff val="85000"/>
                </a:schemeClr>
              </a:solidFill>
              <a:round/>
            </a:ln>
            <a:effectLst/>
          </c:spPr>
        </c:majorGridlines>
        <c:title>
          <c:tx>
            <c:strRef>
              <c:f>Graph!$C$3</c:f>
              <c:strCache>
                <c:ptCount val="1"/>
                <c:pt idx="0">
                  <c:v>tCO2-eq / Einwohner</c:v>
                </c:pt>
              </c:strCache>
            </c:strRef>
          </c:tx>
          <c:layout>
            <c:manualLayout>
              <c:xMode val="edge"/>
              <c:yMode val="edge"/>
              <c:x val="3.7937166567871959E-2"/>
              <c:y val="0.3813706320878551"/>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392796735"/>
        <c:crosses val="autoZero"/>
        <c:crossBetween val="between"/>
      </c:valAx>
      <c:spPr>
        <a:noFill/>
        <a:ln>
          <a:noFill/>
        </a:ln>
        <a:effectLst/>
      </c:spPr>
    </c:plotArea>
    <c:legend>
      <c:legendPos val="r"/>
      <c:layout>
        <c:manualLayout>
          <c:xMode val="edge"/>
          <c:yMode val="edge"/>
          <c:x val="0.87719245686783631"/>
          <c:y val="0.54080322907214018"/>
          <c:w val="0.11126327051442221"/>
          <c:h val="0.26639999403342773"/>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image" Target="../media/image8.png"/><Relationship Id="rId1" Type="http://schemas.openxmlformats.org/officeDocument/2006/relationships/image" Target="../media/image7.png"/></Relationships>
</file>

<file path=xl/drawings/_rels/drawing2.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1</xdr:col>
      <xdr:colOff>406550</xdr:colOff>
      <xdr:row>10</xdr:row>
      <xdr:rowOff>418653</xdr:rowOff>
    </xdr:from>
    <xdr:to>
      <xdr:col>2</xdr:col>
      <xdr:colOff>1431050</xdr:colOff>
      <xdr:row>10</xdr:row>
      <xdr:rowOff>1998458</xdr:rowOff>
    </xdr:to>
    <xdr:pic>
      <xdr:nvPicPr>
        <xdr:cNvPr id="2" name="Grafik 1">
          <a:extLst>
            <a:ext uri="{FF2B5EF4-FFF2-40B4-BE49-F238E27FC236}">
              <a16:creationId xmlns:a16="http://schemas.microsoft.com/office/drawing/2014/main" id="{1120BFD7-CA63-AF11-C7A4-2D12AD832781}"/>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978050" y="2110741"/>
          <a:ext cx="1668950" cy="15759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229383</xdr:colOff>
      <xdr:row>10</xdr:row>
      <xdr:rowOff>2057625</xdr:rowOff>
    </xdr:from>
    <xdr:to>
      <xdr:col>2</xdr:col>
      <xdr:colOff>1542602</xdr:colOff>
      <xdr:row>13</xdr:row>
      <xdr:rowOff>511659</xdr:rowOff>
    </xdr:to>
    <xdr:pic>
      <xdr:nvPicPr>
        <xdr:cNvPr id="3" name="Grafik 2">
          <a:extLst>
            <a:ext uri="{FF2B5EF4-FFF2-40B4-BE49-F238E27FC236}">
              <a16:creationId xmlns:a16="http://schemas.microsoft.com/office/drawing/2014/main" id="{219FFAF0-F680-199E-6F73-E556EC294BBB}"/>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Lst>
        </a:blip>
        <a:stretch>
          <a:fillRect/>
        </a:stretch>
      </xdr:blipFill>
      <xdr:spPr>
        <a:xfrm>
          <a:off x="778471" y="3816949"/>
          <a:ext cx="1933353" cy="1584285"/>
        </a:xfrm>
        <a:prstGeom prst="rect">
          <a:avLst/>
        </a:prstGeom>
      </xdr:spPr>
    </xdr:pic>
    <xdr:clientData/>
  </xdr:twoCellAnchor>
  <xdr:twoCellAnchor editAs="oneCell">
    <xdr:from>
      <xdr:col>1</xdr:col>
      <xdr:colOff>270172</xdr:colOff>
      <xdr:row>13</xdr:row>
      <xdr:rowOff>217842</xdr:rowOff>
    </xdr:from>
    <xdr:to>
      <xdr:col>2</xdr:col>
      <xdr:colOff>1658357</xdr:colOff>
      <xdr:row>13</xdr:row>
      <xdr:rowOff>970317</xdr:rowOff>
    </xdr:to>
    <xdr:pic>
      <xdr:nvPicPr>
        <xdr:cNvPr id="4" name="Picture 3">
          <a:extLst>
            <a:ext uri="{FF2B5EF4-FFF2-40B4-BE49-F238E27FC236}">
              <a16:creationId xmlns:a16="http://schemas.microsoft.com/office/drawing/2014/main" id="{4F3BFF86-738A-DD64-B604-254128D3A886}"/>
            </a:ext>
          </a:extLst>
        </xdr:cNvPr>
        <xdr:cNvPicPr>
          <a:picLocks noChangeAspect="1"/>
        </xdr:cNvPicPr>
      </xdr:nvPicPr>
      <xdr:blipFill>
        <a:blip xmlns:r="http://schemas.openxmlformats.org/officeDocument/2006/relationships" r:embed="rId3" cstate="email">
          <a:extLst>
            <a:ext uri="{28A0092B-C50C-407E-A947-70E740481C1C}">
              <a14:useLocalDpi xmlns:a14="http://schemas.microsoft.com/office/drawing/2010/main"/>
            </a:ext>
          </a:extLst>
        </a:blip>
        <a:stretch>
          <a:fillRect/>
        </a:stretch>
      </xdr:blipFill>
      <xdr:spPr>
        <a:xfrm>
          <a:off x="841672" y="5193254"/>
          <a:ext cx="2015490" cy="76581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xdr:colOff>
      <xdr:row>16</xdr:row>
      <xdr:rowOff>136205</xdr:rowOff>
    </xdr:from>
    <xdr:to>
      <xdr:col>7</xdr:col>
      <xdr:colOff>1268730</xdr:colOff>
      <xdr:row>41</xdr:row>
      <xdr:rowOff>85725</xdr:rowOff>
    </xdr:to>
    <xdr:graphicFrame macro="">
      <xdr:nvGraphicFramePr>
        <xdr:cNvPr id="2" name="Diagramm 1">
          <a:extLst>
            <a:ext uri="{FF2B5EF4-FFF2-40B4-BE49-F238E27FC236}">
              <a16:creationId xmlns:a16="http://schemas.microsoft.com/office/drawing/2014/main" id="{103DB542-3889-DD85-C38F-159A19172C9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6</xdr:col>
      <xdr:colOff>1057184</xdr:colOff>
      <xdr:row>17</xdr:row>
      <xdr:rowOff>156209</xdr:rowOff>
    </xdr:from>
    <xdr:to>
      <xdr:col>7</xdr:col>
      <xdr:colOff>1030606</xdr:colOff>
      <xdr:row>25</xdr:row>
      <xdr:rowOff>152400</xdr:rowOff>
    </xdr:to>
    <xdr:pic>
      <xdr:nvPicPr>
        <xdr:cNvPr id="3" name="Grafik 2">
          <a:extLst>
            <a:ext uri="{FF2B5EF4-FFF2-40B4-BE49-F238E27FC236}">
              <a16:creationId xmlns:a16="http://schemas.microsoft.com/office/drawing/2014/main" id="{120425C2-63D7-4EDE-9D67-845042178DA7}"/>
            </a:ext>
          </a:extLst>
        </xdr:cNvPr>
        <xdr:cNvPicPr>
          <a:picLocks noChangeAspect="1" noChangeArrowheads="1"/>
        </xdr:cNvPicPr>
      </xdr:nvPicPr>
      <xdr:blipFill>
        <a:blip xmlns:r="http://schemas.openxmlformats.org/officeDocument/2006/relationships" r:embed="rId2" cstate="email">
          <a:extLst>
            <a:ext uri="{28A0092B-C50C-407E-A947-70E740481C1C}">
              <a14:useLocalDpi xmlns:a14="http://schemas.microsoft.com/office/drawing/2010/main"/>
            </a:ext>
          </a:extLst>
        </a:blip>
        <a:srcRect/>
        <a:stretch>
          <a:fillRect/>
        </a:stretch>
      </xdr:blipFill>
      <xdr:spPr bwMode="auto">
        <a:xfrm>
          <a:off x="8391434" y="2889884"/>
          <a:ext cx="1411697" cy="13677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file>

<file path=xl/richData/_rels/richValueRel.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8">
  <rv s="0">
    <v>0</v>
    <v>4</v>
  </rv>
  <rv s="0">
    <v>1</v>
    <v>4</v>
  </rv>
  <rv s="0">
    <v>0</v>
    <v>5</v>
  </rv>
  <rv s="0">
    <v>1</v>
    <v>5</v>
  </rv>
  <rv s="0">
    <v>2</v>
    <v>5</v>
  </rv>
  <rv s="0">
    <v>3</v>
    <v>5</v>
  </rv>
  <rv s="0">
    <v>4</v>
    <v>5</v>
  </rv>
  <rv s="0">
    <v>5</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el r:id="rId4"/>
  <rel r:id="rId5"/>
  <rel r:id="rId6"/>
</richValueRel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EF037E2-5DC3-44B5-A136-71B20183CB48}" name="Scope" displayName="Scope" ref="A1:A6" totalsRowShown="0" headerRowDxfId="116" dataDxfId="115">
  <autoFilter ref="A1:A6" xr:uid="{2EF037E2-5DC3-44B5-A136-71B20183CB48}"/>
  <tableColumns count="1">
    <tableColumn id="1" xr3:uid="{545B012D-F95B-4F4D-8838-0A5B4D8161B1}" name="Scope" dataDxfId="114"/>
  </tableColumns>
  <tableStyleInfo name="TableStyleMedium3"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203E8448-0001-4796-A606-24B940BF1948}" name="GraphUnit" displayName="GraphUnit" ref="C17:C19" totalsRowShown="0" headerRowDxfId="86" dataDxfId="85">
  <autoFilter ref="C17:C19" xr:uid="{203E8448-0001-4796-A606-24B940BF1948}"/>
  <tableColumns count="1">
    <tableColumn id="1" xr3:uid="{274893BA-32CB-46A4-A11A-4B541022274F}" name="GraphUnit" dataDxfId="84"/>
  </tableColumns>
  <tableStyleInfo name="TableStyleMedium3"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9DF9DC83-15DA-4F0C-AF8B-32833854E18F}" name="UnitHP" displayName="UnitHP" ref="A29:A31" totalsRowShown="0" headerRowDxfId="83" dataDxfId="82" tableBorderDxfId="81">
  <autoFilter ref="A29:A31" xr:uid="{9DF9DC83-15DA-4F0C-AF8B-32833854E18F}"/>
  <tableColumns count="1">
    <tableColumn id="1" xr3:uid="{5FD05BAE-0B97-4B70-B58E-F26D0D75623D}" name="UnitHP" dataDxfId="80"/>
  </tableColumns>
  <tableStyleInfo name="TableStyleMedium3"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EC8E87A1-3C35-46C7-80EB-C238596C8F8B}" name="UnitSolarPannel" displayName="UnitSolarPannel" ref="C22:C24" totalsRowShown="0" headerRowDxfId="79" dataDxfId="78">
  <autoFilter ref="C22:C24" xr:uid="{EC8E87A1-3C35-46C7-80EB-C238596C8F8B}"/>
  <tableColumns count="1">
    <tableColumn id="1" xr3:uid="{A29654F4-309E-4DDC-B2A0-459250C4861E}" name="UnitSolarPannel" dataDxfId="77"/>
  </tableColumns>
  <tableStyleInfo name="TableStyleMedium3"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74AEF64E-FFE7-463A-AE36-361C5D234831}" name="UnitGWR" displayName="UnitGWR" ref="C26:C28" totalsRowShown="0" headerRowDxfId="76" dataDxfId="75">
  <autoFilter ref="C26:C28" xr:uid="{74AEF64E-FFE7-463A-AE36-361C5D234831}"/>
  <tableColumns count="1">
    <tableColumn id="1" xr3:uid="{68C974DE-7512-4F6C-9280-96AEDB77C276}" name="UnitGWR" dataDxfId="74"/>
  </tableColumns>
  <tableStyleInfo name="TableStyleMedium3"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2B3AD93E-9029-4DB6-A3BB-D3BD6B74CE12}" name="Texts" displayName="Texts" ref="A1:D1048576" totalsRowShown="0" headerRowDxfId="73" dataDxfId="72">
  <autoFilter ref="A1:D1048576" xr:uid="{2B3AD93E-9029-4DB6-A3BB-D3BD6B74CE12}"/>
  <tableColumns count="4">
    <tableColumn id="1" xr3:uid="{DBE0A646-3DFE-4B2C-A341-B4CFDC7CEE25}" name="Index" dataDxfId="71"/>
    <tableColumn id="2" xr3:uid="{3A75BB71-907A-4BE6-ADB8-9C9C3A8591C9}" name="Deutsch" dataDxfId="70"/>
    <tableColumn id="3" xr3:uid="{6C956889-6346-47A9-916B-174300A9AACB}" name="Français" dataDxfId="69"/>
    <tableColumn id="4" xr3:uid="{664579E9-3D14-4F14-88EC-199C189F16A2}" name="Italiano" dataDxfId="68"/>
  </tableColumns>
  <tableStyleInfo name="TableStyleMedium3"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3D2D5675-B638-4645-8209-5CC67DC92BCC}" name="Language" displayName="Language" ref="F1:G5" totalsRowShown="0" dataDxfId="67">
  <autoFilter ref="F1:G5" xr:uid="{3D2D5675-B638-4645-8209-5CC67DC92BCC}"/>
  <tableColumns count="2">
    <tableColumn id="1" xr3:uid="{10C21FB1-B93E-4D9E-9D42-B273417BF0DB}" name="Sprache" dataDxfId="66"/>
    <tableColumn id="2" xr3:uid="{2A1D1A89-EA70-4EC1-B86F-36D08EA68DDD}" name="idx_lang" dataDxfId="65"/>
  </tableColumns>
  <tableStyleInfo name="TableStyleMedium3"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52D06454-38E0-4043-9E0B-DADD227D27B1}" name="Tabelle15" displayName="Tabelle15" ref="A1:C32" totalsRowShown="0">
  <autoFilter ref="A1:C32" xr:uid="{52D06454-38E0-4043-9E0B-DADD227D27B1}"/>
  <tableColumns count="3">
    <tableColumn id="1" xr3:uid="{DC213315-0BFE-4348-8EF0-ADC224A89D9C}" name="Version" dataDxfId="64"/>
    <tableColumn id="2" xr3:uid="{99B633F1-4D56-407B-A0EC-0913D9F4A33A}" name="Datum" dataDxfId="63"/>
    <tableColumn id="3" xr3:uid="{5AF27972-CBB9-4522-A4DA-9CB506EB111A}" name="Anpassungen" dataDxfId="62"/>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6043CB1-3D9F-42E4-9BED-E323E258622F}" name="UnitOel" displayName="UnitOel" ref="A8:A13" totalsRowShown="0" headerRowDxfId="113" dataDxfId="112">
  <autoFilter ref="A8:A13" xr:uid="{76043CB1-3D9F-42E4-9BED-E323E258622F}"/>
  <tableColumns count="1">
    <tableColumn id="1" xr3:uid="{5A94776A-479E-4ECC-8AB4-03287181DBD7}" name="UnitOel" dataDxfId="111"/>
  </tableColumns>
  <tableStyleInfo name="TableStyleMedium3"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4EA00240-B412-45F8-936C-23B27F1C3EA0}" name="UnitMobility" displayName="UnitMobility" ref="C1:C3" totalsRowShown="0" headerRowDxfId="110" dataDxfId="109">
  <autoFilter ref="C1:C3" xr:uid="{4EA00240-B412-45F8-936C-23B27F1C3EA0}"/>
  <tableColumns count="1">
    <tableColumn id="1" xr3:uid="{A0AB4957-E691-4F2E-BF5B-57011FB5D557}" name="UnitMobility" dataDxfId="108"/>
  </tableColumns>
  <tableStyleInfo name="TableStyleMedium3"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A3D3270-9611-4DFF-8901-20A807B5D915}" name="EinheitGas" displayName="EinheitGas" ref="A15:A20" totalsRowShown="0" headerRowDxfId="107" dataDxfId="106">
  <autoFilter ref="A15:A20" xr:uid="{EA3D3270-9611-4DFF-8901-20A807B5D915}"/>
  <tableColumns count="1">
    <tableColumn id="1" xr3:uid="{1F044A63-7752-47EE-8B2B-9358AEE98778}" name="UnitGas" dataDxfId="105"/>
  </tableColumns>
  <tableStyleInfo name="TableStyleMedium3"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BE2D9DE-F2B7-4C67-B3B7-8543F0739079}" name="UnitFW" displayName="UnitFW" ref="A22:A23" totalsRowShown="0" headerRowDxfId="104" dataDxfId="103" tableBorderDxfId="102">
  <autoFilter ref="A22:A23" xr:uid="{0BE2D9DE-F2B7-4C67-B3B7-8543F0739079}"/>
  <tableColumns count="1">
    <tableColumn id="1" xr3:uid="{778BADA7-81ED-46D9-A2A5-DF5295432EC4}" name="UnitFW" dataDxfId="101"/>
  </tableColumns>
  <tableStyleInfo name="TableStyleMedium3"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B08D0377-4885-4F8F-B2A9-B53D274E0293}" name="UnitOther" displayName="UnitOther" ref="A25:A27" totalsRowShown="0" headerRowDxfId="100" dataDxfId="99" tableBorderDxfId="98">
  <autoFilter ref="A25:A27" xr:uid="{B08D0377-4885-4F8F-B2A9-B53D274E0293}"/>
  <tableColumns count="1">
    <tableColumn id="1" xr3:uid="{043AF708-D850-4E9E-B5BD-DBCD921D870C}" name="UnitOther" dataDxfId="97"/>
  </tableColumns>
  <tableStyleInfo name="TableStyleMedium3"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C86D86BC-91B3-469B-9C8C-829BF721F3A2}" name="UnitPV" displayName="UnitPV" ref="A33:A36" totalsRowShown="0" headerRowDxfId="96" dataDxfId="95">
  <autoFilter ref="A33:A36" xr:uid="{C86D86BC-91B3-469B-9C8C-829BF721F3A2}"/>
  <tableColumns count="1">
    <tableColumn id="1" xr3:uid="{948DEA74-6E27-4CCC-B659-4BA5D8C01961}" name="UnitPV" dataDxfId="94"/>
  </tableColumns>
  <tableStyleInfo name="TableStyleMedium3"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2BDD955-80F5-4250-9F5F-0471863793AC}" name="UnitResult" displayName="UnitResult" ref="C8:D10" totalsRowShown="0" headerRowDxfId="93" dataDxfId="92">
  <autoFilter ref="C8:D10" xr:uid="{02BDD955-80F5-4250-9F5F-0471863793AC}"/>
  <tableColumns count="2">
    <tableColumn id="1" xr3:uid="{9DDCD88C-B8D3-4338-B4AC-B7B9029CE0C2}" name="UnitResult" dataDxfId="91"/>
    <tableColumn id="2" xr3:uid="{70142497-0BC7-4692-97D3-FB09EF57DDE2}" name="Factor" dataDxfId="90"/>
  </tableColumns>
  <tableStyleInfo name="TableStyleMedium3"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754A982B-F4F1-47C3-8056-1C8DD00D69BA}" name="CityTypologie" displayName="CityTypologie" ref="C12:C15" totalsRowShown="0" headerRowDxfId="89" dataDxfId="88">
  <autoFilter ref="C12:C15" xr:uid="{754A982B-F4F1-47C3-8056-1C8DD00D69BA}"/>
  <tableColumns count="1">
    <tableColumn id="1" xr3:uid="{176CB695-1054-4450-B802-D4F4A02188D5}" name="CityTypologie" dataDxfId="87"/>
  </tableColumns>
  <tableStyleInfo name="TableStyleMedium3"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mailto:ricardo.bandli@bfe.admin.ch" TargetMode="External"/><Relationship Id="rId7" Type="http://schemas.openxmlformats.org/officeDocument/2006/relationships/hyperlink" Target="kiss-zero-netto.ch" TargetMode="External"/><Relationship Id="rId2" Type="http://schemas.openxmlformats.org/officeDocument/2006/relationships/hyperlink" Target="mailto:2000W-Suisse@local-energy.swiss" TargetMode="External"/><Relationship Id="rId1" Type="http://schemas.openxmlformats.org/officeDocument/2006/relationships/hyperlink" Target="mailto:2000W-Schweiz@local-energy.swiss" TargetMode="External"/><Relationship Id="rId6" Type="http://schemas.openxmlformats.org/officeDocument/2006/relationships/hyperlink" Target="kiss-zero-net.ch" TargetMode="External"/><Relationship Id="rId5" Type="http://schemas.openxmlformats.org/officeDocument/2006/relationships/hyperlink" Target="kiss-netto-null.ch" TargetMode="External"/><Relationship Id="rId4" Type="http://schemas.openxmlformats.org/officeDocument/2006/relationships/hyperlink" Target="mailto:2000W-Svizzera@local-energy.swiss" TargetMode="External"/></Relationships>
</file>

<file path=xl/worksheets/_rels/sheet11.xml.rels><?xml version="1.0" encoding="UTF-8" standalone="yes"?>
<Relationships xmlns="http://schemas.openxmlformats.org/package/2006/relationships"><Relationship Id="rId1" Type="http://schemas.openxmlformats.org/officeDocument/2006/relationships/table" Target="../tables/table16.xml"/></Relationships>
</file>

<file path=xl/worksheets/_rels/sheet2.xml.rels><?xml version="1.0" encoding="UTF-8" standalone="yes"?>
<Relationships xmlns="http://schemas.openxmlformats.org/package/2006/relationships"><Relationship Id="rId3" Type="http://schemas.openxmlformats.org/officeDocument/2006/relationships/hyperlink" Target="https://www.bfs.admin.ch/bfs/de/home/statistiken/mobilitaet-verkehr/verkehrsinfrastruktur-fahrzeuge/fahrzeuge/strassenfahrzeuge-bestand-motorisierungsgrad.assetdetail.33827764.html" TargetMode="External"/><Relationship Id="rId2" Type="http://schemas.openxmlformats.org/officeDocument/2006/relationships/hyperlink" Target="https://www.bfs.admin.ch/bfs/de/home/statistiken/mobilitaet-verkehr/personenverkehr/verkehrsverhalten.assetdetail.24025441.html" TargetMode="External"/><Relationship Id="rId1" Type="http://schemas.openxmlformats.org/officeDocument/2006/relationships/hyperlink" Target="https://www.atlas.bfs.admin.ch/maps/13/de/17847_17846_3191_227/27617.html" TargetMode="External"/><Relationship Id="rId6" Type="http://schemas.openxmlformats.org/officeDocument/2006/relationships/printerSettings" Target="../printerSettings/printerSettings1.bin"/><Relationship Id="rId5" Type="http://schemas.openxmlformats.org/officeDocument/2006/relationships/hyperlink" Target="https://stromlandschaft.mynewenergy.ch/" TargetMode="External"/><Relationship Id="rId4" Type="http://schemas.openxmlformats.org/officeDocument/2006/relationships/hyperlink" Target="https://www.bfs.admin.ch/bfs/de/home/statistiken/mobilitaet-verkehr/verkehrsinfrastruktur-fahrzeuge/fahrzeuge/strassenfahrzeuge-bestand-motorisierungsgrad.assetdetail.33827764.html"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3" Type="http://schemas.openxmlformats.org/officeDocument/2006/relationships/hyperlink" Target="https://www.bafu.admin.ch/bafu/de/home/themen/klima/zustand/daten/treibhausgasinventar.html" TargetMode="External"/><Relationship Id="rId2" Type="http://schemas.openxmlformats.org/officeDocument/2006/relationships/hyperlink" Target="https://www.bafu.admin.ch/bafu/de/home/themen/klima/zustand/daten/treibhausgasinventar.html" TargetMode="External"/><Relationship Id="rId1" Type="http://schemas.openxmlformats.org/officeDocument/2006/relationships/hyperlink" Target="https://www.bafu.admin.ch/bafu/de/home/themen/klima/zustand/daten/treibhausgasinventar.html" TargetMode="External"/></Relationships>
</file>

<file path=xl/worksheets/_rels/sheet7.xml.rels><?xml version="1.0" encoding="UTF-8" standalone="yes"?>
<Relationships xmlns="http://schemas.openxmlformats.org/package/2006/relationships"><Relationship Id="rId8" Type="http://schemas.openxmlformats.org/officeDocument/2006/relationships/table" Target="../tables/table8.xml"/><Relationship Id="rId13" Type="http://schemas.openxmlformats.org/officeDocument/2006/relationships/table" Target="../tables/table13.xml"/><Relationship Id="rId3" Type="http://schemas.openxmlformats.org/officeDocument/2006/relationships/table" Target="../tables/table3.xml"/><Relationship Id="rId7" Type="http://schemas.openxmlformats.org/officeDocument/2006/relationships/table" Target="../tables/table7.xml"/><Relationship Id="rId12" Type="http://schemas.openxmlformats.org/officeDocument/2006/relationships/table" Target="../tables/table12.xml"/><Relationship Id="rId2" Type="http://schemas.openxmlformats.org/officeDocument/2006/relationships/table" Target="../tables/table2.xml"/><Relationship Id="rId1" Type="http://schemas.openxmlformats.org/officeDocument/2006/relationships/table" Target="../tables/table1.xml"/><Relationship Id="rId6" Type="http://schemas.openxmlformats.org/officeDocument/2006/relationships/table" Target="../tables/table6.xml"/><Relationship Id="rId11" Type="http://schemas.openxmlformats.org/officeDocument/2006/relationships/table" Target="../tables/table11.xml"/><Relationship Id="rId5" Type="http://schemas.openxmlformats.org/officeDocument/2006/relationships/table" Target="../tables/table5.xml"/><Relationship Id="rId10" Type="http://schemas.openxmlformats.org/officeDocument/2006/relationships/table" Target="../tables/table10.xml"/><Relationship Id="rId4" Type="http://schemas.openxmlformats.org/officeDocument/2006/relationships/table" Target="../tables/table4.xml"/><Relationship Id="rId9" Type="http://schemas.openxmlformats.org/officeDocument/2006/relationships/table" Target="../tables/table9.xml"/></Relationships>
</file>

<file path=xl/worksheets/_rels/sheet9.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table" Target="../tables/table1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6B57F5-358B-47B7-894E-A72BD52A41BA}">
  <sheetPr codeName="Tabelle1">
    <tabColor rgb="FF002060"/>
  </sheetPr>
  <dimension ref="A2:I26"/>
  <sheetViews>
    <sheetView showGridLines="0" tabSelected="1" zoomScale="85" zoomScaleNormal="85" workbookViewId="0"/>
  </sheetViews>
  <sheetFormatPr baseColWidth="10" defaultColWidth="11.59765625" defaultRowHeight="13.5" x14ac:dyDescent="0.35"/>
  <cols>
    <col min="1" max="1" width="8.265625" style="124" customWidth="1"/>
    <col min="2" max="2" width="9.265625" style="124" customWidth="1"/>
    <col min="3" max="3" width="30.59765625" style="98" customWidth="1"/>
    <col min="4" max="4" width="3" style="98" customWidth="1"/>
    <col min="5" max="5" width="66.59765625" style="124" customWidth="1"/>
    <col min="6" max="6" width="3" style="98" customWidth="1"/>
    <col min="7" max="7" width="66.59765625" style="124" customWidth="1"/>
    <col min="8" max="8" width="2.265625" style="98" customWidth="1"/>
    <col min="9" max="9" width="66.59765625" style="124" customWidth="1"/>
    <col min="10" max="16384" width="11.59765625" style="98"/>
  </cols>
  <sheetData>
    <row r="2" spans="1:9" s="114" customFormat="1" ht="17.45" customHeight="1" x14ac:dyDescent="0.4">
      <c r="A2" s="120"/>
      <c r="B2" s="121" t="s">
        <v>2751</v>
      </c>
      <c r="C2" s="122"/>
      <c r="E2" s="222" t="s">
        <v>40</v>
      </c>
      <c r="F2" s="123"/>
      <c r="G2" s="222" t="s">
        <v>41</v>
      </c>
      <c r="H2" s="123"/>
      <c r="I2" s="222" t="s">
        <v>42</v>
      </c>
    </row>
    <row r="3" spans="1:9" ht="6" customHeight="1" x14ac:dyDescent="0.35">
      <c r="B3" s="125"/>
      <c r="C3" s="126"/>
      <c r="E3" s="131"/>
      <c r="G3" s="131"/>
      <c r="I3" s="131"/>
    </row>
    <row r="4" spans="1:9" ht="13.9" x14ac:dyDescent="0.4">
      <c r="B4" s="127" t="str" cm="1">
        <f t="array" ref="B4">INDEX(Texts[],MATCH("id152",Texts[Index],0),idx_lang)</f>
        <v>Bundesamt für Energie</v>
      </c>
      <c r="C4" s="126"/>
      <c r="E4" s="223" t="s">
        <v>2742</v>
      </c>
      <c r="G4" s="223" t="s">
        <v>2740</v>
      </c>
      <c r="H4" s="128"/>
      <c r="I4" s="223" t="s">
        <v>2741</v>
      </c>
    </row>
    <row r="5" spans="1:9" x14ac:dyDescent="0.35">
      <c r="B5" s="129" t="str" cm="1">
        <f t="array" ref="B5">INDEX(Texts[],MATCH("id153",Texts[Index],0),idx_lang)</f>
        <v>Sektion Gebäude</v>
      </c>
      <c r="C5" s="126"/>
      <c r="E5" s="224" t="s">
        <v>2639</v>
      </c>
      <c r="G5" s="224" t="s">
        <v>2638</v>
      </c>
      <c r="I5" s="224" t="s">
        <v>2644</v>
      </c>
    </row>
    <row r="6" spans="1:9" x14ac:dyDescent="0.35">
      <c r="B6" s="129" t="s">
        <v>2744</v>
      </c>
      <c r="C6" s="126"/>
      <c r="E6" s="225" t="s">
        <v>2640</v>
      </c>
      <c r="G6" s="225" t="s">
        <v>2642</v>
      </c>
      <c r="I6" s="225" t="s">
        <v>2645</v>
      </c>
    </row>
    <row r="7" spans="1:9" x14ac:dyDescent="0.35">
      <c r="B7" s="129" t="s">
        <v>2745</v>
      </c>
      <c r="C7" s="126"/>
      <c r="E7" s="226" t="s">
        <v>2641</v>
      </c>
      <c r="G7" s="226" t="s">
        <v>2643</v>
      </c>
      <c r="I7" s="226" t="s">
        <v>2646</v>
      </c>
    </row>
    <row r="8" spans="1:9" x14ac:dyDescent="0.35">
      <c r="B8" s="132" t="s">
        <v>2746</v>
      </c>
      <c r="C8" s="126"/>
      <c r="E8" s="226" t="s">
        <v>2669</v>
      </c>
      <c r="G8" s="226" t="s">
        <v>2670</v>
      </c>
      <c r="I8" s="226" t="s">
        <v>2671</v>
      </c>
    </row>
    <row r="9" spans="1:9" x14ac:dyDescent="0.35">
      <c r="B9" s="125"/>
      <c r="C9" s="126"/>
      <c r="E9" s="131"/>
      <c r="G9" s="131"/>
      <c r="I9" s="131"/>
    </row>
    <row r="10" spans="1:9" ht="13.9" x14ac:dyDescent="0.4">
      <c r="B10" s="133" t="s">
        <v>2360</v>
      </c>
      <c r="C10" s="134" t="s">
        <v>2970</v>
      </c>
      <c r="E10" s="227" t="s">
        <v>2400</v>
      </c>
      <c r="F10" s="128"/>
      <c r="G10" s="227" t="s">
        <v>2402</v>
      </c>
      <c r="H10" s="128"/>
      <c r="I10" s="227" t="s">
        <v>2404</v>
      </c>
    </row>
    <row r="11" spans="1:9" ht="216.75" customHeight="1" x14ac:dyDescent="0.35">
      <c r="E11" s="228" t="s">
        <v>2790</v>
      </c>
      <c r="F11" s="230"/>
      <c r="G11" s="228" t="s">
        <v>2791</v>
      </c>
      <c r="H11" s="230"/>
      <c r="I11" s="228" t="s">
        <v>2929</v>
      </c>
    </row>
    <row r="12" spans="1:9" x14ac:dyDescent="0.35">
      <c r="E12" s="131"/>
      <c r="G12" s="131"/>
      <c r="I12" s="131"/>
    </row>
    <row r="13" spans="1:9" ht="13.9" x14ac:dyDescent="0.4">
      <c r="E13" s="227" t="s">
        <v>2667</v>
      </c>
      <c r="F13" s="128"/>
      <c r="G13" s="227" t="s">
        <v>2668</v>
      </c>
      <c r="H13" s="128"/>
      <c r="I13" s="227" t="s">
        <v>2930</v>
      </c>
    </row>
    <row r="14" spans="1:9" ht="174.75" customHeight="1" x14ac:dyDescent="0.35">
      <c r="E14" s="228" t="s">
        <v>2943</v>
      </c>
      <c r="F14" s="230"/>
      <c r="G14" s="228" t="s">
        <v>2944</v>
      </c>
      <c r="H14" s="230"/>
      <c r="I14" s="228" t="s">
        <v>2935</v>
      </c>
    </row>
    <row r="15" spans="1:9" x14ac:dyDescent="0.35">
      <c r="E15" s="130" t="s">
        <v>2672</v>
      </c>
      <c r="G15" s="130" t="s">
        <v>2673</v>
      </c>
      <c r="I15" s="228" t="s">
        <v>2674</v>
      </c>
    </row>
    <row r="16" spans="1:9" x14ac:dyDescent="0.35">
      <c r="E16" s="226" t="s">
        <v>2669</v>
      </c>
      <c r="G16" s="226" t="s">
        <v>2670</v>
      </c>
      <c r="I16" s="226" t="s">
        <v>2671</v>
      </c>
    </row>
    <row r="17" spans="1:9" x14ac:dyDescent="0.35">
      <c r="E17" s="131"/>
      <c r="G17" s="131"/>
      <c r="I17" s="131"/>
    </row>
    <row r="18" spans="1:9" ht="13.9" x14ac:dyDescent="0.4">
      <c r="E18" s="227" t="s">
        <v>2734</v>
      </c>
      <c r="G18" s="227" t="s">
        <v>2735</v>
      </c>
      <c r="I18" s="227" t="s">
        <v>2736</v>
      </c>
    </row>
    <row r="19" spans="1:9" ht="176.25" customHeight="1" x14ac:dyDescent="0.35">
      <c r="A19" s="135"/>
      <c r="B19" s="135"/>
      <c r="E19" s="228" t="s">
        <v>2792</v>
      </c>
      <c r="F19" s="136"/>
      <c r="G19" s="228" t="s">
        <v>2789</v>
      </c>
      <c r="H19" s="136"/>
      <c r="I19" s="228" t="s">
        <v>2931</v>
      </c>
    </row>
    <row r="20" spans="1:9" x14ac:dyDescent="0.35">
      <c r="E20" s="131"/>
      <c r="G20" s="131"/>
      <c r="I20" s="131"/>
    </row>
    <row r="21" spans="1:9" ht="13.9" x14ac:dyDescent="0.4">
      <c r="E21" s="227" t="s">
        <v>2401</v>
      </c>
      <c r="G21" s="227" t="s">
        <v>2403</v>
      </c>
      <c r="I21" s="227" t="s">
        <v>2405</v>
      </c>
    </row>
    <row r="22" spans="1:9" ht="94.5" x14ac:dyDescent="0.35">
      <c r="E22" s="228" t="s">
        <v>2793</v>
      </c>
      <c r="F22" s="230"/>
      <c r="G22" s="228" t="s">
        <v>2666</v>
      </c>
      <c r="H22" s="230"/>
      <c r="I22" s="228" t="s">
        <v>2932</v>
      </c>
    </row>
    <row r="23" spans="1:9" x14ac:dyDescent="0.35">
      <c r="E23" s="131"/>
      <c r="G23" s="131"/>
      <c r="I23" s="131"/>
    </row>
    <row r="24" spans="1:9" ht="13.9" x14ac:dyDescent="0.4">
      <c r="E24" s="227" t="s">
        <v>2794</v>
      </c>
      <c r="G24" s="227" t="s">
        <v>2739</v>
      </c>
      <c r="I24" s="227" t="s">
        <v>2933</v>
      </c>
    </row>
    <row r="25" spans="1:9" ht="40.5" x14ac:dyDescent="0.35">
      <c r="E25" s="228" t="s">
        <v>2738</v>
      </c>
      <c r="F25" s="136"/>
      <c r="G25" s="228" t="s">
        <v>2737</v>
      </c>
      <c r="H25" s="136"/>
      <c r="I25" s="228" t="s">
        <v>2934</v>
      </c>
    </row>
    <row r="26" spans="1:9" ht="6" customHeight="1" x14ac:dyDescent="0.35">
      <c r="C26" s="124"/>
      <c r="E26" s="229"/>
      <c r="G26" s="229"/>
      <c r="I26" s="229"/>
    </row>
  </sheetData>
  <sheetProtection sheet="1" objects="1" scenarios="1"/>
  <hyperlinks>
    <hyperlink ref="E7" r:id="rId1" xr:uid="{70F5E5E7-4F82-47B9-9622-6879CFE841B8}"/>
    <hyperlink ref="G7" r:id="rId2" xr:uid="{81278A65-AD95-4398-B418-0AB80ED6CD50}"/>
    <hyperlink ref="B8" r:id="rId3" xr:uid="{366938B3-1CAF-457A-B070-72E3D2F3A65E}"/>
    <hyperlink ref="I7" r:id="rId4" xr:uid="{A887C34A-1820-41EF-98A5-F8A23E69EFB0}"/>
    <hyperlink ref="E8" r:id="rId5" xr:uid="{DA60BDD9-31E3-413E-A9F0-8CB55BBD37E6}"/>
    <hyperlink ref="G8" r:id="rId6" xr:uid="{566B395D-8443-420F-BC30-E3A8D4982DD3}"/>
    <hyperlink ref="I8" r:id="rId7" xr:uid="{1EA77E6C-4FE0-456A-91BD-DB96D6D2ED7D}"/>
  </hyperlinks>
  <pageMargins left="0.7" right="0.7" top="0.78740157499999996" bottom="0.78740157499999996" header="0.3" footer="0.3"/>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E246A7-356B-47A7-B56F-1F4E93B90D0F}">
  <sheetPr codeName="Tabelle10">
    <tabColor theme="0" tint="-0.14999847407452621"/>
  </sheetPr>
  <dimension ref="B4:D8"/>
  <sheetViews>
    <sheetView workbookViewId="0">
      <selection activeCell="G11" sqref="G11"/>
    </sheetView>
  </sheetViews>
  <sheetFormatPr baseColWidth="10" defaultRowHeight="14.25" x14ac:dyDescent="0.45"/>
  <cols>
    <col min="2" max="2" width="64.1328125" customWidth="1"/>
    <col min="4" max="4" width="56" customWidth="1"/>
  </cols>
  <sheetData>
    <row r="4" spans="2:4" ht="92.25" customHeight="1" x14ac:dyDescent="0.45">
      <c r="B4" t="e" vm="3">
        <v>#VALUE!</v>
      </c>
      <c r="D4" t="e" vm="4">
        <v>#VALUE!</v>
      </c>
    </row>
    <row r="6" spans="2:4" ht="92.25" customHeight="1" x14ac:dyDescent="0.45">
      <c r="B6" t="e" vm="5">
        <v>#VALUE!</v>
      </c>
      <c r="D6" t="e" vm="6">
        <v>#VALUE!</v>
      </c>
    </row>
    <row r="8" spans="2:4" ht="92.25" customHeight="1" x14ac:dyDescent="0.45">
      <c r="B8" t="e" vm="7">
        <v>#VALUE!</v>
      </c>
      <c r="D8" t="e" vm="8">
        <v>#VALUE!</v>
      </c>
    </row>
  </sheetData>
  <sheetProtection sheet="1" objects="1" scenarios="1"/>
  <pageMargins left="0.7" right="0.7" top="0.78740157499999996" bottom="0.78740157499999996"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6A329B-6B8A-43F7-A4FF-C891DAB120C0}">
  <sheetPr codeName="Tabelle11">
    <tabColor theme="5" tint="0.59999389629810485"/>
  </sheetPr>
  <dimension ref="A1:C14"/>
  <sheetViews>
    <sheetView workbookViewId="0">
      <selection activeCell="C18" sqref="C18"/>
    </sheetView>
  </sheetViews>
  <sheetFormatPr baseColWidth="10" defaultRowHeight="14.25" x14ac:dyDescent="0.45"/>
  <cols>
    <col min="1" max="1" width="13.59765625" style="323" customWidth="1"/>
    <col min="2" max="2" width="15.265625" style="323" customWidth="1"/>
    <col min="3" max="3" width="98.1328125" style="327" customWidth="1"/>
  </cols>
  <sheetData>
    <row r="1" spans="1:3" x14ac:dyDescent="0.45">
      <c r="A1" s="323" t="s">
        <v>2360</v>
      </c>
      <c r="B1" s="323" t="s">
        <v>2812</v>
      </c>
      <c r="C1" s="327" t="s">
        <v>2958</v>
      </c>
    </row>
    <row r="2" spans="1:3" x14ac:dyDescent="0.45">
      <c r="A2" s="328">
        <v>1.8</v>
      </c>
      <c r="B2" s="329">
        <v>45821</v>
      </c>
      <c r="C2" s="330" t="s">
        <v>2972</v>
      </c>
    </row>
    <row r="3" spans="1:3" x14ac:dyDescent="0.45">
      <c r="A3" s="323">
        <v>1.8</v>
      </c>
      <c r="B3" s="324">
        <v>45831</v>
      </c>
      <c r="C3" s="325" t="s">
        <v>2964</v>
      </c>
    </row>
    <row r="4" spans="1:3" x14ac:dyDescent="0.45">
      <c r="A4" s="323">
        <v>1.8</v>
      </c>
      <c r="B4" s="324">
        <v>45834</v>
      </c>
      <c r="C4" s="325" t="s">
        <v>2959</v>
      </c>
    </row>
    <row r="5" spans="1:3" x14ac:dyDescent="0.45">
      <c r="A5" s="323">
        <v>1.8</v>
      </c>
      <c r="B5" s="324">
        <v>45859</v>
      </c>
      <c r="C5" s="325" t="s">
        <v>2960</v>
      </c>
    </row>
    <row r="6" spans="1:3" ht="28.5" x14ac:dyDescent="0.45">
      <c r="A6" s="323">
        <v>1.8</v>
      </c>
      <c r="B6" s="324">
        <v>45874</v>
      </c>
      <c r="C6" s="325" t="s">
        <v>2967</v>
      </c>
    </row>
    <row r="7" spans="1:3" x14ac:dyDescent="0.45">
      <c r="A7" s="323">
        <v>1.8</v>
      </c>
      <c r="B7" s="324">
        <v>45874</v>
      </c>
      <c r="C7" s="327" t="s">
        <v>2965</v>
      </c>
    </row>
    <row r="8" spans="1:3" x14ac:dyDescent="0.45">
      <c r="A8" s="323">
        <v>1.8</v>
      </c>
      <c r="B8" s="324">
        <v>45874</v>
      </c>
      <c r="C8" s="327" t="s">
        <v>2966</v>
      </c>
    </row>
    <row r="9" spans="1:3" ht="28.5" x14ac:dyDescent="0.45">
      <c r="A9" s="323">
        <v>1.8</v>
      </c>
      <c r="B9" s="324">
        <v>45874</v>
      </c>
      <c r="C9" s="327" t="s">
        <v>2968</v>
      </c>
    </row>
    <row r="10" spans="1:3" x14ac:dyDescent="0.45">
      <c r="A10" s="323">
        <v>1.8</v>
      </c>
      <c r="B10" s="324">
        <v>45964</v>
      </c>
      <c r="C10" s="327" t="s">
        <v>2962</v>
      </c>
    </row>
    <row r="11" spans="1:3" x14ac:dyDescent="0.45">
      <c r="A11" s="323">
        <v>1.8</v>
      </c>
      <c r="B11" s="324">
        <v>45964</v>
      </c>
      <c r="C11" s="327" t="s">
        <v>2969</v>
      </c>
    </row>
    <row r="12" spans="1:3" x14ac:dyDescent="0.45">
      <c r="A12" s="323">
        <v>1.8</v>
      </c>
      <c r="B12" s="324">
        <v>45964</v>
      </c>
      <c r="C12" s="327" t="s">
        <v>2971</v>
      </c>
    </row>
    <row r="13" spans="1:3" x14ac:dyDescent="0.45">
      <c r="A13" s="323">
        <v>1.8</v>
      </c>
      <c r="B13" s="324">
        <v>45964</v>
      </c>
      <c r="C13" s="327" t="s">
        <v>2975</v>
      </c>
    </row>
    <row r="14" spans="1:3" x14ac:dyDescent="0.45">
      <c r="A14" s="328">
        <v>1.8</v>
      </c>
      <c r="B14" s="329" t="s">
        <v>2974</v>
      </c>
      <c r="C14" s="330" t="s">
        <v>2973</v>
      </c>
    </row>
  </sheetData>
  <sheetProtection sheet="1" objects="1" scenarios="1"/>
  <pageMargins left="0.7" right="0.7" top="0.78740157499999996" bottom="0.78740157499999996"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FB3937-75DB-478C-86D3-AAE18D1725F8}">
  <sheetPr codeName="Tabelle2">
    <tabColor rgb="FFEA5B0C"/>
    <pageSetUpPr fitToPage="1"/>
  </sheetPr>
  <dimension ref="A1:AA85"/>
  <sheetViews>
    <sheetView showGridLines="0" zoomScaleNormal="100" workbookViewId="0">
      <pane ySplit="10" topLeftCell="A20" activePane="bottomLeft" state="frozen"/>
      <selection activeCell="G11" sqref="G11"/>
      <selection pane="bottomLeft" activeCell="N1" sqref="N1"/>
    </sheetView>
  </sheetViews>
  <sheetFormatPr baseColWidth="10" defaultColWidth="11.3984375" defaultRowHeight="12.75" x14ac:dyDescent="0.35"/>
  <cols>
    <col min="1" max="2" width="9" style="15" hidden="1" customWidth="1"/>
    <col min="3" max="3" width="7.3984375" style="52" hidden="1" customWidth="1"/>
    <col min="4" max="13" width="8.265625" style="52" hidden="1" customWidth="1"/>
    <col min="14" max="14" width="8.265625" style="3" customWidth="1"/>
    <col min="15" max="15" width="51.86328125" style="2" customWidth="1"/>
    <col min="16" max="16" width="23" style="3" customWidth="1"/>
    <col min="17" max="17" width="1.1328125" style="3" customWidth="1"/>
    <col min="18" max="18" width="21.265625" style="4" customWidth="1"/>
    <col min="19" max="19" width="1.59765625" style="4" customWidth="1"/>
    <col min="20" max="20" width="13.59765625" style="3" customWidth="1"/>
    <col min="21" max="21" width="16.59765625" style="2" customWidth="1"/>
    <col min="22" max="22" width="10.59765625" style="3" customWidth="1"/>
    <col min="23" max="23" width="4.1328125" style="4" customWidth="1"/>
    <col min="24" max="24" width="1.73046875" style="4" customWidth="1"/>
    <col min="25" max="25" width="20.86328125" style="2" customWidth="1"/>
    <col min="26" max="26" width="20.1328125" style="2" customWidth="1"/>
    <col min="27" max="27" width="67.73046875" style="2" customWidth="1"/>
    <col min="28" max="16384" width="11.3984375" style="2"/>
  </cols>
  <sheetData>
    <row r="1" spans="1:27" ht="21" customHeight="1" x14ac:dyDescent="0.6">
      <c r="N1" s="76"/>
      <c r="O1" s="77" t="str" cm="1">
        <f t="array" ref="O1">INDEX(Texts[],MATCH("id61",Texts[Index],0),idx_lang)</f>
        <v>KISS NETTO NULL Bilanz</v>
      </c>
      <c r="P1" s="78"/>
      <c r="Q1" s="78"/>
      <c r="R1" s="79"/>
      <c r="S1" s="79"/>
      <c r="T1" s="79"/>
      <c r="U1" s="243"/>
      <c r="V1" s="79"/>
      <c r="W1" s="80"/>
      <c r="X1" s="80"/>
      <c r="Y1" s="221" t="str" cm="1">
        <f t="array" ref="Y1">INDEX(Texts[],MATCH("id62",Texts[Index],0),idx_lang)</f>
        <v>Version</v>
      </c>
      <c r="Z1" s="81" t="str">
        <f>Intro!$C$10</f>
        <v>1.8 | 03.11.2025</v>
      </c>
    </row>
    <row r="2" spans="1:27" ht="8.25" customHeight="1" x14ac:dyDescent="0.35"/>
    <row r="3" spans="1:27" s="62" customFormat="1" ht="15" customHeight="1" x14ac:dyDescent="0.45">
      <c r="A3" s="178"/>
      <c r="B3" s="178"/>
      <c r="C3" s="179"/>
      <c r="D3" s="179"/>
      <c r="E3" s="179"/>
      <c r="F3" s="179"/>
      <c r="G3" s="179"/>
      <c r="H3" s="179"/>
      <c r="I3" s="179"/>
      <c r="J3" s="179"/>
      <c r="K3" s="179"/>
      <c r="L3" s="179"/>
      <c r="M3" s="179"/>
      <c r="N3" s="57"/>
      <c r="O3" s="180" t="str" cm="1">
        <f t="array" ref="O3">INDEX(Texts[],MATCH("id1",Texts[Index],0),idx_lang)</f>
        <v>Sprache</v>
      </c>
      <c r="P3" s="314" t="s">
        <v>40</v>
      </c>
      <c r="Q3" s="57"/>
      <c r="R3" s="309" t="str" cm="1">
        <f t="array" ref="R3">INDEX(Texts[],MATCH("id60",Texts[Index],0),idx_lang)</f>
        <v>Qualität des GWR</v>
      </c>
      <c r="S3" s="33"/>
      <c r="T3" s="177" t="str" cm="1">
        <f t="array" ref="T3">IFERROR(IF(VLOOKUP($P$5,Statistics!$B$2:$Z$2146,3)=1,INDEX(Texts[],MATCH("id63",Texts[Index],0),idx_lang),IF(VLOOKUP($P$5,Statistics!$B$2:$Z$2146,3)=2,INDEX(Texts[],MATCH("id64",Texts[Index],0),idx_lang),INDEX(Texts[],MATCH("id65",Texts[Index],0),idx_lang))),"-")</f>
        <v>-</v>
      </c>
      <c r="U3" s="313" t="str">
        <f>IFERROR(VLOOKUP($P$5,Statistics!$B$2:$Z$2146,3),"-")</f>
        <v>-</v>
      </c>
      <c r="V3" s="333" t="e" vm="1">
        <f>CHOOSE(idx_lang-1, es_deu, es_fra, es_ita)</f>
        <v>#VALUE!</v>
      </c>
      <c r="W3" s="333"/>
      <c r="X3" s="333"/>
      <c r="Y3" s="333"/>
      <c r="Z3" s="333" t="e" vm="2">
        <f>CHOOSE(idx_lang-1, nn_deu, nn_fra, nn_ita)</f>
        <v>#VALUE!</v>
      </c>
    </row>
    <row r="4" spans="1:27" ht="5.25" customHeight="1" x14ac:dyDescent="0.4">
      <c r="O4" s="176"/>
      <c r="P4" s="4"/>
      <c r="R4" s="310"/>
      <c r="S4" s="7"/>
      <c r="T4" s="2"/>
      <c r="V4" s="333"/>
      <c r="W4" s="333"/>
      <c r="X4" s="333"/>
      <c r="Y4" s="333"/>
      <c r="Z4" s="333"/>
    </row>
    <row r="5" spans="1:27" ht="15" customHeight="1" x14ac:dyDescent="0.4">
      <c r="O5" s="176" t="str" cm="1">
        <f t="array" ref="O5">INDEX(Texts[],MATCH("id2",Texts[Index],0),idx_lang)</f>
        <v>Gemeinde</v>
      </c>
      <c r="P5" s="315" t="s">
        <v>53</v>
      </c>
      <c r="R5" s="311" t="str" cm="1">
        <f t="array" ref="R5">INDEX(Texts[],MATCH("id140",Texts[Index],0),idx_lang)</f>
        <v>Bilanzjahr</v>
      </c>
      <c r="T5" s="173">
        <v>2024</v>
      </c>
      <c r="U5" s="67"/>
      <c r="V5" s="333"/>
      <c r="W5" s="333"/>
      <c r="X5" s="333"/>
      <c r="Y5" s="333"/>
      <c r="Z5" s="333"/>
    </row>
    <row r="6" spans="1:27" ht="5.25" customHeight="1" x14ac:dyDescent="0.4">
      <c r="O6" s="176"/>
      <c r="P6" s="4"/>
      <c r="R6" s="311"/>
      <c r="V6" s="333"/>
      <c r="W6" s="333"/>
      <c r="X6" s="333"/>
      <c r="Y6" s="333"/>
      <c r="Z6" s="333"/>
    </row>
    <row r="7" spans="1:27" ht="15" customHeight="1" x14ac:dyDescent="0.4">
      <c r="O7" s="176" t="str" cm="1">
        <f t="array" ref="O7">INDEX(Texts[],MATCH("id3",Texts[Index],0),idx_lang)</f>
        <v>Scope / Perimeter</v>
      </c>
      <c r="P7" s="316" t="s">
        <v>2685</v>
      </c>
      <c r="R7" s="311" t="str" cm="1">
        <f t="array" ref="R7">INDEX(Texts[],MATCH("id138",Texts[Index],0),idx_lang)</f>
        <v>Datenvollständigkeit</v>
      </c>
      <c r="T7" s="317">
        <f>IF(idx_variante=1,Results!F5,IF(idx_variante=2,Results!I5,IF(idx_variante=3,Results!M5,IF(idx_variante=4,Results!R5,IF(idx_variante=5,Results!AB5,"")))))</f>
        <v>0.29166666666666669</v>
      </c>
      <c r="U7" s="312">
        <f>T7</f>
        <v>0.29166666666666669</v>
      </c>
      <c r="V7" s="333"/>
      <c r="W7" s="333"/>
      <c r="X7" s="333"/>
      <c r="Y7" s="333"/>
      <c r="Z7" s="333"/>
    </row>
    <row r="8" spans="1:27" ht="6" customHeight="1" x14ac:dyDescent="0.4">
      <c r="O8" s="5"/>
      <c r="P8" s="4"/>
    </row>
    <row r="9" spans="1:27" s="88" customFormat="1" ht="32.450000000000003" customHeight="1" x14ac:dyDescent="0.45">
      <c r="A9" s="82" t="s">
        <v>26</v>
      </c>
      <c r="B9" s="82" t="s">
        <v>27</v>
      </c>
      <c r="C9" s="83" t="s">
        <v>23</v>
      </c>
      <c r="D9" s="83" t="s">
        <v>2649</v>
      </c>
      <c r="E9" s="83" t="s">
        <v>2650</v>
      </c>
      <c r="F9" s="83" t="s">
        <v>2652</v>
      </c>
      <c r="G9" s="83" t="s">
        <v>2651</v>
      </c>
      <c r="H9" s="83" t="s">
        <v>2653</v>
      </c>
      <c r="I9" s="83" t="s">
        <v>2654</v>
      </c>
      <c r="J9" s="83" t="s">
        <v>2655</v>
      </c>
      <c r="K9" s="83" t="s">
        <v>2656</v>
      </c>
      <c r="L9" s="83" t="s">
        <v>2657</v>
      </c>
      <c r="M9" s="83" t="s">
        <v>2658</v>
      </c>
      <c r="N9" s="84"/>
      <c r="O9" s="85"/>
      <c r="P9" s="86" t="str" cm="1">
        <f t="array" ref="P9">INDEX(Texts[],MATCH("id10",Texts[Index],0),idx_lang)</f>
        <v>Eingabewert</v>
      </c>
      <c r="Q9" s="86"/>
      <c r="R9" s="86" t="str" cm="1">
        <f t="array" ref="R9">INDEX(Texts[],MATCH("id13",Texts[Index],0),idx_lang)</f>
        <v>Mögliche Einheit</v>
      </c>
      <c r="S9" s="87"/>
      <c r="T9" s="332" t="str" cm="1">
        <f t="array" ref="T9">INDEX(Texts[],MATCH("id11",Texts[Index],0),idx_lang)</f>
        <v>Vorgeschlagener Wert</v>
      </c>
      <c r="U9" s="332"/>
      <c r="V9" s="332"/>
      <c r="W9" s="332"/>
      <c r="X9" s="87"/>
      <c r="Y9" s="85" t="str" cm="1">
        <f t="array" ref="Y9">INDEX(Texts[],MATCH("id14",Texts[Index],0),idx_lang)</f>
        <v>Mögliche Quellen</v>
      </c>
      <c r="Z9" s="85"/>
      <c r="AA9" s="85" t="str" cm="1">
        <f t="array" ref="AA9">INDEX(Texts[],MATCH("id142",Texts[Index],0),idx_lang)</f>
        <v>Interne Bemerkungen der Gemeinde</v>
      </c>
    </row>
    <row r="10" spans="1:27" s="88" customFormat="1" ht="15.75" customHeight="1" x14ac:dyDescent="0.45">
      <c r="A10" s="82"/>
      <c r="B10" s="82"/>
      <c r="C10" s="83"/>
      <c r="D10" s="83"/>
      <c r="E10" s="83"/>
      <c r="F10" s="83"/>
      <c r="G10" s="83"/>
      <c r="H10" s="83"/>
      <c r="I10" s="83"/>
      <c r="J10" s="83"/>
      <c r="K10" s="83"/>
      <c r="L10" s="83"/>
      <c r="M10" s="83"/>
      <c r="N10" s="84"/>
      <c r="O10" s="85"/>
      <c r="P10" s="86"/>
      <c r="Q10" s="86"/>
      <c r="R10" s="86"/>
      <c r="S10" s="87"/>
      <c r="T10" s="253" t="str" cm="1">
        <f t="array" ref="T10">INDEX(Texts[],MATCH("id155",Texts[Index],0),idx_lang)</f>
        <v>Wert</v>
      </c>
      <c r="U10" s="254" t="str" cm="1">
        <f t="array" ref="U10">INDEX(Texts[],MATCH("id156",Texts[Index],0),idx_lang)</f>
        <v>Einheit</v>
      </c>
      <c r="V10" s="253" t="str" cm="1">
        <f t="array" ref="V10">INDEX(Texts[],MATCH("id157",Texts[Index],0),idx_lang)</f>
        <v>Datum</v>
      </c>
      <c r="W10" s="87"/>
      <c r="X10" s="87"/>
      <c r="Y10" s="85"/>
      <c r="Z10" s="85"/>
      <c r="AA10" s="85"/>
    </row>
    <row r="11" spans="1:27" s="98" customFormat="1" ht="13.9" x14ac:dyDescent="0.4">
      <c r="A11" s="89" t="b">
        <f>ISNUMBER(SEARCH(LEFT($P$7,1), C11))</f>
        <v>0</v>
      </c>
      <c r="B11" s="89" t="b">
        <f>IF(C11="", TRUE, A11)</f>
        <v>1</v>
      </c>
      <c r="C11" s="90"/>
      <c r="D11" s="90">
        <f>IF(ISNUMBER(SEARCH("1", C11)),1,0)</f>
        <v>0</v>
      </c>
      <c r="E11" s="90">
        <f>IF(AND(D11=1,NOT(ISBLANK(P11))),1,0)</f>
        <v>0</v>
      </c>
      <c r="F11" s="90">
        <f>IF(ISNUMBER(SEARCH("2", C11)),1,0)</f>
        <v>0</v>
      </c>
      <c r="G11" s="90">
        <f>IF(AND(F11=1,NOT(ISBLANK($P11))),1,0)</f>
        <v>0</v>
      </c>
      <c r="H11" s="90">
        <f>IF(ISNUMBER(SEARCH("3", C11)),1,0)</f>
        <v>0</v>
      </c>
      <c r="I11" s="90">
        <f>IF(AND(H11=1,NOT(ISBLANK($P11))),1,0)</f>
        <v>0</v>
      </c>
      <c r="J11" s="90">
        <f>IF(ISNUMBER(SEARCH("4", C11)),1,0)</f>
        <v>0</v>
      </c>
      <c r="K11" s="90">
        <f>IF(AND(J11=1,NOT(ISBLANK($P11))),1,0)</f>
        <v>0</v>
      </c>
      <c r="L11" s="90">
        <f>IF(ISNUMBER(SEARCH("5", C11)),1,0)</f>
        <v>0</v>
      </c>
      <c r="M11" s="90">
        <f>IF(AND(L11=1,NOT(ISBLANK($P11))),1,0)</f>
        <v>0</v>
      </c>
      <c r="N11" s="91"/>
      <c r="O11" s="92" t="str" cm="1">
        <f t="array" ref="O11">INDEX(Texts[],MATCH("id149",Texts[Index],0),idx_lang)</f>
        <v>Bevölkerung</v>
      </c>
      <c r="P11" s="93"/>
      <c r="Q11" s="93"/>
      <c r="R11" s="94"/>
      <c r="S11" s="94"/>
      <c r="T11" s="93"/>
      <c r="U11" s="92"/>
      <c r="V11" s="93"/>
      <c r="W11" s="95"/>
      <c r="X11" s="95"/>
      <c r="Y11" s="96"/>
      <c r="Z11" s="97"/>
      <c r="AA11" s="97"/>
    </row>
    <row r="12" spans="1:27" ht="13.15" x14ac:dyDescent="0.4">
      <c r="A12" s="15" t="b">
        <f t="shared" ref="A12:A13" si="0">ISNUMBER(SEARCH(LEFT($P$7,1), C12))</f>
        <v>1</v>
      </c>
      <c r="B12" s="15" t="b">
        <f t="shared" ref="B12:B13" si="1">IF(C12="", TRUE, A12)</f>
        <v>1</v>
      </c>
      <c r="C12" s="53">
        <v>12345</v>
      </c>
      <c r="D12" s="53">
        <f t="shared" ref="D12:D13" si="2">IF(ISNUMBER(SEARCH("1", C12)),1,0)</f>
        <v>1</v>
      </c>
      <c r="E12" s="53">
        <f t="shared" ref="E12:E13" si="3">IF(AND(D12=1,NOT(ISBLANK(P12))),1,0)</f>
        <v>0</v>
      </c>
      <c r="F12" s="53">
        <f t="shared" ref="F12:F13" si="4">IF(ISNUMBER(SEARCH("2", C12)),1,0)</f>
        <v>1</v>
      </c>
      <c r="G12" s="53">
        <f t="shared" ref="G12:G13" si="5">IF(AND(F12=1,NOT(ISBLANK($P12))),1,0)</f>
        <v>0</v>
      </c>
      <c r="H12" s="53">
        <f t="shared" ref="H12:H13" si="6">IF(ISNUMBER(SEARCH("3", C12)),1,0)</f>
        <v>1</v>
      </c>
      <c r="I12" s="53">
        <f t="shared" ref="I12:I13" si="7">IF(AND(H12=1,NOT(ISBLANK($P12))),1,0)</f>
        <v>0</v>
      </c>
      <c r="J12" s="53">
        <f t="shared" ref="J12:J13" si="8">IF(ISNUMBER(SEARCH("4", C12)),1,0)</f>
        <v>1</v>
      </c>
      <c r="K12" s="53">
        <f t="shared" ref="K12:K13" si="9">IF(AND(J12=1,NOT(ISBLANK($P12))),1,0)</f>
        <v>0</v>
      </c>
      <c r="L12" s="53">
        <f t="shared" ref="L12:L13" si="10">IF(ISNUMBER(SEARCH("5", C12)),1,0)</f>
        <v>1</v>
      </c>
      <c r="M12" s="53">
        <f t="shared" ref="M12:M13" si="11">IF(AND(L12=1,NOT(ISBLANK($P12))),1,0)</f>
        <v>0</v>
      </c>
      <c r="N12" s="6"/>
      <c r="O12" s="7" t="str" cm="1">
        <f t="array" ref="O12">INDEX(Texts[],MATCH("id59",Texts[Index],0),idx_lang)</f>
        <v>Anzahl Einwohner</v>
      </c>
      <c r="P12" s="266"/>
      <c r="Q12" s="6"/>
      <c r="R12" s="64" t="str" cm="1">
        <f t="array" ref="R12">INDEX(Texts[],MATCH("id150",Texts[Index],0),idx_lang)</f>
        <v>Einwohner</v>
      </c>
      <c r="T12" s="174" t="str">
        <f>IFERROR(VLOOKUP($P$5,Statistics!$B$2:$E$2146,2), "-")</f>
        <v>-</v>
      </c>
      <c r="U12" s="244" t="str" cm="1">
        <f t="array" ref="U12">INDEX(Texts[],MATCH("id150",Texts[Index],0),idx_lang)</f>
        <v>Einwohner</v>
      </c>
      <c r="V12" s="252">
        <v>2024</v>
      </c>
      <c r="W12" s="219">
        <v>1</v>
      </c>
      <c r="X12" s="217"/>
      <c r="Y12" s="2" t="str" cm="1">
        <f t="array" ref="Y12">INDEX(Texts[],MATCH("id151",Texts[Index],0),idx_lang)</f>
        <v>BFS, Kanton</v>
      </c>
      <c r="AA12" s="75"/>
    </row>
    <row r="13" spans="1:27" ht="13.15" x14ac:dyDescent="0.4">
      <c r="A13" s="15" t="b">
        <f t="shared" si="0"/>
        <v>0</v>
      </c>
      <c r="B13" s="15" t="b">
        <f t="shared" si="1"/>
        <v>1</v>
      </c>
      <c r="C13" s="53"/>
      <c r="D13" s="53">
        <f t="shared" si="2"/>
        <v>0</v>
      </c>
      <c r="E13" s="53">
        <f t="shared" si="3"/>
        <v>0</v>
      </c>
      <c r="F13" s="53">
        <f t="shared" si="4"/>
        <v>0</v>
      </c>
      <c r="G13" s="53">
        <f t="shared" si="5"/>
        <v>0</v>
      </c>
      <c r="H13" s="53">
        <f t="shared" si="6"/>
        <v>0</v>
      </c>
      <c r="I13" s="53">
        <f t="shared" si="7"/>
        <v>0</v>
      </c>
      <c r="J13" s="53">
        <f t="shared" si="8"/>
        <v>0</v>
      </c>
      <c r="K13" s="53">
        <f t="shared" si="9"/>
        <v>0</v>
      </c>
      <c r="L13" s="53">
        <f t="shared" si="10"/>
        <v>0</v>
      </c>
      <c r="M13" s="53">
        <f t="shared" si="11"/>
        <v>0</v>
      </c>
      <c r="N13" s="20"/>
      <c r="O13" s="19"/>
      <c r="P13" s="20"/>
      <c r="Q13" s="20"/>
      <c r="R13" s="21"/>
      <c r="S13" s="21"/>
      <c r="T13" s="20"/>
      <c r="U13" s="19"/>
      <c r="V13" s="20"/>
      <c r="W13" s="21"/>
      <c r="X13" s="21"/>
      <c r="Y13" s="22"/>
      <c r="Z13" s="22"/>
      <c r="AA13" s="22"/>
    </row>
    <row r="14" spans="1:27" s="98" customFormat="1" ht="13.9" x14ac:dyDescent="0.4">
      <c r="A14" s="89" t="b">
        <f>ISNUMBER(SEARCH(LEFT($P$7,1), C14))</f>
        <v>0</v>
      </c>
      <c r="B14" s="89" t="b">
        <f>IF(C14="", TRUE, A14)</f>
        <v>1</v>
      </c>
      <c r="C14" s="90"/>
      <c r="D14" s="90">
        <f>IF(ISNUMBER(SEARCH("1", C14)),1,0)</f>
        <v>0</v>
      </c>
      <c r="E14" s="90">
        <f>IF(AND(D14=1,NOT(ISBLANK(P14))),1,0)</f>
        <v>0</v>
      </c>
      <c r="F14" s="90">
        <f>IF(ISNUMBER(SEARCH("2", C14)),1,0)</f>
        <v>0</v>
      </c>
      <c r="G14" s="90">
        <f>IF(AND(F14=1,NOT(ISBLANK($P14))),1,0)</f>
        <v>0</v>
      </c>
      <c r="H14" s="90">
        <f>IF(ISNUMBER(SEARCH("3", C14)),1,0)</f>
        <v>0</v>
      </c>
      <c r="I14" s="90">
        <f>IF(AND(H14=1,NOT(ISBLANK($P14))),1,0)</f>
        <v>0</v>
      </c>
      <c r="J14" s="90">
        <f>IF(ISNUMBER(SEARCH("4", C14)),1,0)</f>
        <v>0</v>
      </c>
      <c r="K14" s="90">
        <f>IF(AND(J14=1,NOT(ISBLANK($P14))),1,0)</f>
        <v>0</v>
      </c>
      <c r="L14" s="90">
        <f>IF(ISNUMBER(SEARCH("5", C14)),1,0)</f>
        <v>0</v>
      </c>
      <c r="M14" s="90">
        <f>IF(AND(L14=1,NOT(ISBLANK($P14))),1,0)</f>
        <v>0</v>
      </c>
      <c r="N14" s="91">
        <v>1</v>
      </c>
      <c r="O14" s="92" t="str" cm="1">
        <f t="array" ref="O14">INDEX(Texts[],MATCH("id9",Texts[Index],0),idx_lang)</f>
        <v>Energie</v>
      </c>
      <c r="P14" s="93"/>
      <c r="Q14" s="93"/>
      <c r="R14" s="94"/>
      <c r="S14" s="94"/>
      <c r="T14" s="93"/>
      <c r="U14" s="92"/>
      <c r="V14" s="93"/>
      <c r="W14" s="95"/>
      <c r="X14" s="95"/>
      <c r="Y14" s="96"/>
      <c r="Z14" s="97"/>
      <c r="AA14" s="97"/>
    </row>
    <row r="15" spans="1:27" ht="4.5" customHeight="1" x14ac:dyDescent="0.4">
      <c r="C15" s="16"/>
      <c r="D15" s="53"/>
      <c r="E15" s="53"/>
      <c r="F15" s="53"/>
      <c r="G15" s="53">
        <f t="shared" ref="G15:G84" si="12">IF(AND(F15=1,NOT(ISBLANK($P15))),1,0)</f>
        <v>0</v>
      </c>
      <c r="H15" s="53">
        <f t="shared" ref="H15:H84" si="13">IF(ISNUMBER(SEARCH("3", C15)),1,0)</f>
        <v>0</v>
      </c>
      <c r="I15" s="53">
        <f t="shared" ref="I15:K84" si="14">IF(AND(H15=1,NOT(ISBLANK($P15))),1,0)</f>
        <v>0</v>
      </c>
      <c r="J15" s="53">
        <f t="shared" ref="J15:J84" si="15">IF(ISNUMBER(SEARCH("4", C15)),1,0)</f>
        <v>0</v>
      </c>
      <c r="K15" s="53">
        <f t="shared" si="14"/>
        <v>0</v>
      </c>
      <c r="L15" s="53">
        <f t="shared" ref="L15:L84" si="16">IF(ISNUMBER(SEARCH("5", C15)),1,0)</f>
        <v>0</v>
      </c>
      <c r="M15" s="53">
        <f t="shared" ref="M15" si="17">IF(AND(L15=1,NOT(ISBLANK($P15))),1,0)</f>
        <v>0</v>
      </c>
      <c r="N15" s="18"/>
    </row>
    <row r="16" spans="1:27" ht="13.15" x14ac:dyDescent="0.4">
      <c r="A16" s="15" t="b">
        <f t="shared" ref="A16:A21" si="18">ISNUMBER(SEARCH(LEFT($P$7,1), C16))</f>
        <v>0</v>
      </c>
      <c r="B16" s="15" t="b">
        <f t="shared" ref="B16:B83" si="19">IF(C16="", TRUE, A16)</f>
        <v>1</v>
      </c>
      <c r="C16" s="53"/>
      <c r="D16" s="53">
        <f t="shared" ref="D16:D84" si="20">IF(ISNUMBER(SEARCH("1", C16)),1,0)</f>
        <v>0</v>
      </c>
      <c r="E16" s="53">
        <f t="shared" ref="E16:E26" si="21">IF(AND(D16=1,NOT(ISBLANK(P16))),1,0)</f>
        <v>0</v>
      </c>
      <c r="F16" s="53">
        <f t="shared" ref="F16:F84" si="22">IF(ISNUMBER(SEARCH("2", C16)),1,0)</f>
        <v>0</v>
      </c>
      <c r="G16" s="53">
        <f t="shared" si="12"/>
        <v>0</v>
      </c>
      <c r="H16" s="53">
        <f t="shared" si="13"/>
        <v>0</v>
      </c>
      <c r="I16" s="53">
        <f t="shared" si="14"/>
        <v>0</v>
      </c>
      <c r="J16" s="53">
        <f t="shared" si="15"/>
        <v>0</v>
      </c>
      <c r="K16" s="53">
        <f t="shared" si="14"/>
        <v>0</v>
      </c>
      <c r="L16" s="53">
        <f t="shared" si="16"/>
        <v>0</v>
      </c>
      <c r="M16" s="53">
        <f t="shared" ref="M16" si="23">IF(AND(L16=1,NOT(ISBLANK($P16))),1,0)</f>
        <v>0</v>
      </c>
      <c r="N16" s="20"/>
      <c r="O16" s="19" t="str" cm="1">
        <f t="array" ref="O16">INDEX(Texts[],MATCH("id15",Texts[Index],0),idx_lang)</f>
        <v>Wärme</v>
      </c>
      <c r="P16" s="20"/>
      <c r="Q16" s="20"/>
      <c r="R16" s="21"/>
      <c r="S16" s="21"/>
      <c r="T16" s="20"/>
      <c r="U16" s="19"/>
      <c r="V16" s="20"/>
      <c r="W16" s="21"/>
      <c r="X16" s="21"/>
      <c r="Y16" s="22"/>
      <c r="Z16" s="22"/>
      <c r="AA16" s="22"/>
    </row>
    <row r="17" spans="1:27" ht="13.15" x14ac:dyDescent="0.4">
      <c r="A17" s="15" t="b">
        <f t="shared" si="18"/>
        <v>0</v>
      </c>
      <c r="B17" s="15" t="b">
        <f t="shared" ref="B17" si="24">IF(C17="", TRUE, A17)</f>
        <v>1</v>
      </c>
      <c r="C17" s="53"/>
      <c r="D17" s="53">
        <f t="shared" ref="D17" si="25">IF(ISNUMBER(SEARCH("1", C17)),1,0)</f>
        <v>0</v>
      </c>
      <c r="E17" s="53">
        <f t="shared" ref="E17" si="26">IF(AND(D17=1,NOT(ISBLANK(P17))),1,0)</f>
        <v>0</v>
      </c>
      <c r="F17" s="53">
        <f t="shared" ref="F17" si="27">IF(ISNUMBER(SEARCH("2", C17)),1,0)</f>
        <v>0</v>
      </c>
      <c r="G17" s="53">
        <f t="shared" ref="G17" si="28">IF(AND(F17=1,NOT(ISBLANK($P17))),1,0)</f>
        <v>0</v>
      </c>
      <c r="H17" s="53">
        <f t="shared" ref="H17" si="29">IF(ISNUMBER(SEARCH("3", C17)),1,0)</f>
        <v>0</v>
      </c>
      <c r="I17" s="53">
        <f t="shared" ref="I17" si="30">IF(AND(H17=1,NOT(ISBLANK($P17))),1,0)</f>
        <v>0</v>
      </c>
      <c r="J17" s="53">
        <f t="shared" ref="J17" si="31">IF(ISNUMBER(SEARCH("4", C17)),1,0)</f>
        <v>0</v>
      </c>
      <c r="K17" s="53">
        <f t="shared" ref="K17" si="32">IF(AND(J17=1,NOT(ISBLANK($P17))),1,0)</f>
        <v>0</v>
      </c>
      <c r="L17" s="53">
        <f t="shared" ref="L17" si="33">IF(ISNUMBER(SEARCH("5", C17)),1,0)</f>
        <v>0</v>
      </c>
      <c r="M17" s="53">
        <f t="shared" ref="M17" si="34">IF(AND(L17=1,NOT(ISBLANK($P17))),1,0)</f>
        <v>0</v>
      </c>
      <c r="N17" s="6"/>
      <c r="O17" s="59" t="str" cm="1">
        <f t="array" ref="O17">INDEX(Texts[],MATCH("id158",Texts[Index],0),idx_lang)</f>
        <v>Individuelle Heizanlagen</v>
      </c>
      <c r="P17" s="6"/>
      <c r="Q17" s="6"/>
      <c r="T17" s="6"/>
      <c r="U17" s="54"/>
      <c r="V17" s="6"/>
    </row>
    <row r="18" spans="1:27" ht="13.15" x14ac:dyDescent="0.4">
      <c r="A18" s="15" t="b">
        <f t="shared" si="18"/>
        <v>0</v>
      </c>
      <c r="B18" s="15" t="b">
        <f t="shared" si="19"/>
        <v>1</v>
      </c>
      <c r="C18" s="53"/>
      <c r="D18" s="53">
        <f t="shared" si="20"/>
        <v>0</v>
      </c>
      <c r="E18" s="53">
        <f t="shared" si="21"/>
        <v>0</v>
      </c>
      <c r="F18" s="53">
        <f t="shared" si="22"/>
        <v>0</v>
      </c>
      <c r="G18" s="53">
        <f t="shared" si="12"/>
        <v>0</v>
      </c>
      <c r="H18" s="53">
        <f t="shared" si="13"/>
        <v>0</v>
      </c>
      <c r="I18" s="53">
        <f t="shared" si="14"/>
        <v>0</v>
      </c>
      <c r="J18" s="53">
        <f t="shared" si="15"/>
        <v>0</v>
      </c>
      <c r="K18" s="53">
        <f t="shared" si="14"/>
        <v>0</v>
      </c>
      <c r="L18" s="53">
        <f t="shared" si="16"/>
        <v>0</v>
      </c>
      <c r="M18" s="53">
        <f t="shared" ref="M18" si="35">IF(AND(L18=1,NOT(ISBLANK($P18))),1,0)</f>
        <v>0</v>
      </c>
      <c r="N18" s="6"/>
      <c r="O18" s="8" t="str" cm="1">
        <f t="array" ref="O18">INDEX(Texts[],MATCH("id16",Texts[Index],0),idx_lang)</f>
        <v>Nicht erneuerbare Energie</v>
      </c>
    </row>
    <row r="19" spans="1:27" ht="12.75" customHeight="1" x14ac:dyDescent="0.4">
      <c r="A19" s="15" t="b">
        <f t="shared" si="18"/>
        <v>0</v>
      </c>
      <c r="B19" s="15" t="b">
        <f t="shared" si="19"/>
        <v>1</v>
      </c>
      <c r="C19" s="53"/>
      <c r="D19" s="53">
        <f t="shared" si="20"/>
        <v>0</v>
      </c>
      <c r="E19" s="53">
        <f t="shared" si="21"/>
        <v>0</v>
      </c>
      <c r="F19" s="53">
        <f t="shared" si="22"/>
        <v>0</v>
      </c>
      <c r="G19" s="53">
        <f t="shared" si="12"/>
        <v>0</v>
      </c>
      <c r="H19" s="53">
        <f t="shared" si="13"/>
        <v>0</v>
      </c>
      <c r="I19" s="53">
        <f t="shared" si="14"/>
        <v>0</v>
      </c>
      <c r="J19" s="53">
        <f t="shared" si="15"/>
        <v>0</v>
      </c>
      <c r="K19" s="53">
        <f t="shared" si="14"/>
        <v>0</v>
      </c>
      <c r="L19" s="53">
        <f t="shared" si="16"/>
        <v>0</v>
      </c>
      <c r="M19" s="53">
        <f t="shared" ref="M19" si="36">IF(AND(L19=1,NOT(ISBLANK($P19))),1,0)</f>
        <v>0</v>
      </c>
      <c r="N19" s="6"/>
      <c r="O19" s="260" t="str" cm="1">
        <f t="array" ref="O19">INDEX(Texts[],MATCH("id17",Texts[Index],0),idx_lang)</f>
        <v>Wohnen</v>
      </c>
      <c r="P19" s="24"/>
      <c r="Q19" s="24"/>
      <c r="R19" s="21"/>
      <c r="S19" s="21"/>
      <c r="T19" s="24"/>
      <c r="U19" s="22"/>
      <c r="V19" s="24"/>
      <c r="W19" s="21"/>
      <c r="X19" s="21"/>
      <c r="Y19" s="22"/>
      <c r="Z19" s="22"/>
      <c r="AA19" s="22"/>
    </row>
    <row r="20" spans="1:27" ht="14.45" customHeight="1" x14ac:dyDescent="0.4">
      <c r="A20" s="15" t="b">
        <f t="shared" si="18"/>
        <v>1</v>
      </c>
      <c r="B20" s="15" t="b">
        <f t="shared" si="19"/>
        <v>1</v>
      </c>
      <c r="C20" s="53" t="s">
        <v>23</v>
      </c>
      <c r="D20" s="53">
        <f t="shared" si="20"/>
        <v>1</v>
      </c>
      <c r="E20" s="53">
        <f t="shared" si="21"/>
        <v>0</v>
      </c>
      <c r="F20" s="53">
        <f t="shared" si="22"/>
        <v>1</v>
      </c>
      <c r="G20" s="53">
        <f t="shared" si="12"/>
        <v>0</v>
      </c>
      <c r="H20" s="53">
        <f t="shared" si="13"/>
        <v>1</v>
      </c>
      <c r="I20" s="53">
        <f t="shared" si="14"/>
        <v>0</v>
      </c>
      <c r="J20" s="53">
        <f t="shared" si="15"/>
        <v>1</v>
      </c>
      <c r="K20" s="53">
        <f t="shared" si="14"/>
        <v>0</v>
      </c>
      <c r="L20" s="53">
        <f t="shared" si="16"/>
        <v>1</v>
      </c>
      <c r="M20" s="53">
        <f t="shared" ref="M20" si="37">IF(AND(L20=1,NOT(ISBLANK($P20))),1,0)</f>
        <v>0</v>
      </c>
      <c r="N20" s="3" t="s">
        <v>2372</v>
      </c>
      <c r="O20" s="26" t="str" cm="1">
        <f t="array" ref="O20">INDEX(Texts[],MATCH("id18",Texts[Index],0),idx_lang)</f>
        <v>Heizöl</v>
      </c>
      <c r="P20" s="49"/>
      <c r="Q20" s="10"/>
      <c r="R20" s="68" t="s">
        <v>2415</v>
      </c>
      <c r="T20" s="242" t="str">
        <f>IF(MATCH(U20,UnitGWR[[#All],[UnitGWR]],0)-1=1,IFERROR(VLOOKUP($P$5,Statistics!$B$2:$Q$2146,4),"-"),IFERROR(VLOOKUP($P$5,Statistics!$B$2:$Q$2146,4)/Factor!D6,"-"))</f>
        <v>-</v>
      </c>
      <c r="U20" s="326" t="s">
        <v>2415</v>
      </c>
      <c r="V20" s="255" t="s">
        <v>2882</v>
      </c>
      <c r="W20" s="219" t="str">
        <f>IFERROR(VLOOKUP($P$5,Statistics!$B$2:$Z$2146,3),"-")</f>
        <v>-</v>
      </c>
      <c r="X20" s="217"/>
      <c r="Y20" s="2" t="str" cm="1">
        <f t="array" ref="Y20">INDEX(Texts[],MATCH("id49",Texts[Index],0),idx_lang)</f>
        <v>GWR, Feuerungskontrolle, Kanton</v>
      </c>
      <c r="AA20" s="75"/>
    </row>
    <row r="21" spans="1:27" ht="14.45" customHeight="1" x14ac:dyDescent="0.4">
      <c r="A21" s="15" t="b">
        <f t="shared" si="18"/>
        <v>1</v>
      </c>
      <c r="B21" s="15" t="b">
        <f t="shared" si="19"/>
        <v>1</v>
      </c>
      <c r="C21" s="53" t="s">
        <v>23</v>
      </c>
      <c r="D21" s="53">
        <f t="shared" si="20"/>
        <v>1</v>
      </c>
      <c r="E21" s="53">
        <f t="shared" si="21"/>
        <v>0</v>
      </c>
      <c r="F21" s="53">
        <f t="shared" si="22"/>
        <v>1</v>
      </c>
      <c r="G21" s="53">
        <f t="shared" si="12"/>
        <v>0</v>
      </c>
      <c r="H21" s="53">
        <f t="shared" si="13"/>
        <v>1</v>
      </c>
      <c r="I21" s="53">
        <f t="shared" si="14"/>
        <v>0</v>
      </c>
      <c r="J21" s="53">
        <f t="shared" si="15"/>
        <v>1</v>
      </c>
      <c r="K21" s="53">
        <f t="shared" si="14"/>
        <v>0</v>
      </c>
      <c r="L21" s="53">
        <f t="shared" si="16"/>
        <v>1</v>
      </c>
      <c r="M21" s="53">
        <f t="shared" ref="M21" si="38">IF(AND(L21=1,NOT(ISBLANK($P21))),1,0)</f>
        <v>0</v>
      </c>
      <c r="N21" s="3" t="s">
        <v>2372</v>
      </c>
      <c r="O21" s="26" t="str" cm="1">
        <f t="array" ref="O21">INDEX(Texts[],MATCH("id19",Texts[Index],0),idx_lang)</f>
        <v>Gas</v>
      </c>
      <c r="P21" s="49"/>
      <c r="R21" s="68" t="s">
        <v>2415</v>
      </c>
      <c r="T21" s="242" t="str">
        <f>IF(MATCH(U21,UnitGWR[[#All],[UnitGWR]],0)-1=1,IFERROR(VLOOKUP($P$5,Statistics!$B$2:$Q$2146,5),"-"),IFERROR(VLOOKUP($P$5,Statistics!$B$2:$Q$2146,5)/Factor!D7,"-"))</f>
        <v>-</v>
      </c>
      <c r="U21" s="326" t="s">
        <v>2415</v>
      </c>
      <c r="V21" s="255" t="s">
        <v>2882</v>
      </c>
      <c r="W21" s="219" t="str">
        <f>IFERROR(VLOOKUP($P$5,Statistics!$B$2:$Z$2146,3),"-")</f>
        <v>-</v>
      </c>
      <c r="X21" s="217"/>
      <c r="Y21" s="4" t="str" cm="1">
        <f t="array" ref="Y21">INDEX(Texts[],MATCH("id50",Texts[Index],0),idx_lang)</f>
        <v>Gasversorger, GWR, Feuerungskontrolle, Kanton</v>
      </c>
      <c r="AA21" s="75"/>
    </row>
    <row r="22" spans="1:27" ht="25.9" x14ac:dyDescent="0.4">
      <c r="A22" s="15" t="b">
        <f t="shared" ref="A22" si="39">ISNUMBER(SEARCH(LEFT($P$7,1), C22))</f>
        <v>1</v>
      </c>
      <c r="B22" s="15" t="b">
        <f t="shared" ref="B22" si="40">IF(C22="", TRUE, A22)</f>
        <v>1</v>
      </c>
      <c r="C22" s="53" t="s">
        <v>23</v>
      </c>
      <c r="D22" s="53">
        <f t="shared" si="20"/>
        <v>1</v>
      </c>
      <c r="E22" s="53">
        <f t="shared" si="21"/>
        <v>1</v>
      </c>
      <c r="F22" s="53">
        <f t="shared" si="22"/>
        <v>1</v>
      </c>
      <c r="G22" s="53">
        <f t="shared" si="12"/>
        <v>1</v>
      </c>
      <c r="H22" s="53">
        <f t="shared" si="13"/>
        <v>1</v>
      </c>
      <c r="I22" s="53">
        <f t="shared" si="14"/>
        <v>1</v>
      </c>
      <c r="J22" s="53">
        <f t="shared" si="15"/>
        <v>1</v>
      </c>
      <c r="K22" s="53">
        <f t="shared" si="14"/>
        <v>1</v>
      </c>
      <c r="L22" s="53">
        <f t="shared" si="16"/>
        <v>1</v>
      </c>
      <c r="M22" s="53">
        <f t="shared" ref="M22" si="41">IF(AND(L22=1,NOT(ISBLANK($P22))),1,0)</f>
        <v>1</v>
      </c>
      <c r="O22" s="320" t="str" cm="1">
        <f t="array" ref="O22">INDEX(Texts[],MATCH("id75",Texts[Index],0),idx_lang)</f>
        <v>davon Anteil erneuerbarer Gase mit eTS/eBS HKN abgedeckt</v>
      </c>
      <c r="P22" s="71">
        <v>0</v>
      </c>
      <c r="R22" s="66" t="str" cm="1">
        <f t="array" ref="R22">INDEX(Texts[],MATCH("id74",Texts[Index],0),idx_lang)</f>
        <v>in %</v>
      </c>
      <c r="S22" s="33"/>
      <c r="T22" s="2"/>
      <c r="V22" s="2"/>
      <c r="W22" s="3"/>
      <c r="X22" s="3"/>
      <c r="Y22" s="331" t="str" cm="1">
        <f t="array" ref="Y22">INDEX(Texts[],MATCH("id178",Texts[Index],0),idx_lang)</f>
        <v>Siehe Definition im Anwendungshandbuch zum KISS Netto Null Tool</v>
      </c>
      <c r="Z22" s="331"/>
      <c r="AA22" s="75"/>
    </row>
    <row r="23" spans="1:27" ht="18" customHeight="1" x14ac:dyDescent="0.4">
      <c r="A23" s="15" t="b">
        <f>ISNUMBER(SEARCH(LEFT($P$7,1), C23))</f>
        <v>0</v>
      </c>
      <c r="B23" s="15" t="b">
        <f t="shared" si="19"/>
        <v>1</v>
      </c>
      <c r="C23" s="53"/>
      <c r="D23" s="53">
        <f t="shared" si="20"/>
        <v>0</v>
      </c>
      <c r="E23" s="53">
        <f t="shared" si="21"/>
        <v>0</v>
      </c>
      <c r="F23" s="53">
        <f t="shared" si="22"/>
        <v>0</v>
      </c>
      <c r="G23" s="53">
        <f t="shared" si="12"/>
        <v>0</v>
      </c>
      <c r="H23" s="53">
        <f t="shared" si="13"/>
        <v>0</v>
      </c>
      <c r="I23" s="53">
        <f t="shared" si="14"/>
        <v>0</v>
      </c>
      <c r="J23" s="53">
        <f t="shared" si="15"/>
        <v>0</v>
      </c>
      <c r="K23" s="53">
        <f t="shared" si="14"/>
        <v>0</v>
      </c>
      <c r="L23" s="53">
        <f t="shared" si="16"/>
        <v>0</v>
      </c>
      <c r="M23" s="53">
        <f t="shared" ref="M23" si="42">IF(AND(L23=1,NOT(ISBLANK($P23))),1,0)</f>
        <v>0</v>
      </c>
      <c r="O23" s="260" t="str" cm="1">
        <f t="array" ref="O23">INDEX(Texts[],MATCH("id20",Texts[Index],0),idx_lang)</f>
        <v>Industrie und Dienstleistungen (inkl. Energieumwandlung)</v>
      </c>
      <c r="P23" s="24"/>
      <c r="Q23" s="24"/>
      <c r="R23" s="21"/>
      <c r="S23" s="21"/>
      <c r="T23" s="24"/>
      <c r="U23" s="22"/>
      <c r="V23" s="24"/>
      <c r="W23" s="24"/>
      <c r="X23" s="24"/>
      <c r="Y23" s="22"/>
      <c r="Z23" s="22"/>
      <c r="AA23" s="58"/>
    </row>
    <row r="24" spans="1:27" ht="13.15" x14ac:dyDescent="0.4">
      <c r="A24" s="15" t="b">
        <f>ISNUMBER(SEARCH(LEFT($P$7,1), C24))</f>
        <v>1</v>
      </c>
      <c r="B24" s="15" t="b">
        <f t="shared" si="19"/>
        <v>1</v>
      </c>
      <c r="C24" s="53" t="s">
        <v>23</v>
      </c>
      <c r="D24" s="53">
        <f t="shared" si="20"/>
        <v>1</v>
      </c>
      <c r="E24" s="53">
        <f t="shared" si="21"/>
        <v>0</v>
      </c>
      <c r="F24" s="53">
        <f t="shared" si="22"/>
        <v>1</v>
      </c>
      <c r="G24" s="53">
        <f t="shared" si="12"/>
        <v>0</v>
      </c>
      <c r="H24" s="53">
        <f t="shared" si="13"/>
        <v>1</v>
      </c>
      <c r="I24" s="53">
        <f t="shared" si="14"/>
        <v>0</v>
      </c>
      <c r="J24" s="53">
        <f t="shared" si="15"/>
        <v>1</v>
      </c>
      <c r="K24" s="53">
        <f t="shared" si="14"/>
        <v>0</v>
      </c>
      <c r="L24" s="53">
        <f t="shared" si="16"/>
        <v>1</v>
      </c>
      <c r="M24" s="53">
        <f t="shared" ref="M24" si="43">IF(AND(L24=1,NOT(ISBLANK($P24))),1,0)</f>
        <v>0</v>
      </c>
      <c r="N24" s="3" t="s">
        <v>2373</v>
      </c>
      <c r="O24" s="26" t="str" cm="1">
        <f t="array" ref="O24">INDEX(Texts[],MATCH("id21",Texts[Index],0),idx_lang)</f>
        <v>Heizöl</v>
      </c>
      <c r="P24" s="49"/>
      <c r="R24" s="68" t="s">
        <v>2415</v>
      </c>
      <c r="W24" s="3"/>
      <c r="X24" s="3"/>
      <c r="Y24" s="2" t="str" cm="1">
        <f t="array" ref="Y24">INDEX(Texts[],MATCH("id49",Texts[Index],0),idx_lang)</f>
        <v>GWR, Feuerungskontrolle, Kanton</v>
      </c>
      <c r="AA24" s="75"/>
    </row>
    <row r="25" spans="1:27" ht="13.15" x14ac:dyDescent="0.4">
      <c r="A25" s="15" t="b">
        <f>ISNUMBER(SEARCH(LEFT($P$7,1), C25))</f>
        <v>1</v>
      </c>
      <c r="B25" s="15" t="b">
        <f t="shared" si="19"/>
        <v>1</v>
      </c>
      <c r="C25" s="53" t="s">
        <v>23</v>
      </c>
      <c r="D25" s="53">
        <f t="shared" si="20"/>
        <v>1</v>
      </c>
      <c r="E25" s="53">
        <f t="shared" si="21"/>
        <v>0</v>
      </c>
      <c r="F25" s="53">
        <f t="shared" si="22"/>
        <v>1</v>
      </c>
      <c r="G25" s="53">
        <f t="shared" si="12"/>
        <v>0</v>
      </c>
      <c r="H25" s="53">
        <f t="shared" si="13"/>
        <v>1</v>
      </c>
      <c r="I25" s="53">
        <f t="shared" si="14"/>
        <v>0</v>
      </c>
      <c r="J25" s="53">
        <f t="shared" si="15"/>
        <v>1</v>
      </c>
      <c r="K25" s="53">
        <f t="shared" si="14"/>
        <v>0</v>
      </c>
      <c r="L25" s="53">
        <f t="shared" si="16"/>
        <v>1</v>
      </c>
      <c r="M25" s="53">
        <f t="shared" ref="M25" si="44">IF(AND(L25=1,NOT(ISBLANK($P25))),1,0)</f>
        <v>0</v>
      </c>
      <c r="N25" s="3" t="s">
        <v>2373</v>
      </c>
      <c r="O25" s="26" t="str" cm="1">
        <f t="array" ref="O25">INDEX(Texts[],MATCH("id22",Texts[Index],0),idx_lang)</f>
        <v>Gas</v>
      </c>
      <c r="P25" s="49"/>
      <c r="R25" s="68" t="s">
        <v>2415</v>
      </c>
      <c r="W25" s="3"/>
      <c r="X25" s="3"/>
      <c r="Y25" s="2" t="str" cm="1">
        <f t="array" ref="Y25">INDEX(Texts[],MATCH("id50",Texts[Index],0),idx_lang)</f>
        <v>Gasversorger, GWR, Feuerungskontrolle, Kanton</v>
      </c>
      <c r="AA25" s="75"/>
    </row>
    <row r="26" spans="1:27" ht="25.9" x14ac:dyDescent="0.4">
      <c r="A26" s="15" t="b">
        <f t="shared" ref="A26" si="45">ISNUMBER(SEARCH(LEFT($P$7,1), C26))</f>
        <v>1</v>
      </c>
      <c r="B26" s="15" t="b">
        <f t="shared" ref="B26" si="46">IF(C26="", TRUE, A26)</f>
        <v>1</v>
      </c>
      <c r="C26" s="53" t="s">
        <v>23</v>
      </c>
      <c r="D26" s="53">
        <f t="shared" si="20"/>
        <v>1</v>
      </c>
      <c r="E26" s="53">
        <f t="shared" si="21"/>
        <v>1</v>
      </c>
      <c r="F26" s="53">
        <f t="shared" si="22"/>
        <v>1</v>
      </c>
      <c r="G26" s="53">
        <f t="shared" si="12"/>
        <v>1</v>
      </c>
      <c r="H26" s="53">
        <f t="shared" si="13"/>
        <v>1</v>
      </c>
      <c r="I26" s="53">
        <f t="shared" si="14"/>
        <v>1</v>
      </c>
      <c r="J26" s="53">
        <f t="shared" si="15"/>
        <v>1</v>
      </c>
      <c r="K26" s="53">
        <f t="shared" si="14"/>
        <v>1</v>
      </c>
      <c r="L26" s="53">
        <f t="shared" si="16"/>
        <v>1</v>
      </c>
      <c r="M26" s="53">
        <f t="shared" ref="M26" si="47">IF(AND(L26=1,NOT(ISBLANK($P26))),1,0)</f>
        <v>1</v>
      </c>
      <c r="O26" s="320" t="str" cm="1">
        <f t="array" ref="O26">INDEX(Texts[],MATCH("id75",Texts[Index],0),idx_lang)</f>
        <v>davon Anteil erneuerbarer Gase mit eTS/eBS HKN abgedeckt</v>
      </c>
      <c r="P26" s="71">
        <v>0</v>
      </c>
      <c r="R26" s="321" t="str" cm="1">
        <f t="array" ref="R26">INDEX(Texts[],MATCH("id74",Texts[Index],0),idx_lang)</f>
        <v>in %</v>
      </c>
      <c r="S26" s="2"/>
      <c r="W26" s="3"/>
      <c r="X26" s="3"/>
      <c r="Y26" s="331" t="str" cm="1">
        <f t="array" ref="Y26">INDEX(Texts[],MATCH("id178",Texts[Index],0),idx_lang)</f>
        <v>Siehe Definition im Anwendungshandbuch zum KISS Netto Null Tool</v>
      </c>
      <c r="Z26" s="331"/>
      <c r="AA26" s="75"/>
    </row>
    <row r="27" spans="1:27" ht="4.5" customHeight="1" x14ac:dyDescent="0.4">
      <c r="C27" s="16"/>
      <c r="D27" s="53"/>
      <c r="E27" s="53"/>
      <c r="F27" s="53"/>
      <c r="G27" s="53">
        <f t="shared" si="12"/>
        <v>0</v>
      </c>
      <c r="H27" s="53">
        <f t="shared" si="13"/>
        <v>0</v>
      </c>
      <c r="I27" s="53">
        <f t="shared" si="14"/>
        <v>0</v>
      </c>
      <c r="J27" s="53">
        <f t="shared" si="15"/>
        <v>0</v>
      </c>
      <c r="K27" s="53">
        <f t="shared" si="14"/>
        <v>0</v>
      </c>
      <c r="L27" s="53">
        <f t="shared" si="16"/>
        <v>0</v>
      </c>
      <c r="M27" s="53">
        <f t="shared" ref="M27" si="48">IF(AND(L27=1,NOT(ISBLANK($P27))),1,0)</f>
        <v>0</v>
      </c>
      <c r="N27" s="18"/>
      <c r="W27" s="3"/>
      <c r="X27" s="3"/>
    </row>
    <row r="28" spans="1:27" ht="13.15" x14ac:dyDescent="0.4">
      <c r="A28" s="15" t="b">
        <f t="shared" ref="A28:A57" si="49">ISNUMBER(SEARCH(LEFT($P$7,1), C28))</f>
        <v>0</v>
      </c>
      <c r="B28" s="15" t="b">
        <f t="shared" si="19"/>
        <v>1</v>
      </c>
      <c r="C28" s="53"/>
      <c r="D28" s="53">
        <f t="shared" si="20"/>
        <v>0</v>
      </c>
      <c r="E28" s="53">
        <f t="shared" ref="E28:E58" si="50">IF(AND(D28=1,NOT(ISBLANK(P28))),1,0)</f>
        <v>0</v>
      </c>
      <c r="F28" s="53">
        <f t="shared" si="22"/>
        <v>0</v>
      </c>
      <c r="G28" s="53">
        <f t="shared" si="12"/>
        <v>0</v>
      </c>
      <c r="H28" s="53">
        <f t="shared" si="13"/>
        <v>0</v>
      </c>
      <c r="I28" s="53">
        <f t="shared" si="14"/>
        <v>0</v>
      </c>
      <c r="J28" s="53">
        <f t="shared" si="15"/>
        <v>0</v>
      </c>
      <c r="K28" s="53">
        <f t="shared" si="14"/>
        <v>0</v>
      </c>
      <c r="L28" s="53">
        <f t="shared" si="16"/>
        <v>0</v>
      </c>
      <c r="M28" s="53">
        <f t="shared" ref="M28" si="51">IF(AND(L28=1,NOT(ISBLANK($P28))),1,0)</f>
        <v>0</v>
      </c>
      <c r="N28" s="6"/>
      <c r="O28" s="25" t="str" cm="1">
        <f t="array" ref="O28">INDEX(Texts[],MATCH("id24",Texts[Index],0),idx_lang)</f>
        <v>Erneuerbare Energie</v>
      </c>
      <c r="P28" s="24"/>
      <c r="Q28" s="24"/>
      <c r="R28" s="21"/>
      <c r="S28" s="21"/>
      <c r="T28" s="24"/>
      <c r="U28" s="22"/>
      <c r="V28" s="24"/>
      <c r="W28" s="24"/>
      <c r="X28" s="24"/>
      <c r="Y28" s="22"/>
      <c r="Z28" s="22"/>
      <c r="AA28" s="22"/>
    </row>
    <row r="29" spans="1:27" ht="13.15" x14ac:dyDescent="0.4">
      <c r="A29" s="15" t="b">
        <f t="shared" si="49"/>
        <v>1</v>
      </c>
      <c r="B29" s="15" t="b">
        <f t="shared" si="19"/>
        <v>1</v>
      </c>
      <c r="C29" s="53">
        <v>34</v>
      </c>
      <c r="D29" s="53">
        <f t="shared" si="20"/>
        <v>0</v>
      </c>
      <c r="E29" s="53">
        <f t="shared" si="50"/>
        <v>0</v>
      </c>
      <c r="F29" s="53">
        <f t="shared" si="22"/>
        <v>0</v>
      </c>
      <c r="G29" s="53">
        <f t="shared" si="12"/>
        <v>0</v>
      </c>
      <c r="H29" s="53">
        <f t="shared" si="13"/>
        <v>1</v>
      </c>
      <c r="I29" s="53">
        <f t="shared" si="14"/>
        <v>0</v>
      </c>
      <c r="J29" s="53">
        <f t="shared" si="15"/>
        <v>1</v>
      </c>
      <c r="K29" s="53">
        <f t="shared" si="14"/>
        <v>0</v>
      </c>
      <c r="L29" s="53">
        <f t="shared" si="16"/>
        <v>0</v>
      </c>
      <c r="M29" s="53">
        <f t="shared" ref="M29" si="52">IF(AND(L29=1,NOT(ISBLANK($P29))),1,0)</f>
        <v>0</v>
      </c>
      <c r="N29" s="6"/>
      <c r="O29" s="8" t="str" cm="1">
        <f t="array" ref="O29">INDEX(Texts[],MATCH("id25",Texts[Index],0),idx_lang)</f>
        <v>Holz</v>
      </c>
      <c r="P29" s="49"/>
      <c r="R29" s="68" t="s">
        <v>2415</v>
      </c>
      <c r="T29" s="10"/>
      <c r="U29" s="67"/>
      <c r="V29" s="10"/>
      <c r="W29" s="3"/>
      <c r="X29" s="3"/>
      <c r="Y29" s="2" t="str" cm="1">
        <f t="array" ref="Y29">INDEX(Texts[],MATCH("id49",Texts[Index],0),idx_lang)</f>
        <v>GWR, Feuerungskontrolle, Kanton</v>
      </c>
      <c r="AA29" s="75"/>
    </row>
    <row r="30" spans="1:27" ht="13.15" x14ac:dyDescent="0.4">
      <c r="A30" s="15" t="b">
        <f t="shared" si="49"/>
        <v>1</v>
      </c>
      <c r="B30" s="15" t="b">
        <f t="shared" si="19"/>
        <v>1</v>
      </c>
      <c r="C30" s="53">
        <v>4</v>
      </c>
      <c r="D30" s="53">
        <f t="shared" si="20"/>
        <v>0</v>
      </c>
      <c r="E30" s="53">
        <f t="shared" si="50"/>
        <v>0</v>
      </c>
      <c r="F30" s="53">
        <f t="shared" si="22"/>
        <v>0</v>
      </c>
      <c r="G30" s="53">
        <f t="shared" si="12"/>
        <v>0</v>
      </c>
      <c r="H30" s="53">
        <f t="shared" si="13"/>
        <v>0</v>
      </c>
      <c r="I30" s="53">
        <f t="shared" si="14"/>
        <v>0</v>
      </c>
      <c r="J30" s="53">
        <f t="shared" si="15"/>
        <v>1</v>
      </c>
      <c r="K30" s="53">
        <f t="shared" si="14"/>
        <v>0</v>
      </c>
      <c r="L30" s="53">
        <f t="shared" si="16"/>
        <v>0</v>
      </c>
      <c r="M30" s="53">
        <f t="shared" ref="M30" si="53">IF(AND(L30=1,NOT(ISBLANK($P30))),1,0)</f>
        <v>0</v>
      </c>
      <c r="N30" s="6"/>
      <c r="O30" s="8" t="str" cm="1">
        <f t="array" ref="O30">INDEX(Texts[],MATCH("id26",Texts[Index],0),idx_lang)</f>
        <v>Wärmepumpe</v>
      </c>
      <c r="P30" s="49"/>
      <c r="R30" s="68" t="s">
        <v>2720</v>
      </c>
      <c r="T30" s="10"/>
      <c r="U30" s="67"/>
      <c r="V30" s="10"/>
      <c r="W30" s="3"/>
      <c r="X30" s="3"/>
      <c r="Y30" s="2" t="str" cm="1">
        <f t="array" ref="Y30">INDEX(Texts[],MATCH("id52",Texts[Index],0),idx_lang)</f>
        <v>GWR, Stromversorger, Kanton</v>
      </c>
      <c r="AA30" s="75"/>
    </row>
    <row r="31" spans="1:27" ht="13.15" x14ac:dyDescent="0.4">
      <c r="A31" s="15" t="b">
        <f t="shared" si="49"/>
        <v>1</v>
      </c>
      <c r="B31" s="15" t="b">
        <f t="shared" si="19"/>
        <v>1</v>
      </c>
      <c r="C31" s="53">
        <v>4</v>
      </c>
      <c r="D31" s="53">
        <f t="shared" si="20"/>
        <v>0</v>
      </c>
      <c r="E31" s="53">
        <f t="shared" si="50"/>
        <v>0</v>
      </c>
      <c r="F31" s="53">
        <f t="shared" si="22"/>
        <v>0</v>
      </c>
      <c r="G31" s="53">
        <f t="shared" si="12"/>
        <v>0</v>
      </c>
      <c r="H31" s="53">
        <f t="shared" si="13"/>
        <v>0</v>
      </c>
      <c r="I31" s="53">
        <f t="shared" si="14"/>
        <v>0</v>
      </c>
      <c r="J31" s="53">
        <f t="shared" si="15"/>
        <v>1</v>
      </c>
      <c r="K31" s="53">
        <f t="shared" si="14"/>
        <v>0</v>
      </c>
      <c r="L31" s="53">
        <f t="shared" si="16"/>
        <v>0</v>
      </c>
      <c r="M31" s="53">
        <f t="shared" ref="M31" si="54">IF(AND(L31=1,NOT(ISBLANK($P31))),1,0)</f>
        <v>0</v>
      </c>
      <c r="N31" s="6"/>
      <c r="O31" s="8" t="str" cm="1">
        <f t="array" ref="O31">INDEX(Texts[],MATCH("id27",Texts[Index],0),idx_lang)</f>
        <v>Sonnenkollektor</v>
      </c>
      <c r="P31" s="49"/>
      <c r="R31" s="68" t="s">
        <v>2415</v>
      </c>
      <c r="W31" s="3"/>
      <c r="X31" s="3"/>
      <c r="Y31" s="2" t="str" cm="1">
        <f t="array" ref="Y31">INDEX(Texts[],MATCH("id53",Texts[Index],0),idx_lang)</f>
        <v>GWR, Gemeinde, Kanton</v>
      </c>
      <c r="AA31" s="75"/>
    </row>
    <row r="32" spans="1:27" ht="13.15" x14ac:dyDescent="0.4">
      <c r="A32" s="15" t="b">
        <f t="shared" ref="A32:A42" si="55">ISNUMBER(SEARCH(LEFT($P$7,1), C32))</f>
        <v>0</v>
      </c>
      <c r="B32" s="15" t="b">
        <f t="shared" ref="B32:B42" si="56">IF(C32="", TRUE, A32)</f>
        <v>1</v>
      </c>
      <c r="C32" s="53"/>
      <c r="D32" s="53">
        <f t="shared" ref="D32:D36" si="57">IF(ISNUMBER(SEARCH("1", C32)),1,0)</f>
        <v>0</v>
      </c>
      <c r="E32" s="53">
        <f t="shared" ref="E32:E36" si="58">IF(AND(D32=1,NOT(ISBLANK(P32))),1,0)</f>
        <v>0</v>
      </c>
      <c r="F32" s="53">
        <f t="shared" ref="F32:F36" si="59">IF(ISNUMBER(SEARCH("2", C32)),1,0)</f>
        <v>0</v>
      </c>
      <c r="G32" s="53">
        <f t="shared" ref="G32:G36" si="60">IF(AND(F32=1,NOT(ISBLANK($P32))),1,0)</f>
        <v>0</v>
      </c>
      <c r="H32" s="53">
        <f t="shared" ref="H32:H36" si="61">IF(ISNUMBER(SEARCH("3", C32)),1,0)</f>
        <v>0</v>
      </c>
      <c r="I32" s="53">
        <f t="shared" ref="I32:I36" si="62">IF(AND(H32=1,NOT(ISBLANK($P32))),1,0)</f>
        <v>0</v>
      </c>
      <c r="J32" s="53">
        <f t="shared" ref="J32:J36" si="63">IF(ISNUMBER(SEARCH("4", C32)),1,0)</f>
        <v>0</v>
      </c>
      <c r="K32" s="53">
        <f t="shared" ref="K32:K36" si="64">IF(AND(J32=1,NOT(ISBLANK($P32))),1,0)</f>
        <v>0</v>
      </c>
      <c r="L32" s="53">
        <f t="shared" ref="L32:L36" si="65">IF(ISNUMBER(SEARCH("5", C32)),1,0)</f>
        <v>0</v>
      </c>
      <c r="M32" s="53">
        <f t="shared" ref="M32:M36" si="66">IF(AND(L32=1,NOT(ISBLANK($P32))),1,0)</f>
        <v>0</v>
      </c>
      <c r="N32" s="6"/>
      <c r="O32" s="8"/>
      <c r="P32" s="49"/>
      <c r="R32" s="69"/>
      <c r="W32" s="3"/>
      <c r="X32" s="3"/>
      <c r="AA32" s="75"/>
    </row>
    <row r="33" spans="1:27" ht="13.15" x14ac:dyDescent="0.4">
      <c r="A33" s="15" t="b">
        <f t="shared" si="55"/>
        <v>0</v>
      </c>
      <c r="B33" s="15" t="b">
        <f t="shared" si="56"/>
        <v>1</v>
      </c>
      <c r="C33" s="53"/>
      <c r="D33" s="53">
        <f t="shared" si="57"/>
        <v>0</v>
      </c>
      <c r="E33" s="53">
        <f t="shared" si="58"/>
        <v>0</v>
      </c>
      <c r="F33" s="53">
        <f t="shared" si="59"/>
        <v>0</v>
      </c>
      <c r="G33" s="53">
        <f t="shared" si="60"/>
        <v>0</v>
      </c>
      <c r="H33" s="53">
        <f t="shared" si="61"/>
        <v>0</v>
      </c>
      <c r="I33" s="53">
        <f t="shared" si="62"/>
        <v>0</v>
      </c>
      <c r="J33" s="53">
        <f t="shared" si="63"/>
        <v>0</v>
      </c>
      <c r="K33" s="53">
        <f t="shared" si="64"/>
        <v>0</v>
      </c>
      <c r="L33" s="53">
        <f t="shared" si="65"/>
        <v>0</v>
      </c>
      <c r="M33" s="53">
        <f t="shared" si="66"/>
        <v>0</v>
      </c>
      <c r="N33" s="6"/>
      <c r="O33" s="59" t="str" cm="1">
        <f t="array" ref="O33">INDEX(Texts[],MATCH("id159",Texts[Index],0),idx_lang)</f>
        <v>Fernwärme</v>
      </c>
      <c r="P33" s="49"/>
      <c r="R33" s="69"/>
      <c r="W33" s="3"/>
      <c r="X33" s="3"/>
      <c r="AA33" s="75"/>
    </row>
    <row r="34" spans="1:27" ht="13.15" x14ac:dyDescent="0.4">
      <c r="A34" s="15" t="b">
        <f t="shared" si="55"/>
        <v>0</v>
      </c>
      <c r="B34" s="15" t="b">
        <f t="shared" si="56"/>
        <v>1</v>
      </c>
      <c r="C34" s="53"/>
      <c r="D34" s="53">
        <f t="shared" si="57"/>
        <v>0</v>
      </c>
      <c r="E34" s="53">
        <f t="shared" si="58"/>
        <v>0</v>
      </c>
      <c r="F34" s="53">
        <f t="shared" si="59"/>
        <v>0</v>
      </c>
      <c r="G34" s="53">
        <f t="shared" si="60"/>
        <v>0</v>
      </c>
      <c r="H34" s="53">
        <f t="shared" si="61"/>
        <v>0</v>
      </c>
      <c r="I34" s="53">
        <f t="shared" si="62"/>
        <v>0</v>
      </c>
      <c r="J34" s="53">
        <f t="shared" si="63"/>
        <v>0</v>
      </c>
      <c r="K34" s="53">
        <f t="shared" si="64"/>
        <v>0</v>
      </c>
      <c r="L34" s="53">
        <f t="shared" si="65"/>
        <v>0</v>
      </c>
      <c r="M34" s="53">
        <f t="shared" si="66"/>
        <v>0</v>
      </c>
      <c r="N34" s="6"/>
      <c r="O34" s="261" t="str" cm="1">
        <f t="array" ref="O34">INDEX(Texts[],MATCH("id160",Texts[Index],0),idx_lang)</f>
        <v>Erzeugung auf dem Gemeindegebiet (Scope 1)</v>
      </c>
      <c r="P34" s="257"/>
      <c r="Q34" s="24"/>
      <c r="R34" s="258"/>
      <c r="S34" s="21"/>
      <c r="T34" s="24"/>
      <c r="U34" s="22"/>
      <c r="V34" s="24"/>
      <c r="W34" s="24"/>
      <c r="X34" s="24"/>
      <c r="Y34" s="22"/>
      <c r="Z34" s="22"/>
      <c r="AA34" s="259"/>
    </row>
    <row r="35" spans="1:27" ht="13.15" x14ac:dyDescent="0.4">
      <c r="A35" s="15" t="b">
        <f t="shared" si="55"/>
        <v>1</v>
      </c>
      <c r="B35" s="15" t="b">
        <f t="shared" si="56"/>
        <v>1</v>
      </c>
      <c r="C35" s="53">
        <v>12345</v>
      </c>
      <c r="D35" s="53">
        <f t="shared" si="57"/>
        <v>1</v>
      </c>
      <c r="E35" s="53">
        <f t="shared" si="58"/>
        <v>1</v>
      </c>
      <c r="F35" s="53">
        <f t="shared" si="59"/>
        <v>1</v>
      </c>
      <c r="G35" s="53">
        <f t="shared" si="60"/>
        <v>1</v>
      </c>
      <c r="H35" s="53">
        <f t="shared" si="61"/>
        <v>1</v>
      </c>
      <c r="I35" s="53">
        <f t="shared" si="62"/>
        <v>1</v>
      </c>
      <c r="J35" s="53">
        <f t="shared" si="63"/>
        <v>1</v>
      </c>
      <c r="K35" s="53">
        <f t="shared" si="64"/>
        <v>1</v>
      </c>
      <c r="L35" s="53">
        <f t="shared" si="65"/>
        <v>1</v>
      </c>
      <c r="M35" s="53">
        <f t="shared" si="66"/>
        <v>1</v>
      </c>
      <c r="N35" s="6"/>
      <c r="O35" s="9" t="str" cm="1">
        <f t="array" ref="O35">INDEX(Texts[],MATCH("id162",Texts[Index],0),idx_lang)</f>
        <v>Gesamte Wärmeerzeugung</v>
      </c>
      <c r="P35" s="49">
        <v>0</v>
      </c>
      <c r="R35" s="69" t="s">
        <v>2415</v>
      </c>
      <c r="W35" s="3"/>
      <c r="X35" s="3"/>
      <c r="Y35" s="2" t="str" cm="1">
        <f t="array" ref="Y35">INDEX(Texts[],MATCH("id51",Texts[Index],0),idx_lang)</f>
        <v>Energieversorger</v>
      </c>
      <c r="AA35" s="75"/>
    </row>
    <row r="36" spans="1:27" ht="13.15" x14ac:dyDescent="0.4">
      <c r="A36" s="15" t="b">
        <f t="shared" si="55"/>
        <v>1</v>
      </c>
      <c r="B36" s="15" t="b">
        <f t="shared" si="56"/>
        <v>1</v>
      </c>
      <c r="C36" s="53">
        <v>12345</v>
      </c>
      <c r="D36" s="53">
        <f t="shared" si="57"/>
        <v>1</v>
      </c>
      <c r="E36" s="53">
        <f t="shared" si="58"/>
        <v>1</v>
      </c>
      <c r="F36" s="53">
        <f t="shared" si="59"/>
        <v>1</v>
      </c>
      <c r="G36" s="53">
        <f t="shared" si="60"/>
        <v>1</v>
      </c>
      <c r="H36" s="53">
        <f t="shared" si="61"/>
        <v>1</v>
      </c>
      <c r="I36" s="53">
        <f t="shared" si="62"/>
        <v>1</v>
      </c>
      <c r="J36" s="53">
        <f t="shared" si="63"/>
        <v>1</v>
      </c>
      <c r="K36" s="53">
        <f t="shared" si="64"/>
        <v>1</v>
      </c>
      <c r="L36" s="53">
        <f t="shared" si="65"/>
        <v>1</v>
      </c>
      <c r="M36" s="53">
        <f t="shared" si="66"/>
        <v>1</v>
      </c>
      <c r="N36" s="6"/>
      <c r="O36" s="265" t="str" cm="1">
        <f t="array" ref="O36">INDEX(Texts[],MATCH("id163",Texts[Index],0),idx_lang)</f>
        <v>Anteil der auf dem Gemeindegebiet gelieferten Wärme</v>
      </c>
      <c r="P36" s="65">
        <v>1</v>
      </c>
      <c r="Q36" s="263"/>
      <c r="R36" s="264" t="str" cm="1">
        <f t="array" ref="R36">INDEX(Texts[],MATCH("id74",Texts[Index],0),idx_lang)</f>
        <v>in %</v>
      </c>
      <c r="W36" s="3"/>
      <c r="X36" s="3"/>
      <c r="AA36" s="75"/>
    </row>
    <row r="37" spans="1:27" ht="17.25" customHeight="1" x14ac:dyDescent="0.4">
      <c r="A37" s="318" t="b">
        <f t="shared" si="55"/>
        <v>1</v>
      </c>
      <c r="B37" s="318" t="b">
        <f t="shared" si="56"/>
        <v>1</v>
      </c>
      <c r="C37" s="319">
        <v>12345</v>
      </c>
      <c r="D37" s="319">
        <v>0</v>
      </c>
      <c r="E37" s="319">
        <v>0</v>
      </c>
      <c r="F37" s="319">
        <v>0</v>
      </c>
      <c r="G37" s="319">
        <v>0</v>
      </c>
      <c r="H37" s="319">
        <v>0</v>
      </c>
      <c r="I37" s="319">
        <v>0</v>
      </c>
      <c r="J37" s="319">
        <v>0</v>
      </c>
      <c r="K37" s="319">
        <v>0</v>
      </c>
      <c r="L37" s="319">
        <v>0</v>
      </c>
      <c r="M37" s="319">
        <v>0</v>
      </c>
      <c r="N37" s="6"/>
      <c r="O37" s="262" t="str" cm="1">
        <f t="array" ref="O37">INDEX(Texts[],MATCH("id164",Texts[Index],0),idx_lang)</f>
        <v>Anteil Gas</v>
      </c>
      <c r="P37" s="276">
        <v>0.05</v>
      </c>
      <c r="Q37" s="263"/>
      <c r="R37" s="264" t="str" cm="1">
        <f t="array" ref="R37">INDEX(Texts[],MATCH("id74",Texts[Index],0),idx_lang)</f>
        <v>in %</v>
      </c>
      <c r="W37" s="3"/>
      <c r="X37" s="3"/>
      <c r="AA37" s="75"/>
    </row>
    <row r="38" spans="1:27" ht="13.15" x14ac:dyDescent="0.4">
      <c r="A38" s="318" t="b">
        <f t="shared" si="55"/>
        <v>1</v>
      </c>
      <c r="B38" s="318" t="b">
        <f t="shared" si="56"/>
        <v>1</v>
      </c>
      <c r="C38" s="319">
        <v>12345</v>
      </c>
      <c r="D38" s="319">
        <v>0</v>
      </c>
      <c r="E38" s="319">
        <v>0</v>
      </c>
      <c r="F38" s="319">
        <v>0</v>
      </c>
      <c r="G38" s="319">
        <v>0</v>
      </c>
      <c r="H38" s="319">
        <v>0</v>
      </c>
      <c r="I38" s="319">
        <v>0</v>
      </c>
      <c r="J38" s="319">
        <v>0</v>
      </c>
      <c r="K38" s="319">
        <v>0</v>
      </c>
      <c r="L38" s="319">
        <v>0</v>
      </c>
      <c r="M38" s="319">
        <v>0</v>
      </c>
      <c r="N38" s="6"/>
      <c r="O38" s="262" t="str" cm="1">
        <f t="array" ref="O38">INDEX(Texts[],MATCH("id165",Texts[Index],0),idx_lang)</f>
        <v>Anteil Öl</v>
      </c>
      <c r="P38" s="276">
        <v>0</v>
      </c>
      <c r="Q38" s="263"/>
      <c r="R38" s="264" t="str" cm="1">
        <f t="array" ref="R38">INDEX(Texts[],MATCH("id74",Texts[Index],0),idx_lang)</f>
        <v>in %</v>
      </c>
      <c r="W38" s="3"/>
      <c r="X38" s="3"/>
      <c r="AA38" s="75"/>
    </row>
    <row r="39" spans="1:27" ht="13.15" x14ac:dyDescent="0.4">
      <c r="A39" s="318" t="b">
        <f t="shared" si="55"/>
        <v>1</v>
      </c>
      <c r="B39" s="318" t="b">
        <f t="shared" si="56"/>
        <v>1</v>
      </c>
      <c r="C39" s="319">
        <v>12345</v>
      </c>
      <c r="D39" s="319">
        <v>0</v>
      </c>
      <c r="E39" s="319">
        <v>0</v>
      </c>
      <c r="F39" s="319">
        <v>0</v>
      </c>
      <c r="G39" s="319">
        <v>0</v>
      </c>
      <c r="H39" s="319">
        <v>0</v>
      </c>
      <c r="I39" s="319">
        <v>0</v>
      </c>
      <c r="J39" s="319">
        <v>0</v>
      </c>
      <c r="K39" s="319">
        <v>0</v>
      </c>
      <c r="L39" s="319">
        <v>0</v>
      </c>
      <c r="M39" s="319">
        <v>0</v>
      </c>
      <c r="N39" s="6"/>
      <c r="O39" s="262" t="str" cm="1">
        <f t="array" ref="O39">INDEX(Texts[],MATCH("id166",Texts[Index],0),idx_lang)</f>
        <v>Anteil Wärmepumpe</v>
      </c>
      <c r="P39" s="276">
        <v>0</v>
      </c>
      <c r="Q39" s="263"/>
      <c r="R39" s="264" t="str" cm="1">
        <f t="array" ref="R39">INDEX(Texts[],MATCH("id74",Texts[Index],0),idx_lang)</f>
        <v>in %</v>
      </c>
      <c r="W39" s="3"/>
      <c r="X39" s="3"/>
      <c r="AA39" s="75"/>
    </row>
    <row r="40" spans="1:27" ht="13.15" x14ac:dyDescent="0.4">
      <c r="A40" s="318" t="b">
        <f t="shared" si="55"/>
        <v>1</v>
      </c>
      <c r="B40" s="318" t="b">
        <f t="shared" si="56"/>
        <v>1</v>
      </c>
      <c r="C40" s="319">
        <v>12345</v>
      </c>
      <c r="D40" s="319">
        <v>0</v>
      </c>
      <c r="E40" s="319">
        <v>0</v>
      </c>
      <c r="F40" s="319">
        <v>0</v>
      </c>
      <c r="G40" s="319">
        <v>0</v>
      </c>
      <c r="H40" s="319">
        <v>0</v>
      </c>
      <c r="I40" s="319">
        <v>0</v>
      </c>
      <c r="J40" s="319">
        <v>0</v>
      </c>
      <c r="K40" s="319">
        <v>0</v>
      </c>
      <c r="L40" s="319">
        <v>0</v>
      </c>
      <c r="M40" s="319">
        <v>0</v>
      </c>
      <c r="N40" s="6"/>
      <c r="O40" s="262" t="str" cm="1">
        <f t="array" ref="O40">INDEX(Texts[],MATCH("id167",Texts[Index],0),idx_lang)</f>
        <v>Anteil Holz</v>
      </c>
      <c r="P40" s="276">
        <v>0.95</v>
      </c>
      <c r="Q40" s="263"/>
      <c r="R40" s="264" t="str" cm="1">
        <f t="array" ref="R40">INDEX(Texts[],MATCH("id74",Texts[Index],0),idx_lang)</f>
        <v>in %</v>
      </c>
      <c r="W40" s="3"/>
      <c r="X40" s="3"/>
      <c r="AA40" s="75"/>
    </row>
    <row r="41" spans="1:27" ht="13.15" x14ac:dyDescent="0.4">
      <c r="A41" s="318" t="b">
        <f t="shared" ref="A41" si="67">ISNUMBER(SEARCH(LEFT($P$7,1), C41))</f>
        <v>1</v>
      </c>
      <c r="B41" s="318" t="b">
        <f t="shared" ref="B41" si="68">IF(C41="", TRUE, A41)</f>
        <v>1</v>
      </c>
      <c r="C41" s="319">
        <v>12345</v>
      </c>
      <c r="D41" s="319">
        <v>0</v>
      </c>
      <c r="E41" s="319">
        <v>0</v>
      </c>
      <c r="F41" s="319">
        <v>0</v>
      </c>
      <c r="G41" s="319">
        <v>0</v>
      </c>
      <c r="H41" s="319">
        <v>0</v>
      </c>
      <c r="I41" s="319">
        <v>0</v>
      </c>
      <c r="J41" s="319">
        <v>0</v>
      </c>
      <c r="K41" s="319">
        <v>0</v>
      </c>
      <c r="L41" s="319">
        <v>0</v>
      </c>
      <c r="M41" s="319">
        <v>0</v>
      </c>
      <c r="N41" s="6"/>
      <c r="O41" s="262" t="str" cm="1">
        <f t="array" ref="O41">INDEX(Texts[],MATCH("id168",Texts[Index],0),idx_lang)</f>
        <v>Anteil Biogas</v>
      </c>
      <c r="P41" s="276">
        <v>0</v>
      </c>
      <c r="Q41" s="263"/>
      <c r="R41" s="264" t="str" cm="1">
        <f t="array" ref="R41">INDEX(Texts[],MATCH("id74",Texts[Index],0),idx_lang)</f>
        <v>in %</v>
      </c>
      <c r="W41" s="3"/>
      <c r="X41" s="3"/>
      <c r="AA41" s="75"/>
    </row>
    <row r="42" spans="1:27" ht="13.15" x14ac:dyDescent="0.4">
      <c r="A42" s="318" t="b">
        <f t="shared" si="55"/>
        <v>1</v>
      </c>
      <c r="B42" s="318" t="b">
        <f t="shared" si="56"/>
        <v>1</v>
      </c>
      <c r="C42" s="319">
        <v>12345</v>
      </c>
      <c r="D42" s="319">
        <v>0</v>
      </c>
      <c r="E42" s="319">
        <v>0</v>
      </c>
      <c r="F42" s="319">
        <v>0</v>
      </c>
      <c r="G42" s="319">
        <v>0</v>
      </c>
      <c r="H42" s="319">
        <v>0</v>
      </c>
      <c r="I42" s="319">
        <v>0</v>
      </c>
      <c r="J42" s="319">
        <v>0</v>
      </c>
      <c r="K42" s="319">
        <v>0</v>
      </c>
      <c r="L42" s="319">
        <v>0</v>
      </c>
      <c r="M42" s="319">
        <v>0</v>
      </c>
      <c r="N42" s="6"/>
      <c r="O42" s="262" t="str" cm="1">
        <f t="array" ref="O42">INDEX(Texts[],MATCH("id169",Texts[Index],0),idx_lang)</f>
        <v>Anteil Abwärme</v>
      </c>
      <c r="P42" s="278">
        <v>0</v>
      </c>
      <c r="Q42" s="263"/>
      <c r="R42" s="264" t="str" cm="1">
        <f t="array" ref="R42">INDEX(Texts[],MATCH("id74",Texts[Index],0),idx_lang)</f>
        <v>in %</v>
      </c>
      <c r="W42" s="3"/>
      <c r="X42" s="3"/>
      <c r="AA42" s="75"/>
    </row>
    <row r="43" spans="1:27" ht="13.15" x14ac:dyDescent="0.4">
      <c r="A43" s="15" t="b">
        <f t="shared" ref="A43" si="69">ISNUMBER(SEARCH(LEFT($P$7,1), C43))</f>
        <v>0</v>
      </c>
      <c r="B43" s="15" t="b">
        <f t="shared" ref="B43" si="70">IF(C43="", TRUE, A43)</f>
        <v>0</v>
      </c>
      <c r="C43" s="53">
        <f>IF(P35&gt;0,12345,0)</f>
        <v>0</v>
      </c>
      <c r="D43" s="53">
        <f>IF(ISNUMBER(SEARCH("1", $C43)),1,0)</f>
        <v>0</v>
      </c>
      <c r="E43" s="53">
        <f>IF(AND(D43=1,$P43=1),1,0)</f>
        <v>0</v>
      </c>
      <c r="F43" s="53">
        <f>IF(ISNUMBER(SEARCH("2", $C43)),1,0)</f>
        <v>0</v>
      </c>
      <c r="G43" s="53">
        <f>IF(AND(F43=1,$P43=1),1,0)</f>
        <v>0</v>
      </c>
      <c r="H43" s="53">
        <f>IF(ISNUMBER(SEARCH("3", $C43)),1,0)</f>
        <v>0</v>
      </c>
      <c r="I43" s="53">
        <f>IF(AND(H43=1,$P43=1),1,0)</f>
        <v>0</v>
      </c>
      <c r="J43" s="53">
        <f>IF(ISNUMBER(SEARCH("4", $C43)),1,0)</f>
        <v>0</v>
      </c>
      <c r="K43" s="53">
        <f>IF(AND(J43=1,$P43=1),1,0)</f>
        <v>0</v>
      </c>
      <c r="L43" s="53">
        <f>IF(ISNUMBER(SEARCH("5", $C43)),1,0)</f>
        <v>0</v>
      </c>
      <c r="M43" s="53">
        <f>IF(AND(L43=1,$P43=1),1,0)</f>
        <v>0</v>
      </c>
      <c r="N43" s="6"/>
      <c r="O43" s="262"/>
      <c r="P43" s="277">
        <f>SUM(P37:P42)</f>
        <v>1</v>
      </c>
      <c r="Q43" s="263"/>
      <c r="R43" s="264"/>
      <c r="W43" s="3"/>
      <c r="X43" s="3"/>
      <c r="AA43" s="75"/>
    </row>
    <row r="44" spans="1:27" ht="4.9000000000000004" customHeight="1" x14ac:dyDescent="0.4">
      <c r="C44" s="53"/>
      <c r="D44" s="53"/>
      <c r="E44" s="53"/>
      <c r="F44" s="53"/>
      <c r="G44" s="53"/>
      <c r="H44" s="53"/>
      <c r="I44" s="53"/>
      <c r="J44" s="53"/>
      <c r="K44" s="53"/>
      <c r="L44" s="53"/>
      <c r="M44" s="53"/>
      <c r="N44" s="6"/>
      <c r="O44" s="9"/>
      <c r="P44" s="49"/>
      <c r="R44" s="69"/>
      <c r="W44" s="3"/>
      <c r="X44" s="3"/>
      <c r="AA44" s="75"/>
    </row>
    <row r="45" spans="1:27" ht="13.15" x14ac:dyDescent="0.4">
      <c r="A45" s="15" t="b">
        <f t="shared" ref="A45:A54" si="71">ISNUMBER(SEARCH(LEFT($P$7,1), C45))</f>
        <v>0</v>
      </c>
      <c r="B45" s="15" t="b">
        <f t="shared" ref="B45:B54" si="72">IF(C45="", TRUE, A45)</f>
        <v>1</v>
      </c>
      <c r="C45" s="53"/>
      <c r="D45" s="53">
        <f t="shared" ref="D45:D47" si="73">IF(ISNUMBER(SEARCH("1", C45)),1,0)</f>
        <v>0</v>
      </c>
      <c r="E45" s="53">
        <f t="shared" ref="E45:E47" si="74">IF(AND(D45=1,NOT(ISBLANK(P45))),1,0)</f>
        <v>0</v>
      </c>
      <c r="F45" s="53">
        <f t="shared" ref="F45:F47" si="75">IF(ISNUMBER(SEARCH("2", C45)),1,0)</f>
        <v>0</v>
      </c>
      <c r="G45" s="53">
        <f t="shared" ref="G45:G47" si="76">IF(AND(F45=1,NOT(ISBLANK($P45))),1,0)</f>
        <v>0</v>
      </c>
      <c r="H45" s="53">
        <f t="shared" ref="H45:H47" si="77">IF(ISNUMBER(SEARCH("3", C45)),1,0)</f>
        <v>0</v>
      </c>
      <c r="I45" s="53">
        <f t="shared" ref="I45:I47" si="78">IF(AND(H45=1,NOT(ISBLANK($P45))),1,0)</f>
        <v>0</v>
      </c>
      <c r="J45" s="53">
        <f t="shared" ref="J45:J47" si="79">IF(ISNUMBER(SEARCH("4", C45)),1,0)</f>
        <v>0</v>
      </c>
      <c r="K45" s="53">
        <f t="shared" ref="K45:K47" si="80">IF(AND(J45=1,NOT(ISBLANK($P45))),1,0)</f>
        <v>0</v>
      </c>
      <c r="L45" s="53">
        <f t="shared" ref="L45:L47" si="81">IF(ISNUMBER(SEARCH("5", C45)),1,0)</f>
        <v>0</v>
      </c>
      <c r="M45" s="53">
        <f t="shared" ref="M45:M47" si="82">IF(AND(L45=1,NOT(ISBLANK($P45))),1,0)</f>
        <v>0</v>
      </c>
      <c r="N45" s="6"/>
      <c r="O45" s="261" t="str" cm="1">
        <f t="array" ref="O45">INDEX(Texts[],MATCH("id161",Texts[Index],0),idx_lang)</f>
        <v>Erzeugung ausserhalb des Gemeindegebiets (Scope 2)</v>
      </c>
      <c r="P45" s="257"/>
      <c r="Q45" s="24"/>
      <c r="R45" s="258"/>
      <c r="S45" s="21"/>
      <c r="T45" s="24"/>
      <c r="U45" s="22"/>
      <c r="V45" s="24"/>
      <c r="W45" s="24"/>
      <c r="X45" s="24"/>
      <c r="Y45" s="22"/>
      <c r="Z45" s="22"/>
      <c r="AA45" s="259"/>
    </row>
    <row r="46" spans="1:27" ht="13.15" x14ac:dyDescent="0.4">
      <c r="A46" s="15" t="b">
        <f t="shared" si="71"/>
        <v>1</v>
      </c>
      <c r="B46" s="15" t="b">
        <f t="shared" si="72"/>
        <v>1</v>
      </c>
      <c r="C46" s="53">
        <v>2345</v>
      </c>
      <c r="D46" s="53">
        <f t="shared" si="73"/>
        <v>0</v>
      </c>
      <c r="E46" s="53">
        <f t="shared" si="74"/>
        <v>0</v>
      </c>
      <c r="F46" s="53">
        <f t="shared" si="75"/>
        <v>1</v>
      </c>
      <c r="G46" s="53">
        <f t="shared" si="76"/>
        <v>1</v>
      </c>
      <c r="H46" s="53">
        <f t="shared" si="77"/>
        <v>1</v>
      </c>
      <c r="I46" s="53">
        <v>1</v>
      </c>
      <c r="J46" s="53">
        <f t="shared" si="79"/>
        <v>1</v>
      </c>
      <c r="K46" s="53">
        <v>1</v>
      </c>
      <c r="L46" s="53">
        <v>1</v>
      </c>
      <c r="M46" s="53">
        <f t="shared" si="82"/>
        <v>1</v>
      </c>
      <c r="N46" s="6"/>
      <c r="O46" s="9" t="str" cm="1">
        <f t="array" ref="O46">INDEX(Texts[],MATCH("id162",Texts[Index],0),idx_lang)</f>
        <v>Gesamte Wärmeerzeugung</v>
      </c>
      <c r="P46" s="49">
        <v>0</v>
      </c>
      <c r="R46" s="69" t="s">
        <v>2415</v>
      </c>
      <c r="W46" s="3"/>
      <c r="X46" s="3"/>
      <c r="Y46" s="2" t="str" cm="1">
        <f t="array" ref="Y46">INDEX(Texts[],MATCH("id51",Texts[Index],0),idx_lang)</f>
        <v>Energieversorger</v>
      </c>
      <c r="AA46" s="75"/>
    </row>
    <row r="47" spans="1:27" ht="13.15" x14ac:dyDescent="0.4">
      <c r="A47" s="15" t="b">
        <f t="shared" si="71"/>
        <v>1</v>
      </c>
      <c r="B47" s="15" t="b">
        <f t="shared" si="72"/>
        <v>1</v>
      </c>
      <c r="C47" s="53">
        <v>2345</v>
      </c>
      <c r="D47" s="53">
        <f t="shared" si="73"/>
        <v>0</v>
      </c>
      <c r="E47" s="53">
        <f t="shared" si="74"/>
        <v>0</v>
      </c>
      <c r="F47" s="53">
        <f t="shared" si="75"/>
        <v>1</v>
      </c>
      <c r="G47" s="53">
        <f t="shared" si="76"/>
        <v>1</v>
      </c>
      <c r="H47" s="53">
        <f t="shared" si="77"/>
        <v>1</v>
      </c>
      <c r="I47" s="53">
        <f t="shared" si="78"/>
        <v>1</v>
      </c>
      <c r="J47" s="53">
        <f t="shared" si="79"/>
        <v>1</v>
      </c>
      <c r="K47" s="53">
        <f t="shared" si="80"/>
        <v>1</v>
      </c>
      <c r="L47" s="53">
        <f t="shared" si="81"/>
        <v>1</v>
      </c>
      <c r="M47" s="53">
        <f t="shared" si="82"/>
        <v>1</v>
      </c>
      <c r="N47" s="6"/>
      <c r="O47" s="265" t="str" cm="1">
        <f t="array" ref="O47">INDEX(Texts[],MATCH("id163",Texts[Index],0),idx_lang)</f>
        <v>Anteil der auf dem Gemeindegebiet gelieferten Wärme</v>
      </c>
      <c r="P47" s="65">
        <v>0</v>
      </c>
      <c r="Q47" s="263"/>
      <c r="R47" s="264" t="str" cm="1">
        <f t="array" ref="R47">INDEX(Texts[],MATCH("id74",Texts[Index],0),idx_lang)</f>
        <v>in %</v>
      </c>
      <c r="W47" s="3"/>
      <c r="X47" s="3"/>
      <c r="AA47" s="75"/>
    </row>
    <row r="48" spans="1:27" ht="13.15" x14ac:dyDescent="0.4">
      <c r="A48" s="318" t="b">
        <f t="shared" si="71"/>
        <v>1</v>
      </c>
      <c r="B48" s="318" t="b">
        <f t="shared" si="72"/>
        <v>1</v>
      </c>
      <c r="C48" s="319">
        <v>2345</v>
      </c>
      <c r="D48" s="319">
        <v>0</v>
      </c>
      <c r="E48" s="319">
        <v>0</v>
      </c>
      <c r="F48" s="319">
        <v>0</v>
      </c>
      <c r="G48" s="319">
        <v>0</v>
      </c>
      <c r="H48" s="319">
        <v>0</v>
      </c>
      <c r="I48" s="319">
        <v>0</v>
      </c>
      <c r="J48" s="319">
        <v>0</v>
      </c>
      <c r="K48" s="319">
        <v>0</v>
      </c>
      <c r="L48" s="319">
        <v>0</v>
      </c>
      <c r="M48" s="319">
        <v>0</v>
      </c>
      <c r="N48" s="6"/>
      <c r="O48" s="262" t="str" cm="1">
        <f t="array" ref="O48">INDEX(Texts[],MATCH("id164",Texts[Index],0),idx_lang)</f>
        <v>Anteil Gas</v>
      </c>
      <c r="P48" s="276">
        <v>0.1</v>
      </c>
      <c r="Q48" s="263"/>
      <c r="R48" s="264" t="str" cm="1">
        <f t="array" ref="R48">INDEX(Texts[],MATCH("id74",Texts[Index],0),idx_lang)</f>
        <v>in %</v>
      </c>
      <c r="W48" s="3"/>
      <c r="X48" s="3"/>
      <c r="AA48" s="75"/>
    </row>
    <row r="49" spans="1:27" ht="13.15" x14ac:dyDescent="0.4">
      <c r="A49" s="318" t="b">
        <f t="shared" si="71"/>
        <v>1</v>
      </c>
      <c r="B49" s="318" t="b">
        <f t="shared" si="72"/>
        <v>1</v>
      </c>
      <c r="C49" s="319">
        <v>2345</v>
      </c>
      <c r="D49" s="319">
        <v>0</v>
      </c>
      <c r="E49" s="319">
        <v>0</v>
      </c>
      <c r="F49" s="319">
        <v>0</v>
      </c>
      <c r="G49" s="319">
        <v>0</v>
      </c>
      <c r="H49" s="319">
        <v>0</v>
      </c>
      <c r="I49" s="319">
        <v>0</v>
      </c>
      <c r="J49" s="319">
        <v>0</v>
      </c>
      <c r="K49" s="319">
        <v>0</v>
      </c>
      <c r="L49" s="319">
        <v>0</v>
      </c>
      <c r="M49" s="319">
        <v>0</v>
      </c>
      <c r="N49" s="6"/>
      <c r="O49" s="262" t="str" cm="1">
        <f t="array" ref="O49">INDEX(Texts[],MATCH("id165",Texts[Index],0),idx_lang)</f>
        <v>Anteil Öl</v>
      </c>
      <c r="P49" s="276">
        <v>0.9</v>
      </c>
      <c r="Q49" s="263"/>
      <c r="R49" s="264" t="str" cm="1">
        <f t="array" ref="R49">INDEX(Texts[],MATCH("id74",Texts[Index],0),idx_lang)</f>
        <v>in %</v>
      </c>
      <c r="W49" s="3"/>
      <c r="X49" s="3"/>
      <c r="AA49" s="75"/>
    </row>
    <row r="50" spans="1:27" ht="13.15" x14ac:dyDescent="0.4">
      <c r="A50" s="318" t="b">
        <f t="shared" si="71"/>
        <v>1</v>
      </c>
      <c r="B50" s="318" t="b">
        <f t="shared" si="72"/>
        <v>1</v>
      </c>
      <c r="C50" s="319">
        <v>2345</v>
      </c>
      <c r="D50" s="319">
        <v>0</v>
      </c>
      <c r="E50" s="319">
        <v>0</v>
      </c>
      <c r="F50" s="319">
        <v>0</v>
      </c>
      <c r="G50" s="319">
        <v>0</v>
      </c>
      <c r="H50" s="319">
        <v>0</v>
      </c>
      <c r="I50" s="319">
        <v>0</v>
      </c>
      <c r="J50" s="319">
        <v>0</v>
      </c>
      <c r="K50" s="319">
        <v>0</v>
      </c>
      <c r="L50" s="319">
        <v>0</v>
      </c>
      <c r="M50" s="319">
        <v>0</v>
      </c>
      <c r="N50" s="6"/>
      <c r="O50" s="262" t="str" cm="1">
        <f t="array" ref="O50">INDEX(Texts[],MATCH("id166",Texts[Index],0),idx_lang)</f>
        <v>Anteil Wärmepumpe</v>
      </c>
      <c r="P50" s="276">
        <v>0</v>
      </c>
      <c r="Q50" s="263"/>
      <c r="R50" s="264" t="str" cm="1">
        <f t="array" ref="R50">INDEX(Texts[],MATCH("id74",Texts[Index],0),idx_lang)</f>
        <v>in %</v>
      </c>
      <c r="W50" s="3"/>
      <c r="X50" s="3"/>
      <c r="AA50" s="75"/>
    </row>
    <row r="51" spans="1:27" ht="13.15" x14ac:dyDescent="0.4">
      <c r="A51" s="318" t="b">
        <f t="shared" si="71"/>
        <v>1</v>
      </c>
      <c r="B51" s="318" t="b">
        <f t="shared" si="72"/>
        <v>1</v>
      </c>
      <c r="C51" s="319">
        <v>2345</v>
      </c>
      <c r="D51" s="319">
        <v>0</v>
      </c>
      <c r="E51" s="319">
        <v>0</v>
      </c>
      <c r="F51" s="319">
        <v>0</v>
      </c>
      <c r="G51" s="319">
        <v>0</v>
      </c>
      <c r="H51" s="319">
        <v>0</v>
      </c>
      <c r="I51" s="319">
        <v>0</v>
      </c>
      <c r="J51" s="319">
        <v>0</v>
      </c>
      <c r="K51" s="319">
        <v>0</v>
      </c>
      <c r="L51" s="319">
        <v>0</v>
      </c>
      <c r="M51" s="319">
        <v>0</v>
      </c>
      <c r="N51" s="6"/>
      <c r="O51" s="262" t="str" cm="1">
        <f t="array" ref="O51">INDEX(Texts[],MATCH("id167",Texts[Index],0),idx_lang)</f>
        <v>Anteil Holz</v>
      </c>
      <c r="P51" s="276">
        <v>0</v>
      </c>
      <c r="Q51" s="263"/>
      <c r="R51" s="264" t="str" cm="1">
        <f t="array" ref="R51">INDEX(Texts[],MATCH("id74",Texts[Index],0),idx_lang)</f>
        <v>in %</v>
      </c>
      <c r="W51" s="3"/>
      <c r="X51" s="3"/>
      <c r="AA51" s="75"/>
    </row>
    <row r="52" spans="1:27" ht="13.15" x14ac:dyDescent="0.4">
      <c r="A52" s="318" t="b">
        <f t="shared" ref="A52" si="83">ISNUMBER(SEARCH(LEFT($P$7,1), C52))</f>
        <v>1</v>
      </c>
      <c r="B52" s="318" t="b">
        <f t="shared" ref="B52" si="84">IF(C52="", TRUE, A52)</f>
        <v>1</v>
      </c>
      <c r="C52" s="319">
        <v>2345</v>
      </c>
      <c r="D52" s="319">
        <v>0</v>
      </c>
      <c r="E52" s="319">
        <v>0</v>
      </c>
      <c r="F52" s="319">
        <v>0</v>
      </c>
      <c r="G52" s="319">
        <v>0</v>
      </c>
      <c r="H52" s="319">
        <v>0</v>
      </c>
      <c r="I52" s="319">
        <v>0</v>
      </c>
      <c r="J52" s="319">
        <v>0</v>
      </c>
      <c r="K52" s="319">
        <v>0</v>
      </c>
      <c r="L52" s="319">
        <v>0</v>
      </c>
      <c r="M52" s="319">
        <v>0</v>
      </c>
      <c r="N52" s="6"/>
      <c r="O52" s="262" t="str" cm="1">
        <f t="array" ref="O52">INDEX(Texts[],MATCH("id168",Texts[Index],0),idx_lang)</f>
        <v>Anteil Biogas</v>
      </c>
      <c r="P52" s="276">
        <v>0</v>
      </c>
      <c r="Q52" s="263"/>
      <c r="R52" s="264" t="str" cm="1">
        <f t="array" ref="R52">INDEX(Texts[],MATCH("id74",Texts[Index],0),idx_lang)</f>
        <v>in %</v>
      </c>
      <c r="W52" s="3"/>
      <c r="X52" s="3"/>
      <c r="AA52" s="75"/>
    </row>
    <row r="53" spans="1:27" ht="13.15" x14ac:dyDescent="0.4">
      <c r="A53" s="318" t="b">
        <f t="shared" si="71"/>
        <v>1</v>
      </c>
      <c r="B53" s="318" t="b">
        <f t="shared" si="72"/>
        <v>1</v>
      </c>
      <c r="C53" s="319">
        <v>2345</v>
      </c>
      <c r="D53" s="319">
        <v>0</v>
      </c>
      <c r="E53" s="319">
        <v>0</v>
      </c>
      <c r="F53" s="319">
        <v>0</v>
      </c>
      <c r="G53" s="319">
        <v>0</v>
      </c>
      <c r="H53" s="319">
        <v>0</v>
      </c>
      <c r="I53" s="319">
        <v>0</v>
      </c>
      <c r="J53" s="319">
        <v>0</v>
      </c>
      <c r="K53" s="319">
        <v>0</v>
      </c>
      <c r="L53" s="319">
        <v>0</v>
      </c>
      <c r="M53" s="319">
        <v>0</v>
      </c>
      <c r="N53" s="6"/>
      <c r="O53" s="262" t="str" cm="1">
        <f t="array" ref="O53">INDEX(Texts[],MATCH("id169",Texts[Index],0),idx_lang)</f>
        <v>Anteil Abwärme</v>
      </c>
      <c r="P53" s="276">
        <v>0</v>
      </c>
      <c r="Q53" s="263"/>
      <c r="R53" s="264" t="str" cm="1">
        <f t="array" ref="R53">INDEX(Texts[],MATCH("id74",Texts[Index],0),idx_lang)</f>
        <v>in %</v>
      </c>
      <c r="W53" s="3"/>
      <c r="X53" s="3"/>
      <c r="AA53" s="75"/>
    </row>
    <row r="54" spans="1:27" ht="13.15" x14ac:dyDescent="0.4">
      <c r="A54" s="15" t="b">
        <f t="shared" si="71"/>
        <v>0</v>
      </c>
      <c r="B54" s="15" t="b">
        <f t="shared" si="72"/>
        <v>0</v>
      </c>
      <c r="C54" s="53">
        <f>IF(P46&gt;0,2345,0)</f>
        <v>0</v>
      </c>
      <c r="D54" s="53">
        <f>IF(ISNUMBER(SEARCH("1", $C54)),1,0)</f>
        <v>0</v>
      </c>
      <c r="E54" s="53">
        <f>IF(AND(D54=1,$P54=1),1,0)</f>
        <v>0</v>
      </c>
      <c r="F54" s="53">
        <f>IF(ISNUMBER(SEARCH("2", $C54)),1,0)</f>
        <v>0</v>
      </c>
      <c r="G54" s="53">
        <f>IF(AND(F54=1,$P54=1),1,0)</f>
        <v>0</v>
      </c>
      <c r="H54" s="53">
        <f>IF(ISNUMBER(SEARCH("3", $C54)),1,0)</f>
        <v>0</v>
      </c>
      <c r="I54" s="53">
        <f>IF(AND(H54=1,$P54=1),1,0)</f>
        <v>0</v>
      </c>
      <c r="J54" s="53">
        <f>IF(ISNUMBER(SEARCH("4", $C54)),1,0)</f>
        <v>0</v>
      </c>
      <c r="K54" s="53">
        <f>IF(AND(J54=1,$P54=1),1,0)</f>
        <v>0</v>
      </c>
      <c r="L54" s="53">
        <f>IF(ISNUMBER(SEARCH("5", $C54)),1,0)</f>
        <v>0</v>
      </c>
      <c r="M54" s="53">
        <f>IF(AND(L54=1,$P54=1),1,0)</f>
        <v>0</v>
      </c>
      <c r="N54" s="6"/>
      <c r="O54" s="262"/>
      <c r="P54" s="277">
        <f>SUM(P48:P53)</f>
        <v>1</v>
      </c>
      <c r="Q54" s="263"/>
      <c r="R54" s="264"/>
      <c r="W54" s="3"/>
      <c r="X54" s="3"/>
      <c r="AA54" s="75"/>
    </row>
    <row r="55" spans="1:27" ht="7.5" customHeight="1" x14ac:dyDescent="0.4">
      <c r="A55" s="15" t="b">
        <f t="shared" si="49"/>
        <v>0</v>
      </c>
      <c r="B55" s="15" t="b">
        <f t="shared" si="19"/>
        <v>1</v>
      </c>
      <c r="C55" s="53"/>
      <c r="D55" s="53">
        <f t="shared" si="20"/>
        <v>0</v>
      </c>
      <c r="E55" s="53">
        <f t="shared" si="50"/>
        <v>0</v>
      </c>
      <c r="F55" s="53">
        <f t="shared" si="22"/>
        <v>0</v>
      </c>
      <c r="G55" s="53">
        <f t="shared" si="12"/>
        <v>0</v>
      </c>
      <c r="H55" s="53">
        <f t="shared" si="13"/>
        <v>0</v>
      </c>
      <c r="I55" s="53">
        <f t="shared" si="14"/>
        <v>0</v>
      </c>
      <c r="J55" s="53">
        <f t="shared" si="15"/>
        <v>0</v>
      </c>
      <c r="K55" s="53">
        <f t="shared" si="14"/>
        <v>0</v>
      </c>
      <c r="L55" s="53">
        <f t="shared" si="16"/>
        <v>0</v>
      </c>
      <c r="M55" s="53">
        <f t="shared" ref="M55" si="85">IF(AND(L55=1,NOT(ISBLANK($P55))),1,0)</f>
        <v>0</v>
      </c>
      <c r="N55" s="6"/>
      <c r="W55" s="3"/>
      <c r="X55" s="3"/>
    </row>
    <row r="56" spans="1:27" ht="13.15" x14ac:dyDescent="0.4">
      <c r="A56" s="15" t="b">
        <f t="shared" si="49"/>
        <v>0</v>
      </c>
      <c r="B56" s="15" t="b">
        <f t="shared" si="19"/>
        <v>1</v>
      </c>
      <c r="C56" s="53"/>
      <c r="D56" s="53">
        <f t="shared" si="20"/>
        <v>0</v>
      </c>
      <c r="E56" s="53">
        <f t="shared" si="50"/>
        <v>0</v>
      </c>
      <c r="F56" s="53">
        <f t="shared" si="22"/>
        <v>0</v>
      </c>
      <c r="G56" s="53">
        <f t="shared" si="12"/>
        <v>0</v>
      </c>
      <c r="H56" s="53">
        <f t="shared" si="13"/>
        <v>0</v>
      </c>
      <c r="I56" s="53">
        <f t="shared" si="14"/>
        <v>0</v>
      </c>
      <c r="J56" s="53">
        <f t="shared" si="15"/>
        <v>0</v>
      </c>
      <c r="K56" s="53">
        <f t="shared" si="14"/>
        <v>0</v>
      </c>
      <c r="L56" s="53">
        <f t="shared" si="16"/>
        <v>0</v>
      </c>
      <c r="M56" s="53">
        <f t="shared" ref="M56" si="86">IF(AND(L56=1,NOT(ISBLANK($P56))),1,0)</f>
        <v>0</v>
      </c>
      <c r="N56" s="20"/>
      <c r="O56" s="19" t="str" cm="1">
        <f t="array" ref="O56">INDEX(Texts[],MATCH("id29",Texts[Index],0),idx_lang)</f>
        <v>Strom</v>
      </c>
      <c r="P56" s="20"/>
      <c r="Q56" s="20"/>
      <c r="R56" s="21"/>
      <c r="S56" s="21"/>
      <c r="T56" s="20"/>
      <c r="U56" s="19"/>
      <c r="V56" s="20"/>
      <c r="W56" s="24"/>
      <c r="X56" s="24"/>
      <c r="Y56" s="22"/>
      <c r="Z56" s="22"/>
      <c r="AA56" s="22"/>
    </row>
    <row r="57" spans="1:27" ht="13.15" x14ac:dyDescent="0.4">
      <c r="A57" s="15" t="b">
        <f t="shared" si="49"/>
        <v>1</v>
      </c>
      <c r="B57" s="15" t="b">
        <f t="shared" si="19"/>
        <v>1</v>
      </c>
      <c r="C57" s="53">
        <v>2345</v>
      </c>
      <c r="D57" s="53">
        <f t="shared" si="20"/>
        <v>0</v>
      </c>
      <c r="E57" s="53">
        <f t="shared" si="50"/>
        <v>0</v>
      </c>
      <c r="F57" s="53">
        <f t="shared" si="22"/>
        <v>1</v>
      </c>
      <c r="G57" s="53">
        <f t="shared" si="12"/>
        <v>0</v>
      </c>
      <c r="H57" s="53">
        <f t="shared" si="13"/>
        <v>1</v>
      </c>
      <c r="I57" s="53">
        <f t="shared" si="14"/>
        <v>0</v>
      </c>
      <c r="J57" s="53">
        <f t="shared" si="15"/>
        <v>1</v>
      </c>
      <c r="K57" s="53">
        <f t="shared" si="14"/>
        <v>0</v>
      </c>
      <c r="L57" s="53">
        <f t="shared" si="16"/>
        <v>1</v>
      </c>
      <c r="M57" s="53">
        <f t="shared" ref="M57" si="87">IF(AND(L57=1,NOT(ISBLANK($P57))),1,0)</f>
        <v>0</v>
      </c>
      <c r="N57" s="6"/>
      <c r="O57" s="7" t="str" cm="1">
        <f t="array" ref="O57">INDEX(Texts[],MATCH("id30",Texts[Index],0),idx_lang)</f>
        <v>Grundversorgung</v>
      </c>
      <c r="P57" s="49"/>
      <c r="R57" s="64" t="s">
        <v>2415</v>
      </c>
      <c r="W57" s="3"/>
      <c r="X57" s="3"/>
      <c r="Y57" s="2" t="str" cm="1">
        <f t="array" ref="Y57">INDEX(Texts[],MATCH("id51",Texts[Index],0),idx_lang)</f>
        <v>Energieversorger</v>
      </c>
      <c r="AA57" s="75"/>
    </row>
    <row r="58" spans="1:27" ht="42.75" customHeight="1" x14ac:dyDescent="0.4">
      <c r="A58" s="15" t="b">
        <f t="shared" ref="A58" si="88">ISNUMBER(SEARCH(LEFT($P$7,1), C58))</f>
        <v>1</v>
      </c>
      <c r="B58" s="15" t="b">
        <f t="shared" ref="B58" si="89">IF(C58="", TRUE, A58)</f>
        <v>1</v>
      </c>
      <c r="C58" s="53">
        <v>2345</v>
      </c>
      <c r="D58" s="53">
        <f t="shared" si="20"/>
        <v>0</v>
      </c>
      <c r="E58" s="53">
        <f t="shared" si="50"/>
        <v>0</v>
      </c>
      <c r="F58" s="53">
        <f t="shared" si="22"/>
        <v>1</v>
      </c>
      <c r="G58" s="53">
        <f t="shared" si="12"/>
        <v>0</v>
      </c>
      <c r="H58" s="53">
        <f t="shared" si="13"/>
        <v>1</v>
      </c>
      <c r="I58" s="53">
        <f t="shared" si="14"/>
        <v>0</v>
      </c>
      <c r="J58" s="53">
        <f t="shared" si="15"/>
        <v>1</v>
      </c>
      <c r="K58" s="53">
        <f t="shared" si="14"/>
        <v>0</v>
      </c>
      <c r="L58" s="53">
        <f t="shared" si="16"/>
        <v>1</v>
      </c>
      <c r="M58" s="53">
        <f t="shared" ref="M58" si="90">IF(AND(L58=1,NOT(ISBLANK($P58))),1,0)</f>
        <v>0</v>
      </c>
      <c r="N58" s="6"/>
      <c r="O58" s="63" t="str" cm="1">
        <f t="array" ref="O58">INDEX(Texts[],MATCH("id73",Texts[Index],0),idx_lang)</f>
        <v>davon Anteil der im Standardprodukt gelieferten erneuerbaren Energie, die in der Schweiz mit Herkunftsnachweis produziert wurde</v>
      </c>
      <c r="P58" s="70"/>
      <c r="R58" s="308" t="str" cm="1">
        <f t="array" ref="R58">INDEX(Texts[],MATCH("id74",Texts[Index],0),idx_lang)</f>
        <v>in %</v>
      </c>
      <c r="S58" s="33"/>
      <c r="W58" s="3"/>
      <c r="X58" s="3"/>
      <c r="Y58" s="172" t="s">
        <v>2722</v>
      </c>
      <c r="AA58" s="75"/>
    </row>
    <row r="59" spans="1:27" ht="4.5" customHeight="1" x14ac:dyDescent="0.4">
      <c r="C59" s="53"/>
      <c r="D59" s="53"/>
      <c r="E59" s="53"/>
      <c r="F59" s="53"/>
      <c r="G59" s="53">
        <f t="shared" si="12"/>
        <v>0</v>
      </c>
      <c r="H59" s="53">
        <f t="shared" si="13"/>
        <v>0</v>
      </c>
      <c r="I59" s="53">
        <f t="shared" si="14"/>
        <v>0</v>
      </c>
      <c r="J59" s="53">
        <f t="shared" si="15"/>
        <v>0</v>
      </c>
      <c r="K59" s="53">
        <f t="shared" si="14"/>
        <v>0</v>
      </c>
      <c r="L59" s="53">
        <f t="shared" si="16"/>
        <v>0</v>
      </c>
      <c r="M59" s="53">
        <f t="shared" ref="M59" si="91">IF(AND(L59=1,NOT(ISBLANK($P59))),1,0)</f>
        <v>0</v>
      </c>
      <c r="N59" s="6"/>
      <c r="W59" s="3"/>
      <c r="X59" s="3"/>
      <c r="Y59" s="62"/>
    </row>
    <row r="60" spans="1:27" ht="13.15" x14ac:dyDescent="0.4">
      <c r="A60" s="15" t="b">
        <f>ISNUMBER(SEARCH(LEFT($P$7,1), C60))</f>
        <v>1</v>
      </c>
      <c r="B60" s="15" t="b">
        <f t="shared" si="19"/>
        <v>1</v>
      </c>
      <c r="C60" s="53" t="s">
        <v>2300</v>
      </c>
      <c r="D60" s="53">
        <f t="shared" si="20"/>
        <v>0</v>
      </c>
      <c r="E60" s="53">
        <f>IF(AND(D60=1,NOT(ISBLANK(P60))),1,0)</f>
        <v>0</v>
      </c>
      <c r="F60" s="53">
        <f t="shared" si="22"/>
        <v>1</v>
      </c>
      <c r="G60" s="53">
        <f t="shared" si="12"/>
        <v>0</v>
      </c>
      <c r="H60" s="53">
        <f>IF(ISNUMBER(SEARCH("3", C60)),1,0)</f>
        <v>1</v>
      </c>
      <c r="I60" s="53">
        <f t="shared" si="14"/>
        <v>0</v>
      </c>
      <c r="J60" s="53">
        <f t="shared" si="15"/>
        <v>1</v>
      </c>
      <c r="K60" s="53">
        <f t="shared" si="14"/>
        <v>0</v>
      </c>
      <c r="L60" s="53">
        <f t="shared" si="16"/>
        <v>1</v>
      </c>
      <c r="M60" s="53">
        <f t="shared" ref="M60" si="92">IF(AND(L60=1,NOT(ISBLANK($P60))),1,0)</f>
        <v>0</v>
      </c>
      <c r="N60" s="6"/>
      <c r="O60" s="7" t="str" cm="1">
        <f t="array" ref="O60">INDEX(Texts[],MATCH("id31",Texts[Index],0),idx_lang)</f>
        <v>Freier Markt</v>
      </c>
      <c r="P60" s="49"/>
      <c r="R60" s="64" t="s">
        <v>2415</v>
      </c>
      <c r="W60" s="3"/>
      <c r="X60" s="3"/>
      <c r="Y60" s="2" t="str" cm="1">
        <f t="array" ref="Y60">INDEX(Texts[],MATCH("id51",Texts[Index],0),idx_lang)</f>
        <v>Energieversorger</v>
      </c>
      <c r="AA60" s="75"/>
    </row>
    <row r="61" spans="1:27" ht="43.15" customHeight="1" x14ac:dyDescent="0.4">
      <c r="A61" s="15" t="b">
        <f>ISNUMBER(SEARCH(LEFT($P$7,1), C61))</f>
        <v>1</v>
      </c>
      <c r="B61" s="15" t="b">
        <f t="shared" ref="B61" si="93">IF(C61="", TRUE, A61)</f>
        <v>1</v>
      </c>
      <c r="C61" s="53">
        <v>2345</v>
      </c>
      <c r="D61" s="53">
        <f t="shared" si="20"/>
        <v>0</v>
      </c>
      <c r="E61" s="53">
        <f>IF(AND(D61=1,NOT(ISBLANK(P61))),1,0)</f>
        <v>0</v>
      </c>
      <c r="F61" s="53">
        <f t="shared" ref="F61" si="94">IF(ISNUMBER(SEARCH("2", C61)),1,0)</f>
        <v>1</v>
      </c>
      <c r="G61" s="53">
        <f t="shared" ref="G61" si="95">IF(AND(F61=1,NOT(ISBLANK($P61))),1,0)</f>
        <v>0</v>
      </c>
      <c r="H61" s="53">
        <f>IF(ISNUMBER(SEARCH("3", C61)),1,0)</f>
        <v>1</v>
      </c>
      <c r="I61" s="53">
        <f t="shared" ref="I61" si="96">IF(AND(H61=1,NOT(ISBLANK($P61))),1,0)</f>
        <v>0</v>
      </c>
      <c r="J61" s="53">
        <f t="shared" ref="J61" si="97">IF(ISNUMBER(SEARCH("4", C61)),1,0)</f>
        <v>1</v>
      </c>
      <c r="K61" s="53">
        <f t="shared" ref="K61" si="98">IF(AND(J61=1,NOT(ISBLANK($P61))),1,0)</f>
        <v>0</v>
      </c>
      <c r="L61" s="53">
        <f t="shared" ref="L61" si="99">IF(ISNUMBER(SEARCH("5", C61)),1,0)</f>
        <v>1</v>
      </c>
      <c r="M61" s="53">
        <f t="shared" ref="M61" si="100">IF(AND(L61=1,NOT(ISBLANK($P61))),1,0)</f>
        <v>0</v>
      </c>
      <c r="N61" s="6"/>
      <c r="O61" s="32" t="str" cm="1">
        <f t="array" ref="O61">INDEX(Texts[],MATCH("id141",Texts[Index],0),idx_lang)</f>
        <v>davon Anteil der im freien Markt gelieferten erneuerbaren Energie, die in der Schweiz mit Herkunftsnachweis produziert wurde (sofern bekannt)</v>
      </c>
      <c r="P61" s="71"/>
      <c r="Q61" s="57"/>
      <c r="R61" s="308" t="str" cm="1">
        <f t="array" ref="R61">INDEX(Texts[],MATCH("id74",Texts[Index],0),idx_lang)</f>
        <v>in %</v>
      </c>
      <c r="W61" s="3"/>
      <c r="X61" s="3"/>
      <c r="Y61" s="57"/>
      <c r="AA61" s="75"/>
    </row>
    <row r="62" spans="1:27" ht="4.5" customHeight="1" x14ac:dyDescent="0.4">
      <c r="C62" s="53"/>
      <c r="D62" s="53"/>
      <c r="E62" s="53"/>
      <c r="F62" s="53"/>
      <c r="G62" s="53">
        <f t="shared" si="12"/>
        <v>0</v>
      </c>
      <c r="H62" s="53">
        <f t="shared" si="13"/>
        <v>0</v>
      </c>
      <c r="I62" s="53">
        <f t="shared" si="14"/>
        <v>0</v>
      </c>
      <c r="J62" s="53">
        <f t="shared" si="15"/>
        <v>0</v>
      </c>
      <c r="K62" s="53">
        <f t="shared" si="14"/>
        <v>0</v>
      </c>
      <c r="L62" s="53">
        <f t="shared" si="16"/>
        <v>0</v>
      </c>
      <c r="M62" s="53">
        <f t="shared" ref="M62" si="101">IF(AND(L62=1,NOT(ISBLANK($P62))),1,0)</f>
        <v>0</v>
      </c>
      <c r="N62" s="6"/>
      <c r="W62" s="3"/>
      <c r="X62" s="3"/>
    </row>
    <row r="63" spans="1:27" ht="13.15" x14ac:dyDescent="0.4">
      <c r="A63" s="15" t="b">
        <f>ISNUMBER(SEARCH(LEFT($P$7,1), C63))</f>
        <v>1</v>
      </c>
      <c r="B63" s="15" t="b">
        <f t="shared" si="19"/>
        <v>1</v>
      </c>
      <c r="C63" s="53" t="s">
        <v>2302</v>
      </c>
      <c r="D63" s="53">
        <f t="shared" si="20"/>
        <v>0</v>
      </c>
      <c r="E63" s="53">
        <f>IF(AND(D63=1,NOT(ISBLANK(P63))),1,0)</f>
        <v>0</v>
      </c>
      <c r="F63" s="53">
        <f t="shared" si="22"/>
        <v>0</v>
      </c>
      <c r="G63" s="53">
        <f t="shared" si="12"/>
        <v>0</v>
      </c>
      <c r="H63" s="53">
        <f t="shared" si="13"/>
        <v>0</v>
      </c>
      <c r="I63" s="53">
        <f t="shared" si="14"/>
        <v>0</v>
      </c>
      <c r="J63" s="53">
        <f t="shared" si="15"/>
        <v>1</v>
      </c>
      <c r="K63" s="53">
        <f t="shared" si="14"/>
        <v>0</v>
      </c>
      <c r="L63" s="53">
        <f t="shared" si="16"/>
        <v>0</v>
      </c>
      <c r="M63" s="53">
        <f t="shared" ref="M63" si="102">IF(AND(L63=1,NOT(ISBLANK($P63))),1,0)</f>
        <v>0</v>
      </c>
      <c r="N63" s="6"/>
      <c r="O63" s="7" t="str" cm="1">
        <f t="array" ref="O63">INDEX(Texts[],MATCH("id32",Texts[Index],0),idx_lang)</f>
        <v>PV Gesamte Produktion</v>
      </c>
      <c r="P63" s="49"/>
      <c r="R63" s="68" t="s">
        <v>2415</v>
      </c>
      <c r="T63" s="242" t="str">
        <f>IFERROR(VLOOKUP($P$5,Statistics!$B$2:$Q$2146,6),"-")</f>
        <v>-</v>
      </c>
      <c r="U63" s="245" t="s">
        <v>2577</v>
      </c>
      <c r="V63" s="255" t="s">
        <v>2810</v>
      </c>
      <c r="W63" s="219">
        <v>1</v>
      </c>
      <c r="X63" s="217"/>
      <c r="Y63" s="2" t="str" cm="1">
        <f t="array" ref="Y63">INDEX(Texts[],MATCH("id54",Texts[Index],0),idx_lang)</f>
        <v>opendata, Stromversorger</v>
      </c>
      <c r="AA63" s="75"/>
    </row>
    <row r="64" spans="1:27" ht="13.15" x14ac:dyDescent="0.4">
      <c r="A64" s="15" t="b">
        <f>ISNUMBER(SEARCH(LEFT($P$7,1), C64))</f>
        <v>0</v>
      </c>
      <c r="B64" s="15" t="b">
        <f t="shared" si="19"/>
        <v>1</v>
      </c>
      <c r="C64" s="53" t="s">
        <v>2301</v>
      </c>
      <c r="D64" s="53">
        <f t="shared" si="20"/>
        <v>0</v>
      </c>
      <c r="E64" s="53">
        <f>IF(AND(D64=1,NOT(ISBLANK(P64))),1,0)</f>
        <v>0</v>
      </c>
      <c r="F64" s="53">
        <f t="shared" si="22"/>
        <v>0</v>
      </c>
      <c r="G64" s="53">
        <f t="shared" si="12"/>
        <v>0</v>
      </c>
      <c r="H64" s="53">
        <f t="shared" si="13"/>
        <v>0</v>
      </c>
      <c r="I64" s="53">
        <f t="shared" si="14"/>
        <v>0</v>
      </c>
      <c r="J64" s="53">
        <f t="shared" si="15"/>
        <v>0</v>
      </c>
      <c r="K64" s="53">
        <f t="shared" si="14"/>
        <v>0</v>
      </c>
      <c r="L64" s="53">
        <f t="shared" si="16"/>
        <v>0</v>
      </c>
      <c r="M64" s="53">
        <f t="shared" ref="M64" si="103">IF(AND(L64=1,NOT(ISBLANK($P64))),1,0)</f>
        <v>0</v>
      </c>
      <c r="N64" s="6"/>
      <c r="W64" s="3"/>
      <c r="X64" s="3"/>
    </row>
    <row r="65" spans="1:27" ht="13.15" x14ac:dyDescent="0.4">
      <c r="A65" s="15" t="b">
        <f>ISNUMBER(SEARCH(LEFT($P$7,1), C65))</f>
        <v>0</v>
      </c>
      <c r="B65" s="15" t="b">
        <f t="shared" si="19"/>
        <v>1</v>
      </c>
      <c r="C65" s="53"/>
      <c r="D65" s="53">
        <f t="shared" si="20"/>
        <v>0</v>
      </c>
      <c r="E65" s="53">
        <f>IF(AND(D65=1,NOT(ISBLANK(P65))),1,0)</f>
        <v>0</v>
      </c>
      <c r="F65" s="53">
        <f t="shared" si="22"/>
        <v>0</v>
      </c>
      <c r="G65" s="53">
        <f t="shared" si="12"/>
        <v>0</v>
      </c>
      <c r="H65" s="53">
        <f t="shared" si="13"/>
        <v>0</v>
      </c>
      <c r="I65" s="53">
        <f t="shared" si="14"/>
        <v>0</v>
      </c>
      <c r="J65" s="53">
        <f t="shared" si="15"/>
        <v>0</v>
      </c>
      <c r="K65" s="53">
        <f t="shared" si="14"/>
        <v>0</v>
      </c>
      <c r="L65" s="53">
        <f t="shared" si="16"/>
        <v>0</v>
      </c>
      <c r="M65" s="53">
        <f t="shared" ref="M65" si="104">IF(AND(L65=1,NOT(ISBLANK($P65))),1,0)</f>
        <v>0</v>
      </c>
      <c r="N65" s="20"/>
      <c r="O65" s="19" t="str" cm="1">
        <f t="array" ref="O65">INDEX(Texts[],MATCH("id33",Texts[Index],0),idx_lang)</f>
        <v>Mobilität</v>
      </c>
      <c r="P65" s="20"/>
      <c r="Q65" s="20"/>
      <c r="R65" s="21"/>
      <c r="S65" s="21"/>
      <c r="T65" s="20"/>
      <c r="U65" s="19"/>
      <c r="V65" s="20"/>
      <c r="W65" s="24"/>
      <c r="X65" s="24"/>
      <c r="Y65" s="22"/>
      <c r="Z65" s="22"/>
      <c r="AA65" s="22"/>
    </row>
    <row r="66" spans="1:27" ht="13.9" x14ac:dyDescent="0.4">
      <c r="A66" s="15" t="b">
        <f t="shared" ref="A66:A67" si="105">ISNUMBER(SEARCH(LEFT($P$7,1), C66))</f>
        <v>1</v>
      </c>
      <c r="B66" s="15" t="b">
        <f t="shared" ref="B66:B67" si="106">IF(C66="", TRUE, A66)</f>
        <v>1</v>
      </c>
      <c r="C66" s="53">
        <v>12345</v>
      </c>
      <c r="D66" s="53">
        <f t="shared" si="20"/>
        <v>1</v>
      </c>
      <c r="E66" s="53">
        <f>IF(AND(D66=1,NOT(ISBLANK(P66))),1,0)</f>
        <v>1</v>
      </c>
      <c r="F66" s="53">
        <f t="shared" si="22"/>
        <v>1</v>
      </c>
      <c r="G66" s="53">
        <f t="shared" si="12"/>
        <v>1</v>
      </c>
      <c r="H66" s="53">
        <f t="shared" si="13"/>
        <v>1</v>
      </c>
      <c r="I66" s="53">
        <f t="shared" si="14"/>
        <v>1</v>
      </c>
      <c r="J66" s="53">
        <f t="shared" si="15"/>
        <v>1</v>
      </c>
      <c r="K66" s="53">
        <f t="shared" si="14"/>
        <v>1</v>
      </c>
      <c r="L66" s="53">
        <f t="shared" si="16"/>
        <v>1</v>
      </c>
      <c r="M66" s="53">
        <f t="shared" ref="M66" si="107">IF(AND(L66=1,NOT(ISBLANK($P66))),1,0)</f>
        <v>1</v>
      </c>
      <c r="N66" s="3" t="s">
        <v>2374</v>
      </c>
      <c r="O66" s="7" t="str" cm="1">
        <f t="array" ref="O66">INDEX(Texts[],MATCH("id123",Texts[Index],0),idx_lang)</f>
        <v>Stadt/Land-Typologie</v>
      </c>
      <c r="P66" s="73" t="s">
        <v>2604</v>
      </c>
      <c r="Q66" s="6"/>
      <c r="T66" s="220" t="str" cm="1">
        <f t="array" ref="T66">IFERROR(INDEX(CityTypologie[CityTypologie],VLOOKUP($P$5,Statistics!$B$2:$Q$2146,7)),"-")</f>
        <v>-</v>
      </c>
      <c r="U66" s="245"/>
      <c r="V66" s="255" t="s">
        <v>2814</v>
      </c>
      <c r="W66" s="239">
        <v>1</v>
      </c>
      <c r="X66" s="3"/>
      <c r="Y66" s="99" t="s">
        <v>2698</v>
      </c>
      <c r="AA66" s="75"/>
    </row>
    <row r="67" spans="1:27" ht="25.9" x14ac:dyDescent="0.4">
      <c r="A67" s="15" t="b">
        <f t="shared" si="105"/>
        <v>1</v>
      </c>
      <c r="B67" s="15" t="b">
        <f t="shared" si="106"/>
        <v>1</v>
      </c>
      <c r="C67" s="53">
        <v>12345</v>
      </c>
      <c r="D67" s="53">
        <f t="shared" si="20"/>
        <v>1</v>
      </c>
      <c r="E67" s="53">
        <f>IF(AND(D67=1,NOT(ISBLANK(P67))),1,0)</f>
        <v>0</v>
      </c>
      <c r="F67" s="53">
        <f t="shared" si="22"/>
        <v>1</v>
      </c>
      <c r="G67" s="53">
        <f t="shared" si="12"/>
        <v>0</v>
      </c>
      <c r="H67" s="53">
        <f t="shared" si="13"/>
        <v>1</v>
      </c>
      <c r="I67" s="53">
        <f t="shared" si="14"/>
        <v>0</v>
      </c>
      <c r="J67" s="53">
        <f t="shared" si="15"/>
        <v>1</v>
      </c>
      <c r="K67" s="53">
        <f t="shared" si="14"/>
        <v>0</v>
      </c>
      <c r="L67" s="53">
        <f t="shared" si="16"/>
        <v>1</v>
      </c>
      <c r="M67" s="53">
        <f t="shared" ref="M67" si="108">IF(AND(L67=1,NOT(ISBLANK($P67))),1,0)</f>
        <v>0</v>
      </c>
      <c r="N67" s="6"/>
      <c r="O67" s="60" t="str" cm="1">
        <f t="array" ref="O67">INDEX(Texts[],MATCH("id124",Texts[Index],0),idx_lang)</f>
        <v>Tagesdistanz Motorisierter Individualverkehr je nach Kanton und Urbanisierungsgrad</v>
      </c>
      <c r="P67" s="74"/>
      <c r="Q67" s="61"/>
      <c r="R67" s="72" t="str" cm="1">
        <f t="array" ref="R67">INDEX(Texts[],MATCH("id125",Texts[Index],0),idx_lang)</f>
        <v>km / Tag</v>
      </c>
      <c r="T67" s="239" t="str">
        <f>IFERROR(VLOOKUP($P$5,Statistics!$B$2:$Q$2146,8),"-")</f>
        <v>-</v>
      </c>
      <c r="U67" s="246" t="str" cm="1">
        <f t="array" ref="U67">INDEX(Texts[],MATCH("id125",Texts[Index],0),idx_lang)</f>
        <v>km / Tag</v>
      </c>
      <c r="V67" s="239">
        <v>2021</v>
      </c>
      <c r="W67" s="239">
        <v>1</v>
      </c>
      <c r="X67" s="3"/>
      <c r="Y67" s="100" t="s">
        <v>2698</v>
      </c>
      <c r="Z67" s="62"/>
      <c r="AA67" s="75"/>
    </row>
    <row r="68" spans="1:27" ht="4.5" customHeight="1" x14ac:dyDescent="0.4">
      <c r="C68" s="53"/>
      <c r="D68" s="53"/>
      <c r="E68" s="53"/>
      <c r="F68" s="53"/>
      <c r="G68" s="53">
        <f t="shared" si="12"/>
        <v>0</v>
      </c>
      <c r="H68" s="53">
        <f t="shared" si="13"/>
        <v>0</v>
      </c>
      <c r="I68" s="53">
        <f t="shared" si="14"/>
        <v>0</v>
      </c>
      <c r="J68" s="53">
        <f t="shared" si="15"/>
        <v>0</v>
      </c>
      <c r="K68" s="53">
        <f t="shared" si="14"/>
        <v>0</v>
      </c>
      <c r="L68" s="53">
        <f t="shared" si="16"/>
        <v>0</v>
      </c>
      <c r="M68" s="53">
        <f t="shared" ref="M68" si="109">IF(AND(L68=1,NOT(ISBLANK($P68))),1,0)</f>
        <v>0</v>
      </c>
      <c r="N68" s="6"/>
      <c r="O68" s="7"/>
      <c r="P68" s="6"/>
      <c r="Q68" s="6"/>
      <c r="T68" s="6"/>
      <c r="U68" s="54"/>
      <c r="V68" s="6"/>
      <c r="W68" s="3"/>
      <c r="X68" s="3"/>
    </row>
    <row r="69" spans="1:27" ht="13.15" x14ac:dyDescent="0.4">
      <c r="A69" s="15" t="b">
        <f>ISNUMBER(SEARCH(LEFT($P$7,1), C69))</f>
        <v>0</v>
      </c>
      <c r="B69" s="15" t="b">
        <f t="shared" si="19"/>
        <v>1</v>
      </c>
      <c r="C69" s="53" t="s">
        <v>2301</v>
      </c>
      <c r="D69" s="53">
        <f t="shared" si="20"/>
        <v>0</v>
      </c>
      <c r="E69" s="53">
        <f>IF(AND(D69=1,NOT(ISBLANK(P69))),1,0)</f>
        <v>0</v>
      </c>
      <c r="F69" s="53">
        <f t="shared" si="22"/>
        <v>0</v>
      </c>
      <c r="G69" s="53">
        <f t="shared" si="12"/>
        <v>0</v>
      </c>
      <c r="H69" s="53">
        <f t="shared" si="13"/>
        <v>0</v>
      </c>
      <c r="I69" s="53">
        <f t="shared" si="14"/>
        <v>0</v>
      </c>
      <c r="J69" s="53">
        <f t="shared" si="15"/>
        <v>0</v>
      </c>
      <c r="K69" s="53">
        <f t="shared" si="14"/>
        <v>0</v>
      </c>
      <c r="L69" s="53">
        <f t="shared" si="16"/>
        <v>0</v>
      </c>
      <c r="M69" s="53">
        <f t="shared" ref="M69" si="110">IF(AND(L69=1,NOT(ISBLANK($P69))),1,0)</f>
        <v>0</v>
      </c>
      <c r="N69" s="2"/>
      <c r="O69" s="7" t="str" cm="1">
        <f t="array" ref="O69">INDEX(Texts[],MATCH("id34",Texts[Index],0),idx_lang)</f>
        <v>Anzahl immatrikulierte Personenwagen</v>
      </c>
      <c r="W69" s="3"/>
      <c r="X69" s="3"/>
    </row>
    <row r="70" spans="1:27" ht="13.9" x14ac:dyDescent="0.4">
      <c r="A70" s="15" t="b">
        <f>ISNUMBER(SEARCH(LEFT($P$7,1), C70))</f>
        <v>1</v>
      </c>
      <c r="B70" s="15" t="b">
        <f t="shared" si="19"/>
        <v>1</v>
      </c>
      <c r="C70" s="53" t="s">
        <v>23</v>
      </c>
      <c r="D70" s="53">
        <f t="shared" si="20"/>
        <v>1</v>
      </c>
      <c r="E70" s="53">
        <f>IF(AND(D70=1,NOT(ISBLANK(P70))),1,0)</f>
        <v>0</v>
      </c>
      <c r="F70" s="53">
        <f t="shared" si="22"/>
        <v>1</v>
      </c>
      <c r="G70" s="53">
        <f t="shared" si="12"/>
        <v>0</v>
      </c>
      <c r="H70" s="53">
        <f t="shared" si="13"/>
        <v>1</v>
      </c>
      <c r="I70" s="53">
        <f t="shared" si="14"/>
        <v>0</v>
      </c>
      <c r="J70" s="53">
        <f t="shared" si="15"/>
        <v>1</v>
      </c>
      <c r="K70" s="53">
        <f t="shared" si="14"/>
        <v>0</v>
      </c>
      <c r="L70" s="53">
        <f t="shared" si="16"/>
        <v>1</v>
      </c>
      <c r="M70" s="53">
        <f t="shared" ref="M70" si="111">IF(AND(L70=1,NOT(ISBLANK($P70))),1,0)</f>
        <v>0</v>
      </c>
      <c r="N70" s="6"/>
      <c r="O70" s="8" t="str" cm="1">
        <f t="array" ref="O70">INDEX(Texts[],MATCH("id35",Texts[Index],0),idx_lang)</f>
        <v>Benzin</v>
      </c>
      <c r="P70" s="49"/>
      <c r="R70" s="68" t="str" cm="1">
        <f t="array" ref="R70">INDEX(Texts[],MATCH("id48",Texts[Index],0),idx_lang)</f>
        <v>Anzahl PW</v>
      </c>
      <c r="T70" s="242" t="str">
        <f>IFERROR(VLOOKUP($P$5,Statistics!$B$2:$Q$2146,9),"-")</f>
        <v>-</v>
      </c>
      <c r="U70" s="247" t="str" cm="1">
        <f t="array" ref="U70">INDEX(Texts[],MATCH("id48",Texts[Index],0),idx_lang)</f>
        <v>Anzahl PW</v>
      </c>
      <c r="V70" s="175">
        <v>2024</v>
      </c>
      <c r="W70" s="220">
        <v>1</v>
      </c>
      <c r="X70" s="3"/>
      <c r="Y70" s="101" t="s">
        <v>2698</v>
      </c>
      <c r="AA70" s="75"/>
    </row>
    <row r="71" spans="1:27" ht="13.9" x14ac:dyDescent="0.4">
      <c r="A71" s="15" t="b">
        <f>ISNUMBER(SEARCH(LEFT($P$7,1), C71))</f>
        <v>1</v>
      </c>
      <c r="B71" s="15" t="b">
        <f t="shared" si="19"/>
        <v>1</v>
      </c>
      <c r="C71" s="53" t="s">
        <v>23</v>
      </c>
      <c r="D71" s="53">
        <f t="shared" si="20"/>
        <v>1</v>
      </c>
      <c r="E71" s="53">
        <f>IF(AND(D71=1,NOT(ISBLANK(P71))),1,0)</f>
        <v>0</v>
      </c>
      <c r="F71" s="53">
        <f t="shared" si="22"/>
        <v>1</v>
      </c>
      <c r="G71" s="53">
        <f t="shared" si="12"/>
        <v>0</v>
      </c>
      <c r="H71" s="53">
        <f t="shared" si="13"/>
        <v>1</v>
      </c>
      <c r="I71" s="53">
        <f t="shared" si="14"/>
        <v>0</v>
      </c>
      <c r="J71" s="53">
        <f t="shared" si="15"/>
        <v>1</v>
      </c>
      <c r="K71" s="53">
        <f t="shared" si="14"/>
        <v>0</v>
      </c>
      <c r="L71" s="53">
        <f t="shared" si="16"/>
        <v>1</v>
      </c>
      <c r="M71" s="53">
        <f t="shared" ref="M71" si="112">IF(AND(L71=1,NOT(ISBLANK($P71))),1,0)</f>
        <v>0</v>
      </c>
      <c r="N71" s="6"/>
      <c r="O71" s="8" t="str" cm="1">
        <f t="array" ref="O71">INDEX(Texts[],MATCH("id36",Texts[Index],0),idx_lang)</f>
        <v>Diesel</v>
      </c>
      <c r="P71" s="49"/>
      <c r="R71" s="64" t="str">
        <f>$R$70</f>
        <v>Anzahl PW</v>
      </c>
      <c r="T71" s="242" t="str">
        <f>IFERROR(VLOOKUP($P$5,Statistics!$B$2:$Q$2146,10),"-")</f>
        <v>-</v>
      </c>
      <c r="U71" s="247" t="str" cm="1">
        <f t="array" ref="U71">INDEX(Texts[],MATCH("id48",Texts[Index],0),idx_lang)</f>
        <v>Anzahl PW</v>
      </c>
      <c r="V71" s="175">
        <v>2024</v>
      </c>
      <c r="W71" s="220">
        <v>1</v>
      </c>
      <c r="X71" s="3"/>
      <c r="Y71" s="101" t="s">
        <v>2698</v>
      </c>
      <c r="AA71" s="75"/>
    </row>
    <row r="72" spans="1:27" ht="13.9" x14ac:dyDescent="0.4">
      <c r="A72" s="15" t="b">
        <f>ISNUMBER(SEARCH(LEFT($P$7,1), C72))</f>
        <v>1</v>
      </c>
      <c r="B72" s="15" t="b">
        <f t="shared" si="19"/>
        <v>1</v>
      </c>
      <c r="C72" s="53">
        <v>34</v>
      </c>
      <c r="D72" s="53">
        <f t="shared" si="20"/>
        <v>0</v>
      </c>
      <c r="E72" s="53">
        <f>IF(AND(D72=1,NOT(ISBLANK(P72))),1,0)</f>
        <v>0</v>
      </c>
      <c r="F72" s="53">
        <f t="shared" si="22"/>
        <v>0</v>
      </c>
      <c r="G72" s="53">
        <f>IF(AND(F72=1,NOT(ISBLANK($P72))),1,0)</f>
        <v>0</v>
      </c>
      <c r="H72" s="53">
        <f t="shared" si="13"/>
        <v>1</v>
      </c>
      <c r="I72" s="53">
        <f>IF(AND(H72=1,NOT(ISBLANK($P72))),1,0)</f>
        <v>0</v>
      </c>
      <c r="J72" s="53">
        <f t="shared" si="15"/>
        <v>1</v>
      </c>
      <c r="K72" s="53">
        <f>IF(AND(J72=1,NOT(ISBLANK($P72))),1,0)</f>
        <v>0</v>
      </c>
      <c r="L72" s="53">
        <f t="shared" si="16"/>
        <v>0</v>
      </c>
      <c r="M72" s="53">
        <f>IF(AND(L72=1,NOT(ISBLANK($P72))),1,0)</f>
        <v>0</v>
      </c>
      <c r="N72" s="6"/>
      <c r="O72" s="8" t="str" cm="1">
        <f t="array" ref="O72">INDEX(Texts[],MATCH("id37",Texts[Index],0),idx_lang)</f>
        <v>100% Elektro</v>
      </c>
      <c r="P72" s="49"/>
      <c r="R72" s="64" t="str">
        <f>$R$70</f>
        <v>Anzahl PW</v>
      </c>
      <c r="T72" s="242" t="str">
        <f>IFERROR(VLOOKUP($P$5,Statistics!$B$2:$Q$2146,11),"-")</f>
        <v>-</v>
      </c>
      <c r="U72" s="248" t="str" cm="1">
        <f t="array" ref="U72">INDEX(Texts[],MATCH("id48",Texts[Index],0),idx_lang)</f>
        <v>Anzahl PW</v>
      </c>
      <c r="V72" s="175">
        <v>2024</v>
      </c>
      <c r="W72" s="220">
        <v>1</v>
      </c>
      <c r="X72" s="3"/>
      <c r="Y72" s="101" t="s">
        <v>2698</v>
      </c>
      <c r="AA72" s="75"/>
    </row>
    <row r="73" spans="1:27" ht="13.9" x14ac:dyDescent="0.4">
      <c r="A73" s="15" t="b">
        <f>ISNUMBER(SEARCH(LEFT($P$7,1), C73))</f>
        <v>1</v>
      </c>
      <c r="B73" s="15" t="b">
        <f t="shared" si="19"/>
        <v>1</v>
      </c>
      <c r="C73" s="53">
        <v>34</v>
      </c>
      <c r="D73" s="53">
        <f t="shared" si="20"/>
        <v>0</v>
      </c>
      <c r="E73" s="53">
        <f>IF(AND(D73=1,NOT(ISBLANK(P73))),1,0)</f>
        <v>0</v>
      </c>
      <c r="F73" s="53">
        <f t="shared" si="22"/>
        <v>0</v>
      </c>
      <c r="G73" s="53">
        <f>IF(AND(F73=1,NOT(ISBLANK($P73))),1,0)</f>
        <v>0</v>
      </c>
      <c r="H73" s="53">
        <f t="shared" si="13"/>
        <v>1</v>
      </c>
      <c r="I73" s="53">
        <f>IF(AND(H73=1,NOT(ISBLANK($P73))),1,0)</f>
        <v>0</v>
      </c>
      <c r="J73" s="53">
        <f t="shared" si="15"/>
        <v>1</v>
      </c>
      <c r="K73" s="53">
        <f>IF(AND(J73=1,NOT(ISBLANK($P73))),1,0)</f>
        <v>0</v>
      </c>
      <c r="L73" s="53">
        <f t="shared" si="16"/>
        <v>0</v>
      </c>
      <c r="M73" s="53">
        <f>IF(AND(L73=1,NOT(ISBLANK($P73))),1,0)</f>
        <v>0</v>
      </c>
      <c r="N73" s="6"/>
      <c r="O73" s="8" t="str" cm="1">
        <f t="array" ref="O73">INDEX(Texts[],MATCH("id38",Texts[Index],0),idx_lang)</f>
        <v>Weiteres</v>
      </c>
      <c r="P73" s="49"/>
      <c r="R73" s="64" t="str">
        <f>$R$70</f>
        <v>Anzahl PW</v>
      </c>
      <c r="T73" s="242" t="str">
        <f>IFERROR(VLOOKUP($P$5,Statistics!$B$2:$Q$2146,12),"-")</f>
        <v>-</v>
      </c>
      <c r="U73" s="248" t="str" cm="1">
        <f t="array" ref="U73">INDEX(Texts[],MATCH("id48",Texts[Index],0),idx_lang)</f>
        <v>Anzahl PW</v>
      </c>
      <c r="V73" s="175">
        <v>2024</v>
      </c>
      <c r="W73" s="220">
        <v>1</v>
      </c>
      <c r="X73" s="3"/>
      <c r="Y73" s="101" t="s">
        <v>2698</v>
      </c>
      <c r="AA73" s="75"/>
    </row>
    <row r="74" spans="1:27" ht="7.15" customHeight="1" x14ac:dyDescent="0.4">
      <c r="C74" s="53"/>
      <c r="D74" s="53"/>
      <c r="E74" s="53"/>
      <c r="F74" s="53"/>
      <c r="G74" s="53">
        <f t="shared" si="12"/>
        <v>0</v>
      </c>
      <c r="H74" s="53">
        <f t="shared" si="13"/>
        <v>0</v>
      </c>
      <c r="I74" s="53">
        <f t="shared" si="14"/>
        <v>0</v>
      </c>
      <c r="J74" s="53">
        <f t="shared" si="15"/>
        <v>0</v>
      </c>
      <c r="K74" s="53">
        <f t="shared" si="14"/>
        <v>0</v>
      </c>
      <c r="L74" s="53">
        <f t="shared" si="16"/>
        <v>0</v>
      </c>
      <c r="M74" s="53">
        <f t="shared" ref="M74" si="113">IF(AND(L74=1,NOT(ISBLANK($P74))),1,0)</f>
        <v>0</v>
      </c>
      <c r="N74" s="6"/>
      <c r="O74" s="7"/>
      <c r="W74" s="3"/>
      <c r="X74" s="3"/>
    </row>
    <row r="75" spans="1:27" s="98" customFormat="1" ht="13.9" x14ac:dyDescent="0.4">
      <c r="A75" s="89" t="b">
        <f>ISNUMBER(SEARCH(LEFT($P$7,1), C75))</f>
        <v>0</v>
      </c>
      <c r="B75" s="89" t="b">
        <f t="shared" si="19"/>
        <v>1</v>
      </c>
      <c r="C75" s="90"/>
      <c r="D75" s="90">
        <f t="shared" si="20"/>
        <v>0</v>
      </c>
      <c r="E75" s="90">
        <f>IF(AND(D75=1,NOT(ISBLANK(P75))),1,0)</f>
        <v>0</v>
      </c>
      <c r="F75" s="90">
        <f t="shared" si="22"/>
        <v>0</v>
      </c>
      <c r="G75" s="90">
        <f t="shared" si="12"/>
        <v>0</v>
      </c>
      <c r="H75" s="90">
        <f t="shared" si="13"/>
        <v>0</v>
      </c>
      <c r="I75" s="90">
        <f t="shared" si="14"/>
        <v>0</v>
      </c>
      <c r="J75" s="90">
        <f t="shared" si="15"/>
        <v>0</v>
      </c>
      <c r="K75" s="90">
        <f t="shared" si="14"/>
        <v>0</v>
      </c>
      <c r="L75" s="90">
        <f t="shared" si="16"/>
        <v>0</v>
      </c>
      <c r="M75" s="90">
        <f t="shared" ref="M75" si="114">IF(AND(L75=1,NOT(ISBLANK($P75))),1,0)</f>
        <v>0</v>
      </c>
      <c r="N75" s="91" t="s">
        <v>2376</v>
      </c>
      <c r="O75" s="92" t="str" cm="1">
        <f t="array" ref="O75">INDEX(Texts[],MATCH("id40",Texts[Index],0),idx_lang)</f>
        <v>Nicht Energetisch</v>
      </c>
      <c r="P75" s="93"/>
      <c r="Q75" s="93"/>
      <c r="R75" s="94"/>
      <c r="S75" s="94"/>
      <c r="T75" s="93"/>
      <c r="U75" s="92"/>
      <c r="V75" s="93"/>
      <c r="W75" s="218"/>
      <c r="X75" s="218"/>
      <c r="Y75" s="96"/>
      <c r="Z75" s="97"/>
      <c r="AA75" s="97"/>
    </row>
    <row r="76" spans="1:27" ht="4.5" customHeight="1" x14ac:dyDescent="0.4">
      <c r="C76" s="16"/>
      <c r="D76" s="53"/>
      <c r="E76" s="53"/>
      <c r="F76" s="53"/>
      <c r="G76" s="53">
        <f t="shared" si="12"/>
        <v>0</v>
      </c>
      <c r="H76" s="53">
        <f t="shared" si="13"/>
        <v>0</v>
      </c>
      <c r="I76" s="53">
        <f t="shared" si="14"/>
        <v>0</v>
      </c>
      <c r="J76" s="53">
        <f t="shared" si="15"/>
        <v>0</v>
      </c>
      <c r="K76" s="53">
        <f t="shared" si="14"/>
        <v>0</v>
      </c>
      <c r="L76" s="53">
        <f t="shared" si="16"/>
        <v>0</v>
      </c>
      <c r="M76" s="53">
        <f t="shared" ref="M76" si="115">IF(AND(L76=1,NOT(ISBLANK($P76))),1,0)</f>
        <v>0</v>
      </c>
      <c r="N76" s="18"/>
      <c r="O76" s="5"/>
      <c r="P76" s="6"/>
      <c r="Q76" s="6"/>
      <c r="T76" s="6"/>
      <c r="U76" s="54"/>
      <c r="V76" s="6"/>
      <c r="W76" s="3"/>
      <c r="X76" s="3"/>
    </row>
    <row r="77" spans="1:27" ht="13.15" x14ac:dyDescent="0.4">
      <c r="A77" s="15" t="b">
        <f t="shared" ref="A77:A83" si="116">ISNUMBER(SEARCH(LEFT($P$7,1), C77))</f>
        <v>0</v>
      </c>
      <c r="B77" s="15" t="b">
        <f t="shared" si="19"/>
        <v>0</v>
      </c>
      <c r="C77" s="52" t="s">
        <v>2303</v>
      </c>
      <c r="D77" s="53">
        <f t="shared" si="20"/>
        <v>1</v>
      </c>
      <c r="E77" s="53">
        <f t="shared" ref="E77:E84" si="117">IF(AND(D77=1,NOT(ISBLANK(P77))),1,0)</f>
        <v>0</v>
      </c>
      <c r="F77" s="53">
        <f t="shared" si="22"/>
        <v>1</v>
      </c>
      <c r="G77" s="53">
        <f t="shared" si="12"/>
        <v>0</v>
      </c>
      <c r="H77" s="53">
        <f t="shared" si="13"/>
        <v>1</v>
      </c>
      <c r="I77" s="53">
        <f t="shared" si="14"/>
        <v>0</v>
      </c>
      <c r="J77" s="53">
        <f t="shared" si="15"/>
        <v>0</v>
      </c>
      <c r="K77" s="53">
        <f t="shared" si="14"/>
        <v>0</v>
      </c>
      <c r="L77" s="53">
        <f t="shared" si="16"/>
        <v>0</v>
      </c>
      <c r="M77" s="53">
        <f t="shared" ref="M77" si="118">IF(AND(L77=1,NOT(ISBLANK($P77))),1,0)</f>
        <v>0</v>
      </c>
      <c r="N77" s="3">
        <v>2</v>
      </c>
      <c r="O77" s="2" t="str" cm="1">
        <f t="array" ref="O77">INDEX(Texts[],MATCH("id41",Texts[Index],0),idx_lang)</f>
        <v>Industrielle Prozesse</v>
      </c>
      <c r="P77" s="49"/>
      <c r="R77" s="64" t="s">
        <v>2350</v>
      </c>
      <c r="T77" s="242" t="str">
        <f>IFERROR(VLOOKUP($P$5,Statistics!$B$2:$Q$2146,13) + SUM(P70:P73)*FGase_Fahrzeug + P12*FGase_Einwohner,"-")</f>
        <v>-</v>
      </c>
      <c r="U77" s="248" t="s">
        <v>2809</v>
      </c>
      <c r="V77" s="175">
        <v>2023</v>
      </c>
      <c r="W77" s="220">
        <v>2</v>
      </c>
      <c r="X77" s="3"/>
      <c r="Y77" s="331" t="str" cm="1">
        <f t="array" ref="Y77">INDEX(Texts[],MATCH("id146",Texts[Index],0),idx_lang)</f>
        <v>Siehe Berechnung im Anwendungshandbuch zum KISS Netto Null Tool</v>
      </c>
      <c r="Z77" s="331"/>
      <c r="AA77" s="75"/>
    </row>
    <row r="78" spans="1:27" ht="13.15" x14ac:dyDescent="0.4">
      <c r="A78" s="15" t="b">
        <f t="shared" si="116"/>
        <v>0</v>
      </c>
      <c r="B78" s="15" t="b">
        <f t="shared" si="19"/>
        <v>0</v>
      </c>
      <c r="C78" s="52" t="s">
        <v>2303</v>
      </c>
      <c r="D78" s="53">
        <f t="shared" si="20"/>
        <v>1</v>
      </c>
      <c r="E78" s="53">
        <f t="shared" si="117"/>
        <v>0</v>
      </c>
      <c r="F78" s="53">
        <f t="shared" si="22"/>
        <v>1</v>
      </c>
      <c r="G78" s="53">
        <f t="shared" si="12"/>
        <v>0</v>
      </c>
      <c r="H78" s="53">
        <f t="shared" si="13"/>
        <v>1</v>
      </c>
      <c r="I78" s="53">
        <f t="shared" si="14"/>
        <v>0</v>
      </c>
      <c r="J78" s="53">
        <f t="shared" si="15"/>
        <v>0</v>
      </c>
      <c r="K78" s="53">
        <f t="shared" si="14"/>
        <v>0</v>
      </c>
      <c r="L78" s="53">
        <f t="shared" si="16"/>
        <v>0</v>
      </c>
      <c r="M78" s="53">
        <f t="shared" ref="M78" si="119">IF(AND(L78=1,NOT(ISBLANK($P78))),1,0)</f>
        <v>0</v>
      </c>
      <c r="N78" s="3">
        <v>3</v>
      </c>
      <c r="O78" s="2" t="str" cm="1">
        <f t="array" ref="O78">INDEX(Texts[],MATCH("id42",Texts[Index],0),idx_lang)</f>
        <v>Landwirtschaft</v>
      </c>
      <c r="P78" s="49"/>
      <c r="R78" s="64" t="s">
        <v>2350</v>
      </c>
      <c r="T78" s="242" t="str">
        <f>IFERROR(VLOOKUP($P$5,Statistics!$B$2:$Q$2146,14),"-")</f>
        <v>-</v>
      </c>
      <c r="U78" s="248" t="s">
        <v>2809</v>
      </c>
      <c r="V78" s="175">
        <v>2023</v>
      </c>
      <c r="W78" s="220">
        <v>1</v>
      </c>
      <c r="X78" s="3"/>
      <c r="Y78" s="331"/>
      <c r="Z78" s="331"/>
      <c r="AA78" s="75"/>
    </row>
    <row r="79" spans="1:27" ht="13.15" x14ac:dyDescent="0.4">
      <c r="A79" s="15" t="b">
        <f t="shared" si="116"/>
        <v>0</v>
      </c>
      <c r="B79" s="15" t="b">
        <f t="shared" si="19"/>
        <v>0</v>
      </c>
      <c r="C79" s="52" t="s">
        <v>2303</v>
      </c>
      <c r="D79" s="53">
        <f t="shared" si="20"/>
        <v>1</v>
      </c>
      <c r="E79" s="53">
        <f t="shared" si="117"/>
        <v>0</v>
      </c>
      <c r="F79" s="53">
        <f t="shared" si="22"/>
        <v>1</v>
      </c>
      <c r="G79" s="53">
        <f t="shared" si="12"/>
        <v>0</v>
      </c>
      <c r="H79" s="53">
        <f t="shared" si="13"/>
        <v>1</v>
      </c>
      <c r="I79" s="53">
        <f t="shared" si="14"/>
        <v>0</v>
      </c>
      <c r="J79" s="53">
        <f t="shared" si="15"/>
        <v>0</v>
      </c>
      <c r="K79" s="53">
        <f t="shared" si="14"/>
        <v>0</v>
      </c>
      <c r="L79" s="53">
        <f t="shared" si="16"/>
        <v>0</v>
      </c>
      <c r="M79" s="53">
        <f t="shared" ref="M79" si="120">IF(AND(L79=1,NOT(ISBLANK($P79))),1,0)</f>
        <v>0</v>
      </c>
      <c r="N79" s="3">
        <v>5</v>
      </c>
      <c r="O79" s="2" t="str" cm="1">
        <f t="array" ref="O79">INDEX(Texts[],MATCH("id43",Texts[Index],0),idx_lang)</f>
        <v>Abfall (KVA, ARA)</v>
      </c>
      <c r="P79" s="49"/>
      <c r="R79" s="64" t="s">
        <v>2350</v>
      </c>
      <c r="T79" s="242" t="str">
        <f>IFERROR(VLOOKUP($P$5,Statistics!$B$2:$Q$2146,15),"-")</f>
        <v>-</v>
      </c>
      <c r="U79" s="248" t="s">
        <v>2809</v>
      </c>
      <c r="V79" s="175" t="s">
        <v>2815</v>
      </c>
      <c r="W79" s="220">
        <v>1</v>
      </c>
      <c r="X79" s="3"/>
      <c r="Y79" s="331"/>
      <c r="Z79" s="331"/>
      <c r="AA79" s="75"/>
    </row>
    <row r="80" spans="1:27" ht="13.15" x14ac:dyDescent="0.4">
      <c r="A80" s="15" t="b">
        <f t="shared" si="116"/>
        <v>0</v>
      </c>
      <c r="B80" s="15" t="b">
        <f t="shared" si="19"/>
        <v>0</v>
      </c>
      <c r="C80" s="52" t="s">
        <v>2303</v>
      </c>
      <c r="D80" s="53">
        <f t="shared" si="20"/>
        <v>1</v>
      </c>
      <c r="E80" s="53">
        <f t="shared" si="117"/>
        <v>0</v>
      </c>
      <c r="F80" s="53">
        <f t="shared" si="22"/>
        <v>1</v>
      </c>
      <c r="G80" s="53">
        <f t="shared" si="12"/>
        <v>0</v>
      </c>
      <c r="H80" s="53">
        <f t="shared" si="13"/>
        <v>1</v>
      </c>
      <c r="I80" s="53">
        <f t="shared" si="14"/>
        <v>0</v>
      </c>
      <c r="J80" s="53">
        <f t="shared" si="15"/>
        <v>0</v>
      </c>
      <c r="K80" s="53">
        <f t="shared" si="14"/>
        <v>0</v>
      </c>
      <c r="L80" s="53">
        <f t="shared" si="16"/>
        <v>0</v>
      </c>
      <c r="M80" s="53">
        <f t="shared" ref="M80" si="121">IF(AND(L80=1,NOT(ISBLANK($P80))),1,0)</f>
        <v>0</v>
      </c>
      <c r="N80" s="3">
        <v>4</v>
      </c>
      <c r="O80" s="2" t="str" cm="1">
        <f t="array" ref="O80">INDEX(Texts[],MATCH("id44",Texts[Index],0),idx_lang)</f>
        <v xml:space="preserve">CO2-Bindung Wald </v>
      </c>
      <c r="P80" s="49"/>
      <c r="R80" s="64" t="s">
        <v>2350</v>
      </c>
      <c r="T80" s="242" t="str">
        <f>IFERROR(VLOOKUP($P$5,Statistics!$B$2:$Q$2146,16),"-")</f>
        <v>-</v>
      </c>
      <c r="U80" s="248" t="s">
        <v>2809</v>
      </c>
      <c r="V80" s="256" t="s">
        <v>2816</v>
      </c>
      <c r="W80" s="220">
        <v>1</v>
      </c>
      <c r="X80" s="3"/>
      <c r="Y80" s="331"/>
      <c r="Z80" s="331"/>
      <c r="AA80" s="75"/>
    </row>
    <row r="81" spans="1:27" ht="13.15" x14ac:dyDescent="0.4">
      <c r="A81" s="15" t="b">
        <f t="shared" si="116"/>
        <v>0</v>
      </c>
      <c r="B81" s="15" t="b">
        <f t="shared" si="19"/>
        <v>1</v>
      </c>
      <c r="D81" s="53">
        <f t="shared" si="20"/>
        <v>0</v>
      </c>
      <c r="E81" s="53">
        <f t="shared" si="117"/>
        <v>0</v>
      </c>
      <c r="F81" s="53">
        <f t="shared" si="22"/>
        <v>0</v>
      </c>
      <c r="G81" s="53">
        <f t="shared" si="12"/>
        <v>0</v>
      </c>
      <c r="H81" s="53">
        <f t="shared" si="13"/>
        <v>0</v>
      </c>
      <c r="I81" s="53">
        <f t="shared" si="14"/>
        <v>0</v>
      </c>
      <c r="J81" s="53">
        <f t="shared" si="15"/>
        <v>0</v>
      </c>
      <c r="K81" s="53">
        <f t="shared" si="14"/>
        <v>0</v>
      </c>
      <c r="L81" s="53">
        <f t="shared" si="16"/>
        <v>0</v>
      </c>
      <c r="M81" s="53">
        <f t="shared" ref="M81" si="122">IF(AND(L81=1,NOT(ISBLANK($P81))),1,0)</f>
        <v>0</v>
      </c>
      <c r="W81" s="3"/>
      <c r="X81" s="3"/>
    </row>
    <row r="82" spans="1:27" ht="13.15" x14ac:dyDescent="0.4">
      <c r="A82" s="15" t="b">
        <f t="shared" si="116"/>
        <v>0</v>
      </c>
      <c r="B82" s="15" t="b">
        <f t="shared" si="19"/>
        <v>1</v>
      </c>
      <c r="D82" s="53">
        <f t="shared" si="20"/>
        <v>0</v>
      </c>
      <c r="E82" s="53">
        <f t="shared" si="117"/>
        <v>0</v>
      </c>
      <c r="F82" s="53">
        <f t="shared" si="22"/>
        <v>0</v>
      </c>
      <c r="G82" s="53">
        <f t="shared" si="12"/>
        <v>0</v>
      </c>
      <c r="H82" s="53">
        <f t="shared" si="13"/>
        <v>0</v>
      </c>
      <c r="I82" s="53">
        <f t="shared" si="14"/>
        <v>0</v>
      </c>
      <c r="J82" s="53">
        <f t="shared" si="15"/>
        <v>0</v>
      </c>
      <c r="K82" s="53">
        <f t="shared" si="14"/>
        <v>0</v>
      </c>
      <c r="L82" s="53">
        <f t="shared" si="16"/>
        <v>0</v>
      </c>
      <c r="M82" s="53">
        <f t="shared" ref="M82" si="123">IF(AND(L82=1,NOT(ISBLANK($P82))),1,0)</f>
        <v>0</v>
      </c>
      <c r="W82" s="3"/>
      <c r="X82" s="3"/>
    </row>
    <row r="83" spans="1:27" s="98" customFormat="1" ht="13.9" x14ac:dyDescent="0.4">
      <c r="A83" s="89" t="b">
        <f t="shared" si="116"/>
        <v>0</v>
      </c>
      <c r="B83" s="89" t="b">
        <f t="shared" si="19"/>
        <v>1</v>
      </c>
      <c r="C83" s="90"/>
      <c r="D83" s="90">
        <f t="shared" si="20"/>
        <v>0</v>
      </c>
      <c r="E83" s="90">
        <f t="shared" si="117"/>
        <v>0</v>
      </c>
      <c r="F83" s="90">
        <f t="shared" si="22"/>
        <v>0</v>
      </c>
      <c r="G83" s="90">
        <f t="shared" si="12"/>
        <v>0</v>
      </c>
      <c r="H83" s="90">
        <f t="shared" si="13"/>
        <v>0</v>
      </c>
      <c r="I83" s="90">
        <f t="shared" si="14"/>
        <v>0</v>
      </c>
      <c r="J83" s="90">
        <f t="shared" si="15"/>
        <v>0</v>
      </c>
      <c r="K83" s="90">
        <f t="shared" si="14"/>
        <v>0</v>
      </c>
      <c r="L83" s="90">
        <f t="shared" si="16"/>
        <v>0</v>
      </c>
      <c r="M83" s="90">
        <f t="shared" ref="M83" si="124">IF(AND(L83=1,NOT(ISBLANK($P83))),1,0)</f>
        <v>0</v>
      </c>
      <c r="N83" s="91"/>
      <c r="O83" s="92" t="str" cm="1">
        <f t="array" ref="O83">INDEX(Texts[],MATCH("id45",Texts[Index],0),idx_lang)</f>
        <v>Konsum/Dienstleistung</v>
      </c>
      <c r="P83" s="93"/>
      <c r="Q83" s="93"/>
      <c r="R83" s="94"/>
      <c r="S83" s="94"/>
      <c r="T83" s="93"/>
      <c r="U83" s="92"/>
      <c r="V83" s="93"/>
      <c r="W83" s="218"/>
      <c r="X83" s="218"/>
      <c r="Y83" s="96"/>
      <c r="Z83" s="97"/>
      <c r="AA83" s="97"/>
    </row>
    <row r="84" spans="1:27" ht="25.5" x14ac:dyDescent="0.4">
      <c r="A84" s="15" t="b">
        <f t="shared" ref="A84" si="125">ISNUMBER(SEARCH(LEFT($P$7,1), C84))</f>
        <v>0</v>
      </c>
      <c r="B84" s="15" t="b">
        <f>IF(C84="", TRUE, A84)</f>
        <v>0</v>
      </c>
      <c r="C84" s="16">
        <v>3</v>
      </c>
      <c r="D84" s="53">
        <f t="shared" si="20"/>
        <v>0</v>
      </c>
      <c r="E84" s="53">
        <f t="shared" si="117"/>
        <v>0</v>
      </c>
      <c r="F84" s="53">
        <f t="shared" si="22"/>
        <v>0</v>
      </c>
      <c r="G84" s="53">
        <f t="shared" si="12"/>
        <v>0</v>
      </c>
      <c r="H84" s="53">
        <f t="shared" si="13"/>
        <v>1</v>
      </c>
      <c r="I84" s="53">
        <f t="shared" si="14"/>
        <v>0</v>
      </c>
      <c r="J84" s="53">
        <f t="shared" si="15"/>
        <v>0</v>
      </c>
      <c r="K84" s="53">
        <f t="shared" si="14"/>
        <v>0</v>
      </c>
      <c r="L84" s="53">
        <f t="shared" si="16"/>
        <v>0</v>
      </c>
      <c r="M84" s="53">
        <f t="shared" ref="M84" si="126">IF(AND(L84=1,NOT(ISBLANK($P84))),1,0)</f>
        <v>0</v>
      </c>
      <c r="N84" s="57" t="s">
        <v>2380</v>
      </c>
      <c r="O84" s="62" t="str" cm="1">
        <f t="array" ref="O84">INDEX(Texts[],MATCH("id58",Texts[Index],0),idx_lang)</f>
        <v>Treibhausgasemissionen durch den Konsum</v>
      </c>
      <c r="P84" s="249"/>
      <c r="Q84" s="57"/>
      <c r="R84" s="72" t="str" cm="1">
        <f t="array" ref="R84">INDEX(Texts[],MATCH("id46",Texts[Index],0),idx_lang)</f>
        <v>t CO2-eq / Einwohner</v>
      </c>
      <c r="S84" s="33"/>
      <c r="T84" s="250">
        <f>tCO2_eq_Scope3_inhabitant</f>
        <v>8.6010000000000009</v>
      </c>
      <c r="U84" s="251" t="str" cm="1">
        <f t="array" ref="U84">INDEX(Texts[],MATCH("id46",Texts[Index],0),idx_lang)</f>
        <v>t CO2-eq / Einwohner</v>
      </c>
      <c r="V84" s="250"/>
      <c r="W84" s="239">
        <v>2</v>
      </c>
      <c r="X84" s="3"/>
      <c r="Y84" s="62" t="str" cm="1">
        <f t="array" ref="Y84">INDEX(Texts[],MATCH("id56",Texts[Index],0),idx_lang)</f>
        <v>opendata BFS</v>
      </c>
      <c r="AA84" s="75"/>
    </row>
    <row r="85" spans="1:27" x14ac:dyDescent="0.35">
      <c r="D85" s="52">
        <f>SUM(D14:D84)</f>
        <v>16</v>
      </c>
      <c r="F85" s="52">
        <f>SUM(F14:F84)</f>
        <v>22</v>
      </c>
      <c r="H85" s="52">
        <f>SUM(H14:H84)</f>
        <v>26</v>
      </c>
      <c r="J85" s="52">
        <f>SUM(J14:J84)</f>
        <v>24</v>
      </c>
      <c r="L85" s="52">
        <f>SUM(L14:L84)</f>
        <v>18</v>
      </c>
      <c r="M85" s="52">
        <f>SUM(M14:M84)</f>
        <v>7</v>
      </c>
    </row>
  </sheetData>
  <sheetProtection sheet="1" objects="1" scenarios="1"/>
  <mergeCells count="6">
    <mergeCell ref="Y77:Z80"/>
    <mergeCell ref="T9:W9"/>
    <mergeCell ref="V3:Y7"/>
    <mergeCell ref="Z3:Z7"/>
    <mergeCell ref="Y22:Z22"/>
    <mergeCell ref="Y26:Z26"/>
  </mergeCells>
  <phoneticPr fontId="5" type="noConversion"/>
  <conditionalFormatting sqref="O40:O43">
    <cfRule type="expression" dxfId="61" priority="86">
      <formula>$B40=FALSE</formula>
    </cfRule>
  </conditionalFormatting>
  <conditionalFormatting sqref="O48:O54">
    <cfRule type="expression" dxfId="60" priority="12">
      <formula>$B48=FALSE</formula>
    </cfRule>
  </conditionalFormatting>
  <conditionalFormatting sqref="O51">
    <cfRule type="expression" dxfId="59" priority="15">
      <formula>$B53=FALSE</formula>
    </cfRule>
  </conditionalFormatting>
  <conditionalFormatting sqref="O52 N66">
    <cfRule type="expression" dxfId="58" priority="69">
      <formula>$B55=FALSE</formula>
    </cfRule>
  </conditionalFormatting>
  <conditionalFormatting sqref="O11:V84 Y70:Y74 N84:P84">
    <cfRule type="expression" dxfId="57" priority="55">
      <formula>$B11=FALSE</formula>
    </cfRule>
  </conditionalFormatting>
  <conditionalFormatting sqref="P12:P84">
    <cfRule type="expression" dxfId="56" priority="11">
      <formula>A12=TRUE</formula>
    </cfRule>
  </conditionalFormatting>
  <conditionalFormatting sqref="P20:P21 P24:P25 P29:P30 P32:P54 P57 P60:P61">
    <cfRule type="expression" dxfId="55" priority="36">
      <formula>R20="MW"</formula>
    </cfRule>
  </conditionalFormatting>
  <conditionalFormatting sqref="P43">
    <cfRule type="expression" dxfId="54" priority="5">
      <formula>$P$43=1</formula>
    </cfRule>
  </conditionalFormatting>
  <conditionalFormatting sqref="P54">
    <cfRule type="expression" dxfId="53" priority="6">
      <formula>$P$54=1</formula>
    </cfRule>
  </conditionalFormatting>
  <conditionalFormatting sqref="Q11 Y11:AA11">
    <cfRule type="expression" dxfId="52" priority="31">
      <formula>$B11=FALSE</formula>
    </cfRule>
  </conditionalFormatting>
  <conditionalFormatting sqref="Q14 Y14:AA14">
    <cfRule type="expression" dxfId="51" priority="29">
      <formula>$B14=FALSE</formula>
    </cfRule>
  </conditionalFormatting>
  <conditionalFormatting sqref="Q75 Y75:AA75">
    <cfRule type="expression" dxfId="50" priority="27">
      <formula>$B75=FALSE</formula>
    </cfRule>
  </conditionalFormatting>
  <conditionalFormatting sqref="Q83 Y83:AA83">
    <cfRule type="expression" dxfId="49" priority="25">
      <formula>$B83=FALSE</formula>
    </cfRule>
  </conditionalFormatting>
  <conditionalFormatting sqref="R12:R64 R67:R84">
    <cfRule type="expression" dxfId="48" priority="9">
      <formula>A12=TRUE</formula>
    </cfRule>
  </conditionalFormatting>
  <conditionalFormatting sqref="T3">
    <cfRule type="expression" dxfId="47" priority="80">
      <formula>U3=3</formula>
    </cfRule>
    <cfRule type="expression" dxfId="46" priority="81">
      <formula>U3=2</formula>
    </cfRule>
    <cfRule type="expression" dxfId="45" priority="82">
      <formula>U3=1</formula>
    </cfRule>
  </conditionalFormatting>
  <conditionalFormatting sqref="T7">
    <cfRule type="expression" dxfId="44" priority="4">
      <formula>$T$7=1</formula>
    </cfRule>
  </conditionalFormatting>
  <conditionalFormatting sqref="T70:T73">
    <cfRule type="expression" dxfId="43" priority="19">
      <formula>$B70=FALSE</formula>
    </cfRule>
  </conditionalFormatting>
  <conditionalFormatting sqref="T77:T80">
    <cfRule type="expression" dxfId="42" priority="18">
      <formula>$B77=FALSE</formula>
    </cfRule>
  </conditionalFormatting>
  <conditionalFormatting sqref="T20:V22">
    <cfRule type="expression" dxfId="41" priority="43">
      <formula>$B20=FALSE</formula>
    </cfRule>
  </conditionalFormatting>
  <conditionalFormatting sqref="T63:V63">
    <cfRule type="expression" dxfId="40" priority="17">
      <formula>$B63=FALSE</formula>
    </cfRule>
  </conditionalFormatting>
  <conditionalFormatting sqref="T66:V67">
    <cfRule type="expression" dxfId="39" priority="38">
      <formula>$B66=FALSE</formula>
    </cfRule>
  </conditionalFormatting>
  <conditionalFormatting sqref="T84:V84">
    <cfRule type="expression" dxfId="38" priority="41">
      <formula>$B84=FALSE</formula>
    </cfRule>
  </conditionalFormatting>
  <conditionalFormatting sqref="U3">
    <cfRule type="iconSet" priority="16">
      <iconSet iconSet="3Symbols" showValue="0" reverse="1">
        <cfvo type="percent" val="0"/>
        <cfvo type="num" val="2"/>
        <cfvo type="num" val="3"/>
      </iconSet>
    </cfRule>
  </conditionalFormatting>
  <conditionalFormatting sqref="V3">
    <cfRule type="expression" dxfId="37" priority="77">
      <formula>X3=3</formula>
    </cfRule>
    <cfRule type="expression" dxfId="36" priority="78">
      <formula>X3=2</formula>
    </cfRule>
    <cfRule type="expression" dxfId="35" priority="79">
      <formula>X3=1</formula>
    </cfRule>
  </conditionalFormatting>
  <conditionalFormatting sqref="W12:X12">
    <cfRule type="iconSet" priority="20">
      <iconSet iconSet="3Symbols" showValue="0" reverse="1">
        <cfvo type="percent" val="0"/>
        <cfvo type="num" val="2"/>
        <cfvo type="num" val="3"/>
      </iconSet>
    </cfRule>
  </conditionalFormatting>
  <conditionalFormatting sqref="W77:X80 W66:X67 W20:X21 W70:X73 W63:X63">
    <cfRule type="iconSet" priority="22">
      <iconSet iconSet="3Symbols" showValue="0" reverse="1">
        <cfvo type="percent" val="0"/>
        <cfvo type="num" val="2"/>
        <cfvo type="num" val="3"/>
      </iconSet>
    </cfRule>
  </conditionalFormatting>
  <conditionalFormatting sqref="W84:X84">
    <cfRule type="iconSet" priority="21">
      <iconSet iconSet="3Symbols" showValue="0" reverse="1">
        <cfvo type="percent" val="0"/>
        <cfvo type="num" val="2"/>
        <cfvo type="num" val="3"/>
      </iconSet>
    </cfRule>
  </conditionalFormatting>
  <conditionalFormatting sqref="Y12:Y13 N20:N26 Y76">
    <cfRule type="expression" dxfId="34" priority="44">
      <formula>$B12=FALSE</formula>
    </cfRule>
  </conditionalFormatting>
  <conditionalFormatting sqref="Y15:Y68 N77:N80">
    <cfRule type="expression" dxfId="33" priority="47">
      <formula>$B15=FALSE</formula>
    </cfRule>
  </conditionalFormatting>
  <conditionalFormatting sqref="Y77">
    <cfRule type="expression" dxfId="32" priority="68">
      <formula>$B80=FALSE</formula>
    </cfRule>
  </conditionalFormatting>
  <conditionalFormatting sqref="Y82 Y84">
    <cfRule type="expression" dxfId="31" priority="57">
      <formula>$B82=FALSE</formula>
    </cfRule>
  </conditionalFormatting>
  <dataValidations count="4">
    <dataValidation type="list" showInputMessage="1" showErrorMessage="1" sqref="R20 R24" xr:uid="{B6B5B587-0F6C-4FFF-9692-AA582B15F08F}">
      <formula1>ListUnitOel</formula1>
    </dataValidation>
    <dataValidation type="list" showInputMessage="1" showErrorMessage="1" sqref="R21 R25" xr:uid="{D13A02AB-D9B6-4117-BD7C-5EA21F25775E}">
      <formula1>ListUnitGas</formula1>
    </dataValidation>
    <dataValidation type="list" showInputMessage="1" showErrorMessage="1" sqref="R70" xr:uid="{E8791237-8B98-48F9-87C3-F875E83A4FDC}">
      <formula1>ListUnitMobility</formula1>
    </dataValidation>
    <dataValidation type="list" showInputMessage="1" showErrorMessage="1" sqref="R29" xr:uid="{08045925-592C-4708-A15F-3FFF0B8B0DAD}">
      <formula1>ListUnitOther</formula1>
    </dataValidation>
  </dataValidations>
  <hyperlinks>
    <hyperlink ref="Y66" r:id="rId1" display="https://www.atlas.bfs.admin.ch/maps/13/de/17847_17846_3191_227/27617.html" xr:uid="{2CF7C727-8FDA-496E-87AE-8BE65BA4E9A0}"/>
    <hyperlink ref="Y67" r:id="rId2" display="https://www.bfs.admin.ch/bfs/de/home/statistiken/mobilitaet-verkehr/personenverkehr/verkehrsverhalten.assetdetail.24025441.html" xr:uid="{43F239BD-8BB5-4E01-A07F-A93D7CCD1491}"/>
    <hyperlink ref="Y70" r:id="rId3" xr:uid="{DE15D8AF-F71D-4922-A4DC-E11221E2D400}"/>
    <hyperlink ref="Y71:Y73" r:id="rId4" display="BFS" xr:uid="{D845B13D-FEF9-403B-8D03-6528E71BF619}"/>
    <hyperlink ref="Y58" r:id="rId5" xr:uid="{870A9930-C6E7-4874-8D42-832A901D7A48}"/>
  </hyperlinks>
  <pageMargins left="0.39370078740157483" right="0.39370078740157483" top="0.78740157480314965" bottom="0.78740157480314965" header="0.31496062992125984" footer="0.31496062992125984"/>
  <pageSetup paperSize="9" scale="54" orientation="landscape" verticalDpi="0" r:id="rId6"/>
  <ignoredErrors>
    <ignoredError sqref="R71 R72:R73 T74 T75:T76 R12 R36:R42 R47:R53 R58 R61 R67 U71:U73 R84 R22 R26" unlockedFormula="1"/>
    <ignoredError sqref="C20:C26 C60 C9 C63:C73 C75 C77:C80 V63 V66 V80 V20:V21" numberStoredAsText="1"/>
    <ignoredError sqref="F14 F77:F84 F75 F69:F73 F63:F67 F60 F55:F58 F18:F26 F28:F31 F16" formula="1"/>
    <ignoredError sqref="P43 P54" formulaRange="1"/>
  </ignoredErrors>
  <extLst>
    <ext xmlns:x14="http://schemas.microsoft.com/office/spreadsheetml/2009/9/main" uri="{78C0D931-6437-407d-A8EE-F0AAD7539E65}">
      <x14:conditionalFormattings>
        <x14:conditionalFormatting xmlns:xm="http://schemas.microsoft.com/office/excel/2006/main">
          <x14:cfRule type="iconSet" priority="2" id="{B480FAF0-1651-46A9-A852-F63251340E22}">
            <x14:iconSet iconSet="3Symbols" showValue="0" custom="1">
              <x14:cfvo type="percent">
                <xm:f>0</xm:f>
              </x14:cfvo>
              <x14:cfvo type="num">
                <xm:f>0.999</xm:f>
              </x14:cfvo>
              <x14:cfvo type="num">
                <xm:f>1</xm:f>
              </x14:cfvo>
              <x14:cfIcon iconSet="3Symbols" iconId="0"/>
              <x14:cfIcon iconSet="NoIcons" iconId="0"/>
              <x14:cfIcon iconSet="3Symbols" iconId="2"/>
            </x14:iconSet>
          </x14:cfRule>
          <xm:sqref>U7</xm:sqref>
        </x14:conditionalFormatting>
      </x14:conditionalFormattings>
    </ext>
    <ext xmlns:x14="http://schemas.microsoft.com/office/spreadsheetml/2009/9/main" uri="{CCE6A557-97BC-4b89-ADB6-D9C93CAAB3DF}">
      <x14:dataValidations xmlns:xm="http://schemas.microsoft.com/office/excel/2006/main" count="10">
        <x14:dataValidation type="list" showInputMessage="1" showErrorMessage="1" xr:uid="{BF487062-9112-4212-BD2D-4C3B57F06BF1}">
          <x14:formula1>
            <xm:f>Calculation!$A$2:$A$6</xm:f>
          </x14:formula1>
          <xm:sqref>P7 Q8</xm:sqref>
        </x14:dataValidation>
        <x14:dataValidation type="list" showInputMessage="1" showErrorMessage="1" xr:uid="{6AD74621-E213-48B6-944F-C561C5B88FFB}">
          <x14:formula1>
            <xm:f>Calculation!$A$9:$A$10</xm:f>
          </x14:formula1>
          <xm:sqref>S29:S30 S21 S24:S25</xm:sqref>
        </x14:dataValidation>
        <x14:dataValidation type="list" showInputMessage="1" showErrorMessage="1" xr:uid="{CF203F0C-AD22-4DFD-B172-942DC59A725F}">
          <x14:formula1>
            <xm:f>Texts!$F$2:$F$5</xm:f>
          </x14:formula1>
          <xm:sqref>P3</xm:sqref>
        </x14:dataValidation>
        <x14:dataValidation type="list" showInputMessage="1" showErrorMessage="1" xr:uid="{BBFEBEEF-D96F-46D3-ABEC-7A0964F39084}">
          <x14:formula1>
            <xm:f>Calculation!$A$9:$A$11</xm:f>
          </x14:formula1>
          <xm:sqref>S20</xm:sqref>
        </x14:dataValidation>
        <x14:dataValidation type="list" showInputMessage="1" showErrorMessage="1" xr:uid="{0BAC77BC-24DB-44C8-9EE7-396626D1F0E2}">
          <x14:formula1>
            <xm:f>Calculation!$C$13:$C$15</xm:f>
          </x14:formula1>
          <xm:sqref>P66</xm:sqref>
        </x14:dataValidation>
        <x14:dataValidation type="list" showInputMessage="1" showErrorMessage="1" xr:uid="{E0F18C1C-0F02-4E9D-B6C5-DEC652D22570}">
          <x14:formula1>
            <xm:f>Calculation!$A$34:$A$36</xm:f>
          </x14:formula1>
          <xm:sqref>R63</xm:sqref>
        </x14:dataValidation>
        <x14:dataValidation type="list" showInputMessage="1" showErrorMessage="1" xr:uid="{A77BE7BE-768C-4C78-B648-61CDDF281465}">
          <x14:formula1>
            <xm:f>Calculation!$A$30:$A$31</xm:f>
          </x14:formula1>
          <xm:sqref>R30</xm:sqref>
        </x14:dataValidation>
        <x14:dataValidation type="list" showInputMessage="1" showErrorMessage="1" xr:uid="{DD156A31-718C-485D-953B-7ABE1DB61D4B}">
          <x14:formula1>
            <xm:f>Calculation!$C$23:$C$24</xm:f>
          </x14:formula1>
          <xm:sqref>R31</xm:sqref>
        </x14:dataValidation>
        <x14:dataValidation type="list" showInputMessage="1" showErrorMessage="1" xr:uid="{647EFAC7-CFDF-4FD9-B592-EC7294735A05}">
          <x14:formula1>
            <xm:f>Statistics!$B:$B</xm:f>
          </x14:formula1>
          <xm:sqref>P5</xm:sqref>
        </x14:dataValidation>
        <x14:dataValidation type="list" allowBlank="1" showInputMessage="1" showErrorMessage="1" xr:uid="{27D58F2E-0A21-4F07-9ABD-821B879BFC32}">
          <x14:formula1>
            <xm:f>Calculation!$C$27:$C$28</xm:f>
          </x14:formula1>
          <xm:sqref>U20 U21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E52338-A374-47DA-9462-586D5B07B71C}">
  <sheetPr codeName="Tabelle3">
    <tabColor rgb="FFEA5B0C"/>
    <pageSetUpPr fitToPage="1"/>
  </sheetPr>
  <dimension ref="A1:AE70"/>
  <sheetViews>
    <sheetView showGridLines="0" topLeftCell="B1" zoomScale="80" zoomScaleNormal="80" workbookViewId="0">
      <pane ySplit="10" topLeftCell="A11" activePane="bottomLeft" state="frozen"/>
      <selection activeCell="G11" sqref="G11"/>
      <selection pane="bottomLeft" activeCell="B1" sqref="B1"/>
    </sheetView>
  </sheetViews>
  <sheetFormatPr baseColWidth="10" defaultColWidth="11.59765625" defaultRowHeight="13.5" x14ac:dyDescent="0.35"/>
  <cols>
    <col min="1" max="1" width="7.73046875" style="98" customWidth="1"/>
    <col min="2" max="2" width="54.265625" style="98" customWidth="1"/>
    <col min="3" max="3" width="1.6640625" style="98" customWidth="1"/>
    <col min="4" max="4" width="16" style="98" hidden="1" customWidth="1"/>
    <col min="5" max="5" width="16.86328125" style="98" hidden="1" customWidth="1"/>
    <col min="6" max="6" width="16.86328125" style="137" customWidth="1"/>
    <col min="7" max="7" width="12.3984375" style="106" customWidth="1"/>
    <col min="8" max="8" width="3" style="106" customWidth="1"/>
    <col min="9" max="9" width="11.3984375" style="137"/>
    <col min="10" max="10" width="11.3984375" style="138"/>
    <col min="11" max="11" width="11.3984375" style="106"/>
    <col min="12" max="12" width="2.73046875" style="106" customWidth="1"/>
    <col min="13" max="15" width="11.3984375" style="137"/>
    <col min="16" max="16" width="11.3984375" style="106"/>
    <col min="17" max="17" width="2.1328125" style="106" customWidth="1"/>
    <col min="18" max="18" width="11.73046875" style="106" customWidth="1"/>
    <col min="19" max="19" width="14.73046875" style="106" customWidth="1"/>
    <col min="20" max="20" width="10.3984375" style="106" customWidth="1"/>
    <col min="21" max="21" width="8.73046875" style="106" customWidth="1"/>
    <col min="22" max="22" width="12.86328125" style="106" customWidth="1"/>
    <col min="23" max="23" width="8.73046875" style="106" customWidth="1"/>
    <col min="24" max="24" width="10.73046875" style="106" customWidth="1"/>
    <col min="25" max="25" width="10.73046875" style="138" customWidth="1"/>
    <col min="26" max="26" width="10.73046875" style="139" customWidth="1"/>
    <col min="27" max="27" width="2.1328125" style="106" customWidth="1"/>
    <col min="28" max="30" width="11.3984375" style="106"/>
    <col min="31" max="31" width="2.1328125" style="106" customWidth="1"/>
    <col min="32" max="16384" width="11.59765625" style="98"/>
  </cols>
  <sheetData>
    <row r="1" spans="1:31" s="2" customFormat="1" ht="23.25" customHeight="1" x14ac:dyDescent="0.6">
      <c r="A1" s="102"/>
      <c r="B1" s="77" t="str" cm="1">
        <f t="array" ref="B1">INDEX(Texts[],MATCH("id161",Texts[Index],0),idx_lang)</f>
        <v>Erzeugung ausserhalb des Gemeindegebiets (Scope 2)</v>
      </c>
      <c r="C1" s="102"/>
      <c r="D1" s="102"/>
      <c r="E1" s="102"/>
      <c r="F1" s="103"/>
      <c r="G1" s="102"/>
      <c r="H1" s="102"/>
      <c r="I1" s="103"/>
      <c r="J1" s="104"/>
      <c r="K1" s="102"/>
      <c r="L1" s="102"/>
      <c r="M1" s="103"/>
      <c r="N1" s="103"/>
      <c r="O1" s="103"/>
      <c r="P1" s="102"/>
      <c r="Q1" s="102"/>
      <c r="R1" s="102"/>
      <c r="S1" s="102"/>
      <c r="T1" s="108"/>
      <c r="U1" s="102"/>
      <c r="V1" s="102"/>
      <c r="W1" s="102"/>
      <c r="X1" s="102"/>
      <c r="Y1" s="104"/>
      <c r="Z1" s="105"/>
      <c r="AA1" s="102"/>
      <c r="AB1" s="79" t="str" cm="1">
        <f t="array" ref="AB1">INDEX(Texts[],MATCH("id62",Texts[Index],0),idx_lang)</f>
        <v>Version</v>
      </c>
      <c r="AC1" s="334" t="str">
        <f>Intro!$C$10</f>
        <v>1.8 | 03.11.2025</v>
      </c>
      <c r="AD1" s="334"/>
    </row>
    <row r="2" spans="1:31" ht="8.25" customHeight="1" x14ac:dyDescent="0.35"/>
    <row r="3" spans="1:31" ht="15" x14ac:dyDescent="0.4">
      <c r="F3" s="335" t="str" cm="1">
        <f t="array" ref="F3">INDEX(Texts[],MATCH("id80",Texts[Index],0),idx_lang)</f>
        <v>Scope 1</v>
      </c>
      <c r="G3" s="336"/>
      <c r="H3" s="107"/>
      <c r="I3" s="335" t="str" cm="1">
        <f t="array" ref="I3">INDEX(Texts[],MATCH("id81",Texts[Index],0),idx_lang)</f>
        <v>Scope 1 + 2</v>
      </c>
      <c r="J3" s="337"/>
      <c r="K3" s="336"/>
      <c r="L3" s="107"/>
      <c r="M3" s="335" t="str" cm="1">
        <f t="array" ref="M3">INDEX(Texts[],MATCH("id82",Texts[Index],0),idx_lang)</f>
        <v>Scope 1 + 2 + 3</v>
      </c>
      <c r="N3" s="337"/>
      <c r="O3" s="337"/>
      <c r="P3" s="336"/>
      <c r="Q3" s="107"/>
      <c r="R3" s="335" t="str" cm="1">
        <f t="array" ref="R3">INDEX(Texts[],MATCH("id83",Texts[Index],0),idx_lang)</f>
        <v>Energie 1 + 2 + 3</v>
      </c>
      <c r="S3" s="337"/>
      <c r="T3" s="337"/>
      <c r="U3" s="337"/>
      <c r="V3" s="337"/>
      <c r="W3" s="337"/>
      <c r="X3" s="337"/>
      <c r="Y3" s="337"/>
      <c r="Z3" s="336"/>
      <c r="AA3" s="107"/>
      <c r="AB3" s="335" t="str" cm="1">
        <f t="array" ref="AB3">INDEX(Texts[],MATCH("id84",Texts[Index],0),idx_lang)</f>
        <v>Energie 1 + 2</v>
      </c>
      <c r="AC3" s="337"/>
      <c r="AD3" s="336"/>
    </row>
    <row r="4" spans="1:31" ht="15" x14ac:dyDescent="0.4">
      <c r="F4" s="338" t="str" cm="1">
        <f t="array" ref="F4">INDEX(Texts[],MATCH("id85",Texts[Index],0),idx_lang)</f>
        <v>GHGP</v>
      </c>
      <c r="G4" s="339"/>
      <c r="H4" s="107"/>
      <c r="I4" s="338" t="str" cm="1">
        <f t="array" ref="I4">INDEX(Texts[],MATCH("id85",Texts[Index],0),idx_lang)</f>
        <v>GHGP</v>
      </c>
      <c r="J4" s="340"/>
      <c r="K4" s="339"/>
      <c r="L4" s="107"/>
      <c r="M4" s="338" t="str" cm="1">
        <f t="array" ref="M4">INDEX(Texts[],MATCH("id86",Texts[Index],0),idx_lang)</f>
        <v>GHGP</v>
      </c>
      <c r="N4" s="340"/>
      <c r="O4" s="340"/>
      <c r="P4" s="339"/>
      <c r="Q4" s="107"/>
      <c r="R4" s="341" t="str" cm="1">
        <f t="array" ref="R4">INDEX(Texts[],MATCH("id87",Texts[Index],0),idx_lang)</f>
        <v>LK 2000 WG</v>
      </c>
      <c r="S4" s="342"/>
      <c r="T4" s="342"/>
      <c r="U4" s="342"/>
      <c r="V4" s="342"/>
      <c r="W4" s="342"/>
      <c r="X4" s="342"/>
      <c r="Y4" s="342"/>
      <c r="Z4" s="343"/>
      <c r="AA4" s="107"/>
      <c r="AB4" s="341" t="str" cm="1">
        <f t="array" ref="AB4">INDEX(Texts[],MATCH("id88",Texts[Index],0),idx_lang)</f>
        <v>KISS Netto Null</v>
      </c>
      <c r="AC4" s="342"/>
      <c r="AD4" s="343"/>
    </row>
    <row r="5" spans="1:31" ht="17.649999999999999" x14ac:dyDescent="0.5">
      <c r="B5" s="181" t="str" cm="1">
        <f t="array" ref="B5">INDEX(Texts[],MATCH("id138",Texts[Index],0),idx_lang)</f>
        <v>Datenvollständigkeit</v>
      </c>
      <c r="C5" s="153"/>
      <c r="F5" s="346">
        <f>SUM(Data!E14:E84)/SUM(Data!D14:D84)</f>
        <v>0.3125</v>
      </c>
      <c r="G5" s="348"/>
      <c r="I5" s="346">
        <f>SUM(Data!G14:G84)/SUM(Data!F14:F84)</f>
        <v>0.31818181818181818</v>
      </c>
      <c r="J5" s="347"/>
      <c r="K5" s="348"/>
      <c r="M5" s="346">
        <f>SUM(Data!I14:I84)/SUM(Data!H14:H84)</f>
        <v>0.26923076923076922</v>
      </c>
      <c r="N5" s="347"/>
      <c r="O5" s="347"/>
      <c r="P5" s="348"/>
      <c r="R5" s="346">
        <f>SUM(Data!K14:K84)/SUM(Data!J14:J84)</f>
        <v>0.29166666666666669</v>
      </c>
      <c r="S5" s="347"/>
      <c r="T5" s="347"/>
      <c r="U5" s="347"/>
      <c r="V5" s="347"/>
      <c r="W5" s="347"/>
      <c r="X5" s="347"/>
      <c r="Y5" s="347"/>
      <c r="Z5" s="348"/>
      <c r="AB5" s="346">
        <f>SUM(Data!M14:M84)/SUM(Data!L14:L84)</f>
        <v>0.3888888888888889</v>
      </c>
      <c r="AC5" s="347"/>
      <c r="AD5" s="348"/>
    </row>
    <row r="6" spans="1:31" ht="6" customHeight="1" x14ac:dyDescent="0.35">
      <c r="F6" s="140"/>
      <c r="G6" s="141"/>
      <c r="I6" s="140"/>
      <c r="K6" s="141"/>
      <c r="M6" s="140"/>
      <c r="P6" s="141"/>
      <c r="R6" s="142"/>
      <c r="Z6" s="143"/>
      <c r="AB6" s="142"/>
      <c r="AD6" s="141"/>
    </row>
    <row r="7" spans="1:31" ht="36" customHeight="1" x14ac:dyDescent="0.35">
      <c r="F7" s="140" t="s">
        <v>2350</v>
      </c>
      <c r="G7" s="144" t="str" cm="1">
        <f t="array" ref="G7">INDEX(Texts[],MATCH("id46",Texts[Index],0),idx_lang)</f>
        <v>t CO2-eq / Einwohner</v>
      </c>
      <c r="I7" s="140" t="s">
        <v>2350</v>
      </c>
      <c r="J7" s="138" t="s">
        <v>2350</v>
      </c>
      <c r="K7" s="144" t="str" cm="1">
        <f t="array" ref="K7">INDEX(Texts[],MATCH("id46",Texts[Index],0),idx_lang)</f>
        <v>t CO2-eq / Einwohner</v>
      </c>
      <c r="M7" s="140" t="s">
        <v>2350</v>
      </c>
      <c r="N7" s="137" t="s">
        <v>2350</v>
      </c>
      <c r="O7" s="137" t="s">
        <v>2350</v>
      </c>
      <c r="P7" s="144" t="str" cm="1">
        <f t="array" ref="P7">INDEX(Texts[],MATCH("id46",Texts[Index],0),idx_lang)</f>
        <v>t CO2-eq / Einwohner</v>
      </c>
      <c r="R7" s="145" t="str" cm="1">
        <f t="array" ref="R7">INDEX(Texts[],MATCH("id67",Texts[Index],0),idx_lang)</f>
        <v>Endenergie</v>
      </c>
      <c r="S7" s="146" t="str" cm="1">
        <f t="array" ref="S7">INDEX(Texts[],MATCH("id68",Texts[Index],0),idx_lang)</f>
        <v>Primärenergie</v>
      </c>
      <c r="T7" s="344" t="str" cm="1">
        <f t="array" ref="T7">INDEX(Texts[],MATCH("id175",Texts[Index],0),idx_lang)</f>
        <v>Erneuerbare Endenergie</v>
      </c>
      <c r="U7" s="345"/>
      <c r="V7" s="344" t="str" cm="1">
        <f t="array" ref="V7">INDEX(Texts[],MATCH("id171",Texts[Index],0),idx_lang)</f>
        <v>Erneuerbare Primärenergie</v>
      </c>
      <c r="W7" s="345"/>
      <c r="X7" s="146" t="str" cm="1">
        <f t="array" ref="X7">INDEX(Texts[],MATCH("id69",Texts[Index],0),idx_lang)</f>
        <v>Watt / Einwohner</v>
      </c>
      <c r="Y7" s="138" t="s">
        <v>2350</v>
      </c>
      <c r="Z7" s="147" t="str" cm="1">
        <f t="array" ref="Z7">INDEX(Texts[],MATCH("id46",Texts[Index],0),idx_lang)</f>
        <v>t CO2-eq / Einwohner</v>
      </c>
      <c r="AB7" s="142" t="s">
        <v>2350</v>
      </c>
      <c r="AC7" s="106" t="s">
        <v>2350</v>
      </c>
      <c r="AD7" s="144" t="str" cm="1">
        <f t="array" ref="AD7">INDEX(Texts[],MATCH("id46",Texts[Index],0),idx_lang)</f>
        <v>t CO2-eq / Einwohner</v>
      </c>
    </row>
    <row r="8" spans="1:31" ht="15" customHeight="1" x14ac:dyDescent="0.35">
      <c r="F8" s="140" t="s">
        <v>22</v>
      </c>
      <c r="G8" s="141" t="s">
        <v>52</v>
      </c>
      <c r="I8" s="140" t="s">
        <v>22</v>
      </c>
      <c r="J8" s="138" t="s">
        <v>2381</v>
      </c>
      <c r="K8" s="141" t="s">
        <v>52</v>
      </c>
      <c r="M8" s="140" t="s">
        <v>22</v>
      </c>
      <c r="N8" s="137" t="s">
        <v>2381</v>
      </c>
      <c r="O8" s="137" t="s">
        <v>2380</v>
      </c>
      <c r="P8" s="141" t="s">
        <v>52</v>
      </c>
      <c r="R8" s="148" t="s">
        <v>2415</v>
      </c>
      <c r="S8" s="149" t="str">
        <f>R8</f>
        <v>MWh</v>
      </c>
      <c r="T8" s="284" t="str">
        <f>R8</f>
        <v>MWh</v>
      </c>
      <c r="U8" s="285" t="s">
        <v>2585</v>
      </c>
      <c r="V8" s="284" t="str">
        <f>R8</f>
        <v>MWh</v>
      </c>
      <c r="W8" s="285" t="s">
        <v>2585</v>
      </c>
      <c r="X8" s="149"/>
      <c r="Y8" s="150"/>
      <c r="Z8" s="151"/>
      <c r="AB8" s="142" t="s">
        <v>22</v>
      </c>
      <c r="AC8" s="106" t="s">
        <v>2381</v>
      </c>
      <c r="AD8" s="141" t="s">
        <v>52</v>
      </c>
    </row>
    <row r="9" spans="1:31" ht="4.1500000000000004" customHeight="1" x14ac:dyDescent="0.35">
      <c r="F9" s="140"/>
      <c r="G9" s="141"/>
      <c r="I9" s="140"/>
      <c r="K9" s="141"/>
      <c r="M9" s="140"/>
      <c r="P9" s="141"/>
      <c r="R9" s="142"/>
      <c r="T9" s="286"/>
      <c r="U9" s="287"/>
      <c r="V9" s="286"/>
      <c r="W9" s="287"/>
      <c r="Z9" s="143"/>
      <c r="AB9" s="142"/>
      <c r="AD9" s="141"/>
    </row>
    <row r="10" spans="1:31" s="168" customFormat="1" ht="21" customHeight="1" x14ac:dyDescent="0.45">
      <c r="B10" s="169" t="str" cm="1">
        <f t="array" ref="B10">INDEX(Texts[],MATCH("id70",Texts[Index],0),idx_lang)</f>
        <v>Gesamtergebnis</v>
      </c>
      <c r="F10" s="196">
        <f>SUM(F17:F70)</f>
        <v>0</v>
      </c>
      <c r="G10" s="198">
        <f>IFERROR(F10/Anzahl_Einwohner,0)</f>
        <v>0</v>
      </c>
      <c r="H10" s="170"/>
      <c r="I10" s="196">
        <f>SUM(I17:I70)</f>
        <v>0</v>
      </c>
      <c r="J10" s="197">
        <f>SUM(J17:J70)</f>
        <v>0</v>
      </c>
      <c r="K10" s="198">
        <f>IFERROR(SUM(I10:J10)/Anzahl_Einwohner,0)</f>
        <v>0</v>
      </c>
      <c r="L10" s="170"/>
      <c r="M10" s="196">
        <f>SUM(M17:M70)</f>
        <v>0</v>
      </c>
      <c r="N10" s="197">
        <f>SUM(N17:N70)</f>
        <v>0</v>
      </c>
      <c r="O10" s="197">
        <f>SUM(O17:O70)</f>
        <v>0</v>
      </c>
      <c r="P10" s="198">
        <f>IFERROR(SUM(M10:O10)/Anzahl_Einwohner,0)</f>
        <v>0</v>
      </c>
      <c r="Q10" s="170"/>
      <c r="R10" s="196">
        <f>SUM(R17:R70)</f>
        <v>0</v>
      </c>
      <c r="S10" s="197">
        <f>SUM(S17:S70)</f>
        <v>0</v>
      </c>
      <c r="T10" s="288">
        <f>SUM(T17:T70)</f>
        <v>0</v>
      </c>
      <c r="U10" s="300">
        <f>IFERROR(T10/R10,0)</f>
        <v>0</v>
      </c>
      <c r="V10" s="288">
        <f>SUM(V17:V70)</f>
        <v>0</v>
      </c>
      <c r="W10" s="300">
        <f>IFERROR(V10/S10,0)</f>
        <v>0</v>
      </c>
      <c r="X10" s="197">
        <f>IFERROR(SUM(X17:X70),0)</f>
        <v>0</v>
      </c>
      <c r="Y10" s="197">
        <f>SUM(Y17:Y70)</f>
        <v>0</v>
      </c>
      <c r="Z10" s="198">
        <f>IFERROR(Y10/Anzahl_Einwohner,0)</f>
        <v>0</v>
      </c>
      <c r="AA10" s="170"/>
      <c r="AB10" s="196">
        <f>SUM(AB17:AB70)</f>
        <v>0</v>
      </c>
      <c r="AC10" s="197">
        <f>SUM(AC17:AC70)</f>
        <v>0</v>
      </c>
      <c r="AD10" s="198">
        <f>IFERROR(SUM(AB10:AC10)/Anzahl_Einwohner,0)</f>
        <v>0</v>
      </c>
      <c r="AE10" s="171"/>
    </row>
    <row r="11" spans="1:31" ht="4.5" customHeight="1" x14ac:dyDescent="0.35">
      <c r="F11" s="140"/>
      <c r="G11" s="141"/>
      <c r="I11" s="140"/>
      <c r="K11" s="141"/>
      <c r="M11" s="140"/>
      <c r="P11" s="141"/>
      <c r="R11" s="142"/>
      <c r="T11" s="286"/>
      <c r="U11" s="287"/>
      <c r="V11" s="286"/>
      <c r="W11" s="287"/>
      <c r="Z11" s="143"/>
      <c r="AB11" s="142"/>
      <c r="AD11" s="141"/>
    </row>
    <row r="12" spans="1:31" ht="13.9" x14ac:dyDescent="0.4">
      <c r="A12" s="165">
        <v>1</v>
      </c>
      <c r="B12" s="1" t="str" cm="1">
        <f t="array" ref="B12">INDEX(Texts[],MATCH("id9",Texts[Index],0),idx_lang)</f>
        <v>Energie</v>
      </c>
      <c r="F12" s="44"/>
      <c r="G12" s="30"/>
      <c r="I12" s="44"/>
      <c r="J12" s="42"/>
      <c r="K12" s="30"/>
      <c r="M12" s="44"/>
      <c r="N12" s="45"/>
      <c r="O12" s="45"/>
      <c r="P12" s="30"/>
      <c r="R12" s="29"/>
      <c r="S12" s="1"/>
      <c r="T12" s="301"/>
      <c r="U12" s="290"/>
      <c r="V12" s="289"/>
      <c r="W12" s="290"/>
      <c r="X12" s="1"/>
      <c r="Y12" s="42"/>
      <c r="Z12" s="41"/>
      <c r="AB12" s="29"/>
      <c r="AC12" s="1"/>
      <c r="AD12" s="30"/>
    </row>
    <row r="13" spans="1:31" s="2" customFormat="1" ht="13.15" x14ac:dyDescent="0.4">
      <c r="A13" s="20"/>
      <c r="B13" s="19" t="str" cm="1">
        <f t="array" ref="B13">INDEX(Texts[],MATCH("id15",Texts[Index],0),idx_lang)</f>
        <v>Wärme</v>
      </c>
      <c r="F13" s="155"/>
      <c r="G13" s="38"/>
      <c r="H13" s="3"/>
      <c r="I13" s="155"/>
      <c r="J13" s="156"/>
      <c r="K13" s="38"/>
      <c r="L13" s="3"/>
      <c r="M13" s="155"/>
      <c r="N13" s="43"/>
      <c r="O13" s="43"/>
      <c r="P13" s="38"/>
      <c r="Q13" s="3"/>
      <c r="R13" s="40"/>
      <c r="S13" s="3"/>
      <c r="T13" s="291"/>
      <c r="U13" s="292"/>
      <c r="V13" s="291"/>
      <c r="W13" s="292"/>
      <c r="X13" s="3"/>
      <c r="Y13" s="156"/>
      <c r="Z13" s="157"/>
      <c r="AA13" s="3"/>
      <c r="AB13" s="40"/>
      <c r="AC13" s="3"/>
      <c r="AD13" s="38"/>
      <c r="AE13" s="3"/>
    </row>
    <row r="14" spans="1:31" s="2" customFormat="1" ht="13.15" x14ac:dyDescent="0.4">
      <c r="A14" s="6"/>
      <c r="B14" s="267" t="str" cm="1">
        <f t="array" ref="B14">INDEX(Texts[],MATCH("id158",Texts[Index],0),idx_lang)</f>
        <v>Individuelle Heizanlagen</v>
      </c>
      <c r="F14" s="155"/>
      <c r="G14" s="38"/>
      <c r="H14" s="3"/>
      <c r="I14" s="155"/>
      <c r="J14" s="156"/>
      <c r="K14" s="38"/>
      <c r="L14" s="3"/>
      <c r="M14" s="155"/>
      <c r="N14" s="43"/>
      <c r="O14" s="43"/>
      <c r="P14" s="38"/>
      <c r="Q14" s="3"/>
      <c r="R14" s="40"/>
      <c r="S14" s="3"/>
      <c r="T14" s="291"/>
      <c r="U14" s="292"/>
      <c r="V14" s="291"/>
      <c r="W14" s="292"/>
      <c r="X14" s="3"/>
      <c r="Y14" s="156"/>
      <c r="Z14" s="157"/>
      <c r="AA14" s="3"/>
      <c r="AB14" s="40"/>
      <c r="AC14" s="3"/>
      <c r="AD14" s="38"/>
      <c r="AE14" s="3"/>
    </row>
    <row r="15" spans="1:31" s="2" customFormat="1" ht="13.15" x14ac:dyDescent="0.4">
      <c r="A15" s="6"/>
      <c r="B15" s="23" t="str" cm="1">
        <f t="array" ref="B15">INDEX(Texts[],MATCH("id16",Texts[Index],0),idx_lang)</f>
        <v>Nicht erneuerbare Energie</v>
      </c>
      <c r="F15" s="155"/>
      <c r="G15" s="38"/>
      <c r="H15" s="3"/>
      <c r="I15" s="155"/>
      <c r="J15" s="156"/>
      <c r="K15" s="38"/>
      <c r="L15" s="3"/>
      <c r="M15" s="155"/>
      <c r="N15" s="43"/>
      <c r="O15" s="43"/>
      <c r="P15" s="38"/>
      <c r="Q15" s="3"/>
      <c r="R15" s="40"/>
      <c r="S15" s="3"/>
      <c r="T15" s="291"/>
      <c r="U15" s="292"/>
      <c r="V15" s="291"/>
      <c r="W15" s="292"/>
      <c r="X15" s="3"/>
      <c r="Y15" s="156"/>
      <c r="Z15" s="157"/>
      <c r="AA15" s="3"/>
      <c r="AB15" s="40"/>
      <c r="AC15" s="3"/>
      <c r="AD15" s="38"/>
      <c r="AE15" s="3"/>
    </row>
    <row r="16" spans="1:31" s="2" customFormat="1" ht="12.75" x14ac:dyDescent="0.35">
      <c r="A16" s="3" t="s">
        <v>2372</v>
      </c>
      <c r="B16" s="9" t="str" cm="1">
        <f t="array" ref="B16">INDEX(Texts[],MATCH("id17",Texts[Index],0),idx_lang)</f>
        <v>Wohnen</v>
      </c>
      <c r="F16" s="155"/>
      <c r="G16" s="38"/>
      <c r="H16" s="3"/>
      <c r="I16" s="155"/>
      <c r="J16" s="156"/>
      <c r="K16" s="38"/>
      <c r="L16" s="3"/>
      <c r="M16" s="155"/>
      <c r="N16" s="43"/>
      <c r="O16" s="43"/>
      <c r="P16" s="38"/>
      <c r="Q16" s="3"/>
      <c r="R16" s="40"/>
      <c r="S16" s="3"/>
      <c r="T16" s="291"/>
      <c r="U16" s="292"/>
      <c r="V16" s="291"/>
      <c r="W16" s="292"/>
      <c r="X16" s="3"/>
      <c r="Y16" s="156"/>
      <c r="Z16" s="157"/>
      <c r="AA16" s="3"/>
      <c r="AB16" s="40"/>
      <c r="AC16" s="3"/>
      <c r="AD16" s="38"/>
      <c r="AE16" s="3"/>
    </row>
    <row r="17" spans="1:31" s="2" customFormat="1" ht="12.75" x14ac:dyDescent="0.35">
      <c r="A17" s="3" t="s">
        <v>2372</v>
      </c>
      <c r="B17" s="26" t="str" cm="1">
        <f t="array" ref="B17">INDEX(Texts[],MATCH("id18",Texts[Index],0),idx_lang)</f>
        <v>Heizöl</v>
      </c>
      <c r="D17" s="2" t="str">
        <f>Data!R20</f>
        <v>MWh</v>
      </c>
      <c r="E17" s="2">
        <f>MATCH(D17,UnitOel[[#All],[UnitOel]],0)-1</f>
        <v>1</v>
      </c>
      <c r="F17" s="182">
        <f>IF($E17=1,Data!P20*Factor!$D$6,IF($E17=2,Data!P20*Factor!$D$6*volllaststunden,IF($E17=3,Data!P20*CO2_Liter_Oel/1000,IF($E17=4,Data!P20,Data!P20*Factor!D6/(Factor!D6+Factor!F6)))))</f>
        <v>0</v>
      </c>
      <c r="G17" s="183">
        <f>IFERROR(F17/Anzahl_Einwohner,0)</f>
        <v>0</v>
      </c>
      <c r="H17" s="3"/>
      <c r="I17" s="182">
        <f>F17</f>
        <v>0</v>
      </c>
      <c r="J17" s="185">
        <v>0</v>
      </c>
      <c r="K17" s="183">
        <f>IFERROR(SUM(I17:J17)/Anzahl_Einwohner,0)</f>
        <v>0</v>
      </c>
      <c r="L17" s="3"/>
      <c r="M17" s="182">
        <f>F17</f>
        <v>0</v>
      </c>
      <c r="N17" s="186">
        <v>0</v>
      </c>
      <c r="O17" s="186">
        <f>F17*Factor!$F$6/Factor!$D$6</f>
        <v>0</v>
      </c>
      <c r="P17" s="183">
        <f>IFERROR(SUM(M17:O17)/Anzahl_Einwohner,0)</f>
        <v>0</v>
      </c>
      <c r="Q17" s="3"/>
      <c r="R17" s="182">
        <f>IF(E17=1,Data!P20,IF(E17=2,Data!P20*volllaststunden,IF(E17=3,Data!P20*kWh_Liter_Oil/1000000,IF(E17=4,Data!P20/Factor!D6,Data!P20/(Factor!D6+Factor!F6))))) / UnitFactor</f>
        <v>0</v>
      </c>
      <c r="S17" s="186">
        <f>R17*Factor!$L$6</f>
        <v>0</v>
      </c>
      <c r="T17" s="293">
        <f>S17*Factor!N6</f>
        <v>0</v>
      </c>
      <c r="U17" s="294">
        <f>IFERROR(T17/R17,0)</f>
        <v>0</v>
      </c>
      <c r="V17" s="293">
        <f>S17*Factor!O6</f>
        <v>0</v>
      </c>
      <c r="W17" s="294">
        <f>IFERROR(V17/S17,0)</f>
        <v>0</v>
      </c>
      <c r="X17" s="186">
        <f>IFERROR(S17*MWh_in_W/Anzahl_Einwohner*UnitFactor,0)</f>
        <v>0</v>
      </c>
      <c r="Y17" s="186">
        <f>R17*Factor!$M$6 * UnitFactor</f>
        <v>0</v>
      </c>
      <c r="Z17" s="183">
        <f>IFERROR(Y17/Anzahl_Einwohner,0)</f>
        <v>0</v>
      </c>
      <c r="AA17" s="3"/>
      <c r="AB17" s="182">
        <f>F17</f>
        <v>0</v>
      </c>
      <c r="AC17" s="191">
        <v>0</v>
      </c>
      <c r="AD17" s="183">
        <f>IFERROR(SUM(AB17:AC17)/Anzahl_Einwohner,0)</f>
        <v>0</v>
      </c>
      <c r="AE17" s="3"/>
    </row>
    <row r="18" spans="1:31" s="2" customFormat="1" ht="12.75" x14ac:dyDescent="0.35">
      <c r="A18" s="3"/>
      <c r="B18" s="27" t="str" cm="1">
        <f t="array" ref="B18">INDEX(Texts[],MATCH("id19",Texts[Index],0),idx_lang)</f>
        <v>Gas</v>
      </c>
      <c r="D18" s="2" t="str">
        <f>Data!R21</f>
        <v>MWh</v>
      </c>
      <c r="E18" s="2">
        <f>MATCH(D18,EinheitGas[[#All],[UnitGas]],0)-1</f>
        <v>1</v>
      </c>
      <c r="F18" s="182">
        <f>IF($E18=1,Data!P21*Factor!$D$7*(1-Data!P22),IF($E18=2,Data!P21*Factor!$D$7*volllaststunden*(1-Data!P22),IF($E18=3,Data!P21*CO2_m3_Gas/1000*(1-Data!P22),IF($E18=4,Data!P21,Data!P21*Factor!D7/(Factor!D7+Factor!F7)))))</f>
        <v>0</v>
      </c>
      <c r="G18" s="183">
        <f>IFERROR(F18/Anzahl_Einwohner,0)</f>
        <v>0</v>
      </c>
      <c r="H18" s="3"/>
      <c r="I18" s="182">
        <f>F18</f>
        <v>0</v>
      </c>
      <c r="J18" s="185">
        <v>0</v>
      </c>
      <c r="K18" s="183">
        <f>IFERROR(SUM(I18:J18)/Anzahl_Einwohner,0)</f>
        <v>0</v>
      </c>
      <c r="L18" s="3"/>
      <c r="M18" s="182">
        <f>F18</f>
        <v>0</v>
      </c>
      <c r="N18" s="186">
        <v>0</v>
      </c>
      <c r="O18" s="186">
        <f>F18*Factor!$F$7/Factor!$D$7</f>
        <v>0</v>
      </c>
      <c r="P18" s="183">
        <f>IFERROR(SUM(M18:O18)/Anzahl_Einwohner,0)</f>
        <v>0</v>
      </c>
      <c r="Q18" s="3"/>
      <c r="R18" s="182">
        <f>IF(E18=1,Data!P21,IF(E18=2,Data!P21*volllaststunden,IF(E18=3,Data!P21*kWh_m3_gas/1000000,"N/A"))) / UnitFactor</f>
        <v>0</v>
      </c>
      <c r="S18" s="186">
        <f>R18*((Factor!L7*(1-Data!P22))+(Factor!L11*Data!P22))</f>
        <v>0</v>
      </c>
      <c r="T18" s="293">
        <f>R18*((Factor!N7*(1-Data!P22))+(Factor!N11*Data!P22))</f>
        <v>0</v>
      </c>
      <c r="U18" s="294">
        <f>IFERROR(T18/R18,0)</f>
        <v>0</v>
      </c>
      <c r="V18" s="293">
        <f>R18*((Factor!L7*(1-Data!P22)*Factor!O7)+(Factor!L12*Data!P22*Factor!O11))</f>
        <v>0</v>
      </c>
      <c r="W18" s="294">
        <f>IFERROR(V18/S18,0)</f>
        <v>0</v>
      </c>
      <c r="X18" s="186">
        <f>IFERROR(S18*MWh_in_W/Anzahl_Einwohner*UnitFactor,0)</f>
        <v>0</v>
      </c>
      <c r="Y18" s="185">
        <f>(R18*(1-Data!P22)*Factor!M7+R18*Data!P22*Factor!M11) * UnitFactor</f>
        <v>0</v>
      </c>
      <c r="Z18" s="183">
        <f>IFERROR(Y18/Anzahl_Einwohner,0)</f>
        <v>0</v>
      </c>
      <c r="AA18" s="3"/>
      <c r="AB18" s="195">
        <f>F18</f>
        <v>0</v>
      </c>
      <c r="AC18" s="191">
        <v>0</v>
      </c>
      <c r="AD18" s="183">
        <f>IFERROR(SUM(AB18:AC18)/Anzahl_Einwohner,0)</f>
        <v>0</v>
      </c>
      <c r="AE18" s="3"/>
    </row>
    <row r="19" spans="1:31" s="2" customFormat="1" ht="12.75" x14ac:dyDescent="0.35">
      <c r="A19" s="3" t="s">
        <v>2373</v>
      </c>
      <c r="B19" s="9" t="str" cm="1">
        <f t="array" ref="B19">INDEX(Texts[],MATCH("id20",Texts[Index],0),idx_lang)</f>
        <v>Industrie und Dienstleistungen (inkl. Energieumwandlung)</v>
      </c>
      <c r="F19" s="155"/>
      <c r="G19" s="38"/>
      <c r="H19" s="3"/>
      <c r="I19" s="155"/>
      <c r="J19" s="156"/>
      <c r="K19" s="38"/>
      <c r="L19" s="3"/>
      <c r="M19" s="155"/>
      <c r="N19" s="43"/>
      <c r="O19" s="43"/>
      <c r="P19" s="38"/>
      <c r="Q19" s="3"/>
      <c r="R19" s="155"/>
      <c r="S19" s="43"/>
      <c r="T19" s="295"/>
      <c r="U19" s="296"/>
      <c r="V19" s="295"/>
      <c r="W19" s="296"/>
      <c r="X19" s="3"/>
      <c r="Y19" s="156"/>
      <c r="Z19" s="157"/>
      <c r="AA19" s="3"/>
      <c r="AB19" s="40"/>
      <c r="AC19" s="3"/>
      <c r="AD19" s="38"/>
      <c r="AE19" s="3"/>
    </row>
    <row r="20" spans="1:31" s="2" customFormat="1" ht="12.75" x14ac:dyDescent="0.35">
      <c r="A20" s="3" t="s">
        <v>2373</v>
      </c>
      <c r="B20" s="26" t="str" cm="1">
        <f t="array" ref="B20">INDEX(Texts[],MATCH("id21",Texts[Index],0),idx_lang)</f>
        <v>Heizöl</v>
      </c>
      <c r="D20" s="2" t="str">
        <f>Data!R24</f>
        <v>MWh</v>
      </c>
      <c r="E20" s="2">
        <f>MATCH(D20,UnitOel[[#All],[UnitOel]],0)-1</f>
        <v>1</v>
      </c>
      <c r="F20" s="182">
        <f>IF($E20=1,Data!P24*Factor!$D$6,IF($E20=2,Data!P24*Factor!$D$6*volllaststunden,IF($E20=3,Data!P24*CO2_Liter_Oel/1000,IF($E20=4,Data!P24,Data!P23*Factor!D12/(Factor!D12+Factor!F12)))))</f>
        <v>0</v>
      </c>
      <c r="G20" s="183">
        <f>IFERROR(F20/Anzahl_Einwohner,0)</f>
        <v>0</v>
      </c>
      <c r="H20" s="3"/>
      <c r="I20" s="182">
        <f>F20</f>
        <v>0</v>
      </c>
      <c r="J20" s="185">
        <v>0</v>
      </c>
      <c r="K20" s="183">
        <f>IFERROR(SUM(I20:J20)/Anzahl_Einwohner,0)</f>
        <v>0</v>
      </c>
      <c r="L20" s="3"/>
      <c r="M20" s="182">
        <f>F20</f>
        <v>0</v>
      </c>
      <c r="N20" s="186">
        <v>0</v>
      </c>
      <c r="O20" s="186">
        <f>F20*Factor!$F$6/Factor!$D$6</f>
        <v>0</v>
      </c>
      <c r="P20" s="183">
        <f>IFERROR(SUM(M20:O20)/Anzahl_Einwohner,0)</f>
        <v>0</v>
      </c>
      <c r="Q20" s="3"/>
      <c r="R20" s="182">
        <f>IF(E20=1,Data!P24,IF(E20=2,Data!P24*volllaststunden,IF(E20=3,Data!P24*kWh_Liter_Oil/1000000,IF(E20=4,Data!P24/Factor!D6,Data!P24/(Factor!D6+Factor!F6))))) / UnitFactor</f>
        <v>0</v>
      </c>
      <c r="S20" s="186">
        <f>R20*Factor!$L$6</f>
        <v>0</v>
      </c>
      <c r="T20" s="293">
        <f>R20*Factor!N6</f>
        <v>0</v>
      </c>
      <c r="U20" s="294">
        <f t="shared" ref="U20:U21" si="0">IFERROR(T20/R20,0)</f>
        <v>0</v>
      </c>
      <c r="V20" s="293">
        <f>S20*Factor!O6</f>
        <v>0</v>
      </c>
      <c r="W20" s="294">
        <f>IFERROR(V20/S20,0)</f>
        <v>0</v>
      </c>
      <c r="X20" s="186">
        <f>IFERROR(S20*MWh_in_W/Anzahl_Einwohner*UnitFactor,0)</f>
        <v>0</v>
      </c>
      <c r="Y20" s="186">
        <f>R20*Factor!$M$6 * UnitFactor</f>
        <v>0</v>
      </c>
      <c r="Z20" s="183">
        <f>IFERROR(Y20/Anzahl_Einwohner,0)</f>
        <v>0</v>
      </c>
      <c r="AA20" s="3"/>
      <c r="AB20" s="195">
        <f>F20</f>
        <v>0</v>
      </c>
      <c r="AC20" s="191">
        <v>0</v>
      </c>
      <c r="AD20" s="183">
        <f>IFERROR(SUM(AB20:AC20)/Anzahl_Einwohner,0)</f>
        <v>0</v>
      </c>
      <c r="AE20" s="3"/>
    </row>
    <row r="21" spans="1:31" s="2" customFormat="1" ht="12.75" x14ac:dyDescent="0.35">
      <c r="A21" s="3"/>
      <c r="B21" s="26" t="str" cm="1">
        <f t="array" ref="B21">INDEX(Texts[],MATCH("id22",Texts[Index],0),idx_lang)</f>
        <v>Gas</v>
      </c>
      <c r="D21" s="2" t="str">
        <f>Data!R25</f>
        <v>MWh</v>
      </c>
      <c r="E21" s="2">
        <f>MATCH(D21,EinheitGas[[#All],[UnitGas]],0)-1</f>
        <v>1</v>
      </c>
      <c r="F21" s="182">
        <f>IF($E21=1,Data!P25*Factor!$D$7*(1-Data!P26),IF($E21=2,Data!P25*Factor!$D$7*volllaststunden*(1-Data!P26),IF($E21=3,Data!P25*CO2_m3_Gas/1000*(1-Data!P26),IF($E21=4,Data!P25,Data!P25*Factor!D13/(Factor!D13+Factor!F13)))))</f>
        <v>0</v>
      </c>
      <c r="G21" s="183">
        <f>IFERROR(F21/Anzahl_Einwohner,0)</f>
        <v>0</v>
      </c>
      <c r="H21" s="3"/>
      <c r="I21" s="182">
        <f>F21</f>
        <v>0</v>
      </c>
      <c r="J21" s="185">
        <v>0</v>
      </c>
      <c r="K21" s="183">
        <f>IFERROR(SUM(I21:J21)/Anzahl_Einwohner,0)</f>
        <v>0</v>
      </c>
      <c r="L21" s="3"/>
      <c r="M21" s="182">
        <f>F21</f>
        <v>0</v>
      </c>
      <c r="N21" s="186">
        <v>0</v>
      </c>
      <c r="O21" s="186">
        <f>F21*Factor!$F$7/Factor!$D$7</f>
        <v>0</v>
      </c>
      <c r="P21" s="183">
        <f>IFERROR(SUM(M21:O21)/Anzahl_Einwohner,0)</f>
        <v>0</v>
      </c>
      <c r="Q21" s="3"/>
      <c r="R21" s="182">
        <f>IF(E21=1,Data!P25,IF(E21=2,Data!P25*volllaststunden,IF(E21=3,Data!P21*kWh_m3_gas/1000000,"N/A"))) / UnitFactor</f>
        <v>0</v>
      </c>
      <c r="S21" s="186">
        <f>R21*((Factor!L7*(1-Data!P26))+(Factor!L11*Data!P26))</f>
        <v>0</v>
      </c>
      <c r="T21" s="293">
        <f>R21*((Factor!N7*(1-Data!P26))+(Factor!N11*Data!P26))</f>
        <v>0</v>
      </c>
      <c r="U21" s="294">
        <f t="shared" si="0"/>
        <v>0</v>
      </c>
      <c r="V21" s="293">
        <f>R21*((Factor!L7*(1-Data!P26)*Factor!O7)+(Factor!L12*Data!P26*Factor!O11))</f>
        <v>0</v>
      </c>
      <c r="W21" s="294">
        <f>IFERROR(V21/S21,0)</f>
        <v>0</v>
      </c>
      <c r="X21" s="186">
        <f>IFERROR(S21*MWh_in_W/Anzahl_Einwohner*UnitFactor,0)</f>
        <v>0</v>
      </c>
      <c r="Y21" s="186">
        <f>(R21*(1-Data!P26)*Factor!M7+R21*Data!P22*Factor!M11) * UnitFactor</f>
        <v>0</v>
      </c>
      <c r="Z21" s="183">
        <f>IFERROR(Y21/Anzahl_Einwohner,0)</f>
        <v>0</v>
      </c>
      <c r="AA21" s="3"/>
      <c r="AB21" s="186">
        <f>F21</f>
        <v>0</v>
      </c>
      <c r="AC21" s="191">
        <v>0</v>
      </c>
      <c r="AD21" s="183">
        <f>IFERROR(SUM(AB21:AC21)/Anzahl_Einwohner,0)</f>
        <v>0</v>
      </c>
      <c r="AE21" s="3"/>
    </row>
    <row r="22" spans="1:31" s="2" customFormat="1" ht="3.75" customHeight="1" x14ac:dyDescent="0.4">
      <c r="A22" s="18"/>
      <c r="F22" s="182"/>
      <c r="G22" s="184"/>
      <c r="H22" s="3"/>
      <c r="I22" s="155"/>
      <c r="J22" s="156"/>
      <c r="K22" s="38"/>
      <c r="L22" s="3"/>
      <c r="M22" s="155"/>
      <c r="N22" s="43"/>
      <c r="O22" s="43"/>
      <c r="P22" s="38"/>
      <c r="Q22" s="3"/>
      <c r="R22" s="155"/>
      <c r="S22" s="43"/>
      <c r="T22" s="295"/>
      <c r="U22" s="296"/>
      <c r="V22" s="295"/>
      <c r="W22" s="296"/>
      <c r="X22" s="3"/>
      <c r="Y22" s="156"/>
      <c r="Z22" s="157"/>
      <c r="AA22" s="3"/>
      <c r="AB22" s="40"/>
      <c r="AC22" s="3"/>
      <c r="AD22" s="38"/>
      <c r="AE22" s="3"/>
    </row>
    <row r="23" spans="1:31" s="2" customFormat="1" ht="3.75" customHeight="1" x14ac:dyDescent="0.4">
      <c r="A23" s="6"/>
      <c r="F23" s="155"/>
      <c r="G23" s="38"/>
      <c r="H23" s="3"/>
      <c r="I23" s="155"/>
      <c r="J23" s="156"/>
      <c r="K23" s="38"/>
      <c r="L23" s="3"/>
      <c r="M23" s="155"/>
      <c r="N23" s="43"/>
      <c r="O23" s="43"/>
      <c r="P23" s="38"/>
      <c r="Q23" s="3"/>
      <c r="R23" s="155"/>
      <c r="S23" s="43"/>
      <c r="T23" s="295"/>
      <c r="U23" s="296"/>
      <c r="V23" s="295"/>
      <c r="W23" s="296"/>
      <c r="X23" s="3"/>
      <c r="Y23" s="156"/>
      <c r="Z23" s="157"/>
      <c r="AA23" s="3"/>
      <c r="AB23" s="40"/>
      <c r="AC23" s="3"/>
      <c r="AD23" s="38"/>
      <c r="AE23" s="3"/>
    </row>
    <row r="24" spans="1:31" s="2" customFormat="1" ht="13.15" x14ac:dyDescent="0.4">
      <c r="A24" s="6"/>
      <c r="B24" s="23" t="str" cm="1">
        <f t="array" ref="B24">INDEX(Texts[],MATCH("id24",Texts[Index],0),idx_lang)</f>
        <v>Erneuerbare Energie</v>
      </c>
      <c r="F24" s="155"/>
      <c r="G24" s="38"/>
      <c r="H24" s="3"/>
      <c r="I24" s="155"/>
      <c r="J24" s="156"/>
      <c r="K24" s="38"/>
      <c r="L24" s="3"/>
      <c r="M24" s="155"/>
      <c r="N24" s="43"/>
      <c r="O24" s="43"/>
      <c r="P24" s="38"/>
      <c r="Q24" s="3"/>
      <c r="R24" s="155"/>
      <c r="S24" s="43"/>
      <c r="T24" s="295"/>
      <c r="U24" s="296"/>
      <c r="V24" s="295"/>
      <c r="W24" s="296"/>
      <c r="X24" s="3"/>
      <c r="Y24" s="156"/>
      <c r="Z24" s="157"/>
      <c r="AA24" s="3"/>
      <c r="AB24" s="40"/>
      <c r="AC24" s="3"/>
      <c r="AD24" s="38"/>
      <c r="AE24" s="3"/>
    </row>
    <row r="25" spans="1:31" s="2" customFormat="1" ht="13.15" x14ac:dyDescent="0.4">
      <c r="A25" s="6"/>
      <c r="B25" s="8" t="str" cm="1">
        <f t="array" ref="B25">INDEX(Texts[],MATCH("id25",Texts[Index],0),idx_lang)</f>
        <v>Holz</v>
      </c>
      <c r="D25" s="2" t="str">
        <f>Data!R29</f>
        <v>MWh</v>
      </c>
      <c r="E25" s="2">
        <f>MATCH(D25,UnitOther[[#All],[UnitOther]],0)-1</f>
        <v>1</v>
      </c>
      <c r="F25" s="155"/>
      <c r="G25" s="38"/>
      <c r="H25" s="3"/>
      <c r="I25" s="155"/>
      <c r="J25" s="156"/>
      <c r="K25" s="38"/>
      <c r="L25" s="3"/>
      <c r="M25" s="182">
        <v>0</v>
      </c>
      <c r="N25" s="186">
        <v>0</v>
      </c>
      <c r="O25" s="186">
        <f>IF(E25=1,Data!P29*Factor!F12,IF(E25=2,Data!P29*volllaststunden*Factor!F12))</f>
        <v>0</v>
      </c>
      <c r="P25" s="183">
        <f>IFERROR(SUM(M25:O25)/Anzahl_Einwohner,0)</f>
        <v>0</v>
      </c>
      <c r="Q25" s="3"/>
      <c r="R25" s="182">
        <f>IF(E25=1,Data!P29,IF(E25=2,Data!P29*volllaststunden)) / UnitFactor</f>
        <v>0</v>
      </c>
      <c r="S25" s="186">
        <f>R25*Factor!L12</f>
        <v>0</v>
      </c>
      <c r="T25" s="293">
        <f>R25*Factor!N12</f>
        <v>0</v>
      </c>
      <c r="U25" s="294">
        <f t="shared" ref="U25:U26" si="1">IFERROR(T25/R25,0)</f>
        <v>0</v>
      </c>
      <c r="V25" s="293">
        <f>S25*Factor!O12</f>
        <v>0</v>
      </c>
      <c r="W25" s="294">
        <f>IFERROR(V25/S25,0)</f>
        <v>0</v>
      </c>
      <c r="X25" s="186">
        <f>IFERROR(S25*MWh_in_W/Anzahl_Einwohner*UnitFactor,0)</f>
        <v>0</v>
      </c>
      <c r="Y25" s="185">
        <f>R25*Factor!M12 * UnitFactor</f>
        <v>0</v>
      </c>
      <c r="Z25" s="183">
        <f>IFERROR(Y25/Anzahl_Einwohner,0)</f>
        <v>0</v>
      </c>
      <c r="AA25" s="3"/>
      <c r="AB25" s="40"/>
      <c r="AC25" s="3"/>
      <c r="AD25" s="38"/>
      <c r="AE25" s="3"/>
    </row>
    <row r="26" spans="1:31" s="2" customFormat="1" ht="13.15" x14ac:dyDescent="0.4">
      <c r="A26" s="6"/>
      <c r="B26" s="8" t="str" cm="1">
        <f t="array" ref="B26">INDEX(Texts[],MATCH("id180",Texts[Index],0),idx_lang)</f>
        <v>Umweltenergie</v>
      </c>
      <c r="D26" s="2" t="str">
        <f>Data!R30</f>
        <v>MW el</v>
      </c>
      <c r="E26" s="2">
        <f>MATCH(D26,UnitHP[[#All],[UnitHP]],0)-1</f>
        <v>2</v>
      </c>
      <c r="F26" s="155"/>
      <c r="G26" s="38"/>
      <c r="H26" s="3"/>
      <c r="I26" s="155"/>
      <c r="J26" s="156"/>
      <c r="K26" s="38"/>
      <c r="L26" s="3"/>
      <c r="M26" s="155"/>
      <c r="N26" s="43"/>
      <c r="O26" s="43"/>
      <c r="P26" s="38"/>
      <c r="Q26" s="3"/>
      <c r="R26" s="182">
        <f>IF(E26=1,Data!P30,Data!P30*volllaststunden*COP_HP) * (1-(1/COP_HP)) / UnitFactor</f>
        <v>0</v>
      </c>
      <c r="S26" s="190" t="str" cm="1">
        <f t="array" ref="S26">INDEX(Texts[],MATCH("id104",Texts[Index],0),idx_lang)</f>
        <v>In Strom enthalten</v>
      </c>
      <c r="T26" s="293">
        <f>R26</f>
        <v>0</v>
      </c>
      <c r="U26" s="294">
        <f t="shared" si="1"/>
        <v>0</v>
      </c>
      <c r="V26" s="297"/>
      <c r="W26" s="298"/>
      <c r="X26" s="191"/>
      <c r="Y26" s="185"/>
      <c r="Z26" s="192"/>
      <c r="AA26" s="3"/>
      <c r="AB26" s="40"/>
      <c r="AC26" s="3"/>
      <c r="AD26" s="38"/>
      <c r="AE26" s="3"/>
    </row>
    <row r="27" spans="1:31" s="2" customFormat="1" ht="13.15" x14ac:dyDescent="0.4">
      <c r="A27" s="6"/>
      <c r="B27" s="8" t="str" cm="1">
        <f t="array" ref="B27">INDEX(Texts[],MATCH("id27",Texts[Index],0),idx_lang)</f>
        <v>Sonnenkollektor</v>
      </c>
      <c r="D27" s="2" t="str">
        <f>Data!R31</f>
        <v>MWh</v>
      </c>
      <c r="E27" s="2">
        <f>MATCH(D27,UnitSolarPannel[[#All],[UnitSolarPannel]],0)-1</f>
        <v>2</v>
      </c>
      <c r="F27" s="155"/>
      <c r="G27" s="38"/>
      <c r="H27" s="3"/>
      <c r="I27" s="155"/>
      <c r="J27" s="156"/>
      <c r="K27" s="38"/>
      <c r="L27" s="3"/>
      <c r="M27" s="155"/>
      <c r="N27" s="43"/>
      <c r="O27" s="43"/>
      <c r="P27" s="38"/>
      <c r="Q27" s="3"/>
      <c r="R27" s="182">
        <f>IF(E27=1,Data!P31*kWh__SunT/1000, Data!P31) / UnitFactor</f>
        <v>0</v>
      </c>
      <c r="S27" s="186">
        <f>R27*Factor!L14</f>
        <v>0</v>
      </c>
      <c r="T27" s="293">
        <f>R27*Factor!N14</f>
        <v>0</v>
      </c>
      <c r="U27" s="294">
        <f t="shared" ref="U27" si="2">IFERROR(T27/R27,0)</f>
        <v>0</v>
      </c>
      <c r="V27" s="293">
        <f>S27*Factor!O14</f>
        <v>0</v>
      </c>
      <c r="W27" s="294">
        <f>IFERROR(V27/S27,0)</f>
        <v>0</v>
      </c>
      <c r="X27" s="186">
        <f>IFERROR(S27*MWh_in_W/Anzahl_Einwohner*UnitFactor,0)</f>
        <v>0</v>
      </c>
      <c r="Y27" s="185">
        <f>R27*Factor!M14 * UnitFactor</f>
        <v>0</v>
      </c>
      <c r="Z27" s="183">
        <f>IFERROR(Y27/Anzahl_Einwohner,0)</f>
        <v>0</v>
      </c>
      <c r="AA27" s="3"/>
      <c r="AB27" s="40"/>
      <c r="AC27" s="3"/>
      <c r="AD27" s="38"/>
      <c r="AE27" s="3"/>
    </row>
    <row r="28" spans="1:31" s="2" customFormat="1" ht="13.15" x14ac:dyDescent="0.4">
      <c r="A28" s="6"/>
      <c r="B28" s="8"/>
      <c r="F28" s="155"/>
      <c r="G28" s="38"/>
      <c r="H28" s="3"/>
      <c r="I28" s="155"/>
      <c r="J28" s="156"/>
      <c r="K28" s="38"/>
      <c r="L28" s="3"/>
      <c r="M28" s="155"/>
      <c r="N28" s="43"/>
      <c r="O28" s="43"/>
      <c r="P28" s="38"/>
      <c r="Q28" s="3"/>
      <c r="R28" s="155"/>
      <c r="S28" s="43"/>
      <c r="T28" s="295"/>
      <c r="U28" s="296"/>
      <c r="V28" s="295"/>
      <c r="W28" s="296"/>
      <c r="X28" s="43"/>
      <c r="Y28" s="156"/>
      <c r="Z28" s="159"/>
      <c r="AA28" s="3"/>
      <c r="AB28" s="40"/>
      <c r="AC28" s="3"/>
      <c r="AD28" s="38"/>
      <c r="AE28" s="3"/>
    </row>
    <row r="29" spans="1:31" s="2" customFormat="1" ht="13.15" x14ac:dyDescent="0.4">
      <c r="A29" s="6"/>
      <c r="B29" s="267" t="str" cm="1">
        <f t="array" ref="B29">INDEX(Texts[],MATCH("id159",Texts[Index],0),idx_lang)</f>
        <v>Fernwärme</v>
      </c>
      <c r="F29" s="155"/>
      <c r="G29" s="38"/>
      <c r="H29" s="3"/>
      <c r="I29" s="155"/>
      <c r="J29" s="156"/>
      <c r="K29" s="38"/>
      <c r="L29" s="3"/>
      <c r="M29" s="155"/>
      <c r="N29" s="43"/>
      <c r="O29" s="43"/>
      <c r="P29" s="38"/>
      <c r="Q29" s="3"/>
      <c r="R29" s="155"/>
      <c r="S29" s="43"/>
      <c r="T29" s="295"/>
      <c r="U29" s="296"/>
      <c r="V29" s="295"/>
      <c r="W29" s="296"/>
      <c r="X29" s="43"/>
      <c r="Y29" s="156"/>
      <c r="Z29" s="159"/>
      <c r="AA29" s="3"/>
      <c r="AB29" s="40"/>
      <c r="AC29" s="3"/>
      <c r="AD29" s="38"/>
      <c r="AE29" s="3"/>
    </row>
    <row r="30" spans="1:31" s="2" customFormat="1" ht="13.15" x14ac:dyDescent="0.4">
      <c r="A30" s="6"/>
      <c r="B30" s="268" t="str" cm="1">
        <f t="array" ref="B30">INDEX(Texts[],MATCH("id160",Texts[Index],0),idx_lang)</f>
        <v>Erzeugung auf dem Gemeindegebiet (Scope 1)</v>
      </c>
      <c r="F30" s="155"/>
      <c r="G30" s="38"/>
      <c r="H30" s="3"/>
      <c r="I30" s="155"/>
      <c r="J30" s="156"/>
      <c r="K30" s="38"/>
      <c r="L30" s="3"/>
      <c r="M30" s="155"/>
      <c r="N30" s="43"/>
      <c r="O30" s="43"/>
      <c r="P30" s="38"/>
      <c r="Q30" s="3"/>
      <c r="R30" s="155"/>
      <c r="S30" s="43"/>
      <c r="T30" s="295"/>
      <c r="U30" s="296"/>
      <c r="V30" s="295"/>
      <c r="W30" s="296"/>
      <c r="X30" s="43"/>
      <c r="Y30" s="156"/>
      <c r="Z30" s="159"/>
      <c r="AA30" s="3"/>
      <c r="AB30" s="40"/>
      <c r="AC30" s="3"/>
      <c r="AD30" s="38"/>
      <c r="AE30" s="3"/>
    </row>
    <row r="31" spans="1:31" s="2" customFormat="1" ht="13.15" x14ac:dyDescent="0.4">
      <c r="A31" s="6"/>
      <c r="B31" s="9" t="str" cm="1">
        <f t="array" ref="B31">INDEX(Texts[],MATCH("id22",Texts[Index],0),idx_lang)</f>
        <v>Gas</v>
      </c>
      <c r="F31" s="182">
        <f>(1+network_loss)*Data!P35*Data!P37*Factor!D7</f>
        <v>0</v>
      </c>
      <c r="G31" s="183">
        <f>IFERROR(F31/Anzahl_Einwohner,0)</f>
        <v>0</v>
      </c>
      <c r="H31" s="3"/>
      <c r="I31" s="182">
        <f>F31</f>
        <v>0</v>
      </c>
      <c r="J31" s="185">
        <v>0</v>
      </c>
      <c r="K31" s="183">
        <f>IFERROR(SUM(I31:J31)/Anzahl_Einwohner,0)</f>
        <v>0</v>
      </c>
      <c r="L31" s="3"/>
      <c r="M31" s="182">
        <f>I31</f>
        <v>0</v>
      </c>
      <c r="N31" s="186">
        <v>0</v>
      </c>
      <c r="O31" s="186">
        <f>(1+network_loss)*Data!P35*Data!P37*Factor!F7</f>
        <v>0</v>
      </c>
      <c r="P31" s="183">
        <f>IFERROR(SUM(M31:O31)/Anzahl_Einwohner,0)</f>
        <v>0</v>
      </c>
      <c r="Q31" s="3"/>
      <c r="R31" s="182">
        <f>(1+network_loss)*Data!$P$35*Data!$P$36*Data!P37 / UnitFactor</f>
        <v>0</v>
      </c>
      <c r="S31" s="186">
        <f>R31*Factor!L7</f>
        <v>0</v>
      </c>
      <c r="T31" s="293">
        <f>R31*Factor!N7</f>
        <v>0</v>
      </c>
      <c r="U31" s="294">
        <f t="shared" ref="U31:U33" si="3">IFERROR(T31/R31,0)</f>
        <v>0</v>
      </c>
      <c r="V31" s="293">
        <f>S31*Factor!O7</f>
        <v>0</v>
      </c>
      <c r="W31" s="294">
        <f>IFERROR(V31/S31,0)</f>
        <v>0</v>
      </c>
      <c r="X31" s="186">
        <f>IFERROR(S31*MWh_in_W/Anzahl_Einwohner*UnitFactor,0)</f>
        <v>0</v>
      </c>
      <c r="Y31" s="185">
        <f>R31 * Factor!M7 * UnitFactor</f>
        <v>0</v>
      </c>
      <c r="Z31" s="183">
        <f>IFERROR(Y31/Anzahl_Einwohner,0)</f>
        <v>0</v>
      </c>
      <c r="AA31" s="3"/>
      <c r="AB31" s="182">
        <f>F31</f>
        <v>0</v>
      </c>
      <c r="AC31" s="191">
        <v>0</v>
      </c>
      <c r="AD31" s="183">
        <f>IFERROR(SUM(AB31:AC31)/Anzahl_Einwohner,0)</f>
        <v>0</v>
      </c>
      <c r="AE31" s="3"/>
    </row>
    <row r="32" spans="1:31" s="2" customFormat="1" ht="13.15" x14ac:dyDescent="0.4">
      <c r="A32" s="6"/>
      <c r="B32" s="9" t="str" cm="1">
        <f t="array" ref="B32">INDEX(Texts[],MATCH("id21",Texts[Index],0),idx_lang)</f>
        <v>Heizöl</v>
      </c>
      <c r="F32" s="182">
        <f>(1+network_loss)*Data!P35*Data!P38*Factor!D6</f>
        <v>0</v>
      </c>
      <c r="G32" s="183">
        <f>IFERROR(F32/Anzahl_Einwohner,0)</f>
        <v>0</v>
      </c>
      <c r="H32" s="3"/>
      <c r="I32" s="182">
        <f>F32</f>
        <v>0</v>
      </c>
      <c r="J32" s="185">
        <v>0</v>
      </c>
      <c r="K32" s="183">
        <f>IFERROR(SUM(I32:J32)/Anzahl_Einwohner,0)</f>
        <v>0</v>
      </c>
      <c r="L32" s="3"/>
      <c r="M32" s="182">
        <f>I32</f>
        <v>0</v>
      </c>
      <c r="N32" s="186">
        <v>0</v>
      </c>
      <c r="O32" s="186">
        <f>(1+network_loss)*Data!P35*Data!P38*Factor!F6</f>
        <v>0</v>
      </c>
      <c r="P32" s="183">
        <f>IFERROR(SUM(M32:O32)/Anzahl_Einwohner,0)</f>
        <v>0</v>
      </c>
      <c r="Q32" s="3"/>
      <c r="R32" s="182">
        <f>(1+network_loss)*Data!$P$35*Data!$P$36*Data!P38 / UnitFactor</f>
        <v>0</v>
      </c>
      <c r="S32" s="186">
        <f>R32*Factor!L6</f>
        <v>0</v>
      </c>
      <c r="T32" s="293">
        <f>R32*Factor!N6</f>
        <v>0</v>
      </c>
      <c r="U32" s="294">
        <f t="shared" si="3"/>
        <v>0</v>
      </c>
      <c r="V32" s="293">
        <f>S32*Factor!O6</f>
        <v>0</v>
      </c>
      <c r="W32" s="294">
        <f>IFERROR(V32/S32,0)</f>
        <v>0</v>
      </c>
      <c r="X32" s="186">
        <f>IFERROR(S32*MWh_in_W/Anzahl_Einwohner*UnitFactor,0)</f>
        <v>0</v>
      </c>
      <c r="Y32" s="185">
        <f>R32 * Factor!M6 * UnitFactor</f>
        <v>0</v>
      </c>
      <c r="Z32" s="183">
        <f>IFERROR(Y32/Anzahl_Einwohner,0)</f>
        <v>0</v>
      </c>
      <c r="AA32" s="3"/>
      <c r="AB32" s="182">
        <f>F32</f>
        <v>0</v>
      </c>
      <c r="AC32" s="191">
        <v>0</v>
      </c>
      <c r="AD32" s="183">
        <f>IFERROR(SUM(AB32:AC32)/Anzahl_Einwohner,0)</f>
        <v>0</v>
      </c>
      <c r="AE32" s="3"/>
    </row>
    <row r="33" spans="1:31" s="2" customFormat="1" ht="13.15" x14ac:dyDescent="0.4">
      <c r="A33" s="6"/>
      <c r="B33" s="9" t="str" cm="1">
        <f t="array" ref="B33">INDEX(Texts[],MATCH("id26",Texts[Index],0),idx_lang)</f>
        <v>Wärmepumpe</v>
      </c>
      <c r="F33" s="155"/>
      <c r="G33" s="38"/>
      <c r="H33" s="3"/>
      <c r="I33" s="182"/>
      <c r="J33" s="185" t="str" cm="1">
        <f t="array" ref="J33">INDEX(Texts[],MATCH("id104",Texts[Index],0),idx_lang)</f>
        <v>In Strom enthalten</v>
      </c>
      <c r="K33" s="183"/>
      <c r="L33" s="3"/>
      <c r="M33" s="182"/>
      <c r="N33" s="186" t="str" cm="1">
        <f t="array" ref="N33">INDEX(Texts[],MATCH("id104",Texts[Index],0),idx_lang)</f>
        <v>In Strom enthalten</v>
      </c>
      <c r="O33" s="186"/>
      <c r="P33" s="183"/>
      <c r="Q33" s="3"/>
      <c r="R33" s="182">
        <f xml:space="preserve"> (1+network_loss)*Data!P35*Data!P36*Data!P39 * (1-(1/COP_HP)) / UnitFactor</f>
        <v>0</v>
      </c>
      <c r="S33" s="190" t="str" cm="1">
        <f t="array" ref="S33">INDEX(Texts[],MATCH("id104",Texts[Index],0),idx_lang)</f>
        <v>In Strom enthalten</v>
      </c>
      <c r="T33" s="293">
        <f>R33</f>
        <v>0</v>
      </c>
      <c r="U33" s="294">
        <f t="shared" si="3"/>
        <v>0</v>
      </c>
      <c r="V33" s="297"/>
      <c r="W33" s="298"/>
      <c r="X33" s="186"/>
      <c r="Y33" s="185"/>
      <c r="Z33" s="183"/>
      <c r="AA33" s="3"/>
      <c r="AB33" s="182"/>
      <c r="AC33" s="185" t="str" cm="1">
        <f t="array" ref="AC33">INDEX(Texts[],MATCH("id104",Texts[Index],0),idx_lang)</f>
        <v>In Strom enthalten</v>
      </c>
      <c r="AD33" s="183"/>
      <c r="AE33" s="3"/>
    </row>
    <row r="34" spans="1:31" s="2" customFormat="1" ht="13.15" x14ac:dyDescent="0.4">
      <c r="A34" s="6"/>
      <c r="B34" s="9" t="str" cm="1">
        <f t="array" ref="B34">INDEX(Texts[],MATCH("id25",Texts[Index],0),idx_lang)</f>
        <v>Holz</v>
      </c>
      <c r="F34" s="155"/>
      <c r="G34" s="38"/>
      <c r="H34" s="3"/>
      <c r="I34" s="155"/>
      <c r="K34" s="38"/>
      <c r="L34" s="3"/>
      <c r="M34" s="182">
        <v>0</v>
      </c>
      <c r="N34" s="186">
        <v>0</v>
      </c>
      <c r="O34" s="186">
        <f>(1+network_loss)*Data!P35*Data!P40*Factor!F12</f>
        <v>0</v>
      </c>
      <c r="P34" s="183">
        <f>IFERROR(SUM(M34:O34)/Anzahl_Einwohner,0)</f>
        <v>0</v>
      </c>
      <c r="Q34" s="3"/>
      <c r="R34" s="182">
        <f>(1+network_loss)*Data!$P$35*Data!$P$36*Data!P40 / UnitFactor</f>
        <v>0</v>
      </c>
      <c r="S34" s="186">
        <f>R34*Factor!L12</f>
        <v>0</v>
      </c>
      <c r="T34" s="293">
        <f>R34*Factor!N12</f>
        <v>0</v>
      </c>
      <c r="U34" s="294">
        <f t="shared" ref="U34:U36" si="4">IFERROR(T34/R34,0)</f>
        <v>0</v>
      </c>
      <c r="V34" s="293">
        <f>S34*Factor!O12</f>
        <v>0</v>
      </c>
      <c r="W34" s="294">
        <f>IFERROR(V34/S34,0)</f>
        <v>0</v>
      </c>
      <c r="X34" s="186">
        <f>IFERROR(S34*MWh_in_W/Anzahl_Einwohner*UnitFactor,0)</f>
        <v>0</v>
      </c>
      <c r="Y34" s="185">
        <f>R34 * Factor!M12* UnitFactor</f>
        <v>0</v>
      </c>
      <c r="Z34" s="183">
        <f>IFERROR(Y34/Anzahl_Einwohner,0)</f>
        <v>0</v>
      </c>
      <c r="AA34" s="3"/>
      <c r="AB34" s="40"/>
      <c r="AC34" s="3"/>
      <c r="AD34" s="38"/>
      <c r="AE34" s="3"/>
    </row>
    <row r="35" spans="1:31" s="2" customFormat="1" ht="13.15" x14ac:dyDescent="0.4">
      <c r="A35" s="6"/>
      <c r="B35" s="9" t="str" cm="1">
        <f t="array" ref="B35">INDEX(Texts[],MATCH("id78",Texts[Index],0),idx_lang)</f>
        <v>Biogas</v>
      </c>
      <c r="F35" s="155"/>
      <c r="G35" s="38"/>
      <c r="H35" s="3"/>
      <c r="I35" s="155"/>
      <c r="J35" s="156"/>
      <c r="K35" s="38"/>
      <c r="L35" s="3"/>
      <c r="M35" s="155"/>
      <c r="N35" s="43"/>
      <c r="O35" s="43"/>
      <c r="P35" s="38"/>
      <c r="Q35" s="3"/>
      <c r="R35" s="182">
        <f>(1+network_loss)*Data!$P$35*Data!$P$36*Data!P41 / UnitFactor</f>
        <v>0</v>
      </c>
      <c r="S35" s="186">
        <f>R35*Factor!L11</f>
        <v>0</v>
      </c>
      <c r="T35" s="293">
        <f>R35*Factor!N11</f>
        <v>0</v>
      </c>
      <c r="U35" s="294">
        <f t="shared" si="4"/>
        <v>0</v>
      </c>
      <c r="V35" s="293">
        <f>S35*Factor!O11</f>
        <v>0</v>
      </c>
      <c r="W35" s="294">
        <f>IFERROR(V35/S35,0)</f>
        <v>0</v>
      </c>
      <c r="X35" s="186">
        <f>IFERROR(S35*MWh_in_W/Anzahl_Einwohner*UnitFactor,0)</f>
        <v>0</v>
      </c>
      <c r="Y35" s="185">
        <f>R35 * Factor!M11 * UnitFactor</f>
        <v>0</v>
      </c>
      <c r="Z35" s="183">
        <f>IFERROR(Y35/Anzahl_Einwohner,0)</f>
        <v>0</v>
      </c>
      <c r="AA35" s="3"/>
      <c r="AB35" s="40"/>
      <c r="AC35" s="3"/>
      <c r="AD35" s="38"/>
      <c r="AE35" s="3"/>
    </row>
    <row r="36" spans="1:31" s="2" customFormat="1" ht="13.15" x14ac:dyDescent="0.4">
      <c r="A36" s="6"/>
      <c r="B36" s="9" t="str" cm="1">
        <f t="array" ref="B36">INDEX(Texts[],MATCH("id28",Texts[Index],0),idx_lang)</f>
        <v>Abwärme</v>
      </c>
      <c r="F36" s="155"/>
      <c r="G36" s="38"/>
      <c r="H36" s="3"/>
      <c r="I36" s="155"/>
      <c r="J36" s="156"/>
      <c r="K36" s="38"/>
      <c r="L36" s="3"/>
      <c r="M36" s="155"/>
      <c r="N36" s="43"/>
      <c r="O36" s="43"/>
      <c r="P36" s="38"/>
      <c r="Q36" s="3"/>
      <c r="R36" s="182">
        <f>(1+network_loss)*Data!$P$35*Data!$P$36*Data!P42 / UnitFactor</f>
        <v>0</v>
      </c>
      <c r="S36" s="186">
        <f>R36*Factor!L15</f>
        <v>0</v>
      </c>
      <c r="T36" s="293">
        <f>R36*Factor!N15</f>
        <v>0</v>
      </c>
      <c r="U36" s="294">
        <f t="shared" si="4"/>
        <v>0</v>
      </c>
      <c r="V36" s="293">
        <f>S36*Factor!O15</f>
        <v>0</v>
      </c>
      <c r="W36" s="294">
        <f>IFERROR(V36/S36,0)</f>
        <v>0</v>
      </c>
      <c r="X36" s="186">
        <f>IFERROR(S36*MWh_in_W/Anzahl_Einwohner*UnitFactor,0)</f>
        <v>0</v>
      </c>
      <c r="Y36" s="185">
        <f>R36 * Factor!M15 * UnitFactor</f>
        <v>0</v>
      </c>
      <c r="Z36" s="183">
        <f>IFERROR(Y36/Anzahl_Einwohner,0)</f>
        <v>0</v>
      </c>
      <c r="AA36" s="3"/>
      <c r="AB36" s="40"/>
      <c r="AC36" s="3"/>
      <c r="AD36" s="38"/>
      <c r="AE36" s="3"/>
    </row>
    <row r="37" spans="1:31" s="2" customFormat="1" ht="13.15" x14ac:dyDescent="0.4">
      <c r="A37" s="6"/>
      <c r="B37" s="8"/>
      <c r="F37" s="155"/>
      <c r="G37" s="38"/>
      <c r="H37" s="3"/>
      <c r="I37" s="155"/>
      <c r="J37" s="156"/>
      <c r="K37" s="38"/>
      <c r="L37" s="3"/>
      <c r="M37" s="155"/>
      <c r="N37" s="43"/>
      <c r="O37" s="43"/>
      <c r="P37" s="38"/>
      <c r="Q37" s="3"/>
      <c r="R37" s="155"/>
      <c r="S37" s="43"/>
      <c r="T37" s="295"/>
      <c r="U37" s="296"/>
      <c r="V37" s="295"/>
      <c r="W37" s="296"/>
      <c r="X37" s="43"/>
      <c r="Y37" s="156"/>
      <c r="Z37" s="159"/>
      <c r="AA37" s="3"/>
      <c r="AB37" s="40"/>
      <c r="AC37" s="3"/>
      <c r="AD37" s="38"/>
      <c r="AE37" s="3"/>
    </row>
    <row r="38" spans="1:31" s="2" customFormat="1" ht="13.15" x14ac:dyDescent="0.4">
      <c r="A38" s="6"/>
      <c r="B38" s="23" t="str" cm="1">
        <f t="array" ref="B38">INDEX(Texts[],MATCH("id161",Texts[Index],0),idx_lang)</f>
        <v>Erzeugung ausserhalb des Gemeindegebiets (Scope 2)</v>
      </c>
      <c r="F38" s="155"/>
      <c r="G38" s="38"/>
      <c r="H38" s="3"/>
      <c r="I38" s="155"/>
      <c r="J38" s="156"/>
      <c r="K38" s="38"/>
      <c r="L38" s="3"/>
      <c r="M38" s="155"/>
      <c r="N38" s="43"/>
      <c r="O38" s="43"/>
      <c r="P38" s="38"/>
      <c r="Q38" s="3"/>
      <c r="R38" s="155"/>
      <c r="S38" s="43"/>
      <c r="T38" s="295"/>
      <c r="U38" s="296"/>
      <c r="V38" s="295"/>
      <c r="W38" s="296"/>
      <c r="X38" s="43"/>
      <c r="Y38" s="156"/>
      <c r="Z38" s="159"/>
      <c r="AA38" s="3"/>
      <c r="AB38" s="40"/>
      <c r="AC38" s="3"/>
      <c r="AD38" s="38"/>
      <c r="AE38" s="3"/>
    </row>
    <row r="39" spans="1:31" s="2" customFormat="1" ht="13.15" x14ac:dyDescent="0.4">
      <c r="A39" s="6"/>
      <c r="B39" s="9" t="str" cm="1">
        <f t="array" ref="B39">INDEX(Texts[],MATCH("id22",Texts[Index],0),idx_lang)</f>
        <v>Gas</v>
      </c>
      <c r="F39" s="155"/>
      <c r="G39" s="38"/>
      <c r="H39" s="3"/>
      <c r="I39" s="182">
        <v>0</v>
      </c>
      <c r="J39" s="185">
        <f>(1+network_loss)*Data!P46*Data!P47*Data!P48*Factor!D7</f>
        <v>0</v>
      </c>
      <c r="K39" s="183">
        <f>IFERROR(SUM(I39:J39)/Anzahl_Einwohner,0)</f>
        <v>0</v>
      </c>
      <c r="L39" s="3"/>
      <c r="M39" s="182">
        <v>0</v>
      </c>
      <c r="N39" s="186">
        <f>J39</f>
        <v>0</v>
      </c>
      <c r="O39" s="186">
        <f>(1+network_loss)*Data!P46*Data!P47*Data!P48*Factor!F7</f>
        <v>0</v>
      </c>
      <c r="P39" s="183">
        <f>IFERROR(SUM(M39:O39)/Anzahl_Einwohner,0)</f>
        <v>0</v>
      </c>
      <c r="Q39" s="3"/>
      <c r="R39" s="182">
        <f>(1+network_loss)*Data!$P$46*Data!$P$47*Data!P48 / UnitFactor</f>
        <v>0</v>
      </c>
      <c r="S39" s="186">
        <f>R39*Factor!L7</f>
        <v>0</v>
      </c>
      <c r="T39" s="293">
        <f>R39*Factor!N7</f>
        <v>0</v>
      </c>
      <c r="U39" s="294">
        <f t="shared" ref="U39:U44" si="5">IFERROR(T39/R39,0)</f>
        <v>0</v>
      </c>
      <c r="V39" s="293">
        <f>S39*Factor!O7</f>
        <v>0</v>
      </c>
      <c r="W39" s="294">
        <f t="shared" ref="W39:W44" si="6">IFERROR(V39/S39,0)</f>
        <v>0</v>
      </c>
      <c r="X39" s="186">
        <f t="shared" ref="X39:X44" si="7">IFERROR(S39*MWh_in_W/Anzahl_Einwohner*UnitFactor,0)</f>
        <v>0</v>
      </c>
      <c r="Y39" s="185">
        <f>R39 * Factor!M7 * UnitFactor</f>
        <v>0</v>
      </c>
      <c r="Z39" s="183">
        <f t="shared" ref="Z39:Z44" si="8">IFERROR(Y39/Anzahl_Einwohner,0)</f>
        <v>0</v>
      </c>
      <c r="AA39" s="3"/>
      <c r="AB39" s="194">
        <v>0</v>
      </c>
      <c r="AC39" s="185">
        <f>J39</f>
        <v>0</v>
      </c>
      <c r="AD39" s="183">
        <f>IFERROR(SUM(AB39:AC39)/Anzahl_Einwohner,0)</f>
        <v>0</v>
      </c>
      <c r="AE39" s="3"/>
    </row>
    <row r="40" spans="1:31" s="2" customFormat="1" ht="13.15" x14ac:dyDescent="0.4">
      <c r="A40" s="6"/>
      <c r="B40" s="9" t="str" cm="1">
        <f t="array" ref="B40">INDEX(Texts[],MATCH("id21",Texts[Index],0),idx_lang)</f>
        <v>Heizöl</v>
      </c>
      <c r="F40" s="155"/>
      <c r="G40" s="38"/>
      <c r="H40" s="3"/>
      <c r="I40" s="182">
        <v>0</v>
      </c>
      <c r="J40" s="185">
        <f>(1+network_loss)*Data!P46*Data!P47*Data!P38*Factor!D6</f>
        <v>0</v>
      </c>
      <c r="K40" s="183">
        <f>IFERROR(SUM(I40:J40)/Anzahl_Einwohner,0)</f>
        <v>0</v>
      </c>
      <c r="L40" s="3"/>
      <c r="M40" s="182">
        <v>0</v>
      </c>
      <c r="N40" s="186">
        <f>J40</f>
        <v>0</v>
      </c>
      <c r="O40" s="186">
        <f>(1+network_loss)*Data!P46*Data!P47*Data!P49*Factor!F6</f>
        <v>0</v>
      </c>
      <c r="P40" s="183">
        <f>IFERROR(SUM(M40:O40)/Anzahl_Einwohner,0)</f>
        <v>0</v>
      </c>
      <c r="Q40" s="3"/>
      <c r="R40" s="182">
        <f>(1+network_loss)*Data!$P$46*Data!$P$47*Data!P49 / UnitFactor</f>
        <v>0</v>
      </c>
      <c r="S40" s="186">
        <f>R40*Factor!L6</f>
        <v>0</v>
      </c>
      <c r="T40" s="293">
        <f>R40*Factor!N6</f>
        <v>0</v>
      </c>
      <c r="U40" s="294">
        <f t="shared" si="5"/>
        <v>0</v>
      </c>
      <c r="V40" s="293">
        <f>S40*Factor!O6</f>
        <v>0</v>
      </c>
      <c r="W40" s="294">
        <f t="shared" si="6"/>
        <v>0</v>
      </c>
      <c r="X40" s="186">
        <f t="shared" si="7"/>
        <v>0</v>
      </c>
      <c r="Y40" s="185">
        <f>R40 * Factor!M6 * UnitFactor</f>
        <v>0</v>
      </c>
      <c r="Z40" s="183">
        <f t="shared" si="8"/>
        <v>0</v>
      </c>
      <c r="AA40" s="3"/>
      <c r="AB40" s="194">
        <v>0</v>
      </c>
      <c r="AC40" s="185">
        <f>J40</f>
        <v>0</v>
      </c>
      <c r="AD40" s="183">
        <f>IFERROR(SUM(AB40:AC40)/Anzahl_Einwohner,0)</f>
        <v>0</v>
      </c>
      <c r="AE40" s="3"/>
    </row>
    <row r="41" spans="1:31" s="2" customFormat="1" ht="13.15" x14ac:dyDescent="0.4">
      <c r="A41" s="6"/>
      <c r="B41" s="9" t="str" cm="1">
        <f t="array" ref="B41">INDEX(Texts[],MATCH("id26",Texts[Index],0),idx_lang)</f>
        <v>Wärmepumpe</v>
      </c>
      <c r="F41" s="155"/>
      <c r="G41" s="38"/>
      <c r="H41" s="3"/>
      <c r="I41" s="182">
        <v>0</v>
      </c>
      <c r="J41" s="185">
        <f>(1+network_loss)*Data!$P$46*Data!$P$47*Data!P50*Factor!E18</f>
        <v>0</v>
      </c>
      <c r="K41" s="183">
        <f>IFERROR(SUM(I41:J41)/Anzahl_Einwohner,0)</f>
        <v>0</v>
      </c>
      <c r="L41" s="3"/>
      <c r="M41" s="182">
        <v>0</v>
      </c>
      <c r="N41" s="186">
        <f>J41</f>
        <v>0</v>
      </c>
      <c r="O41" s="186">
        <f>(1+network_loss)*Data!$P$46*Data!$P$47*Data!P50*Factor!F18</f>
        <v>0</v>
      </c>
      <c r="P41" s="183">
        <f>IFERROR(SUM(M41:O41)/Anzahl_Einwohner,0)</f>
        <v>0</v>
      </c>
      <c r="Q41" s="3"/>
      <c r="R41" s="182">
        <f>(1+network_loss)*Data!$P$46*Data!$P$47*Data!P50 / UnitFactor</f>
        <v>0</v>
      </c>
      <c r="S41" s="186">
        <f xml:space="preserve"> R41 * Factor!L10</f>
        <v>0</v>
      </c>
      <c r="T41" s="293">
        <f>R41*Factor!N10</f>
        <v>0</v>
      </c>
      <c r="U41" s="294">
        <f t="shared" si="5"/>
        <v>0</v>
      </c>
      <c r="V41" s="293">
        <f>S41*Factor!O18</f>
        <v>0</v>
      </c>
      <c r="W41" s="294">
        <f t="shared" si="6"/>
        <v>0</v>
      </c>
      <c r="X41" s="186">
        <f t="shared" si="7"/>
        <v>0</v>
      </c>
      <c r="Y41" s="185">
        <f>R41 * Factor!M18 * UnitFactor</f>
        <v>0</v>
      </c>
      <c r="Z41" s="183">
        <f t="shared" si="8"/>
        <v>0</v>
      </c>
      <c r="AA41" s="3"/>
      <c r="AB41" s="194">
        <v>0</v>
      </c>
      <c r="AC41" s="185">
        <v>0</v>
      </c>
      <c r="AD41" s="183">
        <f>IFERROR(SUM(AB41:AC41)/Anzahl_Einwohner,0)</f>
        <v>0</v>
      </c>
      <c r="AE41" s="3"/>
    </row>
    <row r="42" spans="1:31" s="2" customFormat="1" ht="13.15" x14ac:dyDescent="0.4">
      <c r="A42" s="6"/>
      <c r="B42" s="9" t="str" cm="1">
        <f t="array" ref="B42">INDEX(Texts[],MATCH("id25",Texts[Index],0),idx_lang)</f>
        <v>Holz</v>
      </c>
      <c r="F42" s="155"/>
      <c r="G42" s="38"/>
      <c r="H42" s="3"/>
      <c r="I42" s="155"/>
      <c r="J42" s="156"/>
      <c r="K42" s="38"/>
      <c r="L42" s="3"/>
      <c r="M42" s="182">
        <v>0</v>
      </c>
      <c r="N42" s="186">
        <v>0</v>
      </c>
      <c r="O42" s="186">
        <f>(1+network_loss)*Data!P46*Data!P47*Data!P51*Factor!F12</f>
        <v>0</v>
      </c>
      <c r="P42" s="183">
        <f>IFERROR(SUM(M42:O42)/Anzahl_Einwohner,0)</f>
        <v>0</v>
      </c>
      <c r="Q42" s="3"/>
      <c r="R42" s="182">
        <f>(1+network_loss)*Data!$P$46*Data!$P$47*Data!P51 / UnitFactor</f>
        <v>0</v>
      </c>
      <c r="S42" s="186">
        <f>R42*Factor!L12</f>
        <v>0</v>
      </c>
      <c r="T42" s="293">
        <f>R42*Factor!N12</f>
        <v>0</v>
      </c>
      <c r="U42" s="294">
        <f t="shared" si="5"/>
        <v>0</v>
      </c>
      <c r="V42" s="293">
        <f>S42*Factor!O12</f>
        <v>0</v>
      </c>
      <c r="W42" s="294">
        <f t="shared" si="6"/>
        <v>0</v>
      </c>
      <c r="X42" s="186">
        <f t="shared" si="7"/>
        <v>0</v>
      </c>
      <c r="Y42" s="185">
        <f>R42 * Factor!M12* UnitFactor</f>
        <v>0</v>
      </c>
      <c r="Z42" s="183">
        <f t="shared" si="8"/>
        <v>0</v>
      </c>
      <c r="AA42" s="3"/>
      <c r="AB42" s="40"/>
      <c r="AC42" s="3"/>
      <c r="AD42" s="38"/>
      <c r="AE42" s="3"/>
    </row>
    <row r="43" spans="1:31" s="2" customFormat="1" ht="13.15" x14ac:dyDescent="0.4">
      <c r="A43" s="6"/>
      <c r="B43" s="9" t="str" cm="1">
        <f t="array" ref="B43">INDEX(Texts[],MATCH("id78",Texts[Index],0),idx_lang)</f>
        <v>Biogas</v>
      </c>
      <c r="F43" s="155"/>
      <c r="G43" s="38"/>
      <c r="H43" s="3"/>
      <c r="I43" s="155"/>
      <c r="J43" s="156"/>
      <c r="K43" s="38"/>
      <c r="L43" s="3"/>
      <c r="M43" s="155"/>
      <c r="N43" s="43"/>
      <c r="O43" s="43"/>
      <c r="P43" s="38"/>
      <c r="Q43" s="3"/>
      <c r="R43" s="182">
        <f>(1+network_loss)*Data!$P$46*Data!$P$47*Data!P52 / UnitFactor</f>
        <v>0</v>
      </c>
      <c r="S43" s="186">
        <f>R43*Factor!L11</f>
        <v>0</v>
      </c>
      <c r="T43" s="293">
        <f>R43*Factor!N11</f>
        <v>0</v>
      </c>
      <c r="U43" s="294">
        <f t="shared" si="5"/>
        <v>0</v>
      </c>
      <c r="V43" s="293">
        <f>S43*Factor!O11</f>
        <v>0</v>
      </c>
      <c r="W43" s="294">
        <f t="shared" si="6"/>
        <v>0</v>
      </c>
      <c r="X43" s="186">
        <f t="shared" si="7"/>
        <v>0</v>
      </c>
      <c r="Y43" s="185">
        <f>R43 * Factor!M11 * UnitFactor</f>
        <v>0</v>
      </c>
      <c r="Z43" s="183">
        <f t="shared" si="8"/>
        <v>0</v>
      </c>
      <c r="AA43" s="3"/>
      <c r="AB43" s="40"/>
      <c r="AC43" s="3"/>
      <c r="AD43" s="38"/>
      <c r="AE43" s="3"/>
    </row>
    <row r="44" spans="1:31" s="2" customFormat="1" ht="13.15" x14ac:dyDescent="0.4">
      <c r="A44" s="6"/>
      <c r="B44" s="9" t="str" cm="1">
        <f t="array" ref="B44">INDEX(Texts[],MATCH("id28",Texts[Index],0),idx_lang)</f>
        <v>Abwärme</v>
      </c>
      <c r="F44" s="155"/>
      <c r="G44" s="38"/>
      <c r="H44" s="3"/>
      <c r="I44" s="155"/>
      <c r="J44" s="156"/>
      <c r="K44" s="38"/>
      <c r="L44" s="3"/>
      <c r="M44" s="155"/>
      <c r="N44" s="43"/>
      <c r="O44" s="43"/>
      <c r="P44" s="38"/>
      <c r="Q44" s="3"/>
      <c r="R44" s="182">
        <f>(1+network_loss)*Data!$P$46*Data!$P$47*Data!P53 / UnitFactor</f>
        <v>0</v>
      </c>
      <c r="S44" s="186">
        <f>R44*Factor!L15</f>
        <v>0</v>
      </c>
      <c r="T44" s="293">
        <f>R44</f>
        <v>0</v>
      </c>
      <c r="U44" s="294">
        <f t="shared" si="5"/>
        <v>0</v>
      </c>
      <c r="V44" s="293">
        <f>S44*Factor!O15</f>
        <v>0</v>
      </c>
      <c r="W44" s="294">
        <f t="shared" si="6"/>
        <v>0</v>
      </c>
      <c r="X44" s="186">
        <f t="shared" si="7"/>
        <v>0</v>
      </c>
      <c r="Y44" s="185">
        <f>R44 * Factor!M15 * UnitFactor</f>
        <v>0</v>
      </c>
      <c r="Z44" s="183">
        <f t="shared" si="8"/>
        <v>0</v>
      </c>
      <c r="AA44" s="3"/>
      <c r="AB44" s="40"/>
      <c r="AC44" s="3"/>
      <c r="AD44" s="38"/>
      <c r="AE44" s="3"/>
    </row>
    <row r="45" spans="1:31" s="2" customFormat="1" ht="3.75" customHeight="1" x14ac:dyDescent="0.4">
      <c r="A45" s="6"/>
      <c r="F45" s="155"/>
      <c r="G45" s="38"/>
      <c r="H45" s="3"/>
      <c r="I45" s="155"/>
      <c r="J45" s="156"/>
      <c r="K45" s="38"/>
      <c r="L45" s="3"/>
      <c r="M45" s="155"/>
      <c r="N45" s="43"/>
      <c r="O45" s="43"/>
      <c r="P45" s="38"/>
      <c r="Q45" s="3"/>
      <c r="R45" s="155"/>
      <c r="S45" s="43"/>
      <c r="T45" s="295"/>
      <c r="U45" s="296"/>
      <c r="V45" s="295"/>
      <c r="W45" s="296"/>
      <c r="X45" s="3"/>
      <c r="Y45" s="156"/>
      <c r="Z45" s="157"/>
      <c r="AA45" s="3"/>
      <c r="AB45" s="40"/>
      <c r="AC45" s="3"/>
      <c r="AD45" s="38"/>
      <c r="AE45" s="3"/>
    </row>
    <row r="46" spans="1:31" s="2" customFormat="1" ht="13.15" x14ac:dyDescent="0.4">
      <c r="A46" s="20"/>
      <c r="B46" s="19" t="str" cm="1">
        <f t="array" ref="B46">INDEX(Texts[],MATCH("id29",Texts[Index],0),idx_lang)</f>
        <v>Strom</v>
      </c>
      <c r="F46" s="155"/>
      <c r="G46" s="38"/>
      <c r="H46" s="3"/>
      <c r="I46" s="155"/>
      <c r="J46" s="156"/>
      <c r="K46" s="38"/>
      <c r="L46" s="3"/>
      <c r="M46" s="155"/>
      <c r="N46" s="43"/>
      <c r="O46" s="43"/>
      <c r="P46" s="38"/>
      <c r="Q46" s="3"/>
      <c r="R46" s="155"/>
      <c r="S46" s="43"/>
      <c r="T46" s="295"/>
      <c r="U46" s="296"/>
      <c r="V46" s="295"/>
      <c r="W46" s="296"/>
      <c r="X46" s="3"/>
      <c r="Y46" s="156"/>
      <c r="Z46" s="157"/>
      <c r="AA46" s="3"/>
      <c r="AB46" s="40"/>
      <c r="AC46" s="3"/>
      <c r="AD46" s="38"/>
      <c r="AE46" s="3"/>
    </row>
    <row r="47" spans="1:31" s="2" customFormat="1" ht="13.15" x14ac:dyDescent="0.4">
      <c r="A47" s="6"/>
      <c r="B47" s="7" t="str" cm="1">
        <f t="array" ref="B47">INDEX(Texts[],MATCH("id30",Texts[Index],0),idx_lang)</f>
        <v>Grundversorgung</v>
      </c>
      <c r="D47" s="2" t="str">
        <f>Data!R57</f>
        <v>MWh</v>
      </c>
      <c r="F47" s="155"/>
      <c r="G47" s="38"/>
      <c r="H47" s="3"/>
      <c r="I47" s="182">
        <v>0</v>
      </c>
      <c r="J47" s="186">
        <f>Data!P57*Data!P58*Factor!E18+Data!P57*(1-Data!P58)*Factor!E19</f>
        <v>0</v>
      </c>
      <c r="K47" s="183">
        <f>IFERROR(SUM(I47:J47)/Anzahl_Einwohner,0)</f>
        <v>0</v>
      </c>
      <c r="L47" s="3"/>
      <c r="M47" s="182">
        <v>0</v>
      </c>
      <c r="N47" s="186">
        <f>J47</f>
        <v>0</v>
      </c>
      <c r="O47" s="186">
        <f>Data!P57*Data!P58*Factor!F18+Data!P57*(1-Data!P58)*Factor!F19</f>
        <v>0</v>
      </c>
      <c r="P47" s="183">
        <f>IFERROR(SUM(M47:O47)/Anzahl_Einwohner,0)</f>
        <v>0</v>
      </c>
      <c r="Q47" s="3"/>
      <c r="R47" s="182">
        <f>Data!P57 / UnitFactor</f>
        <v>0</v>
      </c>
      <c r="S47" s="186">
        <f>R47*Data!P58*Factor!L18+R47*(1-Data!P58)*Factor!L19</f>
        <v>0</v>
      </c>
      <c r="T47" s="293">
        <f>R47*Data!P58*Factor!N18+R47*(1-Data!P58)*Factor!N19</f>
        <v>0</v>
      </c>
      <c r="U47" s="294">
        <f t="shared" ref="U47" si="9">IFERROR(T47/R47,0)</f>
        <v>0</v>
      </c>
      <c r="V47" s="293">
        <f>R47*Data!P58*Factor!L18*Factor!O18+R47*(1-Data!P58)*Factor!L19*Factor!O19</f>
        <v>0</v>
      </c>
      <c r="W47" s="294">
        <f>IFERROR(V47/S47,0)</f>
        <v>0</v>
      </c>
      <c r="X47" s="186">
        <f>IFERROR(S47*MWh_in_W/Anzahl_Einwohner*UnitFactor,0)</f>
        <v>0</v>
      </c>
      <c r="Y47" s="186">
        <f>(R47*Data!P58*Factor!M18+R47*(1-Data!P58)*Factor!M19) * UnitFactor</f>
        <v>0</v>
      </c>
      <c r="Z47" s="183">
        <f>IFERROR(Y47/Anzahl_Einwohner,0)</f>
        <v>0</v>
      </c>
      <c r="AA47" s="3"/>
      <c r="AB47" s="194">
        <v>0</v>
      </c>
      <c r="AC47" s="186">
        <f>Data!P57*Data!P58*Factor!J18+Data!P57*(1-Data!P58)*Factor!E19</f>
        <v>0</v>
      </c>
      <c r="AD47" s="183">
        <f>IFERROR(SUM(AB47:AC47)/Anzahl_Einwohner,0)</f>
        <v>0</v>
      </c>
      <c r="AE47" s="3"/>
    </row>
    <row r="48" spans="1:31" s="2" customFormat="1" ht="3.75" customHeight="1" x14ac:dyDescent="0.4">
      <c r="A48" s="6"/>
      <c r="F48" s="155"/>
      <c r="G48" s="38"/>
      <c r="H48" s="3"/>
      <c r="I48" s="155"/>
      <c r="J48" s="156"/>
      <c r="K48" s="38"/>
      <c r="L48" s="3"/>
      <c r="M48" s="155"/>
      <c r="N48" s="43"/>
      <c r="O48" s="43"/>
      <c r="P48" s="38"/>
      <c r="Q48" s="3"/>
      <c r="R48" s="155"/>
      <c r="S48" s="43"/>
      <c r="T48" s="295"/>
      <c r="U48" s="296"/>
      <c r="V48" s="295"/>
      <c r="W48" s="296"/>
      <c r="X48" s="3"/>
      <c r="Y48" s="156"/>
      <c r="Z48" s="157"/>
      <c r="AA48" s="3"/>
      <c r="AB48" s="40"/>
      <c r="AC48" s="43"/>
      <c r="AD48" s="38"/>
      <c r="AE48" s="3"/>
    </row>
    <row r="49" spans="1:31" s="2" customFormat="1" ht="13.15" x14ac:dyDescent="0.4">
      <c r="A49" s="6"/>
      <c r="B49" s="7" t="str" cm="1">
        <f t="array" ref="B49">INDEX(Texts[],MATCH("id31",Texts[Index],0),idx_lang)</f>
        <v>Freier Markt</v>
      </c>
      <c r="D49" s="2" t="str">
        <f>Data!R60</f>
        <v>MWh</v>
      </c>
      <c r="F49" s="155"/>
      <c r="G49" s="38"/>
      <c r="H49" s="3"/>
      <c r="I49" s="182">
        <v>0</v>
      </c>
      <c r="J49" s="185">
        <f>Data!P60*Factor!E19*(1-Data!P61)</f>
        <v>0</v>
      </c>
      <c r="K49" s="183">
        <f>IFERROR(SUM(I49:J49)/Anzahl_Einwohner,0)</f>
        <v>0</v>
      </c>
      <c r="L49" s="3"/>
      <c r="M49" s="182">
        <v>0</v>
      </c>
      <c r="N49" s="186">
        <f>J49</f>
        <v>0</v>
      </c>
      <c r="O49" s="186">
        <f>Data!P60*Factor!F19</f>
        <v>0</v>
      </c>
      <c r="P49" s="183">
        <f>IFERROR(SUM(M49:O49)/Anzahl_Einwohner,0)</f>
        <v>0</v>
      </c>
      <c r="Q49" s="3"/>
      <c r="R49" s="182">
        <f>Data!P60 / UnitFactor</f>
        <v>0</v>
      </c>
      <c r="S49" s="186">
        <f>R49*Data!P61*Factor!L18+R49*(1-Data!P61)*Factor!L19</f>
        <v>0</v>
      </c>
      <c r="T49" s="293">
        <f>R49*Data!P61*Factor!N18+R49*(1-Data!P61)*Factor!N19</f>
        <v>0</v>
      </c>
      <c r="U49" s="294">
        <f t="shared" ref="U49" si="10">IFERROR(T49/R49,0)</f>
        <v>0</v>
      </c>
      <c r="V49" s="293">
        <f>R49*Data!P61*Factor!L18*Factor!O18+R49*(1-Data!P61)*Factor!L19*Factor!O19</f>
        <v>0</v>
      </c>
      <c r="W49" s="294">
        <f>IFERROR(V49/S49,0)</f>
        <v>0</v>
      </c>
      <c r="X49" s="186">
        <f>IFERROR(S49*MWh_in_W/Anzahl_Einwohner*UnitFactor,0)</f>
        <v>0</v>
      </c>
      <c r="Y49" s="186">
        <f>(Data!P60*Data!P61*Factor!M18+Data!P60*(1-Data!P61)*Factor!M19)</f>
        <v>0</v>
      </c>
      <c r="Z49" s="183">
        <f>IFERROR(Y49/Anzahl_Einwohner,0)</f>
        <v>0</v>
      </c>
      <c r="AA49" s="3"/>
      <c r="AB49" s="194">
        <v>0</v>
      </c>
      <c r="AC49" s="186">
        <f>J49</f>
        <v>0</v>
      </c>
      <c r="AD49" s="183">
        <f>IFERROR(SUM(AB49:AC49)/Anzahl_Einwohner,0)</f>
        <v>0</v>
      </c>
      <c r="AE49" s="3"/>
    </row>
    <row r="50" spans="1:31" s="2" customFormat="1" ht="3.75" customHeight="1" x14ac:dyDescent="0.4">
      <c r="A50" s="6"/>
      <c r="F50" s="155"/>
      <c r="G50" s="38"/>
      <c r="H50" s="3"/>
      <c r="I50" s="155"/>
      <c r="J50" s="156"/>
      <c r="K50" s="38"/>
      <c r="L50" s="3"/>
      <c r="M50" s="155"/>
      <c r="N50" s="43"/>
      <c r="O50" s="43"/>
      <c r="P50" s="38"/>
      <c r="Q50" s="3"/>
      <c r="R50" s="155"/>
      <c r="S50" s="43"/>
      <c r="T50" s="295"/>
      <c r="U50" s="296"/>
      <c r="V50" s="295"/>
      <c r="W50" s="296"/>
      <c r="X50" s="3"/>
      <c r="Y50" s="156"/>
      <c r="Z50" s="157"/>
      <c r="AA50" s="3"/>
      <c r="AB50" s="40"/>
      <c r="AC50" s="3"/>
      <c r="AD50" s="38"/>
      <c r="AE50" s="3"/>
    </row>
    <row r="51" spans="1:31" s="2" customFormat="1" ht="13.15" x14ac:dyDescent="0.4">
      <c r="A51" s="6"/>
      <c r="B51" s="7" t="str" cm="1">
        <f t="array" ref="B51">INDEX(Texts[],MATCH("id179",Texts[Index],0),idx_lang)</f>
        <v>Eigenverbrauchte PV-Produktion</v>
      </c>
      <c r="D51" s="2" t="str">
        <f>Data!R63</f>
        <v>MWh</v>
      </c>
      <c r="E51" s="2">
        <f>MATCH(D51,UnitPV[[#All],[UnitPV]],0)-1</f>
        <v>3</v>
      </c>
      <c r="F51" s="155"/>
      <c r="G51" s="38"/>
      <c r="H51" s="3"/>
      <c r="I51" s="155"/>
      <c r="J51" s="156"/>
      <c r="K51" s="38"/>
      <c r="L51" s="3"/>
      <c r="M51" s="155"/>
      <c r="N51" s="43"/>
      <c r="O51" s="43"/>
      <c r="P51" s="38"/>
      <c r="Q51" s="3"/>
      <c r="R51" s="182">
        <f>IF(E51=1,Data!P63*kWh_kWp_PVprod,IF(E51=2,Data!P63*kWh__m²_PVprod,Data!P63*1000)) * auto_cons_rate / 1000 / UnitFactor</f>
        <v>0</v>
      </c>
      <c r="S51" s="186">
        <f>R51*Factor!L21</f>
        <v>0</v>
      </c>
      <c r="T51" s="293">
        <f>R51*Factor!N14</f>
        <v>0</v>
      </c>
      <c r="U51" s="294">
        <f t="shared" ref="U51" si="11">IFERROR(T51/R51,0)</f>
        <v>0</v>
      </c>
      <c r="V51" s="293">
        <f>S51*Factor!O21</f>
        <v>0</v>
      </c>
      <c r="W51" s="294">
        <f>IFERROR(V51/S51,0)</f>
        <v>0</v>
      </c>
      <c r="X51" s="186">
        <f>IFERROR(S51*MWh_in_W/Anzahl_Einwohner*UnitFactor,0)</f>
        <v>0</v>
      </c>
      <c r="Y51" s="185">
        <f>R51*Factor!M21 * UnitFactor</f>
        <v>0</v>
      </c>
      <c r="Z51" s="183">
        <f>IFERROR(Y51/Anzahl_Einwohner,0)</f>
        <v>0</v>
      </c>
      <c r="AA51" s="3"/>
      <c r="AB51" s="40"/>
      <c r="AC51" s="3"/>
      <c r="AD51" s="38"/>
      <c r="AE51" s="3"/>
    </row>
    <row r="52" spans="1:31" s="2" customFormat="1" ht="3.75" customHeight="1" x14ac:dyDescent="0.4">
      <c r="A52" s="6"/>
      <c r="F52" s="155"/>
      <c r="G52" s="38"/>
      <c r="H52" s="3"/>
      <c r="I52" s="155"/>
      <c r="J52" s="156"/>
      <c r="K52" s="38"/>
      <c r="L52" s="3"/>
      <c r="M52" s="155"/>
      <c r="N52" s="43"/>
      <c r="O52" s="43"/>
      <c r="P52" s="38"/>
      <c r="Q52" s="3"/>
      <c r="R52" s="155"/>
      <c r="S52" s="43"/>
      <c r="T52" s="295"/>
      <c r="U52" s="296"/>
      <c r="V52" s="295"/>
      <c r="W52" s="296"/>
      <c r="X52" s="3"/>
      <c r="Y52" s="156"/>
      <c r="Z52" s="157"/>
      <c r="AA52" s="3"/>
      <c r="AB52" s="40"/>
      <c r="AC52" s="3"/>
      <c r="AD52" s="38"/>
      <c r="AE52" s="3"/>
    </row>
    <row r="53" spans="1:31" s="2" customFormat="1" ht="13.15" x14ac:dyDescent="0.4">
      <c r="A53" s="20"/>
      <c r="B53" s="19" t="str" cm="1">
        <f t="array" ref="B53">INDEX(Texts[],MATCH("id33",Texts[Index],0),idx_lang)</f>
        <v>Mobilität</v>
      </c>
      <c r="F53" s="155"/>
      <c r="G53" s="38"/>
      <c r="H53" s="3"/>
      <c r="I53" s="155"/>
      <c r="J53" s="156"/>
      <c r="K53" s="38"/>
      <c r="L53" s="3"/>
      <c r="M53" s="155"/>
      <c r="N53" s="43"/>
      <c r="O53" s="43"/>
      <c r="P53" s="38"/>
      <c r="Q53" s="3"/>
      <c r="R53" s="155"/>
      <c r="S53" s="43"/>
      <c r="T53" s="295"/>
      <c r="U53" s="296"/>
      <c r="V53" s="295"/>
      <c r="W53" s="296"/>
      <c r="X53" s="3"/>
      <c r="Y53" s="156"/>
      <c r="Z53" s="157"/>
      <c r="AA53" s="3"/>
      <c r="AB53" s="40"/>
      <c r="AC53" s="3"/>
      <c r="AD53" s="38"/>
      <c r="AE53" s="3"/>
    </row>
    <row r="54" spans="1:31" s="2" customFormat="1" ht="12.75" x14ac:dyDescent="0.35">
      <c r="A54" s="3" t="s">
        <v>2374</v>
      </c>
      <c r="B54" s="7" t="str" cm="1">
        <f t="array" ref="B54">INDEX(Texts[],MATCH("id34",Texts[Index],0),idx_lang)</f>
        <v>Anzahl immatrikulierte Personenwagen</v>
      </c>
      <c r="F54" s="155"/>
      <c r="G54" s="38"/>
      <c r="H54" s="3"/>
      <c r="I54" s="155"/>
      <c r="J54" s="156"/>
      <c r="K54" s="38"/>
      <c r="L54" s="3"/>
      <c r="M54" s="155"/>
      <c r="N54" s="43"/>
      <c r="O54" s="43"/>
      <c r="P54" s="38"/>
      <c r="Q54" s="3"/>
      <c r="R54" s="155"/>
      <c r="S54" s="43"/>
      <c r="T54" s="295"/>
      <c r="U54" s="296"/>
      <c r="V54" s="295"/>
      <c r="W54" s="296"/>
      <c r="X54" s="3"/>
      <c r="Y54" s="156"/>
      <c r="Z54" s="157"/>
      <c r="AA54" s="3"/>
      <c r="AB54" s="40"/>
      <c r="AC54" s="3"/>
      <c r="AD54" s="38"/>
      <c r="AE54" s="3"/>
    </row>
    <row r="55" spans="1:31" s="2" customFormat="1" ht="13.15" x14ac:dyDescent="0.4">
      <c r="A55" s="6"/>
      <c r="B55" s="8" t="str" cm="1">
        <f t="array" ref="B55">INDEX(Texts[],MATCH("id35",Texts[Index],0),idx_lang)</f>
        <v>Benzin</v>
      </c>
      <c r="D55" s="2" t="str">
        <f>Data!R70</f>
        <v>Anzahl PW</v>
      </c>
      <c r="E55" s="2">
        <f>MATCH(D55,UnitMobility[[#All],[UnitMobility]],0)-1</f>
        <v>1</v>
      </c>
      <c r="F55" s="182">
        <f>IF(E55=1,Data!P70*tCO2_eq_Fahrzeug*mobility_factor,IF(E55=2,Data!P70))</f>
        <v>0</v>
      </c>
      <c r="G55" s="183">
        <f>IFERROR(F55/Anzahl_Einwohner,0)</f>
        <v>0</v>
      </c>
      <c r="H55" s="3"/>
      <c r="I55" s="182">
        <f>F55</f>
        <v>0</v>
      </c>
      <c r="J55" s="185" t="str" cm="1">
        <f t="array" ref="J55">INDEX(Texts[],MATCH("id108",Texts[Index],0),idx_lang)</f>
        <v>Im Scope 1</v>
      </c>
      <c r="K55" s="183">
        <f>IFERROR(SUM(I55:J55)/Anzahl_Einwohner,0)</f>
        <v>0</v>
      </c>
      <c r="L55" s="3"/>
      <c r="M55" s="182">
        <f>F55</f>
        <v>0</v>
      </c>
      <c r="N55" s="185" t="str" cm="1">
        <f t="array" ref="N55">INDEX(Texts[],MATCH("id108",Texts[Index],0),idx_lang)</f>
        <v>Im Scope 1</v>
      </c>
      <c r="O55" s="185" t="str" cm="1">
        <f t="array" ref="O55">INDEX(Texts[],MATCH("id108",Texts[Index],0),idx_lang)</f>
        <v>Im Scope 1</v>
      </c>
      <c r="P55" s="183">
        <f>IFERROR(SUM(M55:O55)/Anzahl_Einwohner,0)</f>
        <v>0</v>
      </c>
      <c r="Q55" s="3"/>
      <c r="R55" s="182">
        <f xml:space="preserve"> Y55 / Factor!M24 / UnitFactor</f>
        <v>0</v>
      </c>
      <c r="S55" s="186">
        <f>R55*Factor!L24</f>
        <v>0</v>
      </c>
      <c r="T55" s="293">
        <f>R55*Factor!N24</f>
        <v>0</v>
      </c>
      <c r="U55" s="294">
        <f t="shared" ref="U55:U56" si="12">IFERROR(T55/R55,0)</f>
        <v>0</v>
      </c>
      <c r="V55" s="293">
        <f>S55*Factor!O24</f>
        <v>0</v>
      </c>
      <c r="W55" s="294">
        <f>IFERROR(V55/S55,0)</f>
        <v>0</v>
      </c>
      <c r="X55" s="186">
        <f>IFERROR(S55*MWh_in_W/Anzahl_Einwohner*UnitFactor,0)</f>
        <v>0</v>
      </c>
      <c r="Y55" s="186">
        <f>F55</f>
        <v>0</v>
      </c>
      <c r="Z55" s="183">
        <f>IFERROR(Y55/Anzahl_Einwohner,0)</f>
        <v>0</v>
      </c>
      <c r="AA55" s="3"/>
      <c r="AB55" s="182">
        <f>M55</f>
        <v>0</v>
      </c>
      <c r="AC55" s="185" t="str" cm="1">
        <f t="array" ref="AC55">INDEX(Texts[],MATCH("id108",Texts[Index],0),idx_lang)</f>
        <v>Im Scope 1</v>
      </c>
      <c r="AD55" s="183">
        <f>IFERROR(SUM(AB55:AC55)/Anzahl_Einwohner,0)</f>
        <v>0</v>
      </c>
      <c r="AE55" s="3"/>
    </row>
    <row r="56" spans="1:31" s="2" customFormat="1" ht="13.15" x14ac:dyDescent="0.4">
      <c r="A56" s="6"/>
      <c r="B56" s="8" t="str" cm="1">
        <f t="array" ref="B56">INDEX(Texts[],MATCH("id36",Texts[Index],0),idx_lang)</f>
        <v>Diesel</v>
      </c>
      <c r="D56" s="2" t="str">
        <f>Data!R71</f>
        <v>Anzahl PW</v>
      </c>
      <c r="E56" s="2">
        <f>E55</f>
        <v>1</v>
      </c>
      <c r="F56" s="182">
        <f>IF(E56=1,Data!P71*tCO2_eq_Fahrzeug*mobility_factor,IF(E56=2,Data!P71))</f>
        <v>0</v>
      </c>
      <c r="G56" s="183">
        <f>IFERROR(F56/Anzahl_Einwohner,0)</f>
        <v>0</v>
      </c>
      <c r="H56" s="3"/>
      <c r="I56" s="182">
        <f>F56</f>
        <v>0</v>
      </c>
      <c r="J56" s="185" t="str" cm="1">
        <f t="array" ref="J56">INDEX(Texts[],MATCH("id108",Texts[Index],0),idx_lang)</f>
        <v>Im Scope 1</v>
      </c>
      <c r="K56" s="183">
        <f>IFERROR(SUM(I56:J56)/Anzahl_Einwohner,0)</f>
        <v>0</v>
      </c>
      <c r="L56" s="3"/>
      <c r="M56" s="182">
        <f>F56</f>
        <v>0</v>
      </c>
      <c r="N56" s="185" t="str" cm="1">
        <f t="array" ref="N56">INDEX(Texts[],MATCH("id108",Texts[Index],0),idx_lang)</f>
        <v>Im Scope 1</v>
      </c>
      <c r="O56" s="185" t="str" cm="1">
        <f t="array" ref="O56">INDEX(Texts[],MATCH("id108",Texts[Index],0),idx_lang)</f>
        <v>Im Scope 1</v>
      </c>
      <c r="P56" s="183">
        <f>IFERROR(SUM(M56:O56)/Anzahl_Einwohner,0)</f>
        <v>0</v>
      </c>
      <c r="Q56" s="3"/>
      <c r="R56" s="182">
        <f xml:space="preserve"> Y56 / Factor!M25 / UnitFactor</f>
        <v>0</v>
      </c>
      <c r="S56" s="186">
        <f>R56*Factor!L25</f>
        <v>0</v>
      </c>
      <c r="T56" s="293">
        <f>R56*Factor!N25</f>
        <v>0</v>
      </c>
      <c r="U56" s="294">
        <f t="shared" si="12"/>
        <v>0</v>
      </c>
      <c r="V56" s="293">
        <f>S56*Factor!O25</f>
        <v>0</v>
      </c>
      <c r="W56" s="294">
        <f>IFERROR(V56/S56,0)</f>
        <v>0</v>
      </c>
      <c r="X56" s="186">
        <f>IFERROR(S56*MWh_in_W/Anzahl_Einwohner*UnitFactor,0)</f>
        <v>0</v>
      </c>
      <c r="Y56" s="186">
        <f>F56</f>
        <v>0</v>
      </c>
      <c r="Z56" s="183">
        <f>IFERROR(Y56/Anzahl_Einwohner,0)</f>
        <v>0</v>
      </c>
      <c r="AA56" s="3"/>
      <c r="AB56" s="182">
        <f>M56</f>
        <v>0</v>
      </c>
      <c r="AC56" s="185" t="str" cm="1">
        <f t="array" ref="AC56">INDEX(Texts[],MATCH("id108",Texts[Index],0),idx_lang)</f>
        <v>Im Scope 1</v>
      </c>
      <c r="AD56" s="183">
        <f>IFERROR(SUM(AB56:AC56)/Anzahl_Einwohner,0)</f>
        <v>0</v>
      </c>
      <c r="AE56" s="3"/>
    </row>
    <row r="57" spans="1:31" s="2" customFormat="1" ht="13.15" x14ac:dyDescent="0.4">
      <c r="A57" s="6"/>
      <c r="B57" s="8" t="str" cm="1">
        <f t="array" ref="B57">INDEX(Texts[],MATCH("id37",Texts[Index],0),idx_lang)</f>
        <v>100% Elektro</v>
      </c>
      <c r="D57" s="2" t="str">
        <f>Data!R72</f>
        <v>Anzahl PW</v>
      </c>
      <c r="E57" s="2">
        <f>E55</f>
        <v>1</v>
      </c>
      <c r="F57" s="158"/>
      <c r="G57" s="159"/>
      <c r="H57" s="3"/>
      <c r="I57" s="158"/>
      <c r="J57" s="156"/>
      <c r="K57" s="38"/>
      <c r="L57" s="3"/>
      <c r="M57" s="158"/>
      <c r="N57" s="156"/>
      <c r="O57" s="43"/>
      <c r="P57" s="38"/>
      <c r="Q57" s="3"/>
      <c r="R57" s="193" t="str" cm="1">
        <f t="array" ref="R57">INDEX(Texts[],MATCH("id104",Texts[Index],0),idx_lang)</f>
        <v>In Strom enthalten</v>
      </c>
      <c r="S57" s="186"/>
      <c r="T57" s="293"/>
      <c r="U57" s="299"/>
      <c r="V57" s="293"/>
      <c r="W57" s="299"/>
      <c r="X57" s="191"/>
      <c r="Y57" s="185"/>
      <c r="Z57" s="192"/>
      <c r="AA57" s="3"/>
      <c r="AB57" s="158"/>
      <c r="AC57" s="3"/>
      <c r="AD57" s="38"/>
      <c r="AE57" s="3"/>
    </row>
    <row r="58" spans="1:31" s="2" customFormat="1" ht="13.15" x14ac:dyDescent="0.4">
      <c r="A58" s="6"/>
      <c r="B58" s="8" t="str" cm="1">
        <f t="array" ref="B58">INDEX(Texts[],MATCH("id38",Texts[Index],0),idx_lang)</f>
        <v>Weiteres</v>
      </c>
      <c r="D58" s="2" t="str">
        <f>Data!R73</f>
        <v>Anzahl PW</v>
      </c>
      <c r="E58" s="2">
        <f>E55</f>
        <v>1</v>
      </c>
      <c r="F58" s="155"/>
      <c r="G58" s="38"/>
      <c r="H58" s="3"/>
      <c r="I58" s="155"/>
      <c r="J58" s="156"/>
      <c r="K58" s="38"/>
      <c r="L58" s="3"/>
      <c r="M58" s="155"/>
      <c r="N58" s="43"/>
      <c r="O58" s="43"/>
      <c r="P58" s="38"/>
      <c r="Q58" s="3"/>
      <c r="R58" s="193" t="str" cm="1">
        <f t="array" ref="R58">INDEX(Texts[],MATCH("id143",Texts[Index],0),idx_lang)</f>
        <v>In Benzin- und Dieselfahrzeugen enthalten</v>
      </c>
      <c r="S58" s="186"/>
      <c r="T58" s="293"/>
      <c r="U58" s="299"/>
      <c r="V58" s="293"/>
      <c r="W58" s="299"/>
      <c r="X58" s="186"/>
      <c r="Y58" s="186"/>
      <c r="Z58" s="183"/>
      <c r="AA58" s="3"/>
      <c r="AB58" s="40"/>
      <c r="AC58" s="3"/>
      <c r="AD58" s="38"/>
      <c r="AE58" s="3"/>
    </row>
    <row r="59" spans="1:31" s="2" customFormat="1" ht="3.75" customHeight="1" x14ac:dyDescent="0.4">
      <c r="A59" s="6"/>
      <c r="B59" s="7"/>
      <c r="F59" s="155"/>
      <c r="G59" s="38"/>
      <c r="H59" s="3"/>
      <c r="I59" s="155"/>
      <c r="J59" s="156"/>
      <c r="K59" s="38"/>
      <c r="L59" s="3"/>
      <c r="M59" s="155"/>
      <c r="N59" s="43"/>
      <c r="O59" s="43"/>
      <c r="P59" s="38"/>
      <c r="Q59" s="3"/>
      <c r="R59" s="155"/>
      <c r="S59" s="43"/>
      <c r="T59" s="295"/>
      <c r="U59" s="296"/>
      <c r="V59" s="295"/>
      <c r="W59" s="296"/>
      <c r="X59" s="3"/>
      <c r="Y59" s="156"/>
      <c r="Z59" s="157"/>
      <c r="AA59" s="3"/>
      <c r="AB59" s="40"/>
      <c r="AC59" s="3"/>
      <c r="AD59" s="38"/>
      <c r="AE59" s="3"/>
    </row>
    <row r="60" spans="1:31" s="2" customFormat="1" ht="12.75" x14ac:dyDescent="0.35">
      <c r="A60" s="3" t="s">
        <v>2375</v>
      </c>
      <c r="B60" s="7" t="str" cm="1">
        <f t="array" ref="B60">INDEX(Texts[],MATCH("id39",Texts[Index],0),idx_lang)</f>
        <v>Strassengüter-, Bahn-, Schiff- und Flugverkehr</v>
      </c>
      <c r="F60" s="155"/>
      <c r="G60" s="38"/>
      <c r="H60" s="3"/>
      <c r="I60" s="155"/>
      <c r="J60" s="156"/>
      <c r="K60" s="38"/>
      <c r="L60" s="3"/>
      <c r="M60" s="155"/>
      <c r="N60" s="43"/>
      <c r="O60" s="186">
        <f>Y60</f>
        <v>0</v>
      </c>
      <c r="P60" s="183">
        <f>IFERROR(SUM(M60:O60)/Anzahl_Einwohner,0)</f>
        <v>0</v>
      </c>
      <c r="Q60" s="3"/>
      <c r="R60" s="182">
        <f>Anzahl_Einwohner * Zuschlag_EndEnergie_Verkehr / 1000 / UnitFactor</f>
        <v>0</v>
      </c>
      <c r="S60" s="186">
        <f>Anzahl_Einwohner * Zuschlag_PrimEnergie_Verkehr / 1000 / UnitFactor</f>
        <v>0</v>
      </c>
      <c r="T60" s="293">
        <f>R60 * Zuschlag_AntErn_Verkehr</f>
        <v>0</v>
      </c>
      <c r="U60" s="294">
        <f t="shared" ref="U60" si="13">IFERROR(T60/R60,0)</f>
        <v>0</v>
      </c>
      <c r="V60" s="293">
        <f>S60*Zuschlag_AntErn_Verkehr</f>
        <v>0</v>
      </c>
      <c r="W60" s="294">
        <f>IFERROR(V60/S60,0)</f>
        <v>0</v>
      </c>
      <c r="X60" s="186">
        <f>IFERROR(S60*MWh_in_W/Anzahl_Einwohner*UnitFactor,0)</f>
        <v>0</v>
      </c>
      <c r="Y60" s="186">
        <f>Anzahl_Einwohner*Zuschlag_tCO2_Verkehr</f>
        <v>0</v>
      </c>
      <c r="Z60" s="183">
        <f>IFERROR(Y60/Anzahl_Einwohner,0)</f>
        <v>0</v>
      </c>
      <c r="AA60" s="3"/>
      <c r="AB60" s="40"/>
      <c r="AC60" s="3"/>
      <c r="AD60" s="38"/>
      <c r="AE60" s="3"/>
    </row>
    <row r="61" spans="1:31" s="2" customFormat="1" ht="3.75" customHeight="1" x14ac:dyDescent="0.35">
      <c r="A61" s="3"/>
      <c r="F61" s="155"/>
      <c r="G61" s="38"/>
      <c r="H61" s="3"/>
      <c r="I61" s="155"/>
      <c r="J61" s="156"/>
      <c r="K61" s="38"/>
      <c r="L61" s="3"/>
      <c r="M61" s="155"/>
      <c r="N61" s="43"/>
      <c r="O61" s="43"/>
      <c r="P61" s="38"/>
      <c r="Q61" s="3"/>
      <c r="R61" s="40"/>
      <c r="S61" s="3"/>
      <c r="T61" s="3"/>
      <c r="U61" s="3"/>
      <c r="V61" s="3"/>
      <c r="W61" s="3"/>
      <c r="X61" s="3"/>
      <c r="Y61" s="156"/>
      <c r="Z61" s="157"/>
      <c r="AA61" s="3"/>
      <c r="AB61" s="40"/>
      <c r="AC61" s="3"/>
      <c r="AD61" s="38"/>
      <c r="AE61" s="3"/>
    </row>
    <row r="62" spans="1:31" ht="13.9" x14ac:dyDescent="0.4">
      <c r="A62" s="166" t="s">
        <v>2376</v>
      </c>
      <c r="B62" s="1" t="str" cm="1">
        <f t="array" ref="B62">INDEX(Texts[],MATCH("id40",Texts[Index],0),idx_lang)</f>
        <v>Nicht Energetisch</v>
      </c>
      <c r="F62" s="44"/>
      <c r="G62" s="30"/>
      <c r="I62" s="44"/>
      <c r="J62" s="42"/>
      <c r="K62" s="30"/>
      <c r="M62" s="44"/>
      <c r="N62" s="45"/>
      <c r="O62" s="45"/>
      <c r="P62" s="30"/>
      <c r="R62" s="29"/>
      <c r="S62" s="1"/>
      <c r="T62" s="167"/>
      <c r="U62" s="1"/>
      <c r="V62" s="1"/>
      <c r="W62" s="1"/>
      <c r="X62" s="1"/>
      <c r="Y62" s="42"/>
      <c r="Z62" s="41"/>
      <c r="AB62" s="29"/>
      <c r="AC62" s="1"/>
      <c r="AD62" s="30"/>
    </row>
    <row r="63" spans="1:31" s="2" customFormat="1" ht="3.75" customHeight="1" x14ac:dyDescent="0.4">
      <c r="A63" s="18"/>
      <c r="B63" s="5"/>
      <c r="F63" s="155"/>
      <c r="G63" s="38"/>
      <c r="H63" s="3"/>
      <c r="I63" s="155"/>
      <c r="J63" s="156"/>
      <c r="K63" s="38"/>
      <c r="L63" s="3"/>
      <c r="M63" s="155"/>
      <c r="N63" s="43"/>
      <c r="O63" s="43"/>
      <c r="P63" s="38"/>
      <c r="Q63" s="3"/>
      <c r="R63" s="40"/>
      <c r="S63" s="3"/>
      <c r="T63" s="3"/>
      <c r="U63" s="3"/>
      <c r="V63" s="3"/>
      <c r="W63" s="3"/>
      <c r="X63" s="3"/>
      <c r="Y63" s="156"/>
      <c r="Z63" s="157"/>
      <c r="AA63" s="3"/>
      <c r="AB63" s="40"/>
      <c r="AC63" s="3"/>
      <c r="AD63" s="38"/>
      <c r="AE63" s="3"/>
    </row>
    <row r="64" spans="1:31" s="2" customFormat="1" ht="12.75" x14ac:dyDescent="0.35">
      <c r="A64" s="3">
        <v>2</v>
      </c>
      <c r="B64" s="2" t="str" cm="1">
        <f t="array" ref="B64">INDEX(Texts[],MATCH("id41",Texts[Index],0),idx_lang)</f>
        <v>Industrielle Prozesse</v>
      </c>
      <c r="F64" s="182">
        <f>Data!P77</f>
        <v>0</v>
      </c>
      <c r="G64" s="183">
        <f>IFERROR(F64/Anzahl_Einwohner,0)</f>
        <v>0</v>
      </c>
      <c r="H64" s="3"/>
      <c r="I64" s="182">
        <f>F64</f>
        <v>0</v>
      </c>
      <c r="J64" s="185">
        <v>0</v>
      </c>
      <c r="K64" s="183">
        <f>IFERROR(SUM(I64:J64)/Anzahl_Einwohner,0)</f>
        <v>0</v>
      </c>
      <c r="L64" s="3"/>
      <c r="M64" s="182">
        <f>F64</f>
        <v>0</v>
      </c>
      <c r="N64" s="186">
        <v>0</v>
      </c>
      <c r="O64" s="186">
        <v>0</v>
      </c>
      <c r="P64" s="183">
        <f>IFERROR(SUM(M64:O64)/Anzahl_Einwohner,0)</f>
        <v>0</v>
      </c>
      <c r="Q64" s="3"/>
      <c r="R64" s="40"/>
      <c r="S64" s="3"/>
      <c r="T64" s="3"/>
      <c r="U64" s="3"/>
      <c r="V64" s="3"/>
      <c r="W64" s="3"/>
      <c r="X64" s="3"/>
      <c r="Y64" s="156"/>
      <c r="Z64" s="157"/>
      <c r="AA64" s="3"/>
      <c r="AB64" s="40"/>
      <c r="AC64" s="3"/>
      <c r="AD64" s="38"/>
      <c r="AE64" s="3"/>
    </row>
    <row r="65" spans="1:31" s="2" customFormat="1" ht="12.75" x14ac:dyDescent="0.35">
      <c r="A65" s="3">
        <v>3</v>
      </c>
      <c r="B65" s="2" t="str" cm="1">
        <f t="array" ref="B65">INDEX(Texts[],MATCH("id42",Texts[Index],0),idx_lang)</f>
        <v>Landwirtschaft</v>
      </c>
      <c r="F65" s="182">
        <f>Data!P78</f>
        <v>0</v>
      </c>
      <c r="G65" s="183">
        <f>IFERROR(F65/Anzahl_Einwohner,0)</f>
        <v>0</v>
      </c>
      <c r="H65" s="3"/>
      <c r="I65" s="182">
        <f t="shared" ref="I65:I67" si="14">F65</f>
        <v>0</v>
      </c>
      <c r="J65" s="185">
        <v>0</v>
      </c>
      <c r="K65" s="183">
        <f>IFERROR(SUM(I65:J65)/Anzahl_Einwohner,0)</f>
        <v>0</v>
      </c>
      <c r="L65" s="3"/>
      <c r="M65" s="182">
        <f t="shared" ref="M65:M67" si="15">F65</f>
        <v>0</v>
      </c>
      <c r="N65" s="186">
        <v>0</v>
      </c>
      <c r="O65" s="186">
        <v>0</v>
      </c>
      <c r="P65" s="183">
        <f>IFERROR(SUM(M65:O65)/Anzahl_Einwohner,0)</f>
        <v>0</v>
      </c>
      <c r="Q65" s="3"/>
      <c r="R65" s="40"/>
      <c r="S65" s="3"/>
      <c r="T65" s="3"/>
      <c r="U65" s="3"/>
      <c r="V65" s="3"/>
      <c r="W65" s="3"/>
      <c r="X65" s="3"/>
      <c r="Y65" s="156"/>
      <c r="Z65" s="157"/>
      <c r="AA65" s="3"/>
      <c r="AB65" s="40"/>
      <c r="AC65" s="3"/>
      <c r="AD65" s="38"/>
      <c r="AE65" s="3"/>
    </row>
    <row r="66" spans="1:31" s="2" customFormat="1" ht="12.75" x14ac:dyDescent="0.35">
      <c r="A66" s="3">
        <v>5</v>
      </c>
      <c r="B66" s="2" t="str" cm="1">
        <f t="array" ref="B66">INDEX(Texts[],MATCH("id43",Texts[Index],0),idx_lang)</f>
        <v>Abfall (KVA, ARA)</v>
      </c>
      <c r="F66" s="182">
        <f>Data!P79</f>
        <v>0</v>
      </c>
      <c r="G66" s="183">
        <f>IFERROR(F66/Anzahl_Einwohner,0)</f>
        <v>0</v>
      </c>
      <c r="H66" s="3"/>
      <c r="I66" s="182">
        <f t="shared" si="14"/>
        <v>0</v>
      </c>
      <c r="J66" s="185">
        <v>0</v>
      </c>
      <c r="K66" s="183">
        <f>IFERROR(SUM(I66:J66)/Anzahl_Einwohner,0)</f>
        <v>0</v>
      </c>
      <c r="L66" s="3"/>
      <c r="M66" s="182">
        <f t="shared" si="15"/>
        <v>0</v>
      </c>
      <c r="N66" s="186">
        <v>0</v>
      </c>
      <c r="O66" s="186">
        <v>0</v>
      </c>
      <c r="P66" s="183">
        <f>IFERROR(SUM(M66:O66)/Anzahl_Einwohner,0)</f>
        <v>0</v>
      </c>
      <c r="Q66" s="3"/>
      <c r="R66" s="40"/>
      <c r="S66" s="3"/>
      <c r="T66" s="3"/>
      <c r="U66" s="3"/>
      <c r="V66" s="3"/>
      <c r="W66" s="3"/>
      <c r="X66" s="3"/>
      <c r="Y66" s="156"/>
      <c r="Z66" s="157"/>
      <c r="AA66" s="3"/>
      <c r="AB66" s="40"/>
      <c r="AC66" s="3"/>
      <c r="AD66" s="38"/>
      <c r="AE66" s="3"/>
    </row>
    <row r="67" spans="1:31" s="2" customFormat="1" ht="12.75" x14ac:dyDescent="0.35">
      <c r="A67" s="3">
        <v>4</v>
      </c>
      <c r="B67" s="2" t="str" cm="1">
        <f t="array" ref="B67">INDEX(Texts[],MATCH("id44",Texts[Index],0),idx_lang)</f>
        <v xml:space="preserve">CO2-Bindung Wald </v>
      </c>
      <c r="F67" s="182">
        <f>Data!P80</f>
        <v>0</v>
      </c>
      <c r="G67" s="183">
        <f>IFERROR(F67/Anzahl_Einwohner,0)</f>
        <v>0</v>
      </c>
      <c r="H67" s="3"/>
      <c r="I67" s="182">
        <f t="shared" si="14"/>
        <v>0</v>
      </c>
      <c r="J67" s="185">
        <v>0</v>
      </c>
      <c r="K67" s="183">
        <f>IFERROR(SUM(I67:J67)/Anzahl_Einwohner,0)</f>
        <v>0</v>
      </c>
      <c r="L67" s="3"/>
      <c r="M67" s="182">
        <f t="shared" si="15"/>
        <v>0</v>
      </c>
      <c r="N67" s="186">
        <v>0</v>
      </c>
      <c r="O67" s="186">
        <v>0</v>
      </c>
      <c r="P67" s="183">
        <f>IFERROR(SUM(M67:O67)/Anzahl_Einwohner,0)</f>
        <v>0</v>
      </c>
      <c r="Q67" s="3"/>
      <c r="R67" s="40"/>
      <c r="S67" s="3"/>
      <c r="T67" s="3"/>
      <c r="U67" s="3"/>
      <c r="V67" s="3"/>
      <c r="W67" s="3"/>
      <c r="X67" s="3"/>
      <c r="Y67" s="156"/>
      <c r="Z67" s="157"/>
      <c r="AA67" s="3"/>
      <c r="AB67" s="40"/>
      <c r="AC67" s="3"/>
      <c r="AD67" s="38"/>
      <c r="AE67" s="3"/>
    </row>
    <row r="68" spans="1:31" s="2" customFormat="1" ht="3.75" customHeight="1" x14ac:dyDescent="0.35">
      <c r="A68" s="3"/>
      <c r="F68" s="155"/>
      <c r="G68" s="38"/>
      <c r="H68" s="3"/>
      <c r="I68" s="155"/>
      <c r="J68" s="156"/>
      <c r="K68" s="38"/>
      <c r="L68" s="3"/>
      <c r="M68" s="155"/>
      <c r="N68" s="43"/>
      <c r="O68" s="43"/>
      <c r="P68" s="38"/>
      <c r="Q68" s="3"/>
      <c r="R68" s="40"/>
      <c r="S68" s="3"/>
      <c r="T68" s="3"/>
      <c r="U68" s="3"/>
      <c r="V68" s="3"/>
      <c r="W68" s="3"/>
      <c r="X68" s="3"/>
      <c r="Y68" s="156"/>
      <c r="Z68" s="157"/>
      <c r="AA68" s="3"/>
      <c r="AB68" s="40"/>
      <c r="AC68" s="3"/>
      <c r="AD68" s="38"/>
      <c r="AE68" s="3"/>
    </row>
    <row r="69" spans="1:31" ht="13.9" x14ac:dyDescent="0.4">
      <c r="A69" s="167"/>
      <c r="B69" s="1" t="str" cm="1">
        <f t="array" ref="B69">INDEX(Texts[],MATCH("id45",Texts[Index],0),idx_lang)</f>
        <v>Konsum/Dienstleistung</v>
      </c>
      <c r="F69" s="44"/>
      <c r="G69" s="30"/>
      <c r="I69" s="44"/>
      <c r="J69" s="42"/>
      <c r="K69" s="30"/>
      <c r="M69" s="44"/>
      <c r="N69" s="45"/>
      <c r="O69" s="45"/>
      <c r="P69" s="30"/>
      <c r="R69" s="29"/>
      <c r="S69" s="1"/>
      <c r="T69" s="167"/>
      <c r="U69" s="1"/>
      <c r="V69" s="1"/>
      <c r="W69" s="1"/>
      <c r="X69" s="1"/>
      <c r="Y69" s="42"/>
      <c r="Z69" s="41"/>
      <c r="AB69" s="29"/>
      <c r="AC69" s="1"/>
      <c r="AD69" s="30"/>
    </row>
    <row r="70" spans="1:31" s="2" customFormat="1" ht="12.75" x14ac:dyDescent="0.35">
      <c r="A70" s="3" t="s">
        <v>2380</v>
      </c>
      <c r="B70" s="2" t="str" cm="1">
        <f t="array" ref="B70">INDEX(Texts[],MATCH("id58",Texts[Index],0),idx_lang)</f>
        <v>Treibhausgasemissionen durch den Konsum</v>
      </c>
      <c r="F70" s="160"/>
      <c r="G70" s="161"/>
      <c r="H70" s="3"/>
      <c r="I70" s="160"/>
      <c r="J70" s="162"/>
      <c r="K70" s="161"/>
      <c r="L70" s="3"/>
      <c r="M70" s="187">
        <v>0</v>
      </c>
      <c r="N70" s="188">
        <v>0</v>
      </c>
      <c r="O70" s="188">
        <f>Anzahl_Einwohner*Data!P84</f>
        <v>0</v>
      </c>
      <c r="P70" s="189">
        <f>IFERROR(SUM(M70:O70)/Anzahl_Einwohner,0)</f>
        <v>0</v>
      </c>
      <c r="Q70" s="3"/>
      <c r="R70" s="163"/>
      <c r="S70" s="24"/>
      <c r="T70" s="24"/>
      <c r="U70" s="24"/>
      <c r="V70" s="24"/>
      <c r="W70" s="24"/>
      <c r="X70" s="24"/>
      <c r="Y70" s="162"/>
      <c r="Z70" s="164"/>
      <c r="AA70" s="3"/>
      <c r="AB70" s="163"/>
      <c r="AC70" s="24"/>
      <c r="AD70" s="161"/>
      <c r="AE70" s="3"/>
    </row>
  </sheetData>
  <sheetProtection sheet="1" objects="1" scenarios="1"/>
  <mergeCells count="18">
    <mergeCell ref="V7:W7"/>
    <mergeCell ref="AB5:AD5"/>
    <mergeCell ref="F5:G5"/>
    <mergeCell ref="I5:K5"/>
    <mergeCell ref="M5:P5"/>
    <mergeCell ref="R5:Z5"/>
    <mergeCell ref="T7:U7"/>
    <mergeCell ref="F4:G4"/>
    <mergeCell ref="I4:K4"/>
    <mergeCell ref="M4:P4"/>
    <mergeCell ref="R4:Z4"/>
    <mergeCell ref="AB4:AD4"/>
    <mergeCell ref="AC1:AD1"/>
    <mergeCell ref="F3:G3"/>
    <mergeCell ref="I3:K3"/>
    <mergeCell ref="M3:P3"/>
    <mergeCell ref="R3:Z3"/>
    <mergeCell ref="AB3:AD3"/>
  </mergeCells>
  <conditionalFormatting sqref="A54">
    <cfRule type="expression" dxfId="30" priority="26">
      <formula>$B54=FALSE</formula>
    </cfRule>
  </conditionalFormatting>
  <conditionalFormatting sqref="A64:A67">
    <cfRule type="expression" dxfId="29" priority="27">
      <formula>$B64=FALSE</formula>
    </cfRule>
  </conditionalFormatting>
  <conditionalFormatting sqref="A70:B70">
    <cfRule type="expression" dxfId="28" priority="28">
      <formula>$B70=FALSE</formula>
    </cfRule>
  </conditionalFormatting>
  <conditionalFormatting sqref="B10 A16:A21">
    <cfRule type="expression" dxfId="27" priority="24">
      <formula>$B10=FALSE</formula>
    </cfRule>
  </conditionalFormatting>
  <conditionalFormatting sqref="B12:B69 A60">
    <cfRule type="expression" dxfId="26" priority="25">
      <formula>$B12=FALSE</formula>
    </cfRule>
  </conditionalFormatting>
  <conditionalFormatting sqref="F5:G5 I5:K5 M5:P5 R5:Z5 AB5:AD5">
    <cfRule type="cellIs" dxfId="25" priority="3" operator="lessThan">
      <formula>1</formula>
    </cfRule>
    <cfRule type="cellIs" dxfId="24" priority="4" operator="equal">
      <formula>1</formula>
    </cfRule>
  </conditionalFormatting>
  <conditionalFormatting sqref="F12:G12">
    <cfRule type="expression" dxfId="23" priority="23">
      <formula>$B12=FALSE</formula>
    </cfRule>
  </conditionalFormatting>
  <conditionalFormatting sqref="F62:G62">
    <cfRule type="expression" dxfId="22" priority="17">
      <formula>$B62=FALSE</formula>
    </cfRule>
  </conditionalFormatting>
  <conditionalFormatting sqref="F69:G69">
    <cfRule type="expression" dxfId="21" priority="12">
      <formula>$B69=FALSE</formula>
    </cfRule>
  </conditionalFormatting>
  <conditionalFormatting sqref="I12:K12">
    <cfRule type="expression" dxfId="20" priority="22">
      <formula>$B12=FALSE</formula>
    </cfRule>
  </conditionalFormatting>
  <conditionalFormatting sqref="I62:K62">
    <cfRule type="expression" dxfId="19" priority="16">
      <formula>$B62=FALSE</formula>
    </cfRule>
  </conditionalFormatting>
  <conditionalFormatting sqref="I69:K69">
    <cfRule type="expression" dxfId="18" priority="11">
      <formula>$B69=FALSE</formula>
    </cfRule>
  </conditionalFormatting>
  <conditionalFormatting sqref="M12:P12">
    <cfRule type="expression" dxfId="17" priority="21">
      <formula>$B12=FALSE</formula>
    </cfRule>
  </conditionalFormatting>
  <conditionalFormatting sqref="M62:P62">
    <cfRule type="expression" dxfId="16" priority="15">
      <formula>$B62=FALSE</formula>
    </cfRule>
  </conditionalFormatting>
  <conditionalFormatting sqref="M69:P69">
    <cfRule type="expression" dxfId="15" priority="10">
      <formula>$B69=FALSE</formula>
    </cfRule>
  </conditionalFormatting>
  <conditionalFormatting sqref="R12:Z12">
    <cfRule type="expression" dxfId="14" priority="20">
      <formula>$B12=FALSE</formula>
    </cfRule>
  </conditionalFormatting>
  <conditionalFormatting sqref="R62:Z62">
    <cfRule type="expression" dxfId="13" priority="14">
      <formula>$B62=FALSE</formula>
    </cfRule>
  </conditionalFormatting>
  <conditionalFormatting sqref="R69:Z69">
    <cfRule type="expression" dxfId="12" priority="9">
      <formula>$B69=FALSE</formula>
    </cfRule>
  </conditionalFormatting>
  <conditionalFormatting sqref="AB12:AD12">
    <cfRule type="expression" dxfId="11" priority="19">
      <formula>$B12=FALSE</formula>
    </cfRule>
  </conditionalFormatting>
  <conditionalFormatting sqref="AB62:AD62">
    <cfRule type="expression" dxfId="10" priority="13">
      <formula>$B62=FALSE</formula>
    </cfRule>
  </conditionalFormatting>
  <conditionalFormatting sqref="AB69:AD69">
    <cfRule type="expression" dxfId="9" priority="8">
      <formula>$B69=FALSE</formula>
    </cfRule>
  </conditionalFormatting>
  <pageMargins left="0.39370078740157483" right="0.39370078740157483" top="0.78740157480314965" bottom="0.78740157480314965" header="0.31496062992125984" footer="0.31496062992125984"/>
  <pageSetup paperSize="9" scale="51" orientation="landscape" verticalDpi="0" r:id="rId1"/>
  <extLst>
    <ext xmlns:x14="http://schemas.microsoft.com/office/spreadsheetml/2009/9/main" uri="{CCE6A557-97BC-4b89-ADB6-D9C93CAAB3DF}">
      <x14:dataValidations xmlns:xm="http://schemas.microsoft.com/office/excel/2006/main" count="1">
        <x14:dataValidation type="list" showInputMessage="1" showErrorMessage="1" xr:uid="{6B26D905-414E-4AFC-97E8-822ADA7ADB96}">
          <x14:formula1>
            <xm:f>Calculation!$C$9:$C$10</xm:f>
          </x14:formula1>
          <xm:sqref>R8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A6D0C6-9237-41B5-9001-B492E7CC0D5A}">
  <sheetPr codeName="Tabelle4">
    <tabColor rgb="FFEA5B0C"/>
    <pageSetUpPr fitToPage="1"/>
  </sheetPr>
  <dimension ref="A1:H15"/>
  <sheetViews>
    <sheetView showGridLines="0" zoomScale="95" zoomScaleNormal="95" workbookViewId="0">
      <selection activeCell="G11" sqref="G11"/>
    </sheetView>
  </sheetViews>
  <sheetFormatPr baseColWidth="10" defaultColWidth="11.59765625" defaultRowHeight="13.5" x14ac:dyDescent="0.35"/>
  <cols>
    <col min="1" max="1" width="3.265625" style="98" customWidth="1"/>
    <col min="2" max="2" width="23.265625" style="98" customWidth="1"/>
    <col min="3" max="7" width="21" style="106" customWidth="1"/>
    <col min="8" max="8" width="19.1328125" style="98" customWidth="1"/>
    <col min="9" max="9" width="3.1328125" style="98" customWidth="1"/>
    <col min="10" max="16384" width="11.59765625" style="98"/>
  </cols>
  <sheetData>
    <row r="1" spans="1:8" s="2" customFormat="1" ht="23.25" customHeight="1" x14ac:dyDescent="0.6">
      <c r="A1" s="31"/>
      <c r="B1" s="77" t="str" cm="1">
        <f t="array" ref="B1">INDEX(Texts[],MATCH("id61",Texts[Index],0),idx_lang)</f>
        <v>KISS NETTO NULL Bilanz</v>
      </c>
      <c r="C1" s="108"/>
      <c r="D1" s="108"/>
      <c r="E1" s="108"/>
      <c r="F1" s="109"/>
      <c r="G1" s="109" t="str" cm="1">
        <f t="array" ref="G1">INDEX(Texts[],MATCH("id62",Texts[Index],0),idx_lang)</f>
        <v>Version</v>
      </c>
      <c r="H1" s="110" t="str">
        <f>Intro!$C$10</f>
        <v>1.8 | 03.11.2025</v>
      </c>
    </row>
    <row r="2" spans="1:8" ht="6.75" customHeight="1" x14ac:dyDescent="0.35"/>
    <row r="3" spans="1:8" x14ac:dyDescent="0.35">
      <c r="B3" s="98" t="str" cm="1">
        <f t="array" ref="B3">INDEX(Texts[],MATCH("id154",Texts[Index],0),idx_lang)</f>
        <v>Einheit der Grafik</v>
      </c>
      <c r="C3" s="116" t="s">
        <v>2550</v>
      </c>
    </row>
    <row r="4" spans="1:8" ht="3.6" customHeight="1" x14ac:dyDescent="0.35">
      <c r="B4" s="117"/>
    </row>
    <row r="5" spans="1:8" s="114" customFormat="1" ht="16.149999999999999" customHeight="1" x14ac:dyDescent="0.4">
      <c r="A5" s="115"/>
      <c r="B5" s="112" t="str" cm="1">
        <f t="array" ref="B5">INDEX(Texts[],MATCH("id135",Texts[Index],0),idx_lang)&amp;" | "&amp;Data!P5&amp;" | "&amp;Data!T5</f>
        <v>Vergleich der Varianten | -&gt; Gemeinde | 2024</v>
      </c>
      <c r="C5" s="113"/>
      <c r="D5" s="113"/>
      <c r="E5" s="113"/>
      <c r="F5" s="113"/>
      <c r="G5" s="113"/>
      <c r="H5" s="111"/>
    </row>
    <row r="6" spans="1:8" ht="3.75" customHeight="1" x14ac:dyDescent="0.35"/>
    <row r="7" spans="1:8" ht="13.9" x14ac:dyDescent="0.4">
      <c r="B7" s="231"/>
      <c r="C7" s="232" t="str" cm="1">
        <f t="array" ref="C7">INDEX(Texts[],MATCH("id80",Texts[Index],0),idx_lang)</f>
        <v>Scope 1</v>
      </c>
      <c r="D7" s="232" t="str" cm="1">
        <f t="array" ref="D7">INDEX(Texts[],MATCH("id81",Texts[Index],0),idx_lang)</f>
        <v>Scope 1 + 2</v>
      </c>
      <c r="E7" s="232" t="str" cm="1">
        <f t="array" ref="E7">INDEX(Texts[],MATCH("id82",Texts[Index],0),idx_lang)</f>
        <v>Scope 1 + 2 + 3</v>
      </c>
      <c r="F7" s="232" t="str" cm="1">
        <f t="array" ref="F7">INDEX(Texts[],MATCH("id83",Texts[Index],0),idx_lang)</f>
        <v>Energie 1 + 2 + 3</v>
      </c>
      <c r="G7" s="232" t="str" cm="1">
        <f t="array" ref="G7">INDEX(Texts[],MATCH("id84",Texts[Index],0),idx_lang)</f>
        <v>Energie 1 + 2</v>
      </c>
    </row>
    <row r="8" spans="1:8" ht="13.9" x14ac:dyDescent="0.4">
      <c r="B8" s="118"/>
      <c r="C8" s="119" t="str" cm="1">
        <f t="array" ref="C8">INDEX(Texts[],MATCH("id85",Texts[Index],0),idx_lang)</f>
        <v>GHGP</v>
      </c>
      <c r="D8" s="119" t="str" cm="1">
        <f t="array" ref="D8">INDEX(Texts[],MATCH("id85",Texts[Index],0),idx_lang)</f>
        <v>GHGP</v>
      </c>
      <c r="E8" s="119" t="str" cm="1">
        <f t="array" ref="E8">INDEX(Texts[],MATCH("id85",Texts[Index],0),idx_lang)</f>
        <v>GHGP</v>
      </c>
      <c r="F8" s="119" t="str" cm="1">
        <f t="array" ref="F8">INDEX(Texts[],MATCH("id87",Texts[Index],0),idx_lang)</f>
        <v>LK 2000 WG</v>
      </c>
      <c r="G8" s="119" t="str" cm="1">
        <f t="array" ref="G8">INDEX(Texts[],MATCH("id88",Texts[Index],0),idx_lang)</f>
        <v>KISS Netto Null</v>
      </c>
    </row>
    <row r="9" spans="1:8" ht="13.9" x14ac:dyDescent="0.4">
      <c r="B9" s="152" t="str" cm="1">
        <f t="array" ref="B9">INDEX(Texts[],MATCH("id138",Texts[Index],0),idx_lang)</f>
        <v>Datenvollständigkeit</v>
      </c>
      <c r="C9" s="154">
        <f>Results!F5</f>
        <v>0.3125</v>
      </c>
      <c r="D9" s="154">
        <f>Results!I5</f>
        <v>0.31818181818181818</v>
      </c>
      <c r="E9" s="154">
        <f>Results!M5</f>
        <v>0.26923076923076922</v>
      </c>
      <c r="F9" s="154">
        <f>Results!R5</f>
        <v>0.29166666666666669</v>
      </c>
      <c r="G9" s="154">
        <f>Results!AB5</f>
        <v>0.3888888888888889</v>
      </c>
    </row>
    <row r="10" spans="1:8" ht="6" customHeight="1" x14ac:dyDescent="0.4">
      <c r="B10" s="152"/>
      <c r="C10" s="154"/>
      <c r="D10" s="154"/>
      <c r="E10" s="154"/>
      <c r="F10" s="154"/>
      <c r="G10" s="154"/>
    </row>
    <row r="11" spans="1:8" ht="14.25" customHeight="1" x14ac:dyDescent="0.35">
      <c r="B11" s="269" t="str" cm="1">
        <f t="array" ref="B11">INDEX(Texts[],MATCH("id133",Texts[Index],0),idx_lang)</f>
        <v>Scope 3 übrige</v>
      </c>
      <c r="C11" s="270"/>
      <c r="D11" s="270"/>
      <c r="E11" s="270" t="e">
        <f>Results!O70/GraphFaktor</f>
        <v>#DIV/0!</v>
      </c>
      <c r="F11" s="270"/>
      <c r="G11" s="270"/>
    </row>
    <row r="12" spans="1:8" ht="14.25" customHeight="1" x14ac:dyDescent="0.35">
      <c r="B12" s="269" t="str" cm="1">
        <f t="array" ref="B12">INDEX(Texts[],MATCH("id132",Texts[Index],0),idx_lang)</f>
        <v>Scope 1 übrige</v>
      </c>
      <c r="C12" s="270" t="e">
        <f>SUM(Results!F64:F67)/GraphFaktor</f>
        <v>#DIV/0!</v>
      </c>
      <c r="D12" s="270" t="e">
        <f>C12</f>
        <v>#DIV/0!</v>
      </c>
      <c r="E12" s="270" t="e">
        <f>C12</f>
        <v>#DIV/0!</v>
      </c>
      <c r="F12" s="270"/>
      <c r="G12" s="270"/>
    </row>
    <row r="13" spans="1:8" ht="14.25" customHeight="1" x14ac:dyDescent="0.35">
      <c r="B13" s="269" t="str" cm="1">
        <f t="array" ref="B13">INDEX(Texts[],MATCH("id131",Texts[Index],0),idx_lang)</f>
        <v>Scope 3 Energie</v>
      </c>
      <c r="C13" s="270"/>
      <c r="D13" s="270"/>
      <c r="E13" s="270" t="e">
        <f>SUM(Results!O17:O60)/GraphFaktor</f>
        <v>#DIV/0!</v>
      </c>
      <c r="F13" s="270" t="e">
        <f>(Results!Y10-Results!AB10-Results!AC10)/GraphFaktor</f>
        <v>#DIV/0!</v>
      </c>
      <c r="G13" s="270"/>
    </row>
    <row r="14" spans="1:8" ht="14.25" customHeight="1" x14ac:dyDescent="0.35">
      <c r="B14" s="269" t="str" cm="1">
        <f t="array" ref="B14">INDEX(Texts[],MATCH("id130",Texts[Index],0),idx_lang)</f>
        <v>Scope 2 Energie</v>
      </c>
      <c r="C14" s="270"/>
      <c r="D14" s="270" t="e">
        <f>SUM(Results!J23:J49)/GraphFaktor</f>
        <v>#DIV/0!</v>
      </c>
      <c r="E14" s="270" t="e">
        <f>D14</f>
        <v>#DIV/0!</v>
      </c>
      <c r="F14" s="270" t="e">
        <f>D14</f>
        <v>#DIV/0!</v>
      </c>
      <c r="G14" s="270" t="e">
        <f>Results!AC10/GraphFaktor</f>
        <v>#DIV/0!</v>
      </c>
    </row>
    <row r="15" spans="1:8" ht="14.25" customHeight="1" x14ac:dyDescent="0.35">
      <c r="B15" s="269" t="str" cm="1">
        <f t="array" ref="B15">INDEX(Texts[],MATCH("id129",Texts[Index],0),idx_lang)</f>
        <v>Scope 1 Energie</v>
      </c>
      <c r="C15" s="270" t="e">
        <f>SUM(Results!F17:F21:'Results'!F55:F58)/GraphFaktor</f>
        <v>#DIV/0!</v>
      </c>
      <c r="D15" s="270" t="e">
        <f>C15</f>
        <v>#DIV/0!</v>
      </c>
      <c r="E15" s="270" t="e">
        <f>D15</f>
        <v>#DIV/0!</v>
      </c>
      <c r="F15" s="270" t="e">
        <f>C15</f>
        <v>#DIV/0!</v>
      </c>
      <c r="G15" s="270" t="e">
        <f>E15</f>
        <v>#DIV/0!</v>
      </c>
    </row>
  </sheetData>
  <sheetProtection sheet="1" objects="1" scenarios="1"/>
  <conditionalFormatting sqref="C9:G9">
    <cfRule type="cellIs" dxfId="8" priority="1" operator="lessThan">
      <formula>1</formula>
    </cfRule>
    <cfRule type="cellIs" dxfId="7" priority="2" operator="equal">
      <formula>1</formula>
    </cfRule>
  </conditionalFormatting>
  <pageMargins left="0.39370078740157483" right="0.39370078740157483" top="0.39370078740157483" bottom="0.39370078740157483" header="0.31496062992125984" footer="0.31496062992125984"/>
  <pageSetup paperSize="9" scale="90" orientation="landscape" verticalDpi="0" r:id="rId1"/>
  <drawing r:id="rId2"/>
  <extLst>
    <ext xmlns:x14="http://schemas.microsoft.com/office/spreadsheetml/2009/9/main" uri="{78C0D931-6437-407d-A8EE-F0AAD7539E65}">
      <x14:conditionalFormattings>
        <x14:conditionalFormatting xmlns:xm="http://schemas.microsoft.com/office/excel/2006/main">
          <x14:cfRule type="expression" priority="49" id="{FA3ABB5C-F724-44B7-9392-F12C4DC88FCD}">
            <xm:f>$C$3=Calculation!$C$18</xm:f>
            <x14:dxf>
              <numFmt numFmtId="3" formatCode="#,##0"/>
            </x14:dxf>
          </x14:cfRule>
          <xm:sqref>C11:G15</xm:sqref>
        </x14:conditionalFormatting>
      </x14:conditionalFormattings>
    </ext>
    <ext xmlns:x14="http://schemas.microsoft.com/office/spreadsheetml/2009/9/main" uri="{CCE6A557-97BC-4b89-ADB6-D9C93CAAB3DF}">
      <x14:dataValidations xmlns:xm="http://schemas.microsoft.com/office/excel/2006/main" count="1">
        <x14:dataValidation type="list" showInputMessage="1" showErrorMessage="1" xr:uid="{17572280-3009-4EE2-B92F-4B927B0AA44B}">
          <x14:formula1>
            <xm:f>Calculation!$C$18:$C$19</xm:f>
          </x14:formula1>
          <xm:sqref>B4 C3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1FDCEE-671B-4509-997B-15799476DB3C}">
  <sheetPr codeName="Tabelle5">
    <tabColor rgb="FFCAD2D9"/>
  </sheetPr>
  <dimension ref="A1:AE29"/>
  <sheetViews>
    <sheetView zoomScaleNormal="100" workbookViewId="0">
      <selection activeCell="G11" sqref="G11"/>
    </sheetView>
  </sheetViews>
  <sheetFormatPr baseColWidth="10" defaultColWidth="11.59765625" defaultRowHeight="13.5" x14ac:dyDescent="0.35"/>
  <cols>
    <col min="1" max="1" width="2.73046875" style="98" customWidth="1"/>
    <col min="2" max="2" width="44.59765625" style="98" customWidth="1"/>
    <col min="3" max="3" width="2.59765625" style="98" customWidth="1"/>
    <col min="4" max="6" width="11.3984375" style="106"/>
    <col min="7" max="7" width="10.86328125" style="106" customWidth="1"/>
    <col min="8" max="8" width="3" style="98" customWidth="1"/>
    <col min="9" max="10" width="11.59765625" style="106"/>
    <col min="11" max="11" width="4" style="106" customWidth="1"/>
    <col min="12" max="12" width="15.86328125" style="106" customWidth="1"/>
    <col min="13" max="14" width="16.3984375" style="106" customWidth="1"/>
    <col min="15" max="15" width="15.73046875" style="98" customWidth="1"/>
    <col min="16" max="16" width="4.59765625" style="98" customWidth="1"/>
    <col min="17" max="17" width="10.1328125" style="98" customWidth="1"/>
    <col min="18" max="18" width="33.86328125" style="98" customWidth="1"/>
    <col min="19" max="16384" width="11.59765625" style="98"/>
  </cols>
  <sheetData>
    <row r="1" spans="1:31" s="2" customFormat="1" ht="23.25" customHeight="1" x14ac:dyDescent="0.6">
      <c r="A1" s="17"/>
      <c r="B1" s="28" t="str" cm="1">
        <f t="array" ref="B1">INDEX(Texts[],MATCH("id61",Texts[Index],0),idx_lang)</f>
        <v>KISS NETTO NULL Bilanz</v>
      </c>
      <c r="C1" s="28"/>
      <c r="D1" s="17"/>
      <c r="E1" s="17"/>
      <c r="F1" s="17"/>
      <c r="G1" s="17"/>
      <c r="H1" s="17"/>
      <c r="I1" s="17"/>
      <c r="J1" s="17"/>
      <c r="K1" s="17"/>
      <c r="L1" s="39" t="str" cm="1">
        <f t="array" ref="L1">INDEX(Texts[],MATCH("id62",Texts[Index],0),idx_lang)</f>
        <v>Version</v>
      </c>
      <c r="M1" s="37" t="str">
        <f>Intro!$C$10</f>
        <v>1.8 | 03.11.2025</v>
      </c>
      <c r="N1" s="37"/>
      <c r="O1" s="14"/>
      <c r="P1" s="14"/>
      <c r="Q1" s="17"/>
      <c r="R1" s="17"/>
      <c r="S1" s="17"/>
      <c r="T1" s="17"/>
      <c r="U1" s="17"/>
      <c r="V1" s="17"/>
      <c r="W1" s="17"/>
      <c r="X1" s="17"/>
      <c r="Y1" s="17"/>
      <c r="Z1" s="17"/>
      <c r="AA1" s="17"/>
      <c r="AB1" s="17"/>
    </row>
    <row r="2" spans="1:31" s="2" customFormat="1" ht="23.25" customHeight="1" x14ac:dyDescent="0.4">
      <c r="A2" s="199"/>
      <c r="B2" s="199"/>
      <c r="C2" s="199"/>
      <c r="D2" s="199"/>
      <c r="E2" s="199"/>
      <c r="F2" s="199"/>
      <c r="G2" s="199"/>
      <c r="H2" s="199"/>
      <c r="I2" s="199"/>
      <c r="J2" s="199"/>
      <c r="K2" s="199"/>
      <c r="L2" s="200"/>
      <c r="M2" s="200"/>
      <c r="N2" s="200"/>
      <c r="O2" s="199"/>
      <c r="P2" s="199"/>
      <c r="Q2" s="199"/>
      <c r="R2" s="199"/>
      <c r="S2" s="199"/>
      <c r="T2" s="199"/>
      <c r="U2" s="199"/>
      <c r="V2" s="199"/>
      <c r="W2" s="199"/>
      <c r="X2" s="199"/>
      <c r="Y2" s="199"/>
      <c r="Z2" s="199"/>
      <c r="AA2" s="199"/>
      <c r="AB2" s="199"/>
      <c r="AC2" s="201"/>
      <c r="AD2" s="202"/>
      <c r="AE2" s="202"/>
    </row>
    <row r="3" spans="1:31" s="2" customFormat="1" ht="13.15" x14ac:dyDescent="0.4">
      <c r="B3" s="203"/>
      <c r="C3" s="204"/>
      <c r="D3" s="349" t="str" cm="1">
        <f t="array" ref="D3">INDEX(Texts[],MATCH("id72",Texts[Index],0),idx_lang)</f>
        <v>BAFU Faktoren (KlG)</v>
      </c>
      <c r="E3" s="349"/>
      <c r="F3" s="349"/>
      <c r="G3" s="50"/>
      <c r="I3" s="351" t="str" cm="1">
        <f t="array" ref="I3">INDEX(Texts[],MATCH("id134",Texts[Index],0),idx_lang)</f>
        <v>KISS Faktoren</v>
      </c>
      <c r="J3" s="352"/>
      <c r="K3" s="6"/>
      <c r="L3" s="351" t="s">
        <v>2399</v>
      </c>
      <c r="M3" s="349"/>
      <c r="N3" s="349"/>
      <c r="O3" s="352"/>
      <c r="P3" s="6"/>
    </row>
    <row r="4" spans="1:31" s="2" customFormat="1" ht="29.25" customHeight="1" x14ac:dyDescent="0.5">
      <c r="B4" s="205"/>
      <c r="D4" s="3" t="s">
        <v>22</v>
      </c>
      <c r="E4" s="3" t="s">
        <v>2381</v>
      </c>
      <c r="F4" s="3" t="s">
        <v>2380</v>
      </c>
      <c r="G4" s="38" t="s">
        <v>52</v>
      </c>
      <c r="H4" s="4"/>
      <c r="I4" s="40" t="s">
        <v>22</v>
      </c>
      <c r="J4" s="38" t="s">
        <v>2381</v>
      </c>
      <c r="K4" s="3"/>
      <c r="L4" s="40" t="str" cm="1">
        <f t="array" ref="L4">INDEX(Texts[],MATCH("id68",Texts[Index],0),idx_lang)</f>
        <v>Primärenergie</v>
      </c>
      <c r="M4" s="3" t="s">
        <v>2412</v>
      </c>
      <c r="N4" s="281" t="str" cm="1">
        <f t="array" ref="N4">INDEX(Texts[],MATCH("id175",Texts[Index],0),idx_lang)</f>
        <v>Erneuerbare Endenergie</v>
      </c>
      <c r="O4" s="280" t="str" cm="1">
        <f t="array" ref="O4">INDEX(Texts[],MATCH("id171",Texts[Index],0),idx_lang)</f>
        <v>Erneuerbare Primärenergie</v>
      </c>
      <c r="P4" s="3"/>
    </row>
    <row r="5" spans="1:31" s="2" customFormat="1" ht="13.15" x14ac:dyDescent="0.4">
      <c r="B5" s="34" t="str" cm="1">
        <f t="array" ref="B5">INDEX(Texts[],MATCH("id15",Texts[Index],0),idx_lang)</f>
        <v>Wärme</v>
      </c>
      <c r="C5" s="19"/>
      <c r="D5" s="350" t="s">
        <v>2411</v>
      </c>
      <c r="E5" s="350"/>
      <c r="F5" s="350"/>
      <c r="G5" s="161"/>
      <c r="I5" s="353" t="s">
        <v>2411</v>
      </c>
      <c r="J5" s="354"/>
      <c r="K5" s="3"/>
      <c r="L5" s="163"/>
      <c r="M5" s="24"/>
      <c r="N5" s="24"/>
      <c r="O5" s="161"/>
      <c r="P5" s="3"/>
    </row>
    <row r="6" spans="1:31" s="2" customFormat="1" ht="12.75" x14ac:dyDescent="0.35">
      <c r="B6" s="35" t="str" cm="1">
        <f t="array" ref="B6">INDEX(Texts[],MATCH("id18",Texts[Index],0),idx_lang)</f>
        <v>Heizöl</v>
      </c>
      <c r="C6" s="7"/>
      <c r="D6" s="206">
        <v>0.26532</v>
      </c>
      <c r="E6" s="206">
        <v>0</v>
      </c>
      <c r="F6" s="206">
        <v>9.1627646399999998E-2</v>
      </c>
      <c r="G6" s="207">
        <f>SUM(D6:F6)</f>
        <v>0.35694764639999998</v>
      </c>
      <c r="I6" s="208">
        <v>0.26532</v>
      </c>
      <c r="J6" s="207">
        <v>0</v>
      </c>
      <c r="K6" s="206"/>
      <c r="L6" s="40">
        <v>1.26</v>
      </c>
      <c r="M6" s="206">
        <v>0.32400000000000001</v>
      </c>
      <c r="N6" s="282">
        <v>0</v>
      </c>
      <c r="O6" s="272">
        <v>8.5000000000000006E-3</v>
      </c>
      <c r="P6" s="271"/>
      <c r="Q6" s="216">
        <v>41.000999999999998</v>
      </c>
      <c r="R6" s="2" t="s">
        <v>2945</v>
      </c>
    </row>
    <row r="7" spans="1:31" s="2" customFormat="1" ht="12.75" x14ac:dyDescent="0.35">
      <c r="B7" s="35" t="str" cm="1">
        <f t="array" ref="B7">INDEX(Texts[],MATCH("id19",Texts[Index],0),idx_lang)</f>
        <v>Gas</v>
      </c>
      <c r="C7" s="7"/>
      <c r="D7" s="206">
        <v>0.2016</v>
      </c>
      <c r="E7" s="206">
        <v>0</v>
      </c>
      <c r="F7" s="206">
        <v>7.0853433163199999E-4</v>
      </c>
      <c r="G7" s="207">
        <f>SUM(D7:F7)</f>
        <v>0.20230853433163201</v>
      </c>
      <c r="I7" s="208">
        <v>0.2016</v>
      </c>
      <c r="J7" s="207">
        <v>0</v>
      </c>
      <c r="K7" s="206"/>
      <c r="L7" s="40">
        <v>1.05</v>
      </c>
      <c r="M7" s="206">
        <v>0.23</v>
      </c>
      <c r="N7" s="282">
        <v>0</v>
      </c>
      <c r="O7" s="273">
        <v>3.0000000000000001E-3</v>
      </c>
      <c r="P7" s="271"/>
      <c r="Q7" s="216">
        <v>41.002000000000002</v>
      </c>
      <c r="R7" s="2" t="s">
        <v>2946</v>
      </c>
    </row>
    <row r="8" spans="1:31" s="2" customFormat="1" ht="12.75" x14ac:dyDescent="0.35">
      <c r="B8" s="35" t="str" cm="1">
        <f t="array" ref="B8">INDEX(Texts[],MATCH("id113",Texts[Index],0),idx_lang)</f>
        <v>Fernwärme Durchschnitt nicht erneuerbar</v>
      </c>
      <c r="C8" s="7"/>
      <c r="D8" s="206">
        <v>0</v>
      </c>
      <c r="E8" s="206">
        <v>0.19747862107997327</v>
      </c>
      <c r="F8" s="206">
        <v>8.5901671944000008E-4</v>
      </c>
      <c r="G8" s="207">
        <f>SUM(D8:F8)</f>
        <v>0.19833763779941327</v>
      </c>
      <c r="I8" s="208">
        <v>0</v>
      </c>
      <c r="J8" s="207">
        <f>E8</f>
        <v>0.19747862107997327</v>
      </c>
      <c r="K8" s="206"/>
      <c r="L8" s="209">
        <v>0.69448333333333334</v>
      </c>
      <c r="M8" s="206">
        <v>0.15759333333333334</v>
      </c>
      <c r="N8" s="282">
        <v>0</v>
      </c>
      <c r="O8" s="273"/>
      <c r="P8" s="271"/>
    </row>
    <row r="9" spans="1:31" s="2" customFormat="1" ht="12.75" x14ac:dyDescent="0.35">
      <c r="B9" s="35" t="str" cm="1">
        <f t="array" ref="B9">INDEX(Texts[],MATCH("id114",Texts[Index],0),idx_lang)</f>
        <v>Fernwärme Durchschnitt erneuerbar</v>
      </c>
      <c r="C9" s="7"/>
      <c r="D9" s="206">
        <v>0</v>
      </c>
      <c r="E9" s="206">
        <v>3.5366843242285714E-2</v>
      </c>
      <c r="F9" s="206">
        <v>3.1937556548571424E-3</v>
      </c>
      <c r="G9" s="207">
        <f>SUM(D9:F9)</f>
        <v>3.8560598897142855E-2</v>
      </c>
      <c r="I9" s="208">
        <v>0</v>
      </c>
      <c r="J9" s="207">
        <v>0</v>
      </c>
      <c r="K9" s="206"/>
      <c r="L9" s="209">
        <v>0.97713333333333352</v>
      </c>
      <c r="M9" s="206">
        <v>3.3127777777777784E-2</v>
      </c>
      <c r="N9" s="282">
        <v>1</v>
      </c>
      <c r="O9" s="273"/>
      <c r="P9" s="271"/>
    </row>
    <row r="10" spans="1:31" s="2" customFormat="1" ht="12.75" x14ac:dyDescent="0.35">
      <c r="B10" s="35" t="str" cm="1">
        <f t="array" ref="B10">INDEX(Texts[],MATCH("id177",Texts[Index],0),idx_lang)</f>
        <v>Heizzentrale EWP</v>
      </c>
      <c r="C10" s="7"/>
      <c r="D10" s="206">
        <v>0</v>
      </c>
      <c r="E10" s="206">
        <v>4.9724736119999995E-2</v>
      </c>
      <c r="F10" s="206">
        <v>4.9350200759999997E-3</v>
      </c>
      <c r="G10" s="207">
        <f>SUM(D10:F10)</f>
        <v>5.4659756195999998E-2</v>
      </c>
      <c r="I10" s="208">
        <v>0</v>
      </c>
      <c r="J10" s="207">
        <v>0</v>
      </c>
      <c r="K10" s="206"/>
      <c r="L10" s="209">
        <f>0.967+0.795</f>
        <v>1.762</v>
      </c>
      <c r="M10" s="206">
        <v>5.6000000000000001E-2</v>
      </c>
      <c r="N10" s="282">
        <v>0.55000000000000004</v>
      </c>
      <c r="O10" s="273">
        <v>0.54900000000000004</v>
      </c>
      <c r="P10" s="271"/>
      <c r="Q10" s="48" t="s">
        <v>2863</v>
      </c>
      <c r="R10" s="2" t="s">
        <v>2864</v>
      </c>
    </row>
    <row r="11" spans="1:31" s="2" customFormat="1" ht="12.75" x14ac:dyDescent="0.35">
      <c r="B11" s="35" t="str" cm="1">
        <f t="array" ref="B11">INDEX(Texts[],MATCH("id78",Texts[Index],0),idx_lang)</f>
        <v>Biogas</v>
      </c>
      <c r="C11" s="7"/>
      <c r="D11" s="206"/>
      <c r="E11" s="206"/>
      <c r="F11" s="206"/>
      <c r="G11" s="207"/>
      <c r="I11" s="208">
        <v>0</v>
      </c>
      <c r="J11" s="207">
        <v>0</v>
      </c>
      <c r="K11" s="206"/>
      <c r="L11" s="209">
        <v>0.32</v>
      </c>
      <c r="M11" s="206">
        <v>0.124</v>
      </c>
      <c r="N11" s="282">
        <v>1</v>
      </c>
      <c r="O11" s="273">
        <v>0.32800000000000001</v>
      </c>
      <c r="P11" s="271"/>
      <c r="Q11" s="216">
        <v>41.009</v>
      </c>
      <c r="R11" s="2" t="s">
        <v>2413</v>
      </c>
    </row>
    <row r="12" spans="1:31" s="2" customFormat="1" ht="12.75" x14ac:dyDescent="0.35">
      <c r="B12" s="35" t="str" cm="1">
        <f t="array" ref="B12">INDEX(Texts[],MATCH("id25",Texts[Index],0),idx_lang)</f>
        <v>Holz</v>
      </c>
      <c r="C12" s="7"/>
      <c r="D12" s="206">
        <v>0</v>
      </c>
      <c r="E12" s="206">
        <v>0</v>
      </c>
      <c r="F12" s="206">
        <f>(0.01705 + 0.03492)/2</f>
        <v>2.5985000000000001E-2</v>
      </c>
      <c r="G12" s="207">
        <f>SUM(D12:F12)</f>
        <v>2.5985000000000001E-2</v>
      </c>
      <c r="H12" s="4"/>
      <c r="I12" s="208">
        <v>0</v>
      </c>
      <c r="J12" s="207">
        <v>0</v>
      </c>
      <c r="K12" s="206"/>
      <c r="L12" s="40">
        <v>1.41</v>
      </c>
      <c r="M12" s="206">
        <v>0.03</v>
      </c>
      <c r="N12" s="282">
        <v>1</v>
      </c>
      <c r="O12" s="273">
        <v>0.92249999999999999</v>
      </c>
      <c r="P12" s="271"/>
    </row>
    <row r="13" spans="1:31" s="2" customFormat="1" ht="12.75" x14ac:dyDescent="0.35">
      <c r="B13" s="35" t="str" cm="1">
        <f t="array" ref="B13">INDEX(Texts[],MATCH("id26",Texts[Index],0),idx_lang)</f>
        <v>Wärmepumpe</v>
      </c>
      <c r="C13" s="7"/>
      <c r="D13" s="3" t="s">
        <v>2648</v>
      </c>
      <c r="E13" s="3" t="s">
        <v>2648</v>
      </c>
      <c r="F13" s="3" t="s">
        <v>2648</v>
      </c>
      <c r="G13" s="207" t="s">
        <v>2648</v>
      </c>
      <c r="I13" s="40" t="s">
        <v>2648</v>
      </c>
      <c r="J13" s="38" t="s">
        <v>2648</v>
      </c>
      <c r="K13" s="3"/>
      <c r="L13" s="40"/>
      <c r="M13" s="206"/>
      <c r="N13" s="282"/>
      <c r="O13" s="273"/>
      <c r="P13" s="271"/>
    </row>
    <row r="14" spans="1:31" s="2" customFormat="1" ht="12.75" x14ac:dyDescent="0.35">
      <c r="B14" s="35" t="str" cm="1">
        <f t="array" ref="B14">INDEX(Texts[],MATCH("id27",Texts[Index],0),idx_lang)</f>
        <v>Sonnenkollektor</v>
      </c>
      <c r="C14" s="7"/>
      <c r="D14" s="3" t="s">
        <v>2648</v>
      </c>
      <c r="E14" s="3" t="s">
        <v>2648</v>
      </c>
      <c r="F14" s="3" t="s">
        <v>2648</v>
      </c>
      <c r="G14" s="207" t="s">
        <v>2648</v>
      </c>
      <c r="I14" s="40" t="s">
        <v>2648</v>
      </c>
      <c r="J14" s="38" t="s">
        <v>2648</v>
      </c>
      <c r="K14" s="3"/>
      <c r="L14" s="209">
        <v>1.6</v>
      </c>
      <c r="M14" s="206">
        <v>3.6000000000000004E-2</v>
      </c>
      <c r="N14" s="282">
        <v>1</v>
      </c>
      <c r="O14" s="273">
        <v>0.89180000000000004</v>
      </c>
      <c r="P14" s="271"/>
    </row>
    <row r="15" spans="1:31" s="2" customFormat="1" ht="12.75" x14ac:dyDescent="0.35">
      <c r="B15" s="35" t="str" cm="1">
        <f t="array" ref="B15">INDEX(Texts[],MATCH("id28",Texts[Index],0),idx_lang)</f>
        <v>Abwärme</v>
      </c>
      <c r="C15" s="7"/>
      <c r="D15" s="3" t="s">
        <v>2648</v>
      </c>
      <c r="E15" s="3" t="s">
        <v>2648</v>
      </c>
      <c r="F15" s="3" t="s">
        <v>2648</v>
      </c>
      <c r="G15" s="207" t="s">
        <v>2648</v>
      </c>
      <c r="I15" s="40" t="s">
        <v>2648</v>
      </c>
      <c r="J15" s="38" t="s">
        <v>2648</v>
      </c>
      <c r="K15" s="3"/>
      <c r="L15" s="209">
        <v>0</v>
      </c>
      <c r="M15" s="206">
        <v>0</v>
      </c>
      <c r="N15" s="282">
        <v>1</v>
      </c>
      <c r="O15" s="273">
        <v>1</v>
      </c>
      <c r="P15" s="271"/>
    </row>
    <row r="16" spans="1:31" s="2" customFormat="1" ht="12.75" x14ac:dyDescent="0.35">
      <c r="B16" s="35"/>
      <c r="C16" s="7"/>
      <c r="D16" s="3"/>
      <c r="E16" s="3"/>
      <c r="F16" s="3"/>
      <c r="G16" s="38"/>
      <c r="I16" s="40"/>
      <c r="J16" s="38"/>
      <c r="K16" s="3"/>
      <c r="L16" s="40"/>
      <c r="M16" s="206"/>
      <c r="N16" s="282"/>
      <c r="O16" s="273"/>
      <c r="P16" s="271"/>
    </row>
    <row r="17" spans="2:18" s="2" customFormat="1" ht="13.15" x14ac:dyDescent="0.4">
      <c r="B17" s="34" t="str" cm="1">
        <f t="array" ref="B17">INDEX(Texts[],MATCH("id29",Texts[Index],0),idx_lang)</f>
        <v>Strom</v>
      </c>
      <c r="C17" s="19"/>
      <c r="D17" s="24"/>
      <c r="E17" s="24"/>
      <c r="F17" s="24"/>
      <c r="G17" s="161"/>
      <c r="I17" s="163"/>
      <c r="J17" s="161"/>
      <c r="K17" s="3"/>
      <c r="L17" s="163"/>
      <c r="M17" s="322"/>
      <c r="N17" s="283"/>
      <c r="O17" s="274"/>
      <c r="P17" s="271"/>
    </row>
    <row r="18" spans="2:18" s="2" customFormat="1" ht="12.75" x14ac:dyDescent="0.35">
      <c r="B18" s="35" t="str" cm="1">
        <f t="array" ref="B18">INDEX(Texts[],MATCH("id117",Texts[Index],0),idx_lang)</f>
        <v>Erneuerbarer Strom aus der Schweiz</v>
      </c>
      <c r="C18" s="7"/>
      <c r="D18" s="3">
        <v>0</v>
      </c>
      <c r="E18" s="206">
        <v>8.0000000000000002E-3</v>
      </c>
      <c r="F18" s="206">
        <v>7.269070697126576E-3</v>
      </c>
      <c r="G18" s="207">
        <f>SUM(D18:F18)</f>
        <v>1.5269070697126576E-2</v>
      </c>
      <c r="I18" s="40">
        <v>0</v>
      </c>
      <c r="J18" s="38">
        <v>0</v>
      </c>
      <c r="K18" s="3"/>
      <c r="L18" s="40">
        <v>1.19</v>
      </c>
      <c r="M18" s="206">
        <v>1.55E-2</v>
      </c>
      <c r="N18" s="282">
        <v>1</v>
      </c>
      <c r="O18" s="273">
        <v>0.97199999999999998</v>
      </c>
      <c r="P18" s="271"/>
      <c r="Q18" s="4">
        <v>45.021999999999998</v>
      </c>
      <c r="R18" s="2" t="s">
        <v>2683</v>
      </c>
    </row>
    <row r="19" spans="2:18" s="2" customFormat="1" ht="12.75" x14ac:dyDescent="0.35">
      <c r="B19" s="35" t="str" cm="1">
        <f t="array" ref="B19">INDEX(Texts[],MATCH("id118",Texts[Index],0),idx_lang)</f>
        <v>ENTSO-E-Mix</v>
      </c>
      <c r="C19" s="7"/>
      <c r="D19" s="3">
        <v>0</v>
      </c>
      <c r="E19" s="206">
        <v>0.52229999999999999</v>
      </c>
      <c r="F19" s="206">
        <v>7.3000000000000001E-3</v>
      </c>
      <c r="G19" s="207">
        <f>SUM(D19:F19)</f>
        <v>0.52959999999999996</v>
      </c>
      <c r="I19" s="40">
        <v>0</v>
      </c>
      <c r="J19" s="207">
        <v>0.52229999999999999</v>
      </c>
      <c r="K19" s="206"/>
      <c r="L19" s="40">
        <v>3.16</v>
      </c>
      <c r="M19" s="206">
        <v>0.52300000000000002</v>
      </c>
      <c r="N19" s="302">
        <v>9.1499999999999998E-2</v>
      </c>
      <c r="O19" s="273">
        <v>9.1499999999999998E-2</v>
      </c>
      <c r="P19" s="271"/>
      <c r="Q19" s="4">
        <v>45.021000000000001</v>
      </c>
      <c r="R19" s="2" t="s">
        <v>2679</v>
      </c>
    </row>
    <row r="20" spans="2:18" s="2" customFormat="1" ht="12.75" x14ac:dyDescent="0.35">
      <c r="B20" s="35" t="str" cm="1">
        <f t="array" ref="B20">INDEX(Texts[],MATCH("id172",Texts[Index],0),idx_lang)</f>
        <v>CH-Verbrauchermix</v>
      </c>
      <c r="C20" s="7"/>
      <c r="D20" s="3" t="s">
        <v>2648</v>
      </c>
      <c r="E20" s="3" t="s">
        <v>2648</v>
      </c>
      <c r="F20" s="3" t="s">
        <v>2648</v>
      </c>
      <c r="G20" s="207"/>
      <c r="I20" s="40">
        <v>0</v>
      </c>
      <c r="J20" s="207">
        <v>0</v>
      </c>
      <c r="K20" s="206"/>
      <c r="L20" s="40">
        <v>2.65</v>
      </c>
      <c r="M20" s="206">
        <v>0.125</v>
      </c>
      <c r="N20" s="302">
        <v>0.51500000000000001</v>
      </c>
      <c r="O20" s="273">
        <v>0.215</v>
      </c>
      <c r="P20" s="271"/>
      <c r="Q20" s="216" t="s">
        <v>2852</v>
      </c>
      <c r="R20" s="2" t="s">
        <v>2850</v>
      </c>
    </row>
    <row r="21" spans="2:18" s="2" customFormat="1" ht="12.75" x14ac:dyDescent="0.35">
      <c r="B21" s="35" t="str" cm="1">
        <f t="array" ref="B21">INDEX(Texts[],MATCH("id32",Texts[Index],0),idx_lang)</f>
        <v>PV Gesamte Produktion</v>
      </c>
      <c r="C21" s="7"/>
      <c r="D21" s="3" t="s">
        <v>2648</v>
      </c>
      <c r="E21" s="3" t="s">
        <v>2648</v>
      </c>
      <c r="F21" s="3" t="s">
        <v>2648</v>
      </c>
      <c r="G21" s="38"/>
      <c r="I21" s="40" t="s">
        <v>2648</v>
      </c>
      <c r="J21" s="38" t="s">
        <v>2648</v>
      </c>
      <c r="K21" s="3"/>
      <c r="L21" s="40">
        <v>1.22</v>
      </c>
      <c r="M21" s="206">
        <v>3.6799999999999999E-2</v>
      </c>
      <c r="N21" s="282">
        <v>1</v>
      </c>
      <c r="O21" s="273">
        <v>0.89300000000000002</v>
      </c>
      <c r="P21" s="271"/>
      <c r="Q21" s="2" t="s">
        <v>2578</v>
      </c>
      <c r="R21" s="2" t="s">
        <v>2579</v>
      </c>
    </row>
    <row r="22" spans="2:18" s="2" customFormat="1" ht="12.75" x14ac:dyDescent="0.35">
      <c r="B22" s="36"/>
      <c r="C22" s="4"/>
      <c r="D22" s="3"/>
      <c r="E22" s="3"/>
      <c r="F22" s="3"/>
      <c r="G22" s="38"/>
      <c r="I22" s="40"/>
      <c r="J22" s="38"/>
      <c r="K22" s="3"/>
      <c r="L22" s="40"/>
      <c r="M22" s="206"/>
      <c r="N22" s="282"/>
      <c r="O22" s="273"/>
      <c r="P22" s="3"/>
    </row>
    <row r="23" spans="2:18" s="2" customFormat="1" ht="13.15" x14ac:dyDescent="0.4">
      <c r="B23" s="34" t="str" cm="1">
        <f t="array" ref="B23">INDEX(Texts[],MATCH("id33",Texts[Index],0),idx_lang)</f>
        <v>Mobilität</v>
      </c>
      <c r="C23" s="19"/>
      <c r="D23" s="24"/>
      <c r="E23" s="24"/>
      <c r="F23" s="24"/>
      <c r="G23" s="161"/>
      <c r="I23" s="163"/>
      <c r="J23" s="161"/>
      <c r="K23" s="3"/>
      <c r="L23" s="163"/>
      <c r="M23" s="322"/>
      <c r="N23" s="283"/>
      <c r="O23" s="274"/>
      <c r="P23" s="271"/>
    </row>
    <row r="24" spans="2:18" s="2" customFormat="1" ht="12.75" x14ac:dyDescent="0.35">
      <c r="B24" s="35" t="str" cm="1">
        <f t="array" ref="B24">INDEX(Texts[],MATCH("id35",Texts[Index],0),idx_lang)</f>
        <v>Benzin</v>
      </c>
      <c r="C24" s="7"/>
      <c r="D24" s="206" t="s">
        <v>2648</v>
      </c>
      <c r="E24" s="206" t="s">
        <v>2648</v>
      </c>
      <c r="F24" s="206" t="s">
        <v>2648</v>
      </c>
      <c r="G24" s="38" t="s">
        <v>2648</v>
      </c>
      <c r="I24" s="208" t="s">
        <v>2648</v>
      </c>
      <c r="J24" s="207" t="s">
        <v>2648</v>
      </c>
      <c r="K24" s="206"/>
      <c r="L24" s="40">
        <v>1.28</v>
      </c>
      <c r="M24" s="206">
        <v>0.33800000000000002</v>
      </c>
      <c r="N24" s="282">
        <v>0</v>
      </c>
      <c r="O24" s="273">
        <v>1.8800000000000001E-2</v>
      </c>
      <c r="P24" s="271"/>
      <c r="Q24" s="48" t="s">
        <v>2636</v>
      </c>
      <c r="R24" s="2" t="s">
        <v>2634</v>
      </c>
    </row>
    <row r="25" spans="2:18" s="2" customFormat="1" ht="12.75" x14ac:dyDescent="0.35">
      <c r="B25" s="35" t="str" cm="1">
        <f t="array" ref="B25">INDEX(Texts[],MATCH("id36",Texts[Index],0),idx_lang)</f>
        <v>Diesel</v>
      </c>
      <c r="C25" s="7"/>
      <c r="D25" s="206" t="s">
        <v>2648</v>
      </c>
      <c r="E25" s="206" t="s">
        <v>2648</v>
      </c>
      <c r="F25" s="206" t="s">
        <v>2648</v>
      </c>
      <c r="G25" s="38" t="s">
        <v>2648</v>
      </c>
      <c r="I25" s="208" t="s">
        <v>2648</v>
      </c>
      <c r="J25" s="207" t="s">
        <v>2648</v>
      </c>
      <c r="K25" s="206"/>
      <c r="L25" s="209">
        <v>1.2</v>
      </c>
      <c r="M25" s="206">
        <v>0.32800000000000001</v>
      </c>
      <c r="N25" s="282">
        <v>0</v>
      </c>
      <c r="O25" s="273">
        <v>4.4000000000000003E-3</v>
      </c>
      <c r="P25" s="271"/>
      <c r="Q25" s="48" t="s">
        <v>2637</v>
      </c>
      <c r="R25" s="2" t="s">
        <v>2635</v>
      </c>
    </row>
    <row r="26" spans="2:18" s="2" customFormat="1" ht="12.75" x14ac:dyDescent="0.35">
      <c r="B26" s="35" t="str" cm="1">
        <f t="array" ref="B26">INDEX(Texts[],MATCH("id37",Texts[Index],0),idx_lang)</f>
        <v>100% Elektro</v>
      </c>
      <c r="C26" s="7"/>
      <c r="D26" s="3" t="s">
        <v>2648</v>
      </c>
      <c r="E26" s="3" t="s">
        <v>2648</v>
      </c>
      <c r="F26" s="3" t="s">
        <v>2648</v>
      </c>
      <c r="G26" s="38" t="s">
        <v>2648</v>
      </c>
      <c r="I26" s="40" t="s">
        <v>2648</v>
      </c>
      <c r="J26" s="38" t="s">
        <v>2648</v>
      </c>
      <c r="K26" s="3"/>
      <c r="L26" s="40"/>
      <c r="M26" s="206"/>
      <c r="N26" s="282"/>
      <c r="O26" s="273"/>
      <c r="P26" s="271"/>
    </row>
    <row r="27" spans="2:18" s="2" customFormat="1" ht="12.75" x14ac:dyDescent="0.35">
      <c r="B27" s="35" t="str" cm="1">
        <f t="array" ref="B27">INDEX(Texts[],MATCH("id38",Texts[Index],0),idx_lang)</f>
        <v>Weiteres</v>
      </c>
      <c r="C27" s="7"/>
      <c r="D27" s="3" t="s">
        <v>2648</v>
      </c>
      <c r="E27" s="3" t="s">
        <v>2648</v>
      </c>
      <c r="F27" s="3" t="s">
        <v>2648</v>
      </c>
      <c r="G27" s="38" t="s">
        <v>2648</v>
      </c>
      <c r="I27" s="40" t="s">
        <v>2648</v>
      </c>
      <c r="J27" s="38" t="s">
        <v>2648</v>
      </c>
      <c r="K27" s="3"/>
      <c r="L27" s="40">
        <v>1.46</v>
      </c>
      <c r="M27" s="206">
        <v>0.33500000000000002</v>
      </c>
      <c r="N27" s="282">
        <v>0</v>
      </c>
      <c r="O27" s="273">
        <v>5.1499999999999997E-2</v>
      </c>
      <c r="P27" s="271"/>
      <c r="Q27" s="2" t="s">
        <v>2589</v>
      </c>
      <c r="R27" s="2" t="s">
        <v>2590</v>
      </c>
    </row>
    <row r="28" spans="2:18" s="2" customFormat="1" ht="12.75" x14ac:dyDescent="0.35">
      <c r="B28" s="51" t="str" cm="1">
        <f t="array" ref="B28">INDEX(Texts[],MATCH("id39",Texts[Index],0),idx_lang)</f>
        <v>Strassengüter-, Bahn-, Schiff- und Flugverkehr</v>
      </c>
      <c r="C28" s="25"/>
      <c r="D28" s="24">
        <v>0</v>
      </c>
      <c r="E28" s="24">
        <v>0</v>
      </c>
      <c r="F28" s="24"/>
      <c r="G28" s="161"/>
      <c r="I28" s="163" t="s">
        <v>2648</v>
      </c>
      <c r="J28" s="161" t="s">
        <v>2648</v>
      </c>
      <c r="K28" s="3"/>
      <c r="L28" s="304">
        <f>Zuschlag_PrimEnergie_Verkehr/Zuschlag_EndEnergie_Verkehr</f>
        <v>1.4687203791469194</v>
      </c>
      <c r="M28" s="322">
        <f>Zuschlag_tCO2_Verkehr/Zuschlag_EndEnergie_Verkehr*1000</f>
        <v>0.43127962085308058</v>
      </c>
      <c r="N28" s="303">
        <f>Zuschlag_AntErn_Verkehr</f>
        <v>3.85E-2</v>
      </c>
      <c r="O28" s="274">
        <f>Zuschlag_AntErn_Verkehr</f>
        <v>3.85E-2</v>
      </c>
      <c r="P28" s="271"/>
      <c r="Q28" s="48"/>
    </row>
    <row r="29" spans="2:18" x14ac:dyDescent="0.35">
      <c r="B29" s="275"/>
    </row>
  </sheetData>
  <sheetProtection sheet="1" objects="1" scenarios="1"/>
  <mergeCells count="5">
    <mergeCell ref="D3:F3"/>
    <mergeCell ref="D5:F5"/>
    <mergeCell ref="I3:J3"/>
    <mergeCell ref="I5:J5"/>
    <mergeCell ref="L3:O3"/>
  </mergeCells>
  <pageMargins left="0.7" right="0.7" top="0.78740157499999996" bottom="0.78740157499999996" header="0.3" footer="0.3"/>
  <ignoredErrors>
    <ignoredError sqref="Q20:Q21 Q24:Q25 Q27 Q10"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F1AD70-F5BB-4870-8E3A-B643F46FCFBD}">
  <sheetPr codeName="Tabelle6">
    <tabColor rgb="FFCAD2D9"/>
  </sheetPr>
  <dimension ref="A1:U30"/>
  <sheetViews>
    <sheetView zoomScaleNormal="100" workbookViewId="0">
      <selection activeCell="C22" sqref="C22"/>
    </sheetView>
  </sheetViews>
  <sheetFormatPr baseColWidth="10" defaultColWidth="11.59765625" defaultRowHeight="13.5" x14ac:dyDescent="0.35"/>
  <cols>
    <col min="1" max="1" width="74.1328125" style="98" customWidth="1"/>
    <col min="2" max="2" width="33.59765625" style="98" customWidth="1"/>
    <col min="3" max="3" width="14.265625" style="106" customWidth="1"/>
    <col min="4" max="4" width="2.265625" style="98" customWidth="1"/>
    <col min="5" max="5" width="21.265625" style="106" customWidth="1"/>
    <col min="6" max="6" width="4" style="98" customWidth="1"/>
    <col min="7" max="7" width="91" style="98" customWidth="1"/>
    <col min="8" max="8" width="14.3984375" style="98" customWidth="1"/>
    <col min="9" max="16384" width="11.59765625" style="98"/>
  </cols>
  <sheetData>
    <row r="1" spans="1:21" s="2" customFormat="1" ht="23.25" customHeight="1" x14ac:dyDescent="0.6">
      <c r="A1" s="28" t="str" cm="1">
        <f t="array" ref="A1">INDEX(Texts[],MATCH("id61",Texts[Index],0),idx_lang)</f>
        <v>KISS NETTO NULL Bilanz</v>
      </c>
      <c r="B1" s="17"/>
      <c r="C1" s="46"/>
      <c r="D1" s="17"/>
      <c r="E1" s="46"/>
      <c r="F1" s="17"/>
      <c r="G1" s="47" t="str" cm="1">
        <f t="array" ref="G1">INDEX(Texts[],MATCH("id62",Texts[Index],0),idx_lang)</f>
        <v>Version</v>
      </c>
      <c r="H1" s="37" t="str">
        <f>Intro!$C$10</f>
        <v>1.8 | 03.11.2025</v>
      </c>
      <c r="I1" s="14"/>
      <c r="J1" s="17"/>
      <c r="K1" s="17"/>
      <c r="L1" s="17"/>
      <c r="M1" s="17"/>
      <c r="N1" s="17"/>
      <c r="O1" s="17"/>
      <c r="P1" s="17"/>
      <c r="Q1" s="17"/>
      <c r="R1" s="17"/>
      <c r="S1" s="17"/>
      <c r="T1" s="17"/>
      <c r="U1" s="17"/>
    </row>
    <row r="2" spans="1:21" s="2" customFormat="1" ht="12.75" x14ac:dyDescent="0.35">
      <c r="C2" s="3"/>
      <c r="E2" s="3"/>
    </row>
    <row r="3" spans="1:21" s="2" customFormat="1" ht="13.15" x14ac:dyDescent="0.4">
      <c r="A3" s="305" t="str" cm="1">
        <f t="array" ref="A3">INDEX(Texts[],MATCH("id90",Texts[Index],0),idx_lang)</f>
        <v>Parameter</v>
      </c>
      <c r="B3" s="305" t="str" cm="1">
        <f t="array" ref="B3">INDEX(Texts[],MATCH("id91",Texts[Index],0),idx_lang)</f>
        <v>Einheit</v>
      </c>
      <c r="C3" s="306" t="str" cm="1">
        <f t="array" ref="C3">INDEX(Texts[],MATCH("id92",Texts[Index],0),idx_lang)</f>
        <v>Wert</v>
      </c>
      <c r="E3" s="306" t="str" cm="1">
        <f t="array" ref="E3">INDEX(Texts[],MATCH("id100",Texts[Index],0),idx_lang)</f>
        <v>Jedes Jahr aktualisiert</v>
      </c>
      <c r="G3" s="307" t="str" cm="1">
        <f t="array" ref="G3">INDEX(Texts[],MATCH("id95",Texts[Index],0),idx_lang)</f>
        <v>Quelle</v>
      </c>
    </row>
    <row r="4" spans="1:21" s="2" customFormat="1" ht="12.75" x14ac:dyDescent="0.35">
      <c r="A4" s="2" t="str" cm="1">
        <f t="array" ref="A4">INDEX(Texts[],MATCH("id93",Texts[Index],0),idx_lang)</f>
        <v xml:space="preserve">Volllaststunden </v>
      </c>
      <c r="B4" s="2" t="str" cm="1">
        <f t="array" ref="B4">INDEX(Texts[],MATCH("id94",Texts[Index],0),idx_lang)</f>
        <v>Stunden / Jahr</v>
      </c>
      <c r="C4" s="210">
        <v>1500</v>
      </c>
      <c r="E4" s="3" t="str" cm="1">
        <f t="array" ref="E4">INDEX(Texts[],MATCH("id102",Texts[Index],0),idx_lang)</f>
        <v>Nein</v>
      </c>
      <c r="G4" s="2" t="str" cm="1">
        <f t="array" ref="G4">INDEX(Texts[],MATCH("id144",Texts[Index],0),idx_lang)</f>
        <v>Standardwert</v>
      </c>
    </row>
    <row r="5" spans="1:21" s="2" customFormat="1" ht="12.75" x14ac:dyDescent="0.35">
      <c r="A5" s="2" t="str" cm="1">
        <f t="array" ref="A5">INDEX(Texts[],MATCH("id96",Texts[Index],0),idx_lang)</f>
        <v>CO2-Emissionsfaktoren Heizöl</v>
      </c>
      <c r="B5" s="2" t="str" cm="1">
        <f t="array" ref="B5">INDEX(Texts[],MATCH("id97",Texts[Index],0),idx_lang)</f>
        <v>CO2-eq / Liter</v>
      </c>
      <c r="C5" s="211">
        <v>2.65</v>
      </c>
      <c r="E5" s="3" t="str" cm="1">
        <f t="array" ref="E5">INDEX(Texts[],MATCH("id102",Texts[Index],0),idx_lang)</f>
        <v>Nein</v>
      </c>
      <c r="G5" s="212" t="s">
        <v>2529</v>
      </c>
    </row>
    <row r="6" spans="1:21" s="2" customFormat="1" ht="12.75" x14ac:dyDescent="0.35">
      <c r="A6" s="2" t="str" cm="1">
        <f t="array" ref="A6">INDEX(Texts[],MATCH("id98",Texts[Index],0),idx_lang)</f>
        <v>CO2-Emissionsfaktoren Erdgas (2024)</v>
      </c>
      <c r="B6" s="2" t="s">
        <v>2530</v>
      </c>
      <c r="C6" s="213">
        <v>2.0880000000000001</v>
      </c>
      <c r="E6" s="3" t="str" cm="1">
        <f t="array" ref="E6">INDEX(Texts[],MATCH("id101",Texts[Index],0),idx_lang)</f>
        <v>Ja</v>
      </c>
      <c r="G6" s="212" t="s">
        <v>2529</v>
      </c>
    </row>
    <row r="7" spans="1:21" s="2" customFormat="1" ht="12.75" x14ac:dyDescent="0.35">
      <c r="A7" s="2" t="str" cm="1">
        <f t="array" ref="A7">INDEX(Texts[],MATCH("id103",Texts[Index],0),idx_lang)</f>
        <v>Durchschnittliche CO2-Emissionen von benzin- oder dieselbetriebenen Fahrzeugen</v>
      </c>
      <c r="B7" s="2" t="str" cm="1">
        <f t="array" ref="B7">INDEX(Texts[],MATCH("id105",Texts[Index],0),idx_lang)</f>
        <v>tCO2-eq / Fahrzeug</v>
      </c>
      <c r="C7" s="213">
        <v>2.48</v>
      </c>
      <c r="E7" s="3" t="str" cm="1">
        <f t="array" ref="E7">INDEX(Texts[],MATCH("id101",Texts[Index],0),idx_lang)</f>
        <v>Ja</v>
      </c>
      <c r="G7" s="2" t="str" cm="1">
        <f t="array" ref="G7">INDEX(Texts[],MATCH("id146",Texts[Index],0),idx_lang)</f>
        <v>Siehe Berechnung im Anwendungshandbuch zum KISS Netto Null Tool</v>
      </c>
    </row>
    <row r="8" spans="1:21" s="2" customFormat="1" ht="12.75" x14ac:dyDescent="0.35">
      <c r="A8" s="2" t="str" cm="1">
        <f t="array" ref="A8">INDEX(Texts[],MATCH("id106",Texts[Index],0),idx_lang)</f>
        <v>CO2-Emissionen Scope 3 pro Kopf</v>
      </c>
      <c r="B8" s="2" t="str" cm="1">
        <f t="array" ref="B8">INDEX(Texts[],MATCH("id107",Texts[Index],0),idx_lang)</f>
        <v>tCO2-eq / Einwohner</v>
      </c>
      <c r="C8" s="211">
        <v>8.6010000000000009</v>
      </c>
      <c r="E8" s="3" t="str" cm="1">
        <f t="array" ref="E8">INDEX(Texts[],MATCH("id102",Texts[Index],0),idx_lang)</f>
        <v>Nein</v>
      </c>
      <c r="G8" s="2" t="str" cm="1">
        <f t="array" ref="G8">INDEX(Texts[],MATCH("id146",Texts[Index],0),idx_lang)</f>
        <v>Siehe Berechnung im Anwendungshandbuch zum KISS Netto Null Tool</v>
      </c>
    </row>
    <row r="9" spans="1:21" s="2" customFormat="1" ht="12.75" x14ac:dyDescent="0.35">
      <c r="A9" s="2" t="str" cm="1">
        <f t="array" ref="A9">INDEX(Texts[],MATCH("id109",Texts[Index],0),idx_lang)</f>
        <v>Heizwert von Heizöl</v>
      </c>
      <c r="B9" s="2" t="str" cm="1">
        <f t="array" ref="B9">INDEX(Texts[],MATCH("id110",Texts[Index],0),idx_lang)</f>
        <v>kWh / Liter</v>
      </c>
      <c r="C9" s="213">
        <v>10</v>
      </c>
      <c r="E9" s="3" t="str" cm="1">
        <f t="array" ref="E9">INDEX(Texts[],MATCH("id102",Texts[Index],0),idx_lang)</f>
        <v>Nein</v>
      </c>
      <c r="G9" s="2" t="str" cm="1">
        <f t="array" ref="G9">INDEX(Texts[],MATCH("id144",Texts[Index],0),idx_lang)</f>
        <v>Standardwert</v>
      </c>
    </row>
    <row r="10" spans="1:21" s="2" customFormat="1" ht="12.75" x14ac:dyDescent="0.35">
      <c r="A10" s="2" t="str" cm="1">
        <f t="array" ref="A10">INDEX(Texts[],MATCH("id111",Texts[Index],0),idx_lang)</f>
        <v>MWh in W pro Jahr</v>
      </c>
      <c r="C10" s="213">
        <f>1000000/8760</f>
        <v>114.15525114155251</v>
      </c>
      <c r="E10" s="3" t="str" cm="1">
        <f t="array" ref="E10">INDEX(Texts[],MATCH("id102",Texts[Index],0),idx_lang)</f>
        <v>Nein</v>
      </c>
      <c r="G10" s="2" t="str" cm="1">
        <f t="array" ref="G10">INDEX(Texts[],MATCH("id145",Texts[Index],0),idx_lang)</f>
        <v>Berechneter Wert</v>
      </c>
    </row>
    <row r="11" spans="1:21" s="2" customFormat="1" ht="12.75" x14ac:dyDescent="0.35">
      <c r="A11" s="2" t="str" cm="1">
        <f t="array" ref="A11">INDEX(Texts[],MATCH("id112",Texts[Index],0),idx_lang)</f>
        <v>Heizwert von Erdgas</v>
      </c>
      <c r="B11" s="2" t="s">
        <v>2563</v>
      </c>
      <c r="C11" s="211">
        <v>10.36</v>
      </c>
      <c r="E11" s="3" t="str" cm="1">
        <f t="array" ref="E11">INDEX(Texts[],MATCH("id101",Texts[Index],0),idx_lang)</f>
        <v>Ja</v>
      </c>
      <c r="G11" s="212" t="s">
        <v>2529</v>
      </c>
    </row>
    <row r="12" spans="1:21" s="2" customFormat="1" ht="12.75" x14ac:dyDescent="0.35">
      <c r="A12" s="2" t="str" cm="1">
        <f t="array" ref="A12">INDEX(Texts[],MATCH("id116",Texts[Index],0),idx_lang)</f>
        <v>Spezifische Wärmeproduktion Solarthermie</v>
      </c>
      <c r="B12" s="2" t="s">
        <v>2571</v>
      </c>
      <c r="C12" s="211">
        <v>480</v>
      </c>
      <c r="E12" s="3" t="str" cm="1">
        <f t="array" ref="E12">INDEX(Texts[],MATCH("id102",Texts[Index],0),idx_lang)</f>
        <v>Nein</v>
      </c>
      <c r="G12" s="2" t="str" cm="1">
        <f t="array" ref="G12">INDEX(Texts[],MATCH("id144",Texts[Index],0),idx_lang)</f>
        <v>Standardwert</v>
      </c>
    </row>
    <row r="13" spans="1:21" s="2" customFormat="1" ht="12.75" x14ac:dyDescent="0.35">
      <c r="A13" s="2" t="str" cm="1">
        <f t="array" ref="A13">INDEX(Texts[],MATCH("id119",Texts[Index],0),idx_lang)</f>
        <v>Spezifische Stromproduktion Photovoltaik</v>
      </c>
      <c r="B13" s="2" t="s">
        <v>2571</v>
      </c>
      <c r="C13" s="211">
        <v>120</v>
      </c>
      <c r="E13" s="3" t="str" cm="1">
        <f t="array" ref="E13">INDEX(Texts[],MATCH("id102",Texts[Index],0),idx_lang)</f>
        <v>Nein</v>
      </c>
      <c r="G13" s="2" t="str" cm="1">
        <f t="array" ref="G13">INDEX(Texts[],MATCH("id144",Texts[Index],0),idx_lang)</f>
        <v>Standardwert</v>
      </c>
    </row>
    <row r="14" spans="1:21" s="2" customFormat="1" ht="12.75" x14ac:dyDescent="0.35">
      <c r="A14" s="2" t="str" cm="1">
        <f t="array" ref="A14">INDEX(Texts[],MATCH("id119",Texts[Index],0),idx_lang)</f>
        <v>Spezifische Stromproduktion Photovoltaik</v>
      </c>
      <c r="B14" s="2" t="s">
        <v>2582</v>
      </c>
      <c r="C14" s="210">
        <v>1100</v>
      </c>
      <c r="E14" s="3" t="str" cm="1">
        <f t="array" ref="E14">INDEX(Texts[],MATCH("id102",Texts[Index],0),idx_lang)</f>
        <v>Nein</v>
      </c>
      <c r="G14" s="2" t="str" cm="1">
        <f t="array" ref="G14">INDEX(Texts[],MATCH("id144",Texts[Index],0),idx_lang)</f>
        <v>Standardwert</v>
      </c>
    </row>
    <row r="15" spans="1:21" s="2" customFormat="1" ht="12.75" x14ac:dyDescent="0.35">
      <c r="A15" s="2" t="str" cm="1">
        <f t="array" ref="A15">INDEX(Texts[],MATCH("id120",Texts[Index],0),idx_lang)</f>
        <v>Anteil des Eigenverbrauchs</v>
      </c>
      <c r="B15" s="2" t="s">
        <v>2585</v>
      </c>
      <c r="C15" s="214">
        <v>0.2</v>
      </c>
      <c r="E15" s="3" t="str" cm="1">
        <f t="array" ref="E15">INDEX(Texts[],MATCH("id102",Texts[Index],0),idx_lang)</f>
        <v>Nein</v>
      </c>
      <c r="G15" s="2" t="str" cm="1">
        <f t="array" ref="G15">INDEX(Texts[],MATCH("id144",Texts[Index],0),idx_lang)</f>
        <v>Standardwert</v>
      </c>
    </row>
    <row r="16" spans="1:21" s="2" customFormat="1" ht="12.75" x14ac:dyDescent="0.35">
      <c r="A16" s="2" t="str" cm="1">
        <f t="array" ref="A16">INDEX(Texts[],MATCH("id39",Texts[Index],0),idx_lang)</f>
        <v>Strassengüter-, Bahn-, Schiff- und Flugverkehr</v>
      </c>
      <c r="B16" s="2" t="str" cm="1">
        <f t="array" ref="B16">INDEX(Texts[],MATCH("id122",Texts[Index],0),idx_lang)</f>
        <v>tCO2-eq / Einwohner</v>
      </c>
      <c r="C16" s="211">
        <v>0.91</v>
      </c>
      <c r="E16" s="3" t="str" cm="1">
        <f t="array" ref="E16">INDEX(Texts[],MATCH("id101",Texts[Index],0),idx_lang)</f>
        <v>Ja</v>
      </c>
      <c r="G16" s="2" t="str" cm="1">
        <f t="array" ref="G16">INDEX(Texts[],MATCH("id146",Texts[Index],0),idx_lang)</f>
        <v>Siehe Berechnung im Anwendungshandbuch zum KISS Netto Null Tool</v>
      </c>
    </row>
    <row r="17" spans="1:7" s="2" customFormat="1" ht="12.75" x14ac:dyDescent="0.35">
      <c r="A17" s="2" t="str" cm="1">
        <f t="array" ref="A17">INDEX(Texts[],MATCH("id39",Texts[Index],0),idx_lang)</f>
        <v>Strassengüter-, Bahn-, Schiff- und Flugverkehr</v>
      </c>
      <c r="B17" s="2" t="str" cm="1">
        <f t="array" ref="B17">INDEX(Texts[],MATCH("id173",Texts[Index],0),idx_lang)</f>
        <v>Endenergie [kWh] / Einwohner</v>
      </c>
      <c r="C17" s="210">
        <v>2110</v>
      </c>
      <c r="E17" s="3" t="str" cm="1">
        <f t="array" ref="E17">INDEX(Texts[],MATCH("id101",Texts[Index],0),idx_lang)</f>
        <v>Ja</v>
      </c>
      <c r="G17" s="2" t="str" cm="1">
        <f t="array" ref="G17">INDEX(Texts[],MATCH("id146",Texts[Index],0),idx_lang)</f>
        <v>Siehe Berechnung im Anwendungshandbuch zum KISS Netto Null Tool</v>
      </c>
    </row>
    <row r="18" spans="1:7" s="2" customFormat="1" ht="12.75" x14ac:dyDescent="0.35">
      <c r="A18" s="2" t="str" cm="1">
        <f t="array" ref="A18">INDEX(Texts[],MATCH("id39",Texts[Index],0),idx_lang)</f>
        <v>Strassengüter-, Bahn-, Schiff- und Flugverkehr</v>
      </c>
      <c r="B18" s="2" t="str" cm="1">
        <f t="array" ref="B18">INDEX(Texts[],MATCH("id174",Texts[Index],0),idx_lang)</f>
        <v>Primärenergie [kWh] / Einwohner</v>
      </c>
      <c r="C18" s="210">
        <v>3099</v>
      </c>
      <c r="E18" s="3" t="str" cm="1">
        <f t="array" ref="E18">INDEX(Texts[],MATCH("id101",Texts[Index],0),idx_lang)</f>
        <v>Ja</v>
      </c>
      <c r="G18" s="2" t="str" cm="1">
        <f t="array" ref="G18">INDEX(Texts[],MATCH("id146",Texts[Index],0),idx_lang)</f>
        <v>Siehe Berechnung im Anwendungshandbuch zum KISS Netto Null Tool</v>
      </c>
    </row>
    <row r="19" spans="1:7" s="2" customFormat="1" ht="12.75" x14ac:dyDescent="0.35">
      <c r="A19" s="2" t="str" cm="1">
        <f t="array" ref="A19">INDEX(Texts[],MATCH("id39",Texts[Index],0),idx_lang)</f>
        <v>Strassengüter-, Bahn-, Schiff- und Flugverkehr</v>
      </c>
      <c r="B19" s="2" t="str" cm="1">
        <f t="array" ref="B19">INDEX(Texts[],MATCH("id171",Texts[Index],0),idx_lang)</f>
        <v>Erneuerbare Primärenergie</v>
      </c>
      <c r="C19" s="279">
        <v>3.85E-2</v>
      </c>
      <c r="E19" s="3" t="str" cm="1">
        <f t="array" ref="E19">INDEX(Texts[],MATCH("id101",Texts[Index],0),idx_lang)</f>
        <v>Ja</v>
      </c>
      <c r="G19" s="2" t="str" cm="1">
        <f t="array" ref="G19">INDEX(Texts[],MATCH("id146",Texts[Index],0),idx_lang)</f>
        <v>Siehe Berechnung im Anwendungshandbuch zum KISS Netto Null Tool</v>
      </c>
    </row>
    <row r="20" spans="1:7" s="2" customFormat="1" ht="12.75" x14ac:dyDescent="0.35">
      <c r="A20" s="2" t="str" cm="1">
        <f t="array" ref="A20">INDEX(Texts[],MATCH("id136",Texts[Index],0),idx_lang)</f>
        <v>Tagesdistanz MIV - CH pro Person</v>
      </c>
      <c r="B20" s="2" t="s">
        <v>2588</v>
      </c>
      <c r="C20" s="213">
        <v>21.127561538483899</v>
      </c>
      <c r="E20" s="3" t="str" cm="1">
        <f t="array" ref="E20">INDEX(Texts[],MATCH("id101",Texts[Index],0),idx_lang)</f>
        <v>Ja</v>
      </c>
      <c r="G20" s="2" t="str" cm="1">
        <f t="array" ref="G20">INDEX(Texts[],MATCH("id146",Texts[Index],0),idx_lang)</f>
        <v>Siehe Berechnung im Anwendungshandbuch zum KISS Netto Null Tool</v>
      </c>
    </row>
    <row r="21" spans="1:7" s="2" customFormat="1" ht="12.75" x14ac:dyDescent="0.35">
      <c r="A21" s="2" t="str" cm="1">
        <f t="array" ref="A21">INDEX(Texts[],MATCH("id137",Texts[Index],0),idx_lang)</f>
        <v>Mobilitätsfaktor</v>
      </c>
      <c r="B21" s="2" t="s">
        <v>2633</v>
      </c>
      <c r="C21" s="213">
        <f>miv_km_gemeinde/miv_km_ch</f>
        <v>0</v>
      </c>
      <c r="E21" s="3" t="str" cm="1">
        <f t="array" ref="E21">INDEX(Texts[],MATCH("id101",Texts[Index],0),idx_lang)</f>
        <v>Ja</v>
      </c>
      <c r="G21" s="2" t="str" cm="1">
        <f t="array" ref="G21">INDEX(Texts[],MATCH("id145",Texts[Index],0),idx_lang)</f>
        <v>Berechneter Wert</v>
      </c>
    </row>
    <row r="22" spans="1:7" s="2" customFormat="1" ht="12.75" x14ac:dyDescent="0.35">
      <c r="A22" s="2" t="str" cm="1">
        <f t="array" ref="A22">INDEX(Texts[],MATCH("id139",Texts[Index],0),idx_lang)</f>
        <v>Durchschnittlicher JAZ Wärmepumpe</v>
      </c>
      <c r="B22" s="2" t="s">
        <v>2633</v>
      </c>
      <c r="C22" s="215">
        <v>3.5</v>
      </c>
      <c r="E22" s="3" t="str" cm="1">
        <f t="array" ref="E22">INDEX(Texts[],MATCH("id102",Texts[Index],0),idx_lang)</f>
        <v>Nein</v>
      </c>
      <c r="G22" s="2" t="str" cm="1">
        <f t="array" ref="G22">INDEX(Texts[],MATCH("id144",Texts[Index],0),idx_lang)</f>
        <v>Standardwert</v>
      </c>
    </row>
    <row r="23" spans="1:7" s="2" customFormat="1" ht="12.75" x14ac:dyDescent="0.35">
      <c r="A23" s="2" t="str" cm="1">
        <f t="array" ref="A23">INDEX(Texts[],MATCH("id170",Texts[Index],0),idx_lang)</f>
        <v>Verluste in Wärmenetzen</v>
      </c>
      <c r="B23" s="2" t="s">
        <v>2585</v>
      </c>
      <c r="C23" s="214">
        <v>0.2</v>
      </c>
      <c r="E23" s="3" t="str" cm="1">
        <f t="array" ref="E23">INDEX(Texts[],MATCH("id102",Texts[Index],0),idx_lang)</f>
        <v>Nein</v>
      </c>
      <c r="G23" s="2" t="str" cm="1">
        <f t="array" ref="G23">INDEX(Texts[],MATCH("id144",Texts[Index],0),idx_lang)</f>
        <v>Standardwert</v>
      </c>
    </row>
    <row r="24" spans="1:7" s="2" customFormat="1" ht="12.75" x14ac:dyDescent="0.35">
      <c r="A24" s="2" t="str" cm="1">
        <f t="array" ref="A24">INDEX(Texts[],MATCH("id176",Texts[Index],0),idx_lang)</f>
        <v>Emissionsfaktor für F-Gase</v>
      </c>
      <c r="B24" s="2" t="str" cm="1">
        <f t="array" ref="B24">INDEX(Texts[],MATCH("id122",Texts[Index],0),idx_lang)</f>
        <v>tCO2-eq / Einwohner</v>
      </c>
      <c r="C24" s="211">
        <v>7.4999999999999997E-2</v>
      </c>
      <c r="E24" s="3" t="str" cm="1">
        <f t="array" ref="E24">INDEX(Texts[],MATCH("id101",Texts[Index],0),idx_lang)</f>
        <v>Ja</v>
      </c>
      <c r="G24" s="2" t="str" cm="1">
        <f t="array" ref="G24">INDEX(Texts[],MATCH("id146",Texts[Index],0),idx_lang)</f>
        <v>Siehe Berechnung im Anwendungshandbuch zum KISS Netto Null Tool</v>
      </c>
    </row>
    <row r="25" spans="1:7" s="2" customFormat="1" ht="12.75" x14ac:dyDescent="0.35">
      <c r="A25" s="2" t="str" cm="1">
        <f t="array" ref="A25">INDEX(Texts[],MATCH("id176",Texts[Index],0),idx_lang)</f>
        <v>Emissionsfaktor für F-Gase</v>
      </c>
      <c r="B25" s="2" t="str" cm="1">
        <f t="array" ref="B25">INDEX(Texts[],MATCH("id105",Texts[Index],0),idx_lang)</f>
        <v>tCO2-eq / Fahrzeug</v>
      </c>
      <c r="C25" s="211">
        <v>0.13600000000000001</v>
      </c>
      <c r="E25" s="3" t="str" cm="1">
        <f t="array" ref="E25">INDEX(Texts[],MATCH("id101",Texts[Index],0),idx_lang)</f>
        <v>Ja</v>
      </c>
      <c r="G25" s="2" t="str" cm="1">
        <f t="array" ref="G25">INDEX(Texts[],MATCH("id146",Texts[Index],0),idx_lang)</f>
        <v>Siehe Berechnung im Anwendungshandbuch zum KISS Netto Null Tool</v>
      </c>
    </row>
    <row r="26" spans="1:7" s="2" customFormat="1" ht="12.75" x14ac:dyDescent="0.35">
      <c r="C26" s="3"/>
      <c r="E26" s="3"/>
    </row>
    <row r="27" spans="1:7" s="2" customFormat="1" ht="12.75" x14ac:dyDescent="0.35">
      <c r="A27" s="2" t="s">
        <v>2591</v>
      </c>
      <c r="B27" s="2" t="s">
        <v>2592</v>
      </c>
      <c r="C27" s="3">
        <f>IF(Results!R8="MWh",1,1000)</f>
        <v>1</v>
      </c>
      <c r="E27" s="3"/>
      <c r="G27" s="2" t="str" cm="1">
        <f t="array" ref="G27">INDEX(Texts[],MATCH("id145",Texts[Index],0),idx_lang)</f>
        <v>Berechneter Wert</v>
      </c>
    </row>
    <row r="28" spans="1:7" s="2" customFormat="1" ht="12.75" x14ac:dyDescent="0.35">
      <c r="A28" s="2" t="s">
        <v>2622</v>
      </c>
      <c r="B28" s="2" t="s">
        <v>2592</v>
      </c>
      <c r="C28" s="3">
        <f>IF(MATCH(Graph!C3,GraphUnit[[#All],[GraphUnit]],0)-1=1,1,Anzahl_Einwohner)</f>
        <v>0</v>
      </c>
      <c r="E28" s="3"/>
      <c r="G28" s="2" t="str" cm="1">
        <f t="array" ref="G28">INDEX(Texts[],MATCH("id145",Texts[Index],0),idx_lang)</f>
        <v>Berechneter Wert</v>
      </c>
    </row>
    <row r="29" spans="1:7" x14ac:dyDescent="0.35">
      <c r="A29" s="2" t="s">
        <v>2879</v>
      </c>
      <c r="B29" s="2" t="s">
        <v>39</v>
      </c>
      <c r="C29" s="106">
        <f>VLOOKUP(Data!$P$3,Texts!$F$2:$G$11,2)</f>
        <v>2</v>
      </c>
      <c r="G29" s="2" t="str" cm="1">
        <f t="array" ref="G29">INDEX(Texts[],MATCH("id145",Texts[Index],0),idx_lang)</f>
        <v>Berechneter Wert</v>
      </c>
    </row>
    <row r="30" spans="1:7" s="2" customFormat="1" ht="12.75" x14ac:dyDescent="0.35">
      <c r="A30" s="2" t="s">
        <v>2881</v>
      </c>
      <c r="B30" s="2" t="s">
        <v>39</v>
      </c>
      <c r="C30" s="3">
        <f>LEFT(Data!P7,1)*1</f>
        <v>4</v>
      </c>
      <c r="E30" s="3"/>
      <c r="G30" s="2" t="str" cm="1">
        <f t="array" ref="G30">INDEX(Texts[],MATCH("id145",Texts[Index],0),idx_lang)</f>
        <v>Berechneter Wert</v>
      </c>
    </row>
  </sheetData>
  <sheetProtection sheet="1" objects="1" scenarios="1"/>
  <phoneticPr fontId="5" type="noConversion"/>
  <hyperlinks>
    <hyperlink ref="G5" r:id="rId1" xr:uid="{1540850D-BED7-47DB-9518-CC1DBACB9359}"/>
    <hyperlink ref="G6" r:id="rId2" xr:uid="{31F6E1C6-7F08-4A1D-AD3F-935D4740FBE1}"/>
    <hyperlink ref="G11" r:id="rId3" xr:uid="{4D6C68FD-313F-4B2E-B80D-D2BDDA9F02E9}"/>
  </hyperlinks>
  <pageMargins left="0.7" right="0.7" top="0.78740157499999996" bottom="0.78740157499999996" header="0.3" footer="0.3"/>
  <ignoredErrors>
    <ignoredError sqref="C21 C10" unlockedFormula="1"/>
    <ignoredError sqref="E11" 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A74596-9500-4278-9720-E31E58E0646D}">
  <sheetPr codeName="Tabelle7">
    <tabColor rgb="FFCAD2D9"/>
  </sheetPr>
  <dimension ref="A1:D36"/>
  <sheetViews>
    <sheetView workbookViewId="0">
      <selection activeCell="G11" sqref="G11"/>
    </sheetView>
  </sheetViews>
  <sheetFormatPr baseColWidth="10" defaultRowHeight="14.25" x14ac:dyDescent="0.45"/>
  <cols>
    <col min="1" max="1" width="27.3984375" style="2" customWidth="1"/>
    <col min="2" max="2" width="7" style="2" customWidth="1"/>
    <col min="3" max="3" width="27.3984375" style="2" customWidth="1"/>
    <col min="4" max="4" width="11.59765625" style="2"/>
  </cols>
  <sheetData>
    <row r="1" spans="1:4" x14ac:dyDescent="0.45">
      <c r="A1" s="2" t="s">
        <v>29</v>
      </c>
      <c r="C1" s="2" t="s">
        <v>2438</v>
      </c>
    </row>
    <row r="2" spans="1:4" x14ac:dyDescent="0.45">
      <c r="A2" s="2" t="str" cm="1">
        <f t="array" ref="A2">INDEX(Texts[],MATCH("id4",Texts[Index],0),idx_lang)</f>
        <v>1 | Scope 1</v>
      </c>
      <c r="C2" s="2" t="str" cm="1">
        <f t="array" ref="C2">INDEX(Texts[],MATCH("id48",Texts[Index],0),idx_lang)</f>
        <v>Anzahl PW</v>
      </c>
    </row>
    <row r="3" spans="1:4" x14ac:dyDescent="0.45">
      <c r="A3" s="2" t="str" cm="1">
        <f t="array" ref="A3">INDEX(Texts[],MATCH("id5",Texts[Index],0),idx_lang)</f>
        <v>2 | Scope 1+2</v>
      </c>
      <c r="B3" s="4"/>
      <c r="C3" s="2" t="s">
        <v>2878</v>
      </c>
    </row>
    <row r="4" spans="1:4" x14ac:dyDescent="0.45">
      <c r="A4" s="4" t="str" cm="1">
        <f t="array" ref="A4">INDEX(Texts[],MATCH("id6",Texts[Index],0),idx_lang)</f>
        <v>3 | Scope 1+2+3</v>
      </c>
      <c r="B4" s="4"/>
    </row>
    <row r="5" spans="1:4" x14ac:dyDescent="0.45">
      <c r="A5" s="4" t="str" cm="1">
        <f t="array" ref="A5">INDEX(Texts[],MATCH("id7",Texts[Index],0),idx_lang)</f>
        <v>4 | Scope 1+2+3 Energie</v>
      </c>
      <c r="B5" s="4"/>
    </row>
    <row r="6" spans="1:4" x14ac:dyDescent="0.45">
      <c r="A6" s="4" t="str" cm="1">
        <f t="array" ref="A6">INDEX(Texts[],MATCH("id8",Texts[Index],0),idx_lang)</f>
        <v>5 | Scope 1+2 Energie</v>
      </c>
    </row>
    <row r="8" spans="1:4" x14ac:dyDescent="0.45">
      <c r="A8" s="2" t="s">
        <v>2435</v>
      </c>
      <c r="C8" s="2" t="s">
        <v>2591</v>
      </c>
      <c r="D8" s="2" t="s">
        <v>2592</v>
      </c>
    </row>
    <row r="9" spans="1:4" x14ac:dyDescent="0.45">
      <c r="A9" s="4" t="s">
        <v>2415</v>
      </c>
      <c r="C9" s="2" t="s">
        <v>2415</v>
      </c>
      <c r="D9" s="2">
        <v>1</v>
      </c>
    </row>
    <row r="10" spans="1:4" x14ac:dyDescent="0.45">
      <c r="A10" s="4" t="s">
        <v>33</v>
      </c>
      <c r="C10" s="2" t="s">
        <v>32</v>
      </c>
      <c r="D10" s="2">
        <v>1000</v>
      </c>
    </row>
    <row r="11" spans="1:4" x14ac:dyDescent="0.45">
      <c r="A11" s="4" t="str" cm="1">
        <f t="array" ref="A11">INDEX(Texts[],MATCH("id89",Texts[Index],0),idx_lang)</f>
        <v>Liter</v>
      </c>
    </row>
    <row r="12" spans="1:4" x14ac:dyDescent="0.45">
      <c r="A12" s="4" t="s">
        <v>2876</v>
      </c>
      <c r="C12" s="2" t="s">
        <v>2603</v>
      </c>
    </row>
    <row r="13" spans="1:4" x14ac:dyDescent="0.45">
      <c r="A13" s="4" t="s">
        <v>2877</v>
      </c>
      <c r="C13" s="56" t="str" cm="1">
        <f t="array" ref="C13">INDEX(Texts[],MATCH("id126",Texts[Index],0),idx_lang)</f>
        <v>Städtisch</v>
      </c>
    </row>
    <row r="14" spans="1:4" x14ac:dyDescent="0.45">
      <c r="C14" s="56" t="str" cm="1">
        <f t="array" ref="C14">INDEX(Texts[],MATCH("id127",Texts[Index],0),idx_lang)</f>
        <v>Intermediär</v>
      </c>
    </row>
    <row r="15" spans="1:4" x14ac:dyDescent="0.45">
      <c r="A15" s="2" t="s">
        <v>2436</v>
      </c>
      <c r="C15" s="56" t="str" cm="1">
        <f t="array" ref="C15">INDEX(Texts[],MATCH("id128",Texts[Index],0),idx_lang)</f>
        <v>Ländlich</v>
      </c>
    </row>
    <row r="16" spans="1:4" x14ac:dyDescent="0.45">
      <c r="A16" s="4" t="s">
        <v>2415</v>
      </c>
    </row>
    <row r="17" spans="1:3" x14ac:dyDescent="0.45">
      <c r="A17" s="4" t="s">
        <v>33</v>
      </c>
      <c r="C17" s="2" t="s">
        <v>2621</v>
      </c>
    </row>
    <row r="18" spans="1:3" x14ac:dyDescent="0.45">
      <c r="A18" s="216" t="s">
        <v>2434</v>
      </c>
      <c r="C18" s="2" t="s">
        <v>2647</v>
      </c>
    </row>
    <row r="19" spans="1:3" x14ac:dyDescent="0.45">
      <c r="A19" s="4" t="s">
        <v>2876</v>
      </c>
      <c r="C19" s="2" t="str" cm="1">
        <f t="array" ref="C19">INDEX(Texts[],MATCH("id107",Texts[Index],0),idx_lang)</f>
        <v>tCO2-eq / Einwohner</v>
      </c>
    </row>
    <row r="20" spans="1:3" x14ac:dyDescent="0.45">
      <c r="A20" s="4" t="s">
        <v>2877</v>
      </c>
    </row>
    <row r="22" spans="1:3" x14ac:dyDescent="0.45">
      <c r="A22" s="2" t="s">
        <v>2437</v>
      </c>
      <c r="C22" s="2" t="s">
        <v>2682</v>
      </c>
    </row>
    <row r="23" spans="1:3" x14ac:dyDescent="0.45">
      <c r="A23" s="4" t="s">
        <v>2415</v>
      </c>
      <c r="C23" s="2" t="str" cm="1">
        <f t="array" ref="C23">INDEX(Texts[],MATCH("id47",Texts[Index],0),idx_lang)</f>
        <v>Fläche [m²]</v>
      </c>
    </row>
    <row r="24" spans="1:3" x14ac:dyDescent="0.45">
      <c r="C24" s="2" t="s">
        <v>2415</v>
      </c>
    </row>
    <row r="25" spans="1:3" x14ac:dyDescent="0.45">
      <c r="A25" s="2" t="s">
        <v>2439</v>
      </c>
    </row>
    <row r="26" spans="1:3" x14ac:dyDescent="0.45">
      <c r="A26" s="4" t="s">
        <v>2415</v>
      </c>
      <c r="C26" s="2" t="s">
        <v>2961</v>
      </c>
    </row>
    <row r="27" spans="1:3" x14ac:dyDescent="0.45">
      <c r="A27" s="4" t="s">
        <v>33</v>
      </c>
      <c r="C27" s="2" t="s">
        <v>2430</v>
      </c>
    </row>
    <row r="28" spans="1:3" x14ac:dyDescent="0.45">
      <c r="C28" s="2" t="s">
        <v>2415</v>
      </c>
    </row>
    <row r="29" spans="1:3" x14ac:dyDescent="0.45">
      <c r="A29" s="2" t="s">
        <v>2659</v>
      </c>
    </row>
    <row r="30" spans="1:3" x14ac:dyDescent="0.45">
      <c r="A30" s="4" t="str" cm="1">
        <f t="array" ref="A30">INDEX(Texts[],MATCH("id147",Texts[Index],0),idx_lang)</f>
        <v>MWh th</v>
      </c>
    </row>
    <row r="31" spans="1:3" x14ac:dyDescent="0.45">
      <c r="A31" s="4" t="str" cm="1">
        <f t="array" ref="A31">INDEX(Texts[],MATCH("id148",Texts[Index],0),idx_lang)</f>
        <v>MW el</v>
      </c>
    </row>
    <row r="33" spans="1:1" x14ac:dyDescent="0.45">
      <c r="A33" s="2" t="s">
        <v>2575</v>
      </c>
    </row>
    <row r="34" spans="1:1" x14ac:dyDescent="0.45">
      <c r="A34" s="4" t="s">
        <v>2577</v>
      </c>
    </row>
    <row r="35" spans="1:1" x14ac:dyDescent="0.45">
      <c r="A35" s="4" t="s">
        <v>2576</v>
      </c>
    </row>
    <row r="36" spans="1:1" x14ac:dyDescent="0.45">
      <c r="A36" s="216" t="s">
        <v>2415</v>
      </c>
    </row>
  </sheetData>
  <sheetProtection sheet="1" objects="1" scenarios="1"/>
  <pageMargins left="0.7" right="0.7" top="0.78740157499999996" bottom="0.78740157499999996" header="0.3" footer="0.3"/>
  <tableParts count="13">
    <tablePart r:id="rId1"/>
    <tablePart r:id="rId2"/>
    <tablePart r:id="rId3"/>
    <tablePart r:id="rId4"/>
    <tablePart r:id="rId5"/>
    <tablePart r:id="rId6"/>
    <tablePart r:id="rId7"/>
    <tablePart r:id="rId8"/>
    <tablePart r:id="rId9"/>
    <tablePart r:id="rId10"/>
    <tablePart r:id="rId11"/>
    <tablePart r:id="rId12"/>
    <tablePart r:id="rId1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4BD17-98C2-4880-8DE2-8ACE8238331B}">
  <sheetPr codeName="Tabelle8">
    <tabColor rgb="FFCAD2D9"/>
  </sheetPr>
  <dimension ref="A1:Q2147"/>
  <sheetViews>
    <sheetView workbookViewId="0">
      <selection activeCell="G11" sqref="G11"/>
    </sheetView>
  </sheetViews>
  <sheetFormatPr baseColWidth="10" defaultRowHeight="14.25" x14ac:dyDescent="0.45"/>
  <cols>
    <col min="1" max="1" width="10.59765625" style="13" customWidth="1"/>
    <col min="2" max="2" width="23.73046875" customWidth="1"/>
    <col min="3" max="4" width="16.1328125" style="237" customWidth="1"/>
    <col min="5" max="7" width="16.1328125" style="241" customWidth="1"/>
    <col min="8" max="17" width="16.1328125" style="237" customWidth="1"/>
  </cols>
  <sheetData>
    <row r="1" spans="1:17" s="235" customFormat="1" x14ac:dyDescent="0.45">
      <c r="A1" s="233" t="s">
        <v>60</v>
      </c>
      <c r="B1" s="234" t="str" cm="1">
        <f t="array" ref="B1">INDEX(Texts[],MATCH("id66",Texts[Index],0),idx_lang)</f>
        <v>-&gt; Gemeinde</v>
      </c>
      <c r="C1" s="236" t="s">
        <v>61</v>
      </c>
      <c r="D1" s="236" t="s">
        <v>2800</v>
      </c>
      <c r="E1" s="240" t="s">
        <v>34</v>
      </c>
      <c r="F1" s="240" t="s">
        <v>35</v>
      </c>
      <c r="G1" s="240" t="s">
        <v>2801</v>
      </c>
      <c r="H1" s="236" t="s">
        <v>2802</v>
      </c>
      <c r="I1" s="236" t="s">
        <v>2803</v>
      </c>
      <c r="J1" s="236" t="s">
        <v>2804</v>
      </c>
      <c r="K1" s="236" t="s">
        <v>2805</v>
      </c>
      <c r="L1" s="236" t="s">
        <v>2806</v>
      </c>
      <c r="M1" s="236" t="s">
        <v>2807</v>
      </c>
      <c r="N1" s="236" t="s">
        <v>2808</v>
      </c>
      <c r="O1" s="236" t="s">
        <v>20</v>
      </c>
      <c r="P1" s="236" t="s">
        <v>2865</v>
      </c>
      <c r="Q1" s="236" t="s">
        <v>21</v>
      </c>
    </row>
    <row r="2" spans="1:17" x14ac:dyDescent="0.45">
      <c r="A2">
        <v>4551</v>
      </c>
      <c r="B2" t="s">
        <v>62</v>
      </c>
      <c r="C2">
        <v>9422</v>
      </c>
      <c r="D2">
        <v>3</v>
      </c>
      <c r="E2">
        <v>5867.7</v>
      </c>
      <c r="F2">
        <v>5814.4</v>
      </c>
      <c r="G2">
        <v>13434.7</v>
      </c>
      <c r="H2">
        <v>2</v>
      </c>
      <c r="I2">
        <v>21.63</v>
      </c>
      <c r="J2">
        <v>3828</v>
      </c>
      <c r="K2">
        <v>1604</v>
      </c>
      <c r="L2">
        <v>310</v>
      </c>
      <c r="M2">
        <v>419</v>
      </c>
      <c r="N2">
        <v>0</v>
      </c>
      <c r="O2">
        <v>4949</v>
      </c>
      <c r="P2">
        <v>797.4</v>
      </c>
      <c r="Q2">
        <v>-1104</v>
      </c>
    </row>
    <row r="3" spans="1:17" x14ac:dyDescent="0.45">
      <c r="A3">
        <v>4001</v>
      </c>
      <c r="B3" t="s">
        <v>63</v>
      </c>
      <c r="C3">
        <v>21807</v>
      </c>
      <c r="D3">
        <v>3</v>
      </c>
      <c r="E3">
        <v>14585.9</v>
      </c>
      <c r="F3">
        <v>13672.9</v>
      </c>
      <c r="G3">
        <v>9933.4</v>
      </c>
      <c r="H3">
        <v>1</v>
      </c>
      <c r="I3">
        <v>20.87</v>
      </c>
      <c r="J3">
        <v>6327</v>
      </c>
      <c r="K3">
        <v>2878</v>
      </c>
      <c r="L3">
        <v>598</v>
      </c>
      <c r="M3">
        <v>1008</v>
      </c>
      <c r="N3">
        <v>0</v>
      </c>
      <c r="O3">
        <v>839</v>
      </c>
      <c r="P3">
        <v>7198.75</v>
      </c>
      <c r="Q3">
        <v>-783</v>
      </c>
    </row>
    <row r="4" spans="1:17" x14ac:dyDescent="0.45">
      <c r="A4">
        <v>301</v>
      </c>
      <c r="B4" t="s">
        <v>64</v>
      </c>
      <c r="C4">
        <v>4629</v>
      </c>
      <c r="D4">
        <v>2</v>
      </c>
      <c r="E4">
        <v>3596.3</v>
      </c>
      <c r="F4">
        <v>1772</v>
      </c>
      <c r="G4">
        <v>5379.2</v>
      </c>
      <c r="H4">
        <v>2</v>
      </c>
      <c r="I4">
        <v>24.84</v>
      </c>
      <c r="J4">
        <v>1782</v>
      </c>
      <c r="K4">
        <v>675</v>
      </c>
      <c r="L4">
        <v>85</v>
      </c>
      <c r="M4">
        <v>192</v>
      </c>
      <c r="N4">
        <v>0</v>
      </c>
      <c r="O4">
        <v>1939</v>
      </c>
      <c r="P4">
        <v>0</v>
      </c>
      <c r="Q4">
        <v>-462</v>
      </c>
    </row>
    <row r="5" spans="1:17" x14ac:dyDescent="0.45">
      <c r="A5">
        <v>4271</v>
      </c>
      <c r="B5" t="s">
        <v>65</v>
      </c>
      <c r="C5">
        <v>8746</v>
      </c>
      <c r="D5">
        <v>3</v>
      </c>
      <c r="E5">
        <v>4936.3999999999996</v>
      </c>
      <c r="F5">
        <v>4703.6000000000004</v>
      </c>
      <c r="G5">
        <v>5230</v>
      </c>
      <c r="H5">
        <v>1</v>
      </c>
      <c r="I5">
        <v>20.87</v>
      </c>
      <c r="J5">
        <v>2872</v>
      </c>
      <c r="K5">
        <v>1493</v>
      </c>
      <c r="L5">
        <v>131</v>
      </c>
      <c r="M5">
        <v>455</v>
      </c>
      <c r="N5">
        <v>0</v>
      </c>
      <c r="O5">
        <v>482</v>
      </c>
      <c r="P5">
        <v>2547.25</v>
      </c>
      <c r="Q5">
        <v>-281</v>
      </c>
    </row>
    <row r="6" spans="1:17" x14ac:dyDescent="0.45">
      <c r="A6">
        <v>321</v>
      </c>
      <c r="B6" t="s">
        <v>66</v>
      </c>
      <c r="C6">
        <v>4793</v>
      </c>
      <c r="D6">
        <v>2</v>
      </c>
      <c r="E6">
        <v>5238.1000000000004</v>
      </c>
      <c r="F6">
        <v>214.7</v>
      </c>
      <c r="G6">
        <v>4137.8999999999996</v>
      </c>
      <c r="H6">
        <v>3</v>
      </c>
      <c r="I6">
        <v>26.41</v>
      </c>
      <c r="J6">
        <v>1735</v>
      </c>
      <c r="K6">
        <v>673</v>
      </c>
      <c r="L6">
        <v>91</v>
      </c>
      <c r="M6">
        <v>202</v>
      </c>
      <c r="N6">
        <v>0</v>
      </c>
      <c r="O6">
        <v>3351</v>
      </c>
      <c r="P6">
        <v>2879.5</v>
      </c>
      <c r="Q6">
        <v>-682</v>
      </c>
    </row>
    <row r="7" spans="1:17" x14ac:dyDescent="0.45">
      <c r="A7">
        <v>4221</v>
      </c>
      <c r="B7" t="s">
        <v>67</v>
      </c>
      <c r="C7">
        <v>1054</v>
      </c>
      <c r="D7">
        <v>3</v>
      </c>
      <c r="E7">
        <v>525.20000000000005</v>
      </c>
      <c r="F7">
        <v>0</v>
      </c>
      <c r="G7">
        <v>1941.3</v>
      </c>
      <c r="H7">
        <v>3</v>
      </c>
      <c r="I7">
        <v>23.9</v>
      </c>
      <c r="J7">
        <v>466</v>
      </c>
      <c r="K7">
        <v>156</v>
      </c>
      <c r="L7">
        <v>33</v>
      </c>
      <c r="M7">
        <v>61</v>
      </c>
      <c r="N7">
        <v>0</v>
      </c>
      <c r="O7">
        <v>2182</v>
      </c>
      <c r="P7">
        <v>0</v>
      </c>
      <c r="Q7">
        <v>-161</v>
      </c>
    </row>
    <row r="8" spans="1:17" x14ac:dyDescent="0.45">
      <c r="A8">
        <v>5621</v>
      </c>
      <c r="B8" t="s">
        <v>68</v>
      </c>
      <c r="C8">
        <v>557</v>
      </c>
      <c r="D8">
        <v>3</v>
      </c>
      <c r="E8">
        <v>359.5</v>
      </c>
      <c r="F8">
        <v>1016.8</v>
      </c>
      <c r="G8">
        <v>899.1</v>
      </c>
      <c r="H8">
        <v>2</v>
      </c>
      <c r="I8">
        <v>26.72</v>
      </c>
      <c r="J8">
        <v>359</v>
      </c>
      <c r="K8">
        <v>162</v>
      </c>
      <c r="L8">
        <v>36</v>
      </c>
      <c r="M8">
        <v>71</v>
      </c>
      <c r="N8">
        <v>0</v>
      </c>
      <c r="O8">
        <v>840</v>
      </c>
      <c r="P8">
        <v>0</v>
      </c>
      <c r="Q8">
        <v>-120</v>
      </c>
    </row>
    <row r="9" spans="1:17" x14ac:dyDescent="0.45">
      <c r="A9">
        <v>5048</v>
      </c>
      <c r="B9" t="s">
        <v>69</v>
      </c>
      <c r="C9">
        <v>1831</v>
      </c>
      <c r="D9">
        <v>3</v>
      </c>
      <c r="E9">
        <v>1307.8</v>
      </c>
      <c r="F9">
        <v>160.30000000000001</v>
      </c>
      <c r="G9">
        <v>2425.6</v>
      </c>
      <c r="H9">
        <v>3</v>
      </c>
      <c r="I9">
        <v>25.45</v>
      </c>
      <c r="J9">
        <v>736</v>
      </c>
      <c r="K9">
        <v>392</v>
      </c>
      <c r="L9">
        <v>34</v>
      </c>
      <c r="M9">
        <v>100</v>
      </c>
      <c r="N9">
        <v>0</v>
      </c>
      <c r="O9">
        <v>3130</v>
      </c>
      <c r="P9">
        <v>0</v>
      </c>
      <c r="Q9">
        <v>-6523</v>
      </c>
    </row>
    <row r="10" spans="1:17" x14ac:dyDescent="0.45">
      <c r="A10">
        <v>561</v>
      </c>
      <c r="B10" t="s">
        <v>70</v>
      </c>
      <c r="C10">
        <v>3399</v>
      </c>
      <c r="D10">
        <v>2</v>
      </c>
      <c r="E10">
        <v>8509.6</v>
      </c>
      <c r="F10">
        <v>0</v>
      </c>
      <c r="G10">
        <v>3964.4</v>
      </c>
      <c r="H10">
        <v>2</v>
      </c>
      <c r="I10">
        <v>24.84</v>
      </c>
      <c r="J10">
        <v>938</v>
      </c>
      <c r="K10">
        <v>722</v>
      </c>
      <c r="L10">
        <v>27</v>
      </c>
      <c r="M10">
        <v>120</v>
      </c>
      <c r="N10">
        <v>0</v>
      </c>
      <c r="O10">
        <v>10375</v>
      </c>
      <c r="P10">
        <v>593.62</v>
      </c>
      <c r="Q10">
        <v>-2890</v>
      </c>
    </row>
    <row r="11" spans="1:17" x14ac:dyDescent="0.45">
      <c r="A11">
        <v>1051</v>
      </c>
      <c r="B11" t="s">
        <v>71</v>
      </c>
      <c r="C11">
        <v>5504</v>
      </c>
      <c r="D11">
        <v>2</v>
      </c>
      <c r="E11">
        <v>4306.6000000000004</v>
      </c>
      <c r="F11">
        <v>54.9</v>
      </c>
      <c r="G11">
        <v>3754.4</v>
      </c>
      <c r="H11">
        <v>1</v>
      </c>
      <c r="I11">
        <v>19.39</v>
      </c>
      <c r="J11">
        <v>1647</v>
      </c>
      <c r="K11">
        <v>692</v>
      </c>
      <c r="L11">
        <v>134</v>
      </c>
      <c r="M11">
        <v>338</v>
      </c>
      <c r="N11">
        <v>0</v>
      </c>
      <c r="O11">
        <v>2792</v>
      </c>
      <c r="P11">
        <v>0</v>
      </c>
      <c r="Q11">
        <v>-341</v>
      </c>
    </row>
    <row r="12" spans="1:17" x14ac:dyDescent="0.45">
      <c r="A12">
        <v>131</v>
      </c>
      <c r="B12" t="s">
        <v>72</v>
      </c>
      <c r="C12">
        <v>19243</v>
      </c>
      <c r="D12">
        <v>3</v>
      </c>
      <c r="E12">
        <v>12108.2</v>
      </c>
      <c r="F12">
        <v>10454.799999999999</v>
      </c>
      <c r="G12">
        <v>2847.3</v>
      </c>
      <c r="H12">
        <v>1</v>
      </c>
      <c r="I12">
        <v>15.69</v>
      </c>
      <c r="J12">
        <v>5085</v>
      </c>
      <c r="K12">
        <v>2239</v>
      </c>
      <c r="L12">
        <v>442</v>
      </c>
      <c r="M12">
        <v>1037</v>
      </c>
      <c r="N12">
        <v>0</v>
      </c>
      <c r="O12">
        <v>79</v>
      </c>
      <c r="P12">
        <v>0</v>
      </c>
      <c r="Q12">
        <v>-482</v>
      </c>
    </row>
    <row r="13" spans="1:17" x14ac:dyDescent="0.45">
      <c r="A13">
        <v>2421</v>
      </c>
      <c r="B13" t="s">
        <v>73</v>
      </c>
      <c r="C13">
        <v>578</v>
      </c>
      <c r="D13">
        <v>3</v>
      </c>
      <c r="E13">
        <v>1047.3</v>
      </c>
      <c r="F13">
        <v>0</v>
      </c>
      <c r="G13">
        <v>645.1</v>
      </c>
      <c r="H13">
        <v>3</v>
      </c>
      <c r="I13">
        <v>28.59</v>
      </c>
      <c r="J13">
        <v>227</v>
      </c>
      <c r="K13">
        <v>110</v>
      </c>
      <c r="L13">
        <v>18</v>
      </c>
      <c r="M13">
        <v>30</v>
      </c>
      <c r="N13">
        <v>0</v>
      </c>
      <c r="O13">
        <v>2194</v>
      </c>
      <c r="P13">
        <v>0</v>
      </c>
      <c r="Q13">
        <v>-1104</v>
      </c>
    </row>
    <row r="14" spans="1:17" x14ac:dyDescent="0.45">
      <c r="A14">
        <v>401</v>
      </c>
      <c r="B14" t="s">
        <v>74</v>
      </c>
      <c r="C14">
        <v>1140</v>
      </c>
      <c r="D14">
        <v>2</v>
      </c>
      <c r="E14">
        <v>620.70000000000005</v>
      </c>
      <c r="F14">
        <v>947.2</v>
      </c>
      <c r="G14">
        <v>1230.5999999999999</v>
      </c>
      <c r="H14">
        <v>1</v>
      </c>
      <c r="I14">
        <v>16.760000000000002</v>
      </c>
      <c r="J14">
        <v>439</v>
      </c>
      <c r="K14">
        <v>206</v>
      </c>
      <c r="L14">
        <v>15</v>
      </c>
      <c r="M14">
        <v>36</v>
      </c>
      <c r="N14">
        <v>0</v>
      </c>
      <c r="O14">
        <v>1125</v>
      </c>
      <c r="P14">
        <v>2303.6</v>
      </c>
      <c r="Q14">
        <v>-20</v>
      </c>
    </row>
    <row r="15" spans="1:17" x14ac:dyDescent="0.45">
      <c r="A15">
        <v>731</v>
      </c>
      <c r="B15" t="s">
        <v>75</v>
      </c>
      <c r="C15">
        <v>2359</v>
      </c>
      <c r="D15">
        <v>2</v>
      </c>
      <c r="E15">
        <v>2218.5</v>
      </c>
      <c r="F15">
        <v>0</v>
      </c>
      <c r="G15">
        <v>2091.3000000000002</v>
      </c>
      <c r="H15">
        <v>1</v>
      </c>
      <c r="I15">
        <v>16.760000000000002</v>
      </c>
      <c r="J15">
        <v>851</v>
      </c>
      <c r="K15">
        <v>302</v>
      </c>
      <c r="L15">
        <v>40</v>
      </c>
      <c r="M15">
        <v>106</v>
      </c>
      <c r="N15">
        <v>0</v>
      </c>
      <c r="O15">
        <v>110</v>
      </c>
      <c r="P15">
        <v>0</v>
      </c>
      <c r="Q15">
        <v>-120</v>
      </c>
    </row>
    <row r="16" spans="1:17" x14ac:dyDescent="0.45">
      <c r="A16">
        <v>2761</v>
      </c>
      <c r="B16" t="s">
        <v>76</v>
      </c>
      <c r="C16">
        <v>10607</v>
      </c>
      <c r="D16">
        <v>1</v>
      </c>
      <c r="E16">
        <v>4244.1000000000004</v>
      </c>
      <c r="F16">
        <v>9308.9</v>
      </c>
      <c r="G16">
        <v>5441.3</v>
      </c>
      <c r="H16">
        <v>1</v>
      </c>
      <c r="I16">
        <v>14.25</v>
      </c>
      <c r="J16">
        <v>3654</v>
      </c>
      <c r="K16">
        <v>1370</v>
      </c>
      <c r="L16">
        <v>184</v>
      </c>
      <c r="M16">
        <v>623</v>
      </c>
      <c r="N16">
        <v>0</v>
      </c>
      <c r="O16">
        <v>1603</v>
      </c>
      <c r="P16">
        <v>0</v>
      </c>
      <c r="Q16">
        <v>-221</v>
      </c>
    </row>
    <row r="17" spans="1:17" x14ac:dyDescent="0.45">
      <c r="A17">
        <v>1021</v>
      </c>
      <c r="B17" t="s">
        <v>77</v>
      </c>
      <c r="C17">
        <v>1350</v>
      </c>
      <c r="D17">
        <v>2</v>
      </c>
      <c r="E17">
        <v>721.8</v>
      </c>
      <c r="F17">
        <v>15</v>
      </c>
      <c r="G17">
        <v>2001.3</v>
      </c>
      <c r="H17">
        <v>3</v>
      </c>
      <c r="I17">
        <v>26.39</v>
      </c>
      <c r="J17">
        <v>645</v>
      </c>
      <c r="K17">
        <v>243</v>
      </c>
      <c r="L17">
        <v>51</v>
      </c>
      <c r="M17">
        <v>93</v>
      </c>
      <c r="N17">
        <v>0</v>
      </c>
      <c r="O17">
        <v>2203</v>
      </c>
      <c r="P17">
        <v>0</v>
      </c>
      <c r="Q17">
        <v>-161</v>
      </c>
    </row>
    <row r="18" spans="1:17" x14ac:dyDescent="0.45">
      <c r="A18">
        <v>241</v>
      </c>
      <c r="B18" t="s">
        <v>78</v>
      </c>
      <c r="C18">
        <v>1672</v>
      </c>
      <c r="D18">
        <v>3</v>
      </c>
      <c r="E18">
        <v>1128</v>
      </c>
      <c r="F18">
        <v>0</v>
      </c>
      <c r="G18">
        <v>1124.9000000000001</v>
      </c>
      <c r="H18">
        <v>3</v>
      </c>
      <c r="I18">
        <v>25.15</v>
      </c>
      <c r="J18">
        <v>543</v>
      </c>
      <c r="K18">
        <v>191</v>
      </c>
      <c r="L18">
        <v>95</v>
      </c>
      <c r="M18">
        <v>113</v>
      </c>
      <c r="N18">
        <v>0</v>
      </c>
      <c r="O18">
        <v>1492</v>
      </c>
      <c r="P18">
        <v>0</v>
      </c>
      <c r="Q18">
        <v>-341</v>
      </c>
    </row>
    <row r="19" spans="1:17" x14ac:dyDescent="0.45">
      <c r="A19">
        <v>2511</v>
      </c>
      <c r="B19" t="s">
        <v>79</v>
      </c>
      <c r="C19">
        <v>1306</v>
      </c>
      <c r="D19">
        <v>2</v>
      </c>
      <c r="E19">
        <v>1226.5999999999999</v>
      </c>
      <c r="F19">
        <v>16.899999999999999</v>
      </c>
      <c r="G19">
        <v>1516.8</v>
      </c>
      <c r="H19">
        <v>2</v>
      </c>
      <c r="I19">
        <v>26.37</v>
      </c>
      <c r="J19">
        <v>584</v>
      </c>
      <c r="K19">
        <v>197</v>
      </c>
      <c r="L19">
        <v>44</v>
      </c>
      <c r="M19">
        <v>56</v>
      </c>
      <c r="N19">
        <v>0</v>
      </c>
      <c r="O19">
        <v>1792</v>
      </c>
      <c r="P19">
        <v>0</v>
      </c>
      <c r="Q19">
        <v>-221</v>
      </c>
    </row>
    <row r="20" spans="1:17" x14ac:dyDescent="0.45">
      <c r="A20">
        <v>562</v>
      </c>
      <c r="B20" t="s">
        <v>80</v>
      </c>
      <c r="C20">
        <v>2283</v>
      </c>
      <c r="D20">
        <v>2</v>
      </c>
      <c r="E20">
        <v>2484.1999999999998</v>
      </c>
      <c r="F20">
        <v>20.3</v>
      </c>
      <c r="G20">
        <v>2802.4</v>
      </c>
      <c r="H20">
        <v>3</v>
      </c>
      <c r="I20">
        <v>26.41</v>
      </c>
      <c r="J20">
        <v>833</v>
      </c>
      <c r="K20">
        <v>496</v>
      </c>
      <c r="L20">
        <v>39</v>
      </c>
      <c r="M20">
        <v>82</v>
      </c>
      <c r="N20">
        <v>0</v>
      </c>
      <c r="O20">
        <v>6143</v>
      </c>
      <c r="P20">
        <v>0</v>
      </c>
      <c r="Q20">
        <v>-1666</v>
      </c>
    </row>
    <row r="21" spans="1:17" x14ac:dyDescent="0.45">
      <c r="A21">
        <v>1</v>
      </c>
      <c r="B21" t="s">
        <v>81</v>
      </c>
      <c r="C21">
        <v>1991</v>
      </c>
      <c r="D21">
        <v>3</v>
      </c>
      <c r="E21">
        <v>1361.1</v>
      </c>
      <c r="F21">
        <v>0</v>
      </c>
      <c r="G21">
        <v>1394.8</v>
      </c>
      <c r="H21">
        <v>3</v>
      </c>
      <c r="I21">
        <v>25.15</v>
      </c>
      <c r="J21">
        <v>724</v>
      </c>
      <c r="K21">
        <v>287</v>
      </c>
      <c r="L21">
        <v>108</v>
      </c>
      <c r="M21">
        <v>118</v>
      </c>
      <c r="N21">
        <v>0</v>
      </c>
      <c r="O21">
        <v>2497</v>
      </c>
      <c r="P21">
        <v>0</v>
      </c>
      <c r="Q21">
        <v>-482</v>
      </c>
    </row>
    <row r="22" spans="1:17" x14ac:dyDescent="0.45">
      <c r="A22">
        <v>4711</v>
      </c>
      <c r="B22" t="s">
        <v>82</v>
      </c>
      <c r="C22">
        <v>2786</v>
      </c>
      <c r="D22">
        <v>3</v>
      </c>
      <c r="E22">
        <v>3332.9</v>
      </c>
      <c r="F22">
        <v>435.4</v>
      </c>
      <c r="G22">
        <v>9701.1</v>
      </c>
      <c r="H22">
        <v>3</v>
      </c>
      <c r="I22">
        <v>26.04</v>
      </c>
      <c r="J22">
        <v>1171</v>
      </c>
      <c r="K22">
        <v>495</v>
      </c>
      <c r="L22">
        <v>76</v>
      </c>
      <c r="M22">
        <v>119</v>
      </c>
      <c r="N22">
        <v>0</v>
      </c>
      <c r="O22">
        <v>9215</v>
      </c>
      <c r="P22">
        <v>0</v>
      </c>
      <c r="Q22">
        <v>-401</v>
      </c>
    </row>
    <row r="23" spans="1:17" x14ac:dyDescent="0.45">
      <c r="A23">
        <v>2</v>
      </c>
      <c r="B23" t="s">
        <v>83</v>
      </c>
      <c r="C23">
        <v>12588</v>
      </c>
      <c r="D23">
        <v>3</v>
      </c>
      <c r="E23">
        <v>12409</v>
      </c>
      <c r="F23">
        <v>97.7</v>
      </c>
      <c r="G23">
        <v>4751.8</v>
      </c>
      <c r="H23">
        <v>1</v>
      </c>
      <c r="I23">
        <v>15.69</v>
      </c>
      <c r="J23">
        <v>3850</v>
      </c>
      <c r="K23">
        <v>1782</v>
      </c>
      <c r="L23">
        <v>302</v>
      </c>
      <c r="M23">
        <v>613</v>
      </c>
      <c r="N23">
        <v>0</v>
      </c>
      <c r="O23">
        <v>2013</v>
      </c>
      <c r="P23">
        <v>1661.25</v>
      </c>
      <c r="Q23">
        <v>-542</v>
      </c>
    </row>
    <row r="24" spans="1:17" x14ac:dyDescent="0.45">
      <c r="A24">
        <v>951</v>
      </c>
      <c r="B24" t="s">
        <v>84</v>
      </c>
      <c r="C24">
        <v>1181</v>
      </c>
      <c r="D24">
        <v>3</v>
      </c>
      <c r="E24">
        <v>1094.7</v>
      </c>
      <c r="F24">
        <v>0</v>
      </c>
      <c r="G24">
        <v>1836.9</v>
      </c>
      <c r="H24">
        <v>3</v>
      </c>
      <c r="I24">
        <v>26.41</v>
      </c>
      <c r="J24">
        <v>678</v>
      </c>
      <c r="K24">
        <v>262</v>
      </c>
      <c r="L24">
        <v>21</v>
      </c>
      <c r="M24">
        <v>84</v>
      </c>
      <c r="N24">
        <v>0</v>
      </c>
      <c r="O24">
        <v>6056</v>
      </c>
      <c r="P24">
        <v>0</v>
      </c>
      <c r="Q24">
        <v>-442</v>
      </c>
    </row>
    <row r="25" spans="1:17" x14ac:dyDescent="0.45">
      <c r="A25">
        <v>6101</v>
      </c>
      <c r="B25" t="s">
        <v>85</v>
      </c>
      <c r="C25">
        <v>709</v>
      </c>
      <c r="D25">
        <v>2</v>
      </c>
      <c r="E25">
        <v>1173.2</v>
      </c>
      <c r="F25">
        <v>28.2</v>
      </c>
      <c r="G25">
        <v>351</v>
      </c>
      <c r="H25">
        <v>3</v>
      </c>
      <c r="I25">
        <v>30.8</v>
      </c>
      <c r="J25">
        <v>300</v>
      </c>
      <c r="K25">
        <v>171</v>
      </c>
      <c r="L25">
        <v>22</v>
      </c>
      <c r="M25">
        <v>21</v>
      </c>
      <c r="N25">
        <v>0</v>
      </c>
      <c r="O25">
        <v>1022</v>
      </c>
      <c r="P25">
        <v>0</v>
      </c>
      <c r="Q25">
        <v>-482</v>
      </c>
    </row>
    <row r="26" spans="1:17" x14ac:dyDescent="0.45">
      <c r="A26">
        <v>5742</v>
      </c>
      <c r="B26" t="s">
        <v>86</v>
      </c>
      <c r="C26">
        <v>379</v>
      </c>
      <c r="D26">
        <v>3</v>
      </c>
      <c r="E26">
        <v>125.1</v>
      </c>
      <c r="F26">
        <v>525.4</v>
      </c>
      <c r="G26">
        <v>726.3</v>
      </c>
      <c r="H26">
        <v>3</v>
      </c>
      <c r="I26">
        <v>35.86</v>
      </c>
      <c r="J26">
        <v>164</v>
      </c>
      <c r="K26">
        <v>43</v>
      </c>
      <c r="L26">
        <v>8</v>
      </c>
      <c r="M26">
        <v>22</v>
      </c>
      <c r="N26">
        <v>0</v>
      </c>
      <c r="O26">
        <v>1197</v>
      </c>
      <c r="P26">
        <v>22.15</v>
      </c>
      <c r="Q26">
        <v>-341</v>
      </c>
    </row>
    <row r="27" spans="1:17" x14ac:dyDescent="0.45">
      <c r="A27">
        <v>5141</v>
      </c>
      <c r="B27" t="s">
        <v>87</v>
      </c>
      <c r="C27">
        <v>4468</v>
      </c>
      <c r="D27">
        <v>1</v>
      </c>
      <c r="E27">
        <v>4191.1000000000004</v>
      </c>
      <c r="F27">
        <v>1672.9</v>
      </c>
      <c r="G27">
        <v>3095.9</v>
      </c>
      <c r="H27">
        <v>1</v>
      </c>
      <c r="I27">
        <v>18.600000000000001</v>
      </c>
      <c r="J27">
        <v>1851</v>
      </c>
      <c r="K27">
        <v>581</v>
      </c>
      <c r="L27">
        <v>65</v>
      </c>
      <c r="M27">
        <v>359</v>
      </c>
      <c r="N27">
        <v>0</v>
      </c>
      <c r="O27">
        <v>251</v>
      </c>
      <c r="P27">
        <v>0</v>
      </c>
      <c r="Q27">
        <v>-80</v>
      </c>
    </row>
    <row r="28" spans="1:17" x14ac:dyDescent="0.45">
      <c r="A28">
        <v>5401</v>
      </c>
      <c r="B28" t="s">
        <v>88</v>
      </c>
      <c r="C28">
        <v>10913</v>
      </c>
      <c r="D28">
        <v>3</v>
      </c>
      <c r="E28">
        <v>5335.5</v>
      </c>
      <c r="F28">
        <v>12050.3</v>
      </c>
      <c r="G28">
        <v>18771.8</v>
      </c>
      <c r="H28">
        <v>1</v>
      </c>
      <c r="I28">
        <v>19.809999999999999</v>
      </c>
      <c r="J28">
        <v>3276</v>
      </c>
      <c r="K28">
        <v>1423</v>
      </c>
      <c r="L28">
        <v>142</v>
      </c>
      <c r="M28">
        <v>680</v>
      </c>
      <c r="N28">
        <v>0</v>
      </c>
      <c r="O28">
        <v>1121</v>
      </c>
      <c r="P28">
        <v>959.85</v>
      </c>
      <c r="Q28">
        <v>-1204</v>
      </c>
    </row>
    <row r="29" spans="1:17" x14ac:dyDescent="0.45">
      <c r="A29">
        <v>6601</v>
      </c>
      <c r="B29" t="s">
        <v>89</v>
      </c>
      <c r="C29">
        <v>1145</v>
      </c>
      <c r="D29">
        <v>2</v>
      </c>
      <c r="E29">
        <v>101.4</v>
      </c>
      <c r="F29">
        <v>24.7</v>
      </c>
      <c r="G29">
        <v>586.9</v>
      </c>
      <c r="H29">
        <v>2</v>
      </c>
      <c r="I29">
        <v>18.96</v>
      </c>
      <c r="J29">
        <v>749</v>
      </c>
      <c r="K29">
        <v>234</v>
      </c>
      <c r="L29">
        <v>39</v>
      </c>
      <c r="M29">
        <v>121</v>
      </c>
      <c r="N29">
        <v>0</v>
      </c>
      <c r="O29">
        <v>329</v>
      </c>
      <c r="P29">
        <v>128341</v>
      </c>
      <c r="Q29">
        <v>-140</v>
      </c>
    </row>
    <row r="30" spans="1:17" x14ac:dyDescent="0.45">
      <c r="A30">
        <v>5061</v>
      </c>
      <c r="B30" t="s">
        <v>90</v>
      </c>
      <c r="C30">
        <v>1432</v>
      </c>
      <c r="D30">
        <v>3</v>
      </c>
      <c r="E30">
        <v>2038.3</v>
      </c>
      <c r="F30">
        <v>25.1</v>
      </c>
      <c r="G30">
        <v>1634.5</v>
      </c>
      <c r="H30">
        <v>3</v>
      </c>
      <c r="I30">
        <v>25.45</v>
      </c>
      <c r="J30">
        <v>470</v>
      </c>
      <c r="K30">
        <v>303</v>
      </c>
      <c r="L30">
        <v>21</v>
      </c>
      <c r="M30">
        <v>93</v>
      </c>
      <c r="N30">
        <v>0</v>
      </c>
      <c r="O30">
        <v>1771</v>
      </c>
      <c r="P30">
        <v>240.68</v>
      </c>
      <c r="Q30">
        <v>-4395</v>
      </c>
    </row>
    <row r="31" spans="1:17" x14ac:dyDescent="0.45">
      <c r="A31">
        <v>1121</v>
      </c>
      <c r="B31" t="s">
        <v>91</v>
      </c>
      <c r="C31">
        <v>683</v>
      </c>
      <c r="D31">
        <v>2</v>
      </c>
      <c r="E31">
        <v>799.4</v>
      </c>
      <c r="F31">
        <v>0</v>
      </c>
      <c r="G31">
        <v>1257.7</v>
      </c>
      <c r="H31">
        <v>3</v>
      </c>
      <c r="I31">
        <v>26.39</v>
      </c>
      <c r="J31">
        <v>338</v>
      </c>
      <c r="K31">
        <v>113</v>
      </c>
      <c r="L31">
        <v>15</v>
      </c>
      <c r="M31">
        <v>28</v>
      </c>
      <c r="N31">
        <v>0</v>
      </c>
      <c r="O31">
        <v>1929</v>
      </c>
      <c r="P31">
        <v>0</v>
      </c>
      <c r="Q31">
        <v>-120</v>
      </c>
    </row>
    <row r="32" spans="1:17" x14ac:dyDescent="0.45">
      <c r="A32">
        <v>6102</v>
      </c>
      <c r="B32" t="s">
        <v>92</v>
      </c>
      <c r="C32">
        <v>253</v>
      </c>
      <c r="D32">
        <v>3</v>
      </c>
      <c r="E32">
        <v>571.9</v>
      </c>
      <c r="F32">
        <v>0</v>
      </c>
      <c r="G32">
        <v>99.5</v>
      </c>
      <c r="H32">
        <v>3</v>
      </c>
      <c r="I32">
        <v>30.8</v>
      </c>
      <c r="J32">
        <v>102</v>
      </c>
      <c r="K32">
        <v>59</v>
      </c>
      <c r="L32">
        <v>4</v>
      </c>
      <c r="M32">
        <v>12</v>
      </c>
      <c r="N32">
        <v>0</v>
      </c>
      <c r="O32">
        <v>378</v>
      </c>
      <c r="P32">
        <v>0</v>
      </c>
      <c r="Q32">
        <v>-1084</v>
      </c>
    </row>
    <row r="33" spans="1:17" x14ac:dyDescent="0.45">
      <c r="A33">
        <v>3542</v>
      </c>
      <c r="B33" t="s">
        <v>93</v>
      </c>
      <c r="C33">
        <v>1327</v>
      </c>
      <c r="D33">
        <v>3</v>
      </c>
      <c r="E33">
        <v>2349.8000000000002</v>
      </c>
      <c r="F33">
        <v>6.3</v>
      </c>
      <c r="G33">
        <v>1635.1</v>
      </c>
      <c r="H33">
        <v>3</v>
      </c>
      <c r="I33">
        <v>29.04</v>
      </c>
      <c r="J33">
        <v>467</v>
      </c>
      <c r="K33">
        <v>319</v>
      </c>
      <c r="L33">
        <v>23</v>
      </c>
      <c r="M33">
        <v>61</v>
      </c>
      <c r="N33">
        <v>0</v>
      </c>
      <c r="O33">
        <v>5416</v>
      </c>
      <c r="P33">
        <v>434.89</v>
      </c>
      <c r="Q33">
        <v>-8610</v>
      </c>
    </row>
    <row r="34" spans="1:17" x14ac:dyDescent="0.45">
      <c r="A34">
        <v>402</v>
      </c>
      <c r="B34" t="s">
        <v>94</v>
      </c>
      <c r="C34">
        <v>606</v>
      </c>
      <c r="D34">
        <v>2</v>
      </c>
      <c r="E34">
        <v>482.8</v>
      </c>
      <c r="F34">
        <v>8.9</v>
      </c>
      <c r="G34">
        <v>854.1</v>
      </c>
      <c r="H34">
        <v>3</v>
      </c>
      <c r="I34">
        <v>26.41</v>
      </c>
      <c r="J34">
        <v>252</v>
      </c>
      <c r="K34">
        <v>93</v>
      </c>
      <c r="L34">
        <v>14</v>
      </c>
      <c r="M34">
        <v>25</v>
      </c>
      <c r="N34">
        <v>0</v>
      </c>
      <c r="O34">
        <v>2837</v>
      </c>
      <c r="P34">
        <v>0</v>
      </c>
      <c r="Q34">
        <v>-421</v>
      </c>
    </row>
    <row r="35" spans="1:17" x14ac:dyDescent="0.45">
      <c r="A35">
        <v>5851</v>
      </c>
      <c r="B35" t="s">
        <v>95</v>
      </c>
      <c r="C35">
        <v>424</v>
      </c>
      <c r="D35">
        <v>3</v>
      </c>
      <c r="E35">
        <v>640.29999999999995</v>
      </c>
      <c r="F35">
        <v>48.5</v>
      </c>
      <c r="G35">
        <v>1246.7</v>
      </c>
      <c r="H35">
        <v>2</v>
      </c>
      <c r="I35">
        <v>26.72</v>
      </c>
      <c r="J35">
        <v>203</v>
      </c>
      <c r="K35">
        <v>51</v>
      </c>
      <c r="L35">
        <v>10</v>
      </c>
      <c r="M35">
        <v>21</v>
      </c>
      <c r="N35">
        <v>0</v>
      </c>
      <c r="O35">
        <v>208</v>
      </c>
      <c r="P35">
        <v>28.04</v>
      </c>
      <c r="Q35">
        <v>-100</v>
      </c>
    </row>
    <row r="36" spans="1:17" x14ac:dyDescent="0.45">
      <c r="A36">
        <v>6771</v>
      </c>
      <c r="B36" t="s">
        <v>96</v>
      </c>
      <c r="C36">
        <v>1882</v>
      </c>
      <c r="D36">
        <v>3</v>
      </c>
      <c r="E36">
        <v>3338.7</v>
      </c>
      <c r="F36">
        <v>0</v>
      </c>
      <c r="G36">
        <v>4784.7</v>
      </c>
      <c r="H36">
        <v>3</v>
      </c>
      <c r="I36">
        <v>27.66</v>
      </c>
      <c r="J36">
        <v>855</v>
      </c>
      <c r="K36">
        <v>202</v>
      </c>
      <c r="L36">
        <v>45</v>
      </c>
      <c r="M36">
        <v>127</v>
      </c>
      <c r="N36">
        <v>0</v>
      </c>
      <c r="O36">
        <v>5163</v>
      </c>
      <c r="P36">
        <v>0</v>
      </c>
      <c r="Q36">
        <v>-462</v>
      </c>
    </row>
    <row r="37" spans="1:17" x14ac:dyDescent="0.45">
      <c r="A37">
        <v>630</v>
      </c>
      <c r="B37" t="s">
        <v>97</v>
      </c>
      <c r="C37">
        <v>566</v>
      </c>
      <c r="D37">
        <v>2</v>
      </c>
      <c r="E37">
        <v>609.4</v>
      </c>
      <c r="F37">
        <v>60.9</v>
      </c>
      <c r="G37">
        <v>974.8</v>
      </c>
      <c r="H37">
        <v>3</v>
      </c>
      <c r="I37">
        <v>26.41</v>
      </c>
      <c r="J37">
        <v>270</v>
      </c>
      <c r="K37">
        <v>91</v>
      </c>
      <c r="L37">
        <v>13</v>
      </c>
      <c r="M37">
        <v>30</v>
      </c>
      <c r="N37">
        <v>0</v>
      </c>
      <c r="O37">
        <v>1895</v>
      </c>
      <c r="P37">
        <v>0</v>
      </c>
      <c r="Q37">
        <v>-161</v>
      </c>
    </row>
    <row r="38" spans="1:17" x14ac:dyDescent="0.45">
      <c r="A38">
        <v>2762</v>
      </c>
      <c r="B38" t="s">
        <v>98</v>
      </c>
      <c r="C38">
        <v>21654</v>
      </c>
      <c r="D38">
        <v>1</v>
      </c>
      <c r="E38">
        <v>8327.9</v>
      </c>
      <c r="F38">
        <v>20970.5</v>
      </c>
      <c r="G38">
        <v>8643.7999999999993</v>
      </c>
      <c r="H38">
        <v>1</v>
      </c>
      <c r="I38">
        <v>14.25</v>
      </c>
      <c r="J38">
        <v>5829</v>
      </c>
      <c r="K38">
        <v>2344</v>
      </c>
      <c r="L38">
        <v>302</v>
      </c>
      <c r="M38">
        <v>975</v>
      </c>
      <c r="N38">
        <v>0</v>
      </c>
      <c r="O38">
        <v>1183</v>
      </c>
      <c r="P38">
        <v>0</v>
      </c>
      <c r="Q38">
        <v>-462</v>
      </c>
    </row>
    <row r="39" spans="1:17" x14ac:dyDescent="0.45">
      <c r="A39">
        <v>1401</v>
      </c>
      <c r="B39" t="s">
        <v>99</v>
      </c>
      <c r="C39">
        <v>6222</v>
      </c>
      <c r="D39">
        <v>3</v>
      </c>
      <c r="E39">
        <v>5352.4</v>
      </c>
      <c r="F39">
        <v>7.8</v>
      </c>
      <c r="G39">
        <v>7644.9</v>
      </c>
      <c r="H39">
        <v>3</v>
      </c>
      <c r="I39">
        <v>27.84</v>
      </c>
      <c r="J39">
        <v>2327</v>
      </c>
      <c r="K39">
        <v>1129</v>
      </c>
      <c r="L39">
        <v>118</v>
      </c>
      <c r="M39">
        <v>408</v>
      </c>
      <c r="N39">
        <v>0</v>
      </c>
      <c r="O39">
        <v>7963</v>
      </c>
      <c r="P39">
        <v>1624.35</v>
      </c>
      <c r="Q39">
        <v>-5640</v>
      </c>
    </row>
    <row r="40" spans="1:17" x14ac:dyDescent="0.45">
      <c r="A40">
        <v>1361</v>
      </c>
      <c r="B40" t="s">
        <v>100</v>
      </c>
      <c r="C40">
        <v>618</v>
      </c>
      <c r="D40">
        <v>3</v>
      </c>
      <c r="E40">
        <v>497.7</v>
      </c>
      <c r="F40">
        <v>12</v>
      </c>
      <c r="G40">
        <v>470.9</v>
      </c>
      <c r="H40">
        <v>3</v>
      </c>
      <c r="I40">
        <v>30.7</v>
      </c>
      <c r="J40">
        <v>285</v>
      </c>
      <c r="K40">
        <v>137</v>
      </c>
      <c r="L40">
        <v>7</v>
      </c>
      <c r="M40">
        <v>30</v>
      </c>
      <c r="N40">
        <v>0</v>
      </c>
      <c r="O40">
        <v>2581</v>
      </c>
      <c r="P40">
        <v>0</v>
      </c>
      <c r="Q40">
        <v>-2689</v>
      </c>
    </row>
    <row r="41" spans="1:17" x14ac:dyDescent="0.45">
      <c r="A41">
        <v>1122</v>
      </c>
      <c r="B41" t="s">
        <v>101</v>
      </c>
      <c r="C41">
        <v>1029</v>
      </c>
      <c r="D41">
        <v>3</v>
      </c>
      <c r="E41">
        <v>740.1</v>
      </c>
      <c r="F41">
        <v>0</v>
      </c>
      <c r="G41">
        <v>3084</v>
      </c>
      <c r="H41">
        <v>3</v>
      </c>
      <c r="I41">
        <v>26.39</v>
      </c>
      <c r="J41">
        <v>447</v>
      </c>
      <c r="K41">
        <v>197</v>
      </c>
      <c r="L41">
        <v>53</v>
      </c>
      <c r="M41">
        <v>45</v>
      </c>
      <c r="N41">
        <v>0</v>
      </c>
      <c r="O41">
        <v>3637</v>
      </c>
      <c r="P41">
        <v>0</v>
      </c>
      <c r="Q41">
        <v>-361</v>
      </c>
    </row>
    <row r="42" spans="1:17" x14ac:dyDescent="0.45">
      <c r="A42">
        <v>1201</v>
      </c>
      <c r="B42" t="s">
        <v>102</v>
      </c>
      <c r="C42">
        <v>9880</v>
      </c>
      <c r="D42">
        <v>3</v>
      </c>
      <c r="E42">
        <v>9017</v>
      </c>
      <c r="F42">
        <v>0</v>
      </c>
      <c r="G42">
        <v>5607.2</v>
      </c>
      <c r="H42">
        <v>1</v>
      </c>
      <c r="I42">
        <v>26.15</v>
      </c>
      <c r="J42">
        <v>3474</v>
      </c>
      <c r="K42">
        <v>1836</v>
      </c>
      <c r="L42">
        <v>229</v>
      </c>
      <c r="M42">
        <v>494</v>
      </c>
      <c r="N42">
        <v>0</v>
      </c>
      <c r="O42">
        <v>2968</v>
      </c>
      <c r="P42">
        <v>2458.65</v>
      </c>
      <c r="Q42">
        <v>-763</v>
      </c>
    </row>
    <row r="43" spans="1:17" x14ac:dyDescent="0.45">
      <c r="A43">
        <v>1341</v>
      </c>
      <c r="B43" t="s">
        <v>103</v>
      </c>
      <c r="C43">
        <v>7215</v>
      </c>
      <c r="D43">
        <v>3</v>
      </c>
      <c r="E43">
        <v>5496.2</v>
      </c>
      <c r="F43">
        <v>2762.4</v>
      </c>
      <c r="G43">
        <v>6347.7</v>
      </c>
      <c r="H43">
        <v>1</v>
      </c>
      <c r="I43">
        <v>35.31</v>
      </c>
      <c r="J43">
        <v>3121</v>
      </c>
      <c r="K43">
        <v>1328</v>
      </c>
      <c r="L43">
        <v>301</v>
      </c>
      <c r="M43">
        <v>552</v>
      </c>
      <c r="N43">
        <v>0</v>
      </c>
      <c r="O43">
        <v>5525</v>
      </c>
      <c r="P43">
        <v>0</v>
      </c>
      <c r="Q43">
        <v>-1445</v>
      </c>
    </row>
    <row r="44" spans="1:17" x14ac:dyDescent="0.45">
      <c r="A44">
        <v>211</v>
      </c>
      <c r="B44" t="s">
        <v>104</v>
      </c>
      <c r="C44">
        <v>729</v>
      </c>
      <c r="D44">
        <v>3</v>
      </c>
      <c r="E44">
        <v>819.1</v>
      </c>
      <c r="F44">
        <v>0</v>
      </c>
      <c r="G44">
        <v>817.4</v>
      </c>
      <c r="H44">
        <v>3</v>
      </c>
      <c r="I44">
        <v>25.15</v>
      </c>
      <c r="J44">
        <v>318</v>
      </c>
      <c r="K44">
        <v>137</v>
      </c>
      <c r="L44">
        <v>19</v>
      </c>
      <c r="M44">
        <v>36</v>
      </c>
      <c r="N44">
        <v>0</v>
      </c>
      <c r="O44">
        <v>2371</v>
      </c>
      <c r="P44">
        <v>61.27</v>
      </c>
      <c r="Q44">
        <v>-301</v>
      </c>
    </row>
    <row r="45" spans="1:17" x14ac:dyDescent="0.45">
      <c r="A45">
        <v>1123</v>
      </c>
      <c r="B45" t="s">
        <v>105</v>
      </c>
      <c r="C45">
        <v>2006</v>
      </c>
      <c r="D45">
        <v>2</v>
      </c>
      <c r="E45">
        <v>1556.2</v>
      </c>
      <c r="F45">
        <v>0</v>
      </c>
      <c r="G45">
        <v>5566.6</v>
      </c>
      <c r="H45">
        <v>2</v>
      </c>
      <c r="I45">
        <v>28.41</v>
      </c>
      <c r="J45">
        <v>774</v>
      </c>
      <c r="K45">
        <v>382</v>
      </c>
      <c r="L45">
        <v>58</v>
      </c>
      <c r="M45">
        <v>84</v>
      </c>
      <c r="N45">
        <v>0</v>
      </c>
      <c r="O45">
        <v>9146</v>
      </c>
      <c r="P45">
        <v>0</v>
      </c>
      <c r="Q45">
        <v>-702</v>
      </c>
    </row>
    <row r="46" spans="1:17" x14ac:dyDescent="0.45">
      <c r="A46">
        <v>4641</v>
      </c>
      <c r="B46" t="s">
        <v>106</v>
      </c>
      <c r="C46">
        <v>2347</v>
      </c>
      <c r="D46">
        <v>3</v>
      </c>
      <c r="E46">
        <v>1893</v>
      </c>
      <c r="F46">
        <v>1947.1</v>
      </c>
      <c r="G46">
        <v>3503.1</v>
      </c>
      <c r="H46">
        <v>3</v>
      </c>
      <c r="I46">
        <v>26.04</v>
      </c>
      <c r="J46">
        <v>961</v>
      </c>
      <c r="K46">
        <v>392</v>
      </c>
      <c r="L46">
        <v>94</v>
      </c>
      <c r="M46">
        <v>114</v>
      </c>
      <c r="N46">
        <v>0</v>
      </c>
      <c r="O46">
        <v>2348</v>
      </c>
      <c r="P46">
        <v>0</v>
      </c>
      <c r="Q46">
        <v>-201</v>
      </c>
    </row>
    <row r="47" spans="1:17" x14ac:dyDescent="0.45">
      <c r="A47">
        <v>5237</v>
      </c>
      <c r="B47" t="s">
        <v>107</v>
      </c>
      <c r="C47">
        <v>1385</v>
      </c>
      <c r="D47">
        <v>3</v>
      </c>
      <c r="E47">
        <v>1281.0999999999999</v>
      </c>
      <c r="F47">
        <v>15.3</v>
      </c>
      <c r="G47">
        <v>1140.8</v>
      </c>
      <c r="H47">
        <v>3</v>
      </c>
      <c r="I47">
        <v>25.45</v>
      </c>
      <c r="J47">
        <v>526</v>
      </c>
      <c r="K47">
        <v>242</v>
      </c>
      <c r="L47">
        <v>37</v>
      </c>
      <c r="M47">
        <v>93</v>
      </c>
      <c r="N47">
        <v>0</v>
      </c>
      <c r="O47">
        <v>1270</v>
      </c>
      <c r="P47">
        <v>0</v>
      </c>
      <c r="Q47">
        <v>-2930</v>
      </c>
    </row>
    <row r="48" spans="1:17" x14ac:dyDescent="0.45">
      <c r="A48">
        <v>3251</v>
      </c>
      <c r="B48" t="s">
        <v>108</v>
      </c>
      <c r="C48">
        <v>12278</v>
      </c>
      <c r="D48">
        <v>3</v>
      </c>
      <c r="E48">
        <v>9378.2999999999993</v>
      </c>
      <c r="F48">
        <v>4354</v>
      </c>
      <c r="G48">
        <v>21780.799999999999</v>
      </c>
      <c r="H48">
        <v>1</v>
      </c>
      <c r="I48">
        <v>22.7</v>
      </c>
      <c r="J48">
        <v>4376</v>
      </c>
      <c r="K48">
        <v>2482</v>
      </c>
      <c r="L48">
        <v>293</v>
      </c>
      <c r="M48">
        <v>516</v>
      </c>
      <c r="N48">
        <v>0</v>
      </c>
      <c r="O48">
        <v>19061</v>
      </c>
      <c r="P48">
        <v>845.38</v>
      </c>
      <c r="Q48">
        <v>-1505</v>
      </c>
    </row>
    <row r="49" spans="1:17" x14ac:dyDescent="0.45">
      <c r="A49">
        <v>3311</v>
      </c>
      <c r="B49" t="s">
        <v>109</v>
      </c>
      <c r="C49">
        <v>1847</v>
      </c>
      <c r="D49">
        <v>3</v>
      </c>
      <c r="E49">
        <v>2802.4</v>
      </c>
      <c r="F49">
        <v>0</v>
      </c>
      <c r="G49">
        <v>1977.3</v>
      </c>
      <c r="H49">
        <v>3</v>
      </c>
      <c r="I49">
        <v>30.49</v>
      </c>
      <c r="J49">
        <v>409</v>
      </c>
      <c r="K49">
        <v>426</v>
      </c>
      <c r="L49">
        <v>29</v>
      </c>
      <c r="M49">
        <v>58</v>
      </c>
      <c r="N49">
        <v>0</v>
      </c>
      <c r="O49">
        <v>4190</v>
      </c>
      <c r="P49">
        <v>0</v>
      </c>
      <c r="Q49">
        <v>-3793</v>
      </c>
    </row>
    <row r="50" spans="1:17" x14ac:dyDescent="0.45">
      <c r="A50">
        <v>4881</v>
      </c>
      <c r="B50" t="s">
        <v>110</v>
      </c>
      <c r="C50">
        <v>1373</v>
      </c>
      <c r="D50">
        <v>3</v>
      </c>
      <c r="E50">
        <v>1454</v>
      </c>
      <c r="F50">
        <v>15.2</v>
      </c>
      <c r="G50">
        <v>6944.6</v>
      </c>
      <c r="H50">
        <v>3</v>
      </c>
      <c r="I50">
        <v>26.04</v>
      </c>
      <c r="J50">
        <v>696</v>
      </c>
      <c r="K50">
        <v>289</v>
      </c>
      <c r="L50">
        <v>48</v>
      </c>
      <c r="M50">
        <v>60</v>
      </c>
      <c r="N50">
        <v>0</v>
      </c>
      <c r="O50">
        <v>7093</v>
      </c>
      <c r="P50">
        <v>166.13</v>
      </c>
      <c r="Q50">
        <v>-602</v>
      </c>
    </row>
    <row r="51" spans="1:17" x14ac:dyDescent="0.45">
      <c r="A51">
        <v>4191</v>
      </c>
      <c r="B51" t="s">
        <v>111</v>
      </c>
      <c r="C51">
        <v>777</v>
      </c>
      <c r="D51">
        <v>3</v>
      </c>
      <c r="E51">
        <v>752.1</v>
      </c>
      <c r="F51">
        <v>0</v>
      </c>
      <c r="G51">
        <v>744.4</v>
      </c>
      <c r="H51">
        <v>3</v>
      </c>
      <c r="I51">
        <v>23.9</v>
      </c>
      <c r="J51">
        <v>324</v>
      </c>
      <c r="K51">
        <v>124</v>
      </c>
      <c r="L51">
        <v>32</v>
      </c>
      <c r="M51">
        <v>37</v>
      </c>
      <c r="N51">
        <v>0</v>
      </c>
      <c r="O51">
        <v>467</v>
      </c>
      <c r="P51">
        <v>0</v>
      </c>
      <c r="Q51">
        <v>-361</v>
      </c>
    </row>
    <row r="52" spans="1:17" x14ac:dyDescent="0.45">
      <c r="A52">
        <v>4461</v>
      </c>
      <c r="B52" t="s">
        <v>112</v>
      </c>
      <c r="C52">
        <v>14313</v>
      </c>
      <c r="D52">
        <v>3</v>
      </c>
      <c r="E52">
        <v>10873.1</v>
      </c>
      <c r="F52">
        <v>7287.9</v>
      </c>
      <c r="G52">
        <v>18344.5</v>
      </c>
      <c r="H52">
        <v>1</v>
      </c>
      <c r="I52">
        <v>21</v>
      </c>
      <c r="J52">
        <v>5557</v>
      </c>
      <c r="K52">
        <v>2317</v>
      </c>
      <c r="L52">
        <v>256</v>
      </c>
      <c r="M52">
        <v>763</v>
      </c>
      <c r="N52">
        <v>0</v>
      </c>
      <c r="O52">
        <v>9921</v>
      </c>
      <c r="P52">
        <v>0</v>
      </c>
      <c r="Q52">
        <v>-462</v>
      </c>
    </row>
    <row r="53" spans="1:17" x14ac:dyDescent="0.45">
      <c r="A53">
        <v>921</v>
      </c>
      <c r="B53" t="s">
        <v>113</v>
      </c>
      <c r="C53">
        <v>788</v>
      </c>
      <c r="D53">
        <v>2</v>
      </c>
      <c r="E53">
        <v>1059</v>
      </c>
      <c r="F53">
        <v>79.8</v>
      </c>
      <c r="G53">
        <v>684.1</v>
      </c>
      <c r="H53">
        <v>3</v>
      </c>
      <c r="I53">
        <v>26.41</v>
      </c>
      <c r="J53">
        <v>299</v>
      </c>
      <c r="K53">
        <v>147</v>
      </c>
      <c r="L53">
        <v>18</v>
      </c>
      <c r="M53">
        <v>30</v>
      </c>
      <c r="N53">
        <v>0</v>
      </c>
      <c r="O53">
        <v>2110</v>
      </c>
      <c r="P53">
        <v>0</v>
      </c>
      <c r="Q53">
        <v>-221</v>
      </c>
    </row>
    <row r="54" spans="1:17" x14ac:dyDescent="0.45">
      <c r="A54">
        <v>3701</v>
      </c>
      <c r="B54" t="s">
        <v>114</v>
      </c>
      <c r="C54">
        <v>921</v>
      </c>
      <c r="D54">
        <v>3</v>
      </c>
      <c r="E54">
        <v>546.9</v>
      </c>
      <c r="F54">
        <v>0</v>
      </c>
      <c r="G54">
        <v>500.1</v>
      </c>
      <c r="H54">
        <v>3</v>
      </c>
      <c r="I54">
        <v>29.04</v>
      </c>
      <c r="J54">
        <v>287</v>
      </c>
      <c r="K54">
        <v>212</v>
      </c>
      <c r="L54">
        <v>19</v>
      </c>
      <c r="M54">
        <v>35</v>
      </c>
      <c r="N54">
        <v>0</v>
      </c>
      <c r="O54">
        <v>1481</v>
      </c>
      <c r="P54">
        <v>0</v>
      </c>
      <c r="Q54">
        <v>-3894</v>
      </c>
    </row>
    <row r="55" spans="1:17" x14ac:dyDescent="0.45">
      <c r="A55">
        <v>291</v>
      </c>
      <c r="B55" t="s">
        <v>115</v>
      </c>
      <c r="C55">
        <v>3431</v>
      </c>
      <c r="D55">
        <v>3</v>
      </c>
      <c r="E55">
        <v>3333.6</v>
      </c>
      <c r="F55">
        <v>104.9</v>
      </c>
      <c r="G55">
        <v>2855.8</v>
      </c>
      <c r="H55">
        <v>2</v>
      </c>
      <c r="I55">
        <v>24.61</v>
      </c>
      <c r="J55">
        <v>1276</v>
      </c>
      <c r="K55">
        <v>554</v>
      </c>
      <c r="L55">
        <v>114</v>
      </c>
      <c r="M55">
        <v>147</v>
      </c>
      <c r="N55">
        <v>0</v>
      </c>
      <c r="O55">
        <v>3214</v>
      </c>
      <c r="P55">
        <v>221.5</v>
      </c>
      <c r="Q55">
        <v>-943</v>
      </c>
    </row>
    <row r="56" spans="1:17" x14ac:dyDescent="0.45">
      <c r="A56">
        <v>1202</v>
      </c>
      <c r="B56" t="s">
        <v>116</v>
      </c>
      <c r="C56">
        <v>1538</v>
      </c>
      <c r="D56">
        <v>3</v>
      </c>
      <c r="E56">
        <v>2872</v>
      </c>
      <c r="F56">
        <v>0</v>
      </c>
      <c r="G56">
        <v>38.6</v>
      </c>
      <c r="H56">
        <v>2</v>
      </c>
      <c r="I56">
        <v>29.33</v>
      </c>
      <c r="J56">
        <v>412</v>
      </c>
      <c r="K56">
        <v>289</v>
      </c>
      <c r="L56">
        <v>34</v>
      </c>
      <c r="M56">
        <v>92</v>
      </c>
      <c r="N56">
        <v>0</v>
      </c>
      <c r="O56">
        <v>1785</v>
      </c>
      <c r="P56">
        <v>490.98</v>
      </c>
      <c r="Q56">
        <v>-843</v>
      </c>
    </row>
    <row r="57" spans="1:17" x14ac:dyDescent="0.45">
      <c r="A57">
        <v>3441</v>
      </c>
      <c r="B57" t="s">
        <v>117</v>
      </c>
      <c r="C57">
        <v>2115</v>
      </c>
      <c r="D57">
        <v>3</v>
      </c>
      <c r="E57">
        <v>2161.5</v>
      </c>
      <c r="F57">
        <v>0</v>
      </c>
      <c r="G57">
        <v>3669</v>
      </c>
      <c r="H57">
        <v>2</v>
      </c>
      <c r="I57">
        <v>22.8</v>
      </c>
      <c r="J57">
        <v>810</v>
      </c>
      <c r="K57">
        <v>326</v>
      </c>
      <c r="L57">
        <v>72</v>
      </c>
      <c r="M57">
        <v>98</v>
      </c>
      <c r="N57">
        <v>0</v>
      </c>
      <c r="O57">
        <v>3673</v>
      </c>
      <c r="P57">
        <v>0</v>
      </c>
      <c r="Q57">
        <v>-241</v>
      </c>
    </row>
    <row r="58" spans="1:17" x14ac:dyDescent="0.45">
      <c r="A58">
        <v>6602</v>
      </c>
      <c r="B58" t="s">
        <v>118</v>
      </c>
      <c r="C58">
        <v>2417</v>
      </c>
      <c r="D58">
        <v>3</v>
      </c>
      <c r="E58">
        <v>1496.2</v>
      </c>
      <c r="F58">
        <v>2030.6</v>
      </c>
      <c r="G58">
        <v>1299.0999999999999</v>
      </c>
      <c r="H58">
        <v>1</v>
      </c>
      <c r="I58">
        <v>10.3</v>
      </c>
      <c r="J58">
        <v>945</v>
      </c>
      <c r="K58">
        <v>196</v>
      </c>
      <c r="L58">
        <v>75</v>
      </c>
      <c r="M58">
        <v>199</v>
      </c>
      <c r="N58">
        <v>0</v>
      </c>
      <c r="O58">
        <v>319</v>
      </c>
      <c r="P58">
        <v>0</v>
      </c>
      <c r="Q58">
        <v>-20</v>
      </c>
    </row>
    <row r="59" spans="1:17" x14ac:dyDescent="0.45">
      <c r="A59">
        <v>6252</v>
      </c>
      <c r="B59" t="s">
        <v>119</v>
      </c>
      <c r="C59">
        <v>2703</v>
      </c>
      <c r="D59">
        <v>3</v>
      </c>
      <c r="E59">
        <v>8575.7999999999993</v>
      </c>
      <c r="F59">
        <v>60.2</v>
      </c>
      <c r="G59">
        <v>2467.5</v>
      </c>
      <c r="H59">
        <v>3</v>
      </c>
      <c r="I59">
        <v>30.8</v>
      </c>
      <c r="J59">
        <v>1159</v>
      </c>
      <c r="K59">
        <v>506</v>
      </c>
      <c r="L59">
        <v>66</v>
      </c>
      <c r="M59">
        <v>169</v>
      </c>
      <c r="N59">
        <v>0</v>
      </c>
      <c r="O59">
        <v>2563</v>
      </c>
      <c r="P59">
        <v>996.75</v>
      </c>
      <c r="Q59">
        <v>-9453</v>
      </c>
    </row>
    <row r="60" spans="1:17" x14ac:dyDescent="0.45">
      <c r="A60">
        <v>2841</v>
      </c>
      <c r="B60" t="s">
        <v>120</v>
      </c>
      <c r="C60">
        <v>531</v>
      </c>
      <c r="D60">
        <v>1</v>
      </c>
      <c r="E60">
        <v>426.9</v>
      </c>
      <c r="F60">
        <v>0</v>
      </c>
      <c r="G60">
        <v>601.20000000000005</v>
      </c>
      <c r="H60">
        <v>3</v>
      </c>
      <c r="I60">
        <v>22.09</v>
      </c>
      <c r="J60">
        <v>194</v>
      </c>
      <c r="K60">
        <v>95</v>
      </c>
      <c r="L60">
        <v>21</v>
      </c>
      <c r="M60">
        <v>29</v>
      </c>
      <c r="N60">
        <v>0</v>
      </c>
      <c r="O60">
        <v>1489</v>
      </c>
      <c r="P60">
        <v>28.04</v>
      </c>
      <c r="Q60">
        <v>-201</v>
      </c>
    </row>
    <row r="61" spans="1:17" x14ac:dyDescent="0.45">
      <c r="A61">
        <v>3101</v>
      </c>
      <c r="B61" t="s">
        <v>121</v>
      </c>
      <c r="C61">
        <v>5864</v>
      </c>
      <c r="D61">
        <v>3</v>
      </c>
      <c r="E61">
        <v>8336.4</v>
      </c>
      <c r="F61">
        <v>1340.3</v>
      </c>
      <c r="G61">
        <v>9297.7999999999993</v>
      </c>
      <c r="H61">
        <v>1</v>
      </c>
      <c r="I61">
        <v>12.52</v>
      </c>
      <c r="J61">
        <v>3422</v>
      </c>
      <c r="K61">
        <v>1687</v>
      </c>
      <c r="L61">
        <v>307</v>
      </c>
      <c r="M61">
        <v>515</v>
      </c>
      <c r="N61">
        <v>0</v>
      </c>
      <c r="O61">
        <v>9191</v>
      </c>
      <c r="P61">
        <v>730.95</v>
      </c>
      <c r="Q61">
        <v>-682</v>
      </c>
    </row>
    <row r="62" spans="1:17" x14ac:dyDescent="0.45">
      <c r="A62">
        <v>5143</v>
      </c>
      <c r="B62" t="s">
        <v>122</v>
      </c>
      <c r="C62">
        <v>361</v>
      </c>
      <c r="D62">
        <v>3</v>
      </c>
      <c r="E62">
        <v>410</v>
      </c>
      <c r="F62">
        <v>4.0999999999999996</v>
      </c>
      <c r="G62">
        <v>276.3</v>
      </c>
      <c r="H62">
        <v>3</v>
      </c>
      <c r="I62">
        <v>25.45</v>
      </c>
      <c r="J62">
        <v>127</v>
      </c>
      <c r="K62">
        <v>50</v>
      </c>
      <c r="L62">
        <v>10</v>
      </c>
      <c r="M62">
        <v>28</v>
      </c>
      <c r="N62">
        <v>0</v>
      </c>
      <c r="O62">
        <v>22</v>
      </c>
      <c r="P62">
        <v>0</v>
      </c>
      <c r="Q62">
        <v>-421</v>
      </c>
    </row>
    <row r="63" spans="1:17" x14ac:dyDescent="0.45">
      <c r="A63">
        <v>6261</v>
      </c>
      <c r="B63" t="s">
        <v>123</v>
      </c>
      <c r="C63">
        <v>1390</v>
      </c>
      <c r="D63">
        <v>3</v>
      </c>
      <c r="E63">
        <v>1283.4000000000001</v>
      </c>
      <c r="F63">
        <v>24</v>
      </c>
      <c r="G63">
        <v>1998.1</v>
      </c>
      <c r="H63">
        <v>2</v>
      </c>
      <c r="I63">
        <v>30.34</v>
      </c>
      <c r="J63">
        <v>686</v>
      </c>
      <c r="K63">
        <v>213</v>
      </c>
      <c r="L63">
        <v>44</v>
      </c>
      <c r="M63">
        <v>96</v>
      </c>
      <c r="N63">
        <v>0</v>
      </c>
      <c r="O63">
        <v>628</v>
      </c>
      <c r="P63">
        <v>0</v>
      </c>
      <c r="Q63">
        <v>-1024</v>
      </c>
    </row>
    <row r="64" spans="1:17" x14ac:dyDescent="0.45">
      <c r="A64">
        <v>5001</v>
      </c>
      <c r="B64" t="s">
        <v>124</v>
      </c>
      <c r="C64">
        <v>5082</v>
      </c>
      <c r="D64">
        <v>1</v>
      </c>
      <c r="E64">
        <v>5231</v>
      </c>
      <c r="F64">
        <v>255.3</v>
      </c>
      <c r="G64">
        <v>4282</v>
      </c>
      <c r="H64">
        <v>1</v>
      </c>
      <c r="I64">
        <v>18.600000000000001</v>
      </c>
      <c r="J64">
        <v>2056</v>
      </c>
      <c r="K64">
        <v>835</v>
      </c>
      <c r="L64">
        <v>88</v>
      </c>
      <c r="M64">
        <v>406</v>
      </c>
      <c r="N64">
        <v>0</v>
      </c>
      <c r="O64">
        <v>185</v>
      </c>
      <c r="P64">
        <v>0</v>
      </c>
      <c r="Q64">
        <v>-3372</v>
      </c>
    </row>
    <row r="65" spans="1:17" x14ac:dyDescent="0.45">
      <c r="A65">
        <v>2881</v>
      </c>
      <c r="B65" t="s">
        <v>125</v>
      </c>
      <c r="C65">
        <v>591</v>
      </c>
      <c r="D65">
        <v>1</v>
      </c>
      <c r="E65">
        <v>649.6</v>
      </c>
      <c r="F65">
        <v>0.6</v>
      </c>
      <c r="G65">
        <v>577.70000000000005</v>
      </c>
      <c r="H65">
        <v>3</v>
      </c>
      <c r="I65">
        <v>22.09</v>
      </c>
      <c r="J65">
        <v>264</v>
      </c>
      <c r="K65">
        <v>100</v>
      </c>
      <c r="L65">
        <v>19</v>
      </c>
      <c r="M65">
        <v>23</v>
      </c>
      <c r="N65">
        <v>0</v>
      </c>
      <c r="O65">
        <v>570</v>
      </c>
      <c r="P65">
        <v>28.8</v>
      </c>
      <c r="Q65">
        <v>-281</v>
      </c>
    </row>
    <row r="66" spans="1:17" x14ac:dyDescent="0.45">
      <c r="A66">
        <v>4401</v>
      </c>
      <c r="B66" t="s">
        <v>126</v>
      </c>
      <c r="C66">
        <v>15459</v>
      </c>
      <c r="D66">
        <v>3</v>
      </c>
      <c r="E66">
        <v>13341.9</v>
      </c>
      <c r="F66">
        <v>8051.7</v>
      </c>
      <c r="G66">
        <v>10039.5</v>
      </c>
      <c r="H66">
        <v>1</v>
      </c>
      <c r="I66">
        <v>21</v>
      </c>
      <c r="J66">
        <v>5375</v>
      </c>
      <c r="K66">
        <v>2528</v>
      </c>
      <c r="L66">
        <v>304</v>
      </c>
      <c r="M66">
        <v>673</v>
      </c>
      <c r="N66">
        <v>0</v>
      </c>
      <c r="O66">
        <v>941</v>
      </c>
      <c r="P66">
        <v>0</v>
      </c>
      <c r="Q66">
        <v>-40</v>
      </c>
    </row>
    <row r="67" spans="1:17" x14ac:dyDescent="0.45">
      <c r="A67">
        <v>381</v>
      </c>
      <c r="B67" t="s">
        <v>127</v>
      </c>
      <c r="C67">
        <v>1718</v>
      </c>
      <c r="D67">
        <v>2</v>
      </c>
      <c r="E67">
        <v>1792.6</v>
      </c>
      <c r="F67">
        <v>828.8</v>
      </c>
      <c r="G67">
        <v>1673.2</v>
      </c>
      <c r="H67">
        <v>2</v>
      </c>
      <c r="I67">
        <v>24.84</v>
      </c>
      <c r="J67">
        <v>793</v>
      </c>
      <c r="K67">
        <v>257</v>
      </c>
      <c r="L67">
        <v>31</v>
      </c>
      <c r="M67">
        <v>63</v>
      </c>
      <c r="N67">
        <v>0</v>
      </c>
      <c r="O67">
        <v>926</v>
      </c>
      <c r="P67">
        <v>0</v>
      </c>
      <c r="Q67">
        <v>-361</v>
      </c>
    </row>
    <row r="68" spans="1:17" x14ac:dyDescent="0.45">
      <c r="A68">
        <v>6021</v>
      </c>
      <c r="B68" t="s">
        <v>128</v>
      </c>
      <c r="C68">
        <v>3564</v>
      </c>
      <c r="D68">
        <v>2</v>
      </c>
      <c r="E68">
        <v>2905.5</v>
      </c>
      <c r="F68">
        <v>856</v>
      </c>
      <c r="G68">
        <v>3923</v>
      </c>
      <c r="H68">
        <v>1</v>
      </c>
      <c r="I68">
        <v>24.74</v>
      </c>
      <c r="J68">
        <v>1762</v>
      </c>
      <c r="K68">
        <v>618</v>
      </c>
      <c r="L68">
        <v>82</v>
      </c>
      <c r="M68">
        <v>151</v>
      </c>
      <c r="N68">
        <v>0</v>
      </c>
      <c r="O68">
        <v>372</v>
      </c>
      <c r="P68">
        <v>0</v>
      </c>
      <c r="Q68">
        <v>-1184</v>
      </c>
    </row>
    <row r="69" spans="1:17" x14ac:dyDescent="0.45">
      <c r="A69">
        <v>2821</v>
      </c>
      <c r="B69" t="s">
        <v>129</v>
      </c>
      <c r="C69">
        <v>1708</v>
      </c>
      <c r="D69">
        <v>1</v>
      </c>
      <c r="E69">
        <v>2544.1</v>
      </c>
      <c r="F69">
        <v>3.4</v>
      </c>
      <c r="G69">
        <v>1062.2</v>
      </c>
      <c r="H69">
        <v>2</v>
      </c>
      <c r="I69">
        <v>20.72</v>
      </c>
      <c r="J69">
        <v>655</v>
      </c>
      <c r="K69">
        <v>258</v>
      </c>
      <c r="L69">
        <v>60</v>
      </c>
      <c r="M69">
        <v>106</v>
      </c>
      <c r="N69">
        <v>0</v>
      </c>
      <c r="O69">
        <v>2826</v>
      </c>
      <c r="P69">
        <v>0</v>
      </c>
      <c r="Q69">
        <v>-662</v>
      </c>
    </row>
    <row r="70" spans="1:17" x14ac:dyDescent="0.45">
      <c r="A70">
        <v>4222</v>
      </c>
      <c r="B70" t="s">
        <v>130</v>
      </c>
      <c r="C70">
        <v>1588</v>
      </c>
      <c r="D70">
        <v>3</v>
      </c>
      <c r="E70">
        <v>1887.2</v>
      </c>
      <c r="F70">
        <v>0</v>
      </c>
      <c r="G70">
        <v>1793.4</v>
      </c>
      <c r="H70">
        <v>3</v>
      </c>
      <c r="I70">
        <v>23.9</v>
      </c>
      <c r="J70">
        <v>645</v>
      </c>
      <c r="K70">
        <v>241</v>
      </c>
      <c r="L70">
        <v>53</v>
      </c>
      <c r="M70">
        <v>70</v>
      </c>
      <c r="N70">
        <v>0</v>
      </c>
      <c r="O70">
        <v>3694</v>
      </c>
      <c r="P70">
        <v>0</v>
      </c>
      <c r="Q70">
        <v>-241</v>
      </c>
    </row>
    <row r="71" spans="1:17" x14ac:dyDescent="0.45">
      <c r="A71">
        <v>2763</v>
      </c>
      <c r="B71" t="s">
        <v>131</v>
      </c>
      <c r="C71">
        <v>9270</v>
      </c>
      <c r="D71">
        <v>1</v>
      </c>
      <c r="E71">
        <v>4295.6000000000004</v>
      </c>
      <c r="F71">
        <v>11399.6</v>
      </c>
      <c r="G71">
        <v>4382.3999999999996</v>
      </c>
      <c r="H71">
        <v>1</v>
      </c>
      <c r="I71">
        <v>14.25</v>
      </c>
      <c r="J71">
        <v>2709</v>
      </c>
      <c r="K71">
        <v>1101</v>
      </c>
      <c r="L71">
        <v>313</v>
      </c>
      <c r="M71">
        <v>625</v>
      </c>
      <c r="N71">
        <v>0</v>
      </c>
      <c r="O71">
        <v>128</v>
      </c>
      <c r="P71">
        <v>0</v>
      </c>
      <c r="Q71">
        <v>-723</v>
      </c>
    </row>
    <row r="72" spans="1:17" x14ac:dyDescent="0.45">
      <c r="A72">
        <v>5701</v>
      </c>
      <c r="B72" t="s">
        <v>132</v>
      </c>
      <c r="C72">
        <v>243</v>
      </c>
      <c r="D72">
        <v>2</v>
      </c>
      <c r="E72">
        <v>243.9</v>
      </c>
      <c r="F72">
        <v>2.9</v>
      </c>
      <c r="G72">
        <v>142</v>
      </c>
      <c r="H72">
        <v>2</v>
      </c>
      <c r="I72">
        <v>26.72</v>
      </c>
      <c r="J72">
        <v>102</v>
      </c>
      <c r="K72">
        <v>27</v>
      </c>
      <c r="L72">
        <v>13</v>
      </c>
      <c r="M72">
        <v>18</v>
      </c>
      <c r="N72">
        <v>0</v>
      </c>
      <c r="O72">
        <v>221</v>
      </c>
      <c r="P72">
        <v>0</v>
      </c>
      <c r="Q72">
        <v>-60</v>
      </c>
    </row>
    <row r="73" spans="1:17" x14ac:dyDescent="0.45">
      <c r="A73">
        <v>5743</v>
      </c>
      <c r="B73" t="s">
        <v>133</v>
      </c>
      <c r="C73">
        <v>691</v>
      </c>
      <c r="D73">
        <v>3</v>
      </c>
      <c r="E73">
        <v>192.4</v>
      </c>
      <c r="F73">
        <v>1157.0999999999999</v>
      </c>
      <c r="G73">
        <v>615.4</v>
      </c>
      <c r="H73">
        <v>3</v>
      </c>
      <c r="I73">
        <v>35.86</v>
      </c>
      <c r="J73">
        <v>262</v>
      </c>
      <c r="K73">
        <v>64</v>
      </c>
      <c r="L73">
        <v>24</v>
      </c>
      <c r="M73">
        <v>39</v>
      </c>
      <c r="N73">
        <v>0</v>
      </c>
      <c r="O73">
        <v>1880</v>
      </c>
      <c r="P73">
        <v>41.33</v>
      </c>
      <c r="Q73">
        <v>-281</v>
      </c>
    </row>
    <row r="74" spans="1:17" x14ac:dyDescent="0.45">
      <c r="A74">
        <v>4061</v>
      </c>
      <c r="B74" t="s">
        <v>134</v>
      </c>
      <c r="C74">
        <v>1886</v>
      </c>
      <c r="D74">
        <v>3</v>
      </c>
      <c r="E74">
        <v>2159.5</v>
      </c>
      <c r="F74">
        <v>127.2</v>
      </c>
      <c r="G74">
        <v>1590.3</v>
      </c>
      <c r="H74">
        <v>2</v>
      </c>
      <c r="I74">
        <v>23.46</v>
      </c>
      <c r="J74">
        <v>719</v>
      </c>
      <c r="K74">
        <v>268</v>
      </c>
      <c r="L74">
        <v>64</v>
      </c>
      <c r="M74">
        <v>108</v>
      </c>
      <c r="N74">
        <v>0</v>
      </c>
      <c r="O74">
        <v>1012</v>
      </c>
      <c r="P74">
        <v>0</v>
      </c>
      <c r="Q74">
        <v>-181</v>
      </c>
    </row>
    <row r="75" spans="1:17" x14ac:dyDescent="0.45">
      <c r="A75">
        <v>602</v>
      </c>
      <c r="B75" t="s">
        <v>135</v>
      </c>
      <c r="C75">
        <v>951</v>
      </c>
      <c r="D75">
        <v>2</v>
      </c>
      <c r="E75">
        <v>781.2</v>
      </c>
      <c r="F75">
        <v>0</v>
      </c>
      <c r="G75">
        <v>816.9</v>
      </c>
      <c r="H75">
        <v>3</v>
      </c>
      <c r="I75">
        <v>26.41</v>
      </c>
      <c r="J75">
        <v>340</v>
      </c>
      <c r="K75">
        <v>158</v>
      </c>
      <c r="L75">
        <v>9</v>
      </c>
      <c r="M75">
        <v>28</v>
      </c>
      <c r="N75">
        <v>0</v>
      </c>
      <c r="O75">
        <v>5883</v>
      </c>
      <c r="P75">
        <v>0</v>
      </c>
      <c r="Q75">
        <v>-542</v>
      </c>
    </row>
    <row r="76" spans="1:17" x14ac:dyDescent="0.45">
      <c r="A76">
        <v>5144</v>
      </c>
      <c r="B76" t="s">
        <v>136</v>
      </c>
      <c r="C76">
        <v>955</v>
      </c>
      <c r="D76">
        <v>3</v>
      </c>
      <c r="E76">
        <v>1093.9000000000001</v>
      </c>
      <c r="F76">
        <v>17.8</v>
      </c>
      <c r="G76">
        <v>806.6</v>
      </c>
      <c r="H76">
        <v>3</v>
      </c>
      <c r="I76">
        <v>25.45</v>
      </c>
      <c r="J76">
        <v>350</v>
      </c>
      <c r="K76">
        <v>143</v>
      </c>
      <c r="L76">
        <v>27</v>
      </c>
      <c r="M76">
        <v>69</v>
      </c>
      <c r="N76">
        <v>0</v>
      </c>
      <c r="O76">
        <v>310</v>
      </c>
      <c r="P76">
        <v>0</v>
      </c>
      <c r="Q76">
        <v>-1325</v>
      </c>
    </row>
    <row r="77" spans="1:17" x14ac:dyDescent="0.45">
      <c r="A77">
        <v>3921</v>
      </c>
      <c r="B77" t="s">
        <v>137</v>
      </c>
      <c r="C77">
        <v>3061</v>
      </c>
      <c r="D77">
        <v>3</v>
      </c>
      <c r="E77">
        <v>17002.5</v>
      </c>
      <c r="F77">
        <v>105</v>
      </c>
      <c r="G77">
        <v>1744.5</v>
      </c>
      <c r="H77">
        <v>2</v>
      </c>
      <c r="I77">
        <v>21.73</v>
      </c>
      <c r="J77">
        <v>1016</v>
      </c>
      <c r="K77">
        <v>545</v>
      </c>
      <c r="L77">
        <v>64</v>
      </c>
      <c r="M77">
        <v>159</v>
      </c>
      <c r="N77">
        <v>0</v>
      </c>
      <c r="O77">
        <v>6693</v>
      </c>
      <c r="P77">
        <v>1935.16</v>
      </c>
      <c r="Q77">
        <v>-8409</v>
      </c>
    </row>
    <row r="78" spans="1:17" x14ac:dyDescent="0.45">
      <c r="A78">
        <v>1362</v>
      </c>
      <c r="B78" t="s">
        <v>138</v>
      </c>
      <c r="C78">
        <v>12359</v>
      </c>
      <c r="D78">
        <v>3</v>
      </c>
      <c r="E78">
        <v>11592</v>
      </c>
      <c r="F78">
        <v>1336</v>
      </c>
      <c r="G78">
        <v>10499.8</v>
      </c>
      <c r="H78">
        <v>1</v>
      </c>
      <c r="I78">
        <v>35.31</v>
      </c>
      <c r="J78">
        <v>4183</v>
      </c>
      <c r="K78">
        <v>1939</v>
      </c>
      <c r="L78">
        <v>273</v>
      </c>
      <c r="M78">
        <v>489</v>
      </c>
      <c r="N78">
        <v>0</v>
      </c>
      <c r="O78">
        <v>7874</v>
      </c>
      <c r="P78">
        <v>0</v>
      </c>
      <c r="Q78">
        <v>-3572</v>
      </c>
    </row>
    <row r="79" spans="1:17" x14ac:dyDescent="0.45">
      <c r="A79">
        <v>5702</v>
      </c>
      <c r="B79" t="s">
        <v>139</v>
      </c>
      <c r="C79">
        <v>2960</v>
      </c>
      <c r="D79">
        <v>3</v>
      </c>
      <c r="E79">
        <v>2166.1999999999998</v>
      </c>
      <c r="F79">
        <v>178.6</v>
      </c>
      <c r="G79">
        <v>2272</v>
      </c>
      <c r="H79">
        <v>2</v>
      </c>
      <c r="I79">
        <v>26.72</v>
      </c>
      <c r="J79">
        <v>1084</v>
      </c>
      <c r="K79">
        <v>400</v>
      </c>
      <c r="L79">
        <v>158</v>
      </c>
      <c r="M79">
        <v>291</v>
      </c>
      <c r="N79">
        <v>0</v>
      </c>
      <c r="O79">
        <v>1596</v>
      </c>
      <c r="P79">
        <v>0</v>
      </c>
      <c r="Q79">
        <v>-6824</v>
      </c>
    </row>
    <row r="80" spans="1:17" x14ac:dyDescent="0.45">
      <c r="A80">
        <v>5091</v>
      </c>
      <c r="B80" t="s">
        <v>140</v>
      </c>
      <c r="C80">
        <v>5436</v>
      </c>
      <c r="D80">
        <v>3</v>
      </c>
      <c r="E80">
        <v>13362.2</v>
      </c>
      <c r="F80">
        <v>49.2</v>
      </c>
      <c r="G80">
        <v>3033.5</v>
      </c>
      <c r="H80">
        <v>1</v>
      </c>
      <c r="I80">
        <v>18.600000000000001</v>
      </c>
      <c r="J80">
        <v>2196</v>
      </c>
      <c r="K80">
        <v>617</v>
      </c>
      <c r="L80">
        <v>127</v>
      </c>
      <c r="M80">
        <v>450</v>
      </c>
      <c r="N80">
        <v>0</v>
      </c>
      <c r="O80">
        <v>138</v>
      </c>
      <c r="P80">
        <v>0</v>
      </c>
      <c r="Q80">
        <v>-361</v>
      </c>
    </row>
    <row r="81" spans="1:17" x14ac:dyDescent="0.45">
      <c r="A81">
        <v>5511</v>
      </c>
      <c r="B81" t="s">
        <v>141</v>
      </c>
      <c r="C81">
        <v>1672</v>
      </c>
      <c r="D81">
        <v>3</v>
      </c>
      <c r="E81">
        <v>1098.4000000000001</v>
      </c>
      <c r="F81">
        <v>1544.6</v>
      </c>
      <c r="G81">
        <v>3173.8</v>
      </c>
      <c r="H81">
        <v>3</v>
      </c>
      <c r="I81">
        <v>35.86</v>
      </c>
      <c r="J81">
        <v>767</v>
      </c>
      <c r="K81">
        <v>432</v>
      </c>
      <c r="L81">
        <v>47</v>
      </c>
      <c r="M81">
        <v>161</v>
      </c>
      <c r="N81">
        <v>0</v>
      </c>
      <c r="O81">
        <v>4177</v>
      </c>
      <c r="P81">
        <v>152.84</v>
      </c>
      <c r="Q81">
        <v>-221</v>
      </c>
    </row>
    <row r="82" spans="1:17" x14ac:dyDescent="0.45">
      <c r="A82">
        <v>5146</v>
      </c>
      <c r="B82" t="s">
        <v>142</v>
      </c>
      <c r="C82">
        <v>299</v>
      </c>
      <c r="D82">
        <v>3</v>
      </c>
      <c r="E82">
        <v>769.2</v>
      </c>
      <c r="F82">
        <v>0</v>
      </c>
      <c r="G82">
        <v>263.3</v>
      </c>
      <c r="H82">
        <v>3</v>
      </c>
      <c r="I82">
        <v>25.45</v>
      </c>
      <c r="J82">
        <v>134</v>
      </c>
      <c r="K82">
        <v>47</v>
      </c>
      <c r="L82">
        <v>5</v>
      </c>
      <c r="M82">
        <v>25</v>
      </c>
      <c r="N82">
        <v>0</v>
      </c>
      <c r="O82">
        <v>9</v>
      </c>
      <c r="P82">
        <v>0</v>
      </c>
      <c r="Q82">
        <v>-602</v>
      </c>
    </row>
    <row r="83" spans="1:17" x14ac:dyDescent="0.45">
      <c r="A83">
        <v>2321</v>
      </c>
      <c r="B83" t="s">
        <v>143</v>
      </c>
      <c r="C83">
        <v>3682</v>
      </c>
      <c r="D83">
        <v>3</v>
      </c>
      <c r="E83">
        <v>3058.6</v>
      </c>
      <c r="F83">
        <v>834.7</v>
      </c>
      <c r="G83">
        <v>3315.5</v>
      </c>
      <c r="H83">
        <v>2</v>
      </c>
      <c r="I83">
        <v>28.63</v>
      </c>
      <c r="J83">
        <v>1390</v>
      </c>
      <c r="K83">
        <v>439</v>
      </c>
      <c r="L83">
        <v>141</v>
      </c>
      <c r="M83">
        <v>279</v>
      </c>
      <c r="N83">
        <v>0</v>
      </c>
      <c r="O83">
        <v>4635</v>
      </c>
      <c r="P83">
        <v>0</v>
      </c>
      <c r="Q83">
        <v>-482</v>
      </c>
    </row>
    <row r="84" spans="1:17" x14ac:dyDescent="0.45">
      <c r="A84">
        <v>1203</v>
      </c>
      <c r="B84" t="s">
        <v>144</v>
      </c>
      <c r="C84">
        <v>1765</v>
      </c>
      <c r="D84">
        <v>3</v>
      </c>
      <c r="E84">
        <v>1160.4000000000001</v>
      </c>
      <c r="F84">
        <v>0</v>
      </c>
      <c r="G84">
        <v>871.5</v>
      </c>
      <c r="H84">
        <v>1</v>
      </c>
      <c r="I84">
        <v>26.15</v>
      </c>
      <c r="J84">
        <v>518</v>
      </c>
      <c r="K84">
        <v>348</v>
      </c>
      <c r="L84">
        <v>23</v>
      </c>
      <c r="M84">
        <v>41</v>
      </c>
      <c r="N84">
        <v>0</v>
      </c>
      <c r="O84">
        <v>2211</v>
      </c>
      <c r="P84">
        <v>0</v>
      </c>
      <c r="Q84">
        <v>-1706</v>
      </c>
    </row>
    <row r="85" spans="1:17" x14ac:dyDescent="0.45">
      <c r="A85">
        <v>971</v>
      </c>
      <c r="B85" t="s">
        <v>145</v>
      </c>
      <c r="C85">
        <v>1549</v>
      </c>
      <c r="D85">
        <v>1</v>
      </c>
      <c r="E85">
        <v>2473</v>
      </c>
      <c r="F85">
        <v>2.8</v>
      </c>
      <c r="G85">
        <v>1388.9</v>
      </c>
      <c r="H85">
        <v>3</v>
      </c>
      <c r="I85">
        <v>26.41</v>
      </c>
      <c r="J85">
        <v>601</v>
      </c>
      <c r="K85">
        <v>245</v>
      </c>
      <c r="L85">
        <v>37</v>
      </c>
      <c r="M85">
        <v>78</v>
      </c>
      <c r="N85">
        <v>0</v>
      </c>
      <c r="O85">
        <v>2408</v>
      </c>
      <c r="P85">
        <v>0</v>
      </c>
      <c r="Q85">
        <v>-522</v>
      </c>
    </row>
    <row r="86" spans="1:17" x14ac:dyDescent="0.45">
      <c r="A86">
        <v>3231</v>
      </c>
      <c r="B86" t="s">
        <v>146</v>
      </c>
      <c r="C86">
        <v>8252</v>
      </c>
      <c r="D86">
        <v>3</v>
      </c>
      <c r="E86">
        <v>7179.7</v>
      </c>
      <c r="F86">
        <v>3338.9</v>
      </c>
      <c r="G86">
        <v>11674.4</v>
      </c>
      <c r="H86">
        <v>1</v>
      </c>
      <c r="I86">
        <v>22.7</v>
      </c>
      <c r="J86">
        <v>3681</v>
      </c>
      <c r="K86">
        <v>2046</v>
      </c>
      <c r="L86">
        <v>236</v>
      </c>
      <c r="M86">
        <v>455</v>
      </c>
      <c r="N86">
        <v>0</v>
      </c>
      <c r="O86">
        <v>833</v>
      </c>
      <c r="P86">
        <v>3265.66</v>
      </c>
      <c r="Q86">
        <v>-20</v>
      </c>
    </row>
    <row r="87" spans="1:17" x14ac:dyDescent="0.45">
      <c r="A87">
        <v>5422</v>
      </c>
      <c r="B87" t="s">
        <v>147</v>
      </c>
      <c r="C87">
        <v>3791</v>
      </c>
      <c r="D87">
        <v>3</v>
      </c>
      <c r="E87">
        <v>2217.3000000000002</v>
      </c>
      <c r="F87">
        <v>5514.4</v>
      </c>
      <c r="G87">
        <v>2360.6</v>
      </c>
      <c r="H87">
        <v>2</v>
      </c>
      <c r="I87">
        <v>26.72</v>
      </c>
      <c r="J87">
        <v>1423</v>
      </c>
      <c r="K87">
        <v>554</v>
      </c>
      <c r="L87">
        <v>121</v>
      </c>
      <c r="M87">
        <v>271</v>
      </c>
      <c r="N87">
        <v>0</v>
      </c>
      <c r="O87">
        <v>1901</v>
      </c>
      <c r="P87">
        <v>210.43</v>
      </c>
      <c r="Q87">
        <v>-743</v>
      </c>
    </row>
    <row r="88" spans="1:17" x14ac:dyDescent="0.45">
      <c r="A88">
        <v>2061</v>
      </c>
      <c r="B88" t="s">
        <v>148</v>
      </c>
      <c r="C88">
        <v>288</v>
      </c>
      <c r="D88">
        <v>3</v>
      </c>
      <c r="E88">
        <v>390.1</v>
      </c>
      <c r="F88">
        <v>21.2</v>
      </c>
      <c r="G88">
        <v>388.5</v>
      </c>
      <c r="H88">
        <v>3</v>
      </c>
      <c r="I88">
        <v>36.93</v>
      </c>
      <c r="J88">
        <v>127</v>
      </c>
      <c r="K88">
        <v>38</v>
      </c>
      <c r="L88">
        <v>15</v>
      </c>
      <c r="M88">
        <v>26</v>
      </c>
      <c r="N88">
        <v>0</v>
      </c>
      <c r="O88">
        <v>671</v>
      </c>
      <c r="P88">
        <v>0</v>
      </c>
      <c r="Q88">
        <v>-40</v>
      </c>
    </row>
    <row r="89" spans="1:17" x14ac:dyDescent="0.45">
      <c r="A89">
        <v>4091</v>
      </c>
      <c r="B89" t="s">
        <v>149</v>
      </c>
      <c r="C89">
        <v>1669</v>
      </c>
      <c r="D89">
        <v>3</v>
      </c>
      <c r="E89">
        <v>1796.1</v>
      </c>
      <c r="F89">
        <v>0</v>
      </c>
      <c r="G89">
        <v>1292</v>
      </c>
      <c r="H89">
        <v>2</v>
      </c>
      <c r="I89">
        <v>23.46</v>
      </c>
      <c r="J89">
        <v>770</v>
      </c>
      <c r="K89">
        <v>261</v>
      </c>
      <c r="L89">
        <v>53</v>
      </c>
      <c r="M89">
        <v>87</v>
      </c>
      <c r="N89">
        <v>0</v>
      </c>
      <c r="O89">
        <v>256</v>
      </c>
      <c r="P89">
        <v>0</v>
      </c>
      <c r="Q89">
        <v>-502</v>
      </c>
    </row>
    <row r="90" spans="1:17" x14ac:dyDescent="0.45">
      <c r="A90">
        <v>2822</v>
      </c>
      <c r="B90" t="s">
        <v>150</v>
      </c>
      <c r="C90">
        <v>1057</v>
      </c>
      <c r="D90">
        <v>1</v>
      </c>
      <c r="E90">
        <v>654.4</v>
      </c>
      <c r="F90">
        <v>1324.3</v>
      </c>
      <c r="G90">
        <v>553.29999999999995</v>
      </c>
      <c r="H90">
        <v>1</v>
      </c>
      <c r="I90">
        <v>14.25</v>
      </c>
      <c r="J90">
        <v>420</v>
      </c>
      <c r="K90">
        <v>152</v>
      </c>
      <c r="L90">
        <v>17</v>
      </c>
      <c r="M90">
        <v>48</v>
      </c>
      <c r="N90">
        <v>0</v>
      </c>
      <c r="O90">
        <v>542</v>
      </c>
      <c r="P90">
        <v>0</v>
      </c>
      <c r="Q90">
        <v>-40</v>
      </c>
    </row>
    <row r="91" spans="1:17" x14ac:dyDescent="0.45">
      <c r="A91">
        <v>6191</v>
      </c>
      <c r="B91" t="s">
        <v>151</v>
      </c>
      <c r="C91">
        <v>630</v>
      </c>
      <c r="D91">
        <v>3</v>
      </c>
      <c r="E91">
        <v>728.7</v>
      </c>
      <c r="F91">
        <v>0</v>
      </c>
      <c r="G91">
        <v>643.5</v>
      </c>
      <c r="H91">
        <v>3</v>
      </c>
      <c r="I91">
        <v>30.8</v>
      </c>
      <c r="J91">
        <v>171</v>
      </c>
      <c r="K91">
        <v>126</v>
      </c>
      <c r="L91">
        <v>15</v>
      </c>
      <c r="M91">
        <v>15</v>
      </c>
      <c r="N91">
        <v>0</v>
      </c>
      <c r="O91">
        <v>593</v>
      </c>
      <c r="P91">
        <v>0</v>
      </c>
      <c r="Q91">
        <v>-1124</v>
      </c>
    </row>
    <row r="92" spans="1:17" x14ac:dyDescent="0.45">
      <c r="A92">
        <v>322</v>
      </c>
      <c r="B92" t="s">
        <v>152</v>
      </c>
      <c r="C92">
        <v>458</v>
      </c>
      <c r="D92">
        <v>2</v>
      </c>
      <c r="E92">
        <v>558.70000000000005</v>
      </c>
      <c r="F92">
        <v>6.6</v>
      </c>
      <c r="G92">
        <v>793.9</v>
      </c>
      <c r="H92">
        <v>3</v>
      </c>
      <c r="I92">
        <v>26.41</v>
      </c>
      <c r="J92">
        <v>210</v>
      </c>
      <c r="K92">
        <v>88</v>
      </c>
      <c r="L92">
        <v>5</v>
      </c>
      <c r="M92">
        <v>45</v>
      </c>
      <c r="N92">
        <v>0</v>
      </c>
      <c r="O92">
        <v>2584</v>
      </c>
      <c r="P92">
        <v>0</v>
      </c>
      <c r="Q92">
        <v>-100</v>
      </c>
    </row>
    <row r="93" spans="1:17" x14ac:dyDescent="0.45">
      <c r="A93">
        <v>2173</v>
      </c>
      <c r="B93" t="s">
        <v>153</v>
      </c>
      <c r="C93">
        <v>794</v>
      </c>
      <c r="D93">
        <v>3</v>
      </c>
      <c r="E93">
        <v>814</v>
      </c>
      <c r="F93">
        <v>4.9000000000000004</v>
      </c>
      <c r="G93">
        <v>1993.1</v>
      </c>
      <c r="H93">
        <v>3</v>
      </c>
      <c r="I93">
        <v>36.93</v>
      </c>
      <c r="J93">
        <v>353</v>
      </c>
      <c r="K93">
        <v>91</v>
      </c>
      <c r="L93">
        <v>20</v>
      </c>
      <c r="M93">
        <v>45</v>
      </c>
      <c r="N93">
        <v>0</v>
      </c>
      <c r="O93">
        <v>3684</v>
      </c>
      <c r="P93">
        <v>506.48</v>
      </c>
      <c r="Q93">
        <v>-261</v>
      </c>
    </row>
    <row r="94" spans="1:17" x14ac:dyDescent="0.45">
      <c r="A94">
        <v>4223</v>
      </c>
      <c r="B94" t="s">
        <v>154</v>
      </c>
      <c r="C94">
        <v>2279</v>
      </c>
      <c r="D94">
        <v>3</v>
      </c>
      <c r="E94">
        <v>1583.9</v>
      </c>
      <c r="F94">
        <v>4.5</v>
      </c>
      <c r="G94">
        <v>6123.2</v>
      </c>
      <c r="H94">
        <v>2</v>
      </c>
      <c r="I94">
        <v>23.46</v>
      </c>
      <c r="J94">
        <v>850</v>
      </c>
      <c r="K94">
        <v>363</v>
      </c>
      <c r="L94">
        <v>60</v>
      </c>
      <c r="M94">
        <v>94</v>
      </c>
      <c r="N94">
        <v>0</v>
      </c>
      <c r="O94">
        <v>5262</v>
      </c>
      <c r="P94">
        <v>0</v>
      </c>
      <c r="Q94">
        <v>-401</v>
      </c>
    </row>
    <row r="95" spans="1:17" x14ac:dyDescent="0.45">
      <c r="A95">
        <v>5324</v>
      </c>
      <c r="B95" t="s">
        <v>155</v>
      </c>
      <c r="C95">
        <v>1557</v>
      </c>
      <c r="D95">
        <v>3</v>
      </c>
      <c r="E95">
        <v>1385.4</v>
      </c>
      <c r="F95">
        <v>1.9</v>
      </c>
      <c r="G95">
        <v>1375.3</v>
      </c>
      <c r="H95">
        <v>3</v>
      </c>
      <c r="I95">
        <v>25.45</v>
      </c>
      <c r="J95">
        <v>613</v>
      </c>
      <c r="K95">
        <v>204</v>
      </c>
      <c r="L95">
        <v>30</v>
      </c>
      <c r="M95">
        <v>90</v>
      </c>
      <c r="N95">
        <v>0</v>
      </c>
      <c r="O95">
        <v>3675</v>
      </c>
      <c r="P95">
        <v>0</v>
      </c>
      <c r="Q95">
        <v>-3372</v>
      </c>
    </row>
    <row r="96" spans="1:17" x14ac:dyDescent="0.45">
      <c r="A96">
        <v>5451</v>
      </c>
      <c r="B96" t="s">
        <v>156</v>
      </c>
      <c r="C96">
        <v>4685</v>
      </c>
      <c r="D96">
        <v>3</v>
      </c>
      <c r="E96">
        <v>4708.2</v>
      </c>
      <c r="F96">
        <v>659.7</v>
      </c>
      <c r="G96">
        <v>9967.9</v>
      </c>
      <c r="H96">
        <v>3</v>
      </c>
      <c r="I96">
        <v>35.86</v>
      </c>
      <c r="J96">
        <v>1806</v>
      </c>
      <c r="K96">
        <v>702</v>
      </c>
      <c r="L96">
        <v>83</v>
      </c>
      <c r="M96">
        <v>249</v>
      </c>
      <c r="N96">
        <v>0</v>
      </c>
      <c r="O96">
        <v>4823</v>
      </c>
      <c r="P96">
        <v>335.93</v>
      </c>
      <c r="Q96">
        <v>-622</v>
      </c>
    </row>
    <row r="97" spans="1:17" x14ac:dyDescent="0.45">
      <c r="A97">
        <v>3681</v>
      </c>
      <c r="B97" t="s">
        <v>157</v>
      </c>
      <c r="C97">
        <v>168</v>
      </c>
      <c r="D97">
        <v>3</v>
      </c>
      <c r="E97">
        <v>129.6</v>
      </c>
      <c r="F97">
        <v>0</v>
      </c>
      <c r="G97">
        <v>53.4</v>
      </c>
      <c r="H97">
        <v>3</v>
      </c>
      <c r="I97">
        <v>29.04</v>
      </c>
      <c r="J97">
        <v>51</v>
      </c>
      <c r="K97">
        <v>39</v>
      </c>
      <c r="L97">
        <v>5</v>
      </c>
      <c r="M97">
        <v>6</v>
      </c>
      <c r="N97">
        <v>0</v>
      </c>
      <c r="O97">
        <v>2119</v>
      </c>
      <c r="P97">
        <v>7.4</v>
      </c>
      <c r="Q97">
        <v>-983</v>
      </c>
    </row>
    <row r="98" spans="1:17" x14ac:dyDescent="0.45">
      <c r="A98">
        <v>2174</v>
      </c>
      <c r="B98" t="s">
        <v>158</v>
      </c>
      <c r="C98">
        <v>1921</v>
      </c>
      <c r="D98">
        <v>3</v>
      </c>
      <c r="E98">
        <v>1612.7</v>
      </c>
      <c r="F98">
        <v>403</v>
      </c>
      <c r="G98">
        <v>2758.5</v>
      </c>
      <c r="H98">
        <v>2</v>
      </c>
      <c r="I98">
        <v>28.63</v>
      </c>
      <c r="J98">
        <v>763</v>
      </c>
      <c r="K98">
        <v>232</v>
      </c>
      <c r="L98">
        <v>55</v>
      </c>
      <c r="M98">
        <v>151</v>
      </c>
      <c r="N98">
        <v>0</v>
      </c>
      <c r="O98">
        <v>2837</v>
      </c>
      <c r="P98">
        <v>0</v>
      </c>
      <c r="Q98">
        <v>-120</v>
      </c>
    </row>
    <row r="99" spans="1:17" x14ac:dyDescent="0.45">
      <c r="A99">
        <v>6603</v>
      </c>
      <c r="B99" t="s">
        <v>159</v>
      </c>
      <c r="C99">
        <v>1708</v>
      </c>
      <c r="D99">
        <v>3</v>
      </c>
      <c r="E99">
        <v>1955.5</v>
      </c>
      <c r="F99">
        <v>23.5</v>
      </c>
      <c r="G99">
        <v>411</v>
      </c>
      <c r="H99">
        <v>3</v>
      </c>
      <c r="I99">
        <v>27.36</v>
      </c>
      <c r="J99">
        <v>694</v>
      </c>
      <c r="K99">
        <v>168</v>
      </c>
      <c r="L99">
        <v>16</v>
      </c>
      <c r="M99">
        <v>74</v>
      </c>
      <c r="N99">
        <v>0</v>
      </c>
      <c r="O99">
        <v>1177</v>
      </c>
      <c r="P99">
        <v>106.32</v>
      </c>
      <c r="Q99">
        <v>-140</v>
      </c>
    </row>
    <row r="100" spans="1:17" x14ac:dyDescent="0.45">
      <c r="A100">
        <v>6604</v>
      </c>
      <c r="B100" t="s">
        <v>160</v>
      </c>
      <c r="C100">
        <v>1377</v>
      </c>
      <c r="D100">
        <v>3</v>
      </c>
      <c r="E100">
        <v>1456.6</v>
      </c>
      <c r="F100">
        <v>150.30000000000001</v>
      </c>
      <c r="G100">
        <v>760</v>
      </c>
      <c r="H100">
        <v>3</v>
      </c>
      <c r="I100">
        <v>27.36</v>
      </c>
      <c r="J100">
        <v>616</v>
      </c>
      <c r="K100">
        <v>169</v>
      </c>
      <c r="L100">
        <v>38</v>
      </c>
      <c r="M100">
        <v>95</v>
      </c>
      <c r="N100">
        <v>0</v>
      </c>
      <c r="O100">
        <v>1062</v>
      </c>
      <c r="P100">
        <v>0</v>
      </c>
      <c r="Q100">
        <v>-80</v>
      </c>
    </row>
    <row r="101" spans="1:17" x14ac:dyDescent="0.45">
      <c r="A101">
        <v>6082</v>
      </c>
      <c r="B101" t="s">
        <v>161</v>
      </c>
      <c r="C101">
        <v>4247</v>
      </c>
      <c r="D101">
        <v>3</v>
      </c>
      <c r="E101">
        <v>4487.7</v>
      </c>
      <c r="F101">
        <v>276.2</v>
      </c>
      <c r="G101">
        <v>2927.3</v>
      </c>
      <c r="H101">
        <v>2</v>
      </c>
      <c r="I101">
        <v>30.34</v>
      </c>
      <c r="J101">
        <v>1910</v>
      </c>
      <c r="K101">
        <v>635</v>
      </c>
      <c r="L101">
        <v>118</v>
      </c>
      <c r="M101">
        <v>206</v>
      </c>
      <c r="N101">
        <v>0</v>
      </c>
      <c r="O101">
        <v>1213</v>
      </c>
      <c r="P101">
        <v>498.38</v>
      </c>
      <c r="Q101">
        <v>-2589</v>
      </c>
    </row>
    <row r="102" spans="1:17" x14ac:dyDescent="0.45">
      <c r="A102">
        <v>1701</v>
      </c>
      <c r="B102" t="s">
        <v>162</v>
      </c>
      <c r="C102">
        <v>24996</v>
      </c>
      <c r="D102">
        <v>2</v>
      </c>
      <c r="E102">
        <v>19105.7</v>
      </c>
      <c r="F102">
        <v>13714.4</v>
      </c>
      <c r="G102">
        <v>16685.7</v>
      </c>
      <c r="H102">
        <v>1</v>
      </c>
      <c r="I102">
        <v>22.43</v>
      </c>
      <c r="J102">
        <v>8733</v>
      </c>
      <c r="K102">
        <v>4523</v>
      </c>
      <c r="L102">
        <v>841</v>
      </c>
      <c r="M102">
        <v>2010</v>
      </c>
      <c r="N102">
        <v>0</v>
      </c>
      <c r="O102">
        <v>10296</v>
      </c>
      <c r="P102">
        <v>0</v>
      </c>
      <c r="Q102">
        <v>-1204</v>
      </c>
    </row>
    <row r="103" spans="1:17" x14ac:dyDescent="0.45">
      <c r="A103">
        <v>51</v>
      </c>
      <c r="B103" t="s">
        <v>163</v>
      </c>
      <c r="C103">
        <v>4208</v>
      </c>
      <c r="D103">
        <v>3</v>
      </c>
      <c r="E103">
        <v>4012.4</v>
      </c>
      <c r="F103">
        <v>578.1</v>
      </c>
      <c r="G103">
        <v>2972.6</v>
      </c>
      <c r="H103">
        <v>1</v>
      </c>
      <c r="I103">
        <v>15.69</v>
      </c>
      <c r="J103">
        <v>1420</v>
      </c>
      <c r="K103">
        <v>637</v>
      </c>
      <c r="L103">
        <v>174</v>
      </c>
      <c r="M103">
        <v>283</v>
      </c>
      <c r="N103">
        <v>0</v>
      </c>
      <c r="O103">
        <v>165</v>
      </c>
      <c r="P103">
        <v>0</v>
      </c>
      <c r="Q103">
        <v>-341</v>
      </c>
    </row>
    <row r="104" spans="1:17" x14ac:dyDescent="0.45">
      <c r="A104">
        <v>81</v>
      </c>
      <c r="B104" t="s">
        <v>164</v>
      </c>
      <c r="C104">
        <v>636</v>
      </c>
      <c r="D104">
        <v>3</v>
      </c>
      <c r="E104">
        <v>840</v>
      </c>
      <c r="F104">
        <v>19.899999999999999</v>
      </c>
      <c r="G104">
        <v>411.9</v>
      </c>
      <c r="H104">
        <v>3</v>
      </c>
      <c r="I104">
        <v>25.15</v>
      </c>
      <c r="J104">
        <v>259</v>
      </c>
      <c r="K104">
        <v>107</v>
      </c>
      <c r="L104">
        <v>18</v>
      </c>
      <c r="M104">
        <v>33</v>
      </c>
      <c r="N104">
        <v>0</v>
      </c>
      <c r="O104">
        <v>2252</v>
      </c>
      <c r="P104">
        <v>0</v>
      </c>
      <c r="Q104">
        <v>-803</v>
      </c>
    </row>
    <row r="105" spans="1:17" x14ac:dyDescent="0.45">
      <c r="A105">
        <v>3291</v>
      </c>
      <c r="B105" t="s">
        <v>165</v>
      </c>
      <c r="C105">
        <v>6663</v>
      </c>
      <c r="D105">
        <v>3</v>
      </c>
      <c r="E105">
        <v>8070.3</v>
      </c>
      <c r="F105">
        <v>320.60000000000002</v>
      </c>
      <c r="G105">
        <v>4033.7</v>
      </c>
      <c r="H105">
        <v>2</v>
      </c>
      <c r="I105">
        <v>22.8</v>
      </c>
      <c r="J105">
        <v>2060</v>
      </c>
      <c r="K105">
        <v>1237</v>
      </c>
      <c r="L105">
        <v>161</v>
      </c>
      <c r="M105">
        <v>278</v>
      </c>
      <c r="N105">
        <v>0</v>
      </c>
      <c r="O105">
        <v>3007</v>
      </c>
      <c r="P105">
        <v>775.25</v>
      </c>
      <c r="Q105">
        <v>-1666</v>
      </c>
    </row>
    <row r="106" spans="1:17" x14ac:dyDescent="0.45">
      <c r="A106">
        <v>4021</v>
      </c>
      <c r="B106" t="s">
        <v>166</v>
      </c>
      <c r="C106">
        <v>22849</v>
      </c>
      <c r="D106">
        <v>2</v>
      </c>
      <c r="E106">
        <v>9730.5</v>
      </c>
      <c r="F106">
        <v>24882.5</v>
      </c>
      <c r="G106">
        <v>7334.3</v>
      </c>
      <c r="H106">
        <v>1</v>
      </c>
      <c r="I106">
        <v>20.87</v>
      </c>
      <c r="J106">
        <v>6807</v>
      </c>
      <c r="K106">
        <v>3033</v>
      </c>
      <c r="L106">
        <v>603</v>
      </c>
      <c r="M106">
        <v>1348</v>
      </c>
      <c r="N106">
        <v>0</v>
      </c>
      <c r="O106">
        <v>130</v>
      </c>
      <c r="P106">
        <v>67261.8</v>
      </c>
      <c r="Q106">
        <v>-1586</v>
      </c>
    </row>
    <row r="107" spans="1:17" x14ac:dyDescent="0.45">
      <c r="A107">
        <v>5242</v>
      </c>
      <c r="B107" t="s">
        <v>167</v>
      </c>
      <c r="C107">
        <v>3291</v>
      </c>
      <c r="D107">
        <v>1</v>
      </c>
      <c r="E107">
        <v>2824.7</v>
      </c>
      <c r="F107">
        <v>3502.6</v>
      </c>
      <c r="G107">
        <v>4973.5</v>
      </c>
      <c r="H107">
        <v>1</v>
      </c>
      <c r="I107">
        <v>18.600000000000001</v>
      </c>
      <c r="J107">
        <v>1484</v>
      </c>
      <c r="K107">
        <v>550</v>
      </c>
      <c r="L107">
        <v>61</v>
      </c>
      <c r="M107">
        <v>330</v>
      </c>
      <c r="N107">
        <v>0</v>
      </c>
      <c r="O107">
        <v>1</v>
      </c>
      <c r="P107">
        <v>0</v>
      </c>
      <c r="Q107">
        <v>-20</v>
      </c>
    </row>
    <row r="108" spans="1:17" x14ac:dyDescent="0.45">
      <c r="A108">
        <v>3232</v>
      </c>
      <c r="B108" t="s">
        <v>168</v>
      </c>
      <c r="C108">
        <v>5067</v>
      </c>
      <c r="D108">
        <v>3</v>
      </c>
      <c r="E108">
        <v>3817.7</v>
      </c>
      <c r="F108">
        <v>3421.4</v>
      </c>
      <c r="G108">
        <v>5888.6</v>
      </c>
      <c r="H108">
        <v>1</v>
      </c>
      <c r="I108">
        <v>22.7</v>
      </c>
      <c r="J108">
        <v>1692</v>
      </c>
      <c r="K108">
        <v>805</v>
      </c>
      <c r="L108">
        <v>132</v>
      </c>
      <c r="M108">
        <v>219</v>
      </c>
      <c r="N108">
        <v>0</v>
      </c>
      <c r="O108">
        <v>2115</v>
      </c>
      <c r="P108">
        <v>0</v>
      </c>
      <c r="Q108">
        <v>-241</v>
      </c>
    </row>
    <row r="109" spans="1:17" x14ac:dyDescent="0.45">
      <c r="A109">
        <v>5744</v>
      </c>
      <c r="B109" t="s">
        <v>169</v>
      </c>
      <c r="C109">
        <v>1153</v>
      </c>
      <c r="D109">
        <v>3</v>
      </c>
      <c r="E109">
        <v>980.2</v>
      </c>
      <c r="F109">
        <v>1731.9</v>
      </c>
      <c r="G109">
        <v>1321.2</v>
      </c>
      <c r="H109">
        <v>3</v>
      </c>
      <c r="I109">
        <v>35.86</v>
      </c>
      <c r="J109">
        <v>440</v>
      </c>
      <c r="K109">
        <v>192</v>
      </c>
      <c r="L109">
        <v>26</v>
      </c>
      <c r="M109">
        <v>85</v>
      </c>
      <c r="N109">
        <v>0</v>
      </c>
      <c r="O109">
        <v>2948</v>
      </c>
      <c r="P109">
        <v>83.42</v>
      </c>
      <c r="Q109">
        <v>-863</v>
      </c>
    </row>
    <row r="110" spans="1:17" x14ac:dyDescent="0.45">
      <c r="A110">
        <v>5423</v>
      </c>
      <c r="B110" t="s">
        <v>170</v>
      </c>
      <c r="C110">
        <v>589</v>
      </c>
      <c r="D110">
        <v>2</v>
      </c>
      <c r="E110">
        <v>644.5</v>
      </c>
      <c r="F110">
        <v>630.29999999999995</v>
      </c>
      <c r="G110">
        <v>1149.8</v>
      </c>
      <c r="H110">
        <v>3</v>
      </c>
      <c r="I110">
        <v>35.86</v>
      </c>
      <c r="J110">
        <v>236</v>
      </c>
      <c r="K110">
        <v>83</v>
      </c>
      <c r="L110">
        <v>16</v>
      </c>
      <c r="M110">
        <v>34</v>
      </c>
      <c r="N110">
        <v>0</v>
      </c>
      <c r="O110">
        <v>1869</v>
      </c>
      <c r="P110">
        <v>77.53</v>
      </c>
      <c r="Q110">
        <v>-502</v>
      </c>
    </row>
    <row r="111" spans="1:17" x14ac:dyDescent="0.45">
      <c r="A111">
        <v>1023</v>
      </c>
      <c r="B111" t="s">
        <v>171</v>
      </c>
      <c r="C111">
        <v>2668</v>
      </c>
      <c r="D111">
        <v>2</v>
      </c>
      <c r="E111">
        <v>1961.2</v>
      </c>
      <c r="F111">
        <v>138</v>
      </c>
      <c r="G111">
        <v>3784</v>
      </c>
      <c r="H111">
        <v>2</v>
      </c>
      <c r="I111">
        <v>28.41</v>
      </c>
      <c r="J111">
        <v>1136</v>
      </c>
      <c r="K111">
        <v>487</v>
      </c>
      <c r="L111">
        <v>81</v>
      </c>
      <c r="M111">
        <v>152</v>
      </c>
      <c r="N111">
        <v>0</v>
      </c>
      <c r="O111">
        <v>7419</v>
      </c>
      <c r="P111">
        <v>132.15</v>
      </c>
      <c r="Q111">
        <v>-181</v>
      </c>
    </row>
    <row r="112" spans="1:17" x14ac:dyDescent="0.45">
      <c r="A112">
        <v>2541</v>
      </c>
      <c r="B112" t="s">
        <v>172</v>
      </c>
      <c r="C112">
        <v>215</v>
      </c>
      <c r="D112">
        <v>3</v>
      </c>
      <c r="E112">
        <v>308.10000000000002</v>
      </c>
      <c r="F112">
        <v>0</v>
      </c>
      <c r="G112">
        <v>249.3</v>
      </c>
      <c r="H112">
        <v>3</v>
      </c>
      <c r="I112">
        <v>28.59</v>
      </c>
      <c r="J112">
        <v>71</v>
      </c>
      <c r="K112">
        <v>55</v>
      </c>
      <c r="L112">
        <v>11</v>
      </c>
      <c r="M112">
        <v>18</v>
      </c>
      <c r="N112">
        <v>0</v>
      </c>
      <c r="O112">
        <v>867</v>
      </c>
      <c r="P112">
        <v>0</v>
      </c>
      <c r="Q112">
        <v>-602</v>
      </c>
    </row>
    <row r="113" spans="1:17" x14ac:dyDescent="0.45">
      <c r="A113">
        <v>2422</v>
      </c>
      <c r="B113" t="s">
        <v>173</v>
      </c>
      <c r="C113">
        <v>6375</v>
      </c>
      <c r="D113">
        <v>2</v>
      </c>
      <c r="E113">
        <v>7918.8</v>
      </c>
      <c r="F113">
        <v>1421.2</v>
      </c>
      <c r="G113">
        <v>4859.6000000000004</v>
      </c>
      <c r="H113">
        <v>3</v>
      </c>
      <c r="I113">
        <v>28.59</v>
      </c>
      <c r="J113">
        <v>2272</v>
      </c>
      <c r="K113">
        <v>1214</v>
      </c>
      <c r="L113">
        <v>108</v>
      </c>
      <c r="M113">
        <v>285</v>
      </c>
      <c r="N113">
        <v>0</v>
      </c>
      <c r="O113">
        <v>1686</v>
      </c>
      <c r="P113">
        <v>0</v>
      </c>
      <c r="Q113">
        <v>-1686</v>
      </c>
    </row>
    <row r="114" spans="1:17" x14ac:dyDescent="0.45">
      <c r="A114">
        <v>6281</v>
      </c>
      <c r="B114" t="s">
        <v>174</v>
      </c>
      <c r="C114">
        <v>1355</v>
      </c>
      <c r="D114">
        <v>3</v>
      </c>
      <c r="E114">
        <v>1337.3</v>
      </c>
      <c r="F114">
        <v>49</v>
      </c>
      <c r="G114">
        <v>1776.8</v>
      </c>
      <c r="H114">
        <v>1</v>
      </c>
      <c r="I114">
        <v>24.74</v>
      </c>
      <c r="J114">
        <v>445</v>
      </c>
      <c r="K114">
        <v>218</v>
      </c>
      <c r="L114">
        <v>30</v>
      </c>
      <c r="M114">
        <v>48</v>
      </c>
      <c r="N114">
        <v>0</v>
      </c>
      <c r="O114">
        <v>191</v>
      </c>
      <c r="P114">
        <v>0</v>
      </c>
      <c r="Q114">
        <v>-281</v>
      </c>
    </row>
    <row r="115" spans="1:17" x14ac:dyDescent="0.45">
      <c r="A115">
        <v>323</v>
      </c>
      <c r="B115" t="s">
        <v>175</v>
      </c>
      <c r="C115">
        <v>696</v>
      </c>
      <c r="D115">
        <v>2</v>
      </c>
      <c r="E115">
        <v>835.8</v>
      </c>
      <c r="F115">
        <v>0</v>
      </c>
      <c r="G115">
        <v>1399.1</v>
      </c>
      <c r="H115">
        <v>3</v>
      </c>
      <c r="I115">
        <v>26.41</v>
      </c>
      <c r="J115">
        <v>2123</v>
      </c>
      <c r="K115">
        <v>546</v>
      </c>
      <c r="L115">
        <v>739</v>
      </c>
      <c r="M115">
        <v>2633</v>
      </c>
      <c r="N115">
        <v>0</v>
      </c>
      <c r="O115">
        <v>951</v>
      </c>
      <c r="P115">
        <v>107.07</v>
      </c>
      <c r="Q115">
        <v>-341</v>
      </c>
    </row>
    <row r="116" spans="1:17" x14ac:dyDescent="0.45">
      <c r="A116">
        <v>6605</v>
      </c>
      <c r="B116" t="s">
        <v>176</v>
      </c>
      <c r="C116">
        <v>2531</v>
      </c>
      <c r="D116">
        <v>3</v>
      </c>
      <c r="E116">
        <v>1032.8</v>
      </c>
      <c r="F116">
        <v>1670.7</v>
      </c>
      <c r="G116">
        <v>1016.8</v>
      </c>
      <c r="H116">
        <v>2</v>
      </c>
      <c r="I116">
        <v>18.96</v>
      </c>
      <c r="J116">
        <v>932</v>
      </c>
      <c r="K116">
        <v>233</v>
      </c>
      <c r="L116">
        <v>42</v>
      </c>
      <c r="M116">
        <v>171</v>
      </c>
      <c r="N116">
        <v>0</v>
      </c>
      <c r="O116">
        <v>168</v>
      </c>
      <c r="P116">
        <v>0</v>
      </c>
      <c r="Q116">
        <v>-40</v>
      </c>
    </row>
    <row r="117" spans="1:17" x14ac:dyDescent="0.45">
      <c r="A117">
        <v>302</v>
      </c>
      <c r="B117" t="s">
        <v>178</v>
      </c>
      <c r="C117">
        <v>1100</v>
      </c>
      <c r="D117">
        <v>2</v>
      </c>
      <c r="E117">
        <v>1241.0999999999999</v>
      </c>
      <c r="F117">
        <v>55.3</v>
      </c>
      <c r="G117">
        <v>2343.6999999999998</v>
      </c>
      <c r="H117">
        <v>2</v>
      </c>
      <c r="I117">
        <v>24.84</v>
      </c>
      <c r="J117">
        <v>366</v>
      </c>
      <c r="K117">
        <v>162</v>
      </c>
      <c r="L117">
        <v>21</v>
      </c>
      <c r="M117">
        <v>31</v>
      </c>
      <c r="N117">
        <v>0</v>
      </c>
      <c r="O117">
        <v>1467</v>
      </c>
      <c r="P117">
        <v>0</v>
      </c>
      <c r="Q117">
        <v>-321</v>
      </c>
    </row>
    <row r="118" spans="1:17" x14ac:dyDescent="0.45">
      <c r="A118">
        <v>2931</v>
      </c>
      <c r="B118" t="s">
        <v>179</v>
      </c>
      <c r="C118">
        <v>322</v>
      </c>
      <c r="D118">
        <v>3</v>
      </c>
      <c r="E118">
        <v>317.60000000000002</v>
      </c>
      <c r="F118">
        <v>8.5</v>
      </c>
      <c r="G118">
        <v>583.70000000000005</v>
      </c>
      <c r="H118">
        <v>3</v>
      </c>
      <c r="I118">
        <v>19.850000000000001</v>
      </c>
      <c r="J118">
        <v>135</v>
      </c>
      <c r="K118">
        <v>65</v>
      </c>
      <c r="L118">
        <v>4</v>
      </c>
      <c r="M118">
        <v>15</v>
      </c>
      <c r="N118">
        <v>0</v>
      </c>
      <c r="O118">
        <v>2504</v>
      </c>
      <c r="P118">
        <v>0</v>
      </c>
      <c r="Q118">
        <v>-1104</v>
      </c>
    </row>
    <row r="119" spans="1:17" x14ac:dyDescent="0.45">
      <c r="A119">
        <v>2162</v>
      </c>
      <c r="B119" t="s">
        <v>184</v>
      </c>
      <c r="C119">
        <v>1598</v>
      </c>
      <c r="D119">
        <v>3</v>
      </c>
      <c r="E119">
        <v>1305.8</v>
      </c>
      <c r="F119">
        <v>0</v>
      </c>
      <c r="G119">
        <v>3253.6</v>
      </c>
      <c r="H119">
        <v>3</v>
      </c>
      <c r="I119">
        <v>36.93</v>
      </c>
      <c r="J119">
        <v>658</v>
      </c>
      <c r="K119">
        <v>244</v>
      </c>
      <c r="L119">
        <v>43</v>
      </c>
      <c r="M119">
        <v>110</v>
      </c>
      <c r="N119">
        <v>0</v>
      </c>
      <c r="O119">
        <v>3459</v>
      </c>
      <c r="P119">
        <v>0</v>
      </c>
      <c r="Q119">
        <v>-2589</v>
      </c>
    </row>
    <row r="120" spans="1:17" x14ac:dyDescent="0.45">
      <c r="A120">
        <v>4536</v>
      </c>
      <c r="B120" t="s">
        <v>182</v>
      </c>
      <c r="C120">
        <v>1846</v>
      </c>
      <c r="D120">
        <v>3</v>
      </c>
      <c r="E120">
        <v>2214.6999999999998</v>
      </c>
      <c r="F120">
        <v>144.80000000000001</v>
      </c>
      <c r="G120">
        <v>4681</v>
      </c>
      <c r="H120">
        <v>3</v>
      </c>
      <c r="I120">
        <v>26.04</v>
      </c>
      <c r="J120">
        <v>798</v>
      </c>
      <c r="K120">
        <v>420</v>
      </c>
      <c r="L120">
        <v>55</v>
      </c>
      <c r="M120">
        <v>78</v>
      </c>
      <c r="N120">
        <v>0</v>
      </c>
      <c r="O120">
        <v>2588</v>
      </c>
      <c r="P120">
        <v>0</v>
      </c>
      <c r="Q120">
        <v>-943</v>
      </c>
    </row>
    <row r="121" spans="1:17" x14ac:dyDescent="0.45">
      <c r="A121">
        <v>2701</v>
      </c>
      <c r="B121" t="s">
        <v>183</v>
      </c>
      <c r="C121">
        <v>173552</v>
      </c>
      <c r="D121">
        <v>1</v>
      </c>
      <c r="E121">
        <v>26659.5</v>
      </c>
      <c r="F121">
        <v>91157</v>
      </c>
      <c r="G121">
        <v>46961.5</v>
      </c>
      <c r="H121">
        <v>1</v>
      </c>
      <c r="I121">
        <v>9.0299999999999994</v>
      </c>
      <c r="J121">
        <v>31081</v>
      </c>
      <c r="K121">
        <v>15388</v>
      </c>
      <c r="L121">
        <v>2037</v>
      </c>
      <c r="M121">
        <v>6634</v>
      </c>
      <c r="N121">
        <v>842</v>
      </c>
      <c r="O121">
        <v>73</v>
      </c>
      <c r="P121">
        <v>146758</v>
      </c>
      <c r="Q121">
        <v>-201</v>
      </c>
    </row>
    <row r="122" spans="1:17" x14ac:dyDescent="0.45">
      <c r="A122">
        <v>6807</v>
      </c>
      <c r="B122" t="s">
        <v>185</v>
      </c>
      <c r="C122">
        <v>1217</v>
      </c>
      <c r="D122">
        <v>3</v>
      </c>
      <c r="E122">
        <v>2800</v>
      </c>
      <c r="F122">
        <v>0</v>
      </c>
      <c r="G122">
        <v>2906.5</v>
      </c>
      <c r="H122">
        <v>3</v>
      </c>
      <c r="I122">
        <v>27.66</v>
      </c>
      <c r="J122">
        <v>507</v>
      </c>
      <c r="K122">
        <v>178</v>
      </c>
      <c r="L122">
        <v>26</v>
      </c>
      <c r="M122">
        <v>75</v>
      </c>
      <c r="N122">
        <v>0</v>
      </c>
      <c r="O122">
        <v>7008</v>
      </c>
      <c r="P122">
        <v>25.12</v>
      </c>
      <c r="Q122">
        <v>-2188</v>
      </c>
    </row>
    <row r="123" spans="1:17" x14ac:dyDescent="0.45">
      <c r="A123">
        <v>6812</v>
      </c>
      <c r="B123" t="s">
        <v>2799</v>
      </c>
      <c r="C123">
        <v>742</v>
      </c>
      <c r="D123">
        <v>3</v>
      </c>
      <c r="E123">
        <v>2428.5</v>
      </c>
      <c r="F123">
        <v>17.399999999999999</v>
      </c>
      <c r="G123">
        <v>2370.9</v>
      </c>
      <c r="H123">
        <v>3</v>
      </c>
      <c r="I123">
        <v>27.66</v>
      </c>
      <c r="J123">
        <v>367</v>
      </c>
      <c r="K123">
        <v>95</v>
      </c>
      <c r="L123">
        <v>12</v>
      </c>
      <c r="M123">
        <v>34</v>
      </c>
      <c r="N123">
        <v>0</v>
      </c>
      <c r="O123">
        <v>4991</v>
      </c>
      <c r="P123">
        <v>138.79</v>
      </c>
      <c r="Q123">
        <v>-1565</v>
      </c>
    </row>
    <row r="124" spans="1:17" x14ac:dyDescent="0.45">
      <c r="A124">
        <v>52</v>
      </c>
      <c r="B124" t="s">
        <v>186</v>
      </c>
      <c r="C124">
        <v>12062</v>
      </c>
      <c r="D124">
        <v>3</v>
      </c>
      <c r="E124">
        <v>14034.6</v>
      </c>
      <c r="F124">
        <v>121</v>
      </c>
      <c r="G124">
        <v>5458.3</v>
      </c>
      <c r="H124">
        <v>1</v>
      </c>
      <c r="I124">
        <v>15.69</v>
      </c>
      <c r="J124">
        <v>3746</v>
      </c>
      <c r="K124">
        <v>1669</v>
      </c>
      <c r="L124">
        <v>270</v>
      </c>
      <c r="M124">
        <v>672</v>
      </c>
      <c r="N124">
        <v>0</v>
      </c>
      <c r="O124">
        <v>1450</v>
      </c>
      <c r="P124">
        <v>941.38</v>
      </c>
      <c r="Q124">
        <v>-542</v>
      </c>
    </row>
    <row r="125" spans="1:17" x14ac:dyDescent="0.45">
      <c r="A125">
        <v>5703</v>
      </c>
      <c r="B125" t="s">
        <v>187</v>
      </c>
      <c r="C125">
        <v>1486</v>
      </c>
      <c r="D125">
        <v>3</v>
      </c>
      <c r="E125">
        <v>1269.5999999999999</v>
      </c>
      <c r="F125">
        <v>121</v>
      </c>
      <c r="G125">
        <v>1194.8</v>
      </c>
      <c r="H125">
        <v>2</v>
      </c>
      <c r="I125">
        <v>26.72</v>
      </c>
      <c r="J125">
        <v>529</v>
      </c>
      <c r="K125">
        <v>207</v>
      </c>
      <c r="L125">
        <v>70</v>
      </c>
      <c r="M125">
        <v>147</v>
      </c>
      <c r="N125">
        <v>0</v>
      </c>
      <c r="O125">
        <v>2548</v>
      </c>
      <c r="P125">
        <v>0</v>
      </c>
      <c r="Q125">
        <v>-2408</v>
      </c>
    </row>
    <row r="126" spans="1:17" x14ac:dyDescent="0.45">
      <c r="A126">
        <v>5745</v>
      </c>
      <c r="B126" t="s">
        <v>190</v>
      </c>
      <c r="C126">
        <v>1135</v>
      </c>
      <c r="D126">
        <v>3</v>
      </c>
      <c r="E126">
        <v>1125.9000000000001</v>
      </c>
      <c r="F126">
        <v>13.7</v>
      </c>
      <c r="G126">
        <v>1886.9</v>
      </c>
      <c r="H126">
        <v>3</v>
      </c>
      <c r="I126">
        <v>35.86</v>
      </c>
      <c r="J126">
        <v>500</v>
      </c>
      <c r="K126">
        <v>136</v>
      </c>
      <c r="L126">
        <v>18</v>
      </c>
      <c r="M126">
        <v>66</v>
      </c>
      <c r="N126">
        <v>0</v>
      </c>
      <c r="O126">
        <v>2141</v>
      </c>
      <c r="P126">
        <v>162.44999999999999</v>
      </c>
      <c r="Q126">
        <v>-2348</v>
      </c>
    </row>
    <row r="127" spans="1:17" x14ac:dyDescent="0.45">
      <c r="A127">
        <v>297</v>
      </c>
      <c r="B127" t="s">
        <v>191</v>
      </c>
      <c r="C127">
        <v>4924</v>
      </c>
      <c r="D127">
        <v>3</v>
      </c>
      <c r="E127">
        <v>5723.3</v>
      </c>
      <c r="F127">
        <v>26.4</v>
      </c>
      <c r="G127">
        <v>3342.7</v>
      </c>
      <c r="H127">
        <v>2</v>
      </c>
      <c r="I127">
        <v>24.61</v>
      </c>
      <c r="J127">
        <v>1928</v>
      </c>
      <c r="K127">
        <v>795</v>
      </c>
      <c r="L127">
        <v>91</v>
      </c>
      <c r="M127">
        <v>281</v>
      </c>
      <c r="N127">
        <v>0</v>
      </c>
      <c r="O127">
        <v>5078</v>
      </c>
      <c r="P127">
        <v>470.33</v>
      </c>
      <c r="Q127">
        <v>-3031</v>
      </c>
    </row>
    <row r="128" spans="1:17" x14ac:dyDescent="0.45">
      <c r="A128">
        <v>5746</v>
      </c>
      <c r="B128" t="s">
        <v>192</v>
      </c>
      <c r="C128">
        <v>1010</v>
      </c>
      <c r="D128">
        <v>3</v>
      </c>
      <c r="E128">
        <v>1191.3</v>
      </c>
      <c r="F128">
        <v>36.700000000000003</v>
      </c>
      <c r="G128">
        <v>1056.8</v>
      </c>
      <c r="H128">
        <v>3</v>
      </c>
      <c r="I128">
        <v>35.86</v>
      </c>
      <c r="J128">
        <v>404</v>
      </c>
      <c r="K128">
        <v>127</v>
      </c>
      <c r="L128">
        <v>31</v>
      </c>
      <c r="M128">
        <v>82</v>
      </c>
      <c r="N128">
        <v>0</v>
      </c>
      <c r="O128">
        <v>2396</v>
      </c>
      <c r="P128">
        <v>0</v>
      </c>
      <c r="Q128">
        <v>-321</v>
      </c>
    </row>
    <row r="129" spans="1:17" x14ac:dyDescent="0.45">
      <c r="A129">
        <v>571</v>
      </c>
      <c r="B129" t="s">
        <v>193</v>
      </c>
      <c r="C129">
        <v>1182</v>
      </c>
      <c r="D129">
        <v>2</v>
      </c>
      <c r="E129">
        <v>3089.8</v>
      </c>
      <c r="F129">
        <v>0</v>
      </c>
      <c r="G129">
        <v>1119.5999999999999</v>
      </c>
      <c r="H129">
        <v>3</v>
      </c>
      <c r="I129">
        <v>26.41</v>
      </c>
      <c r="J129">
        <v>324</v>
      </c>
      <c r="K129">
        <v>212</v>
      </c>
      <c r="L129">
        <v>17</v>
      </c>
      <c r="M129">
        <v>47</v>
      </c>
      <c r="N129">
        <v>0</v>
      </c>
      <c r="O129">
        <v>1864</v>
      </c>
      <c r="P129">
        <v>20.69</v>
      </c>
      <c r="Q129">
        <v>-2870</v>
      </c>
    </row>
    <row r="130" spans="1:17" x14ac:dyDescent="0.45">
      <c r="A130">
        <v>1501</v>
      </c>
      <c r="B130" t="s">
        <v>194</v>
      </c>
      <c r="C130">
        <v>3749</v>
      </c>
      <c r="D130">
        <v>3</v>
      </c>
      <c r="E130">
        <v>3044.9</v>
      </c>
      <c r="F130">
        <v>6.5</v>
      </c>
      <c r="G130">
        <v>1530.7</v>
      </c>
      <c r="H130">
        <v>3</v>
      </c>
      <c r="I130">
        <v>44.23</v>
      </c>
      <c r="J130">
        <v>1341</v>
      </c>
      <c r="K130">
        <v>651</v>
      </c>
      <c r="L130">
        <v>92</v>
      </c>
      <c r="M130">
        <v>192</v>
      </c>
      <c r="N130">
        <v>0</v>
      </c>
      <c r="O130">
        <v>2902</v>
      </c>
      <c r="P130">
        <v>0</v>
      </c>
      <c r="Q130">
        <v>-1786</v>
      </c>
    </row>
    <row r="131" spans="1:17" x14ac:dyDescent="0.45">
      <c r="A131">
        <v>5148</v>
      </c>
      <c r="B131" t="s">
        <v>195</v>
      </c>
      <c r="C131">
        <v>1495</v>
      </c>
      <c r="D131">
        <v>3</v>
      </c>
      <c r="E131">
        <v>1428</v>
      </c>
      <c r="F131">
        <v>263.89999999999998</v>
      </c>
      <c r="G131">
        <v>2105</v>
      </c>
      <c r="H131">
        <v>1</v>
      </c>
      <c r="I131">
        <v>18.600000000000001</v>
      </c>
      <c r="J131">
        <v>742</v>
      </c>
      <c r="K131">
        <v>215</v>
      </c>
      <c r="L131">
        <v>52</v>
      </c>
      <c r="M131">
        <v>153</v>
      </c>
      <c r="N131">
        <v>0</v>
      </c>
      <c r="O131">
        <v>23</v>
      </c>
      <c r="P131">
        <v>0</v>
      </c>
      <c r="Q131">
        <v>-181</v>
      </c>
    </row>
    <row r="132" spans="1:17" x14ac:dyDescent="0.45">
      <c r="A132">
        <v>5149</v>
      </c>
      <c r="B132" t="s">
        <v>196</v>
      </c>
      <c r="C132">
        <v>620</v>
      </c>
      <c r="D132">
        <v>3</v>
      </c>
      <c r="E132">
        <v>744.9</v>
      </c>
      <c r="F132">
        <v>2.9</v>
      </c>
      <c r="G132">
        <v>612.9</v>
      </c>
      <c r="H132">
        <v>2</v>
      </c>
      <c r="I132">
        <v>22.12</v>
      </c>
      <c r="J132">
        <v>283</v>
      </c>
      <c r="K132">
        <v>99</v>
      </c>
      <c r="L132">
        <v>5</v>
      </c>
      <c r="M132">
        <v>43</v>
      </c>
      <c r="N132">
        <v>0</v>
      </c>
      <c r="O132">
        <v>277</v>
      </c>
      <c r="P132">
        <v>0</v>
      </c>
      <c r="Q132">
        <v>-321</v>
      </c>
    </row>
    <row r="133" spans="1:17" x14ac:dyDescent="0.45">
      <c r="A133">
        <v>5063</v>
      </c>
      <c r="B133" t="s">
        <v>197</v>
      </c>
      <c r="C133">
        <v>94</v>
      </c>
      <c r="D133">
        <v>3</v>
      </c>
      <c r="E133">
        <v>43.5</v>
      </c>
      <c r="F133">
        <v>6.8</v>
      </c>
      <c r="G133">
        <v>1800</v>
      </c>
      <c r="H133">
        <v>3</v>
      </c>
      <c r="I133">
        <v>25.45</v>
      </c>
      <c r="J133">
        <v>33</v>
      </c>
      <c r="K133">
        <v>27</v>
      </c>
      <c r="L133">
        <v>2</v>
      </c>
      <c r="M133">
        <v>4</v>
      </c>
      <c r="N133">
        <v>0</v>
      </c>
      <c r="O133">
        <v>7</v>
      </c>
      <c r="P133">
        <v>0</v>
      </c>
      <c r="Q133">
        <v>-2549</v>
      </c>
    </row>
    <row r="134" spans="1:17" x14ac:dyDescent="0.45">
      <c r="A134">
        <v>2951</v>
      </c>
      <c r="B134" t="s">
        <v>198</v>
      </c>
      <c r="C134">
        <v>467</v>
      </c>
      <c r="D134">
        <v>3</v>
      </c>
      <c r="E134">
        <v>480</v>
      </c>
      <c r="F134">
        <v>0</v>
      </c>
      <c r="G134">
        <v>323.89999999999998</v>
      </c>
      <c r="H134">
        <v>3</v>
      </c>
      <c r="I134">
        <v>19.850000000000001</v>
      </c>
      <c r="J134">
        <v>192</v>
      </c>
      <c r="K134">
        <v>109</v>
      </c>
      <c r="L134">
        <v>11</v>
      </c>
      <c r="M134">
        <v>10</v>
      </c>
      <c r="N134">
        <v>0</v>
      </c>
      <c r="O134">
        <v>2985</v>
      </c>
      <c r="P134">
        <v>25.12</v>
      </c>
      <c r="Q134">
        <v>-1124</v>
      </c>
    </row>
    <row r="135" spans="1:17" x14ac:dyDescent="0.45">
      <c r="A135">
        <v>5704</v>
      </c>
      <c r="B135" t="s">
        <v>199</v>
      </c>
      <c r="C135">
        <v>1941</v>
      </c>
      <c r="D135">
        <v>3</v>
      </c>
      <c r="E135">
        <v>2578.9</v>
      </c>
      <c r="F135">
        <v>72.900000000000006</v>
      </c>
      <c r="G135">
        <v>675.8</v>
      </c>
      <c r="H135">
        <v>2</v>
      </c>
      <c r="I135">
        <v>26.72</v>
      </c>
      <c r="J135">
        <v>776</v>
      </c>
      <c r="K135">
        <v>242</v>
      </c>
      <c r="L135">
        <v>77</v>
      </c>
      <c r="M135">
        <v>155</v>
      </c>
      <c r="N135">
        <v>0</v>
      </c>
      <c r="O135">
        <v>519</v>
      </c>
      <c r="P135">
        <v>0</v>
      </c>
      <c r="Q135">
        <v>-161</v>
      </c>
    </row>
    <row r="136" spans="1:17" x14ac:dyDescent="0.45">
      <c r="A136">
        <v>4224</v>
      </c>
      <c r="B136" t="s">
        <v>200</v>
      </c>
      <c r="C136">
        <v>1248</v>
      </c>
      <c r="D136">
        <v>3</v>
      </c>
      <c r="E136">
        <v>974.8</v>
      </c>
      <c r="F136">
        <v>0</v>
      </c>
      <c r="G136">
        <v>1543.8</v>
      </c>
      <c r="H136">
        <v>3</v>
      </c>
      <c r="I136">
        <v>23.9</v>
      </c>
      <c r="J136">
        <v>515</v>
      </c>
      <c r="K136">
        <v>231</v>
      </c>
      <c r="L136">
        <v>31</v>
      </c>
      <c r="M136">
        <v>55</v>
      </c>
      <c r="N136">
        <v>0</v>
      </c>
      <c r="O136">
        <v>6070</v>
      </c>
      <c r="P136">
        <v>0</v>
      </c>
      <c r="Q136">
        <v>-381</v>
      </c>
    </row>
    <row r="137" spans="1:17" x14ac:dyDescent="0.45">
      <c r="A137">
        <v>2612</v>
      </c>
      <c r="B137" t="s">
        <v>201</v>
      </c>
      <c r="C137">
        <v>268</v>
      </c>
      <c r="D137">
        <v>3</v>
      </c>
      <c r="E137">
        <v>228.8</v>
      </c>
      <c r="F137">
        <v>3.9</v>
      </c>
      <c r="G137">
        <v>253.6</v>
      </c>
      <c r="H137">
        <v>3</v>
      </c>
      <c r="I137">
        <v>28.59</v>
      </c>
      <c r="J137">
        <v>133</v>
      </c>
      <c r="K137">
        <v>70</v>
      </c>
      <c r="L137">
        <v>2</v>
      </c>
      <c r="M137">
        <v>5</v>
      </c>
      <c r="N137">
        <v>0</v>
      </c>
      <c r="O137">
        <v>4424</v>
      </c>
      <c r="P137">
        <v>0</v>
      </c>
      <c r="Q137">
        <v>-2248</v>
      </c>
    </row>
    <row r="138" spans="1:17" x14ac:dyDescent="0.45">
      <c r="A138">
        <v>4131</v>
      </c>
      <c r="B138" t="s">
        <v>202</v>
      </c>
      <c r="C138">
        <v>3477</v>
      </c>
      <c r="D138">
        <v>3</v>
      </c>
      <c r="E138">
        <v>4239.2</v>
      </c>
      <c r="F138">
        <v>26.6</v>
      </c>
      <c r="G138">
        <v>2914.4</v>
      </c>
      <c r="H138">
        <v>1</v>
      </c>
      <c r="I138">
        <v>20.87</v>
      </c>
      <c r="J138">
        <v>1476</v>
      </c>
      <c r="K138">
        <v>573</v>
      </c>
      <c r="L138">
        <v>117</v>
      </c>
      <c r="M138">
        <v>189</v>
      </c>
      <c r="N138">
        <v>0</v>
      </c>
      <c r="O138">
        <v>814</v>
      </c>
      <c r="P138">
        <v>0</v>
      </c>
      <c r="Q138">
        <v>-140</v>
      </c>
    </row>
    <row r="139" spans="1:17" x14ac:dyDescent="0.45">
      <c r="A139">
        <v>2175</v>
      </c>
      <c r="B139" t="s">
        <v>203</v>
      </c>
      <c r="C139">
        <v>3406</v>
      </c>
      <c r="D139">
        <v>3</v>
      </c>
      <c r="E139">
        <v>1943.7</v>
      </c>
      <c r="F139">
        <v>553.9</v>
      </c>
      <c r="G139">
        <v>2073.6</v>
      </c>
      <c r="H139">
        <v>1</v>
      </c>
      <c r="I139">
        <v>23.82</v>
      </c>
      <c r="J139">
        <v>1154</v>
      </c>
      <c r="K139">
        <v>456</v>
      </c>
      <c r="L139">
        <v>39</v>
      </c>
      <c r="M139">
        <v>183</v>
      </c>
      <c r="N139">
        <v>0</v>
      </c>
      <c r="O139">
        <v>3853</v>
      </c>
      <c r="P139">
        <v>0</v>
      </c>
      <c r="Q139">
        <v>-522</v>
      </c>
    </row>
    <row r="140" spans="1:17" x14ac:dyDescent="0.45">
      <c r="A140">
        <v>2542</v>
      </c>
      <c r="B140" t="s">
        <v>204</v>
      </c>
      <c r="C140">
        <v>5399</v>
      </c>
      <c r="D140">
        <v>2</v>
      </c>
      <c r="E140">
        <v>4159</v>
      </c>
      <c r="F140">
        <v>3096</v>
      </c>
      <c r="G140">
        <v>5179.7</v>
      </c>
      <c r="H140">
        <v>1</v>
      </c>
      <c r="I140">
        <v>19.07</v>
      </c>
      <c r="J140">
        <v>2188</v>
      </c>
      <c r="K140">
        <v>866</v>
      </c>
      <c r="L140">
        <v>179</v>
      </c>
      <c r="M140">
        <v>261</v>
      </c>
      <c r="N140">
        <v>0</v>
      </c>
      <c r="O140">
        <v>2182</v>
      </c>
      <c r="P140">
        <v>609.13</v>
      </c>
      <c r="Q140">
        <v>-140</v>
      </c>
    </row>
    <row r="141" spans="1:17" x14ac:dyDescent="0.45">
      <c r="A141">
        <v>6606</v>
      </c>
      <c r="B141" t="s">
        <v>205</v>
      </c>
      <c r="C141">
        <v>4075</v>
      </c>
      <c r="D141">
        <v>3</v>
      </c>
      <c r="E141">
        <v>1820.3</v>
      </c>
      <c r="F141">
        <v>1632.5</v>
      </c>
      <c r="G141">
        <v>2255.6</v>
      </c>
      <c r="H141">
        <v>1</v>
      </c>
      <c r="I141">
        <v>10.3</v>
      </c>
      <c r="J141">
        <v>1178</v>
      </c>
      <c r="K141">
        <v>347</v>
      </c>
      <c r="L141">
        <v>78</v>
      </c>
      <c r="M141">
        <v>306</v>
      </c>
      <c r="N141">
        <v>0</v>
      </c>
      <c r="O141">
        <v>62</v>
      </c>
      <c r="P141">
        <v>0</v>
      </c>
      <c r="Q141">
        <v>-140</v>
      </c>
    </row>
    <row r="142" spans="1:17" x14ac:dyDescent="0.45">
      <c r="A142">
        <v>4022</v>
      </c>
      <c r="B142" t="s">
        <v>206</v>
      </c>
      <c r="C142">
        <v>1571</v>
      </c>
      <c r="D142">
        <v>3</v>
      </c>
      <c r="E142">
        <v>2355.5</v>
      </c>
      <c r="F142">
        <v>43.4</v>
      </c>
      <c r="G142">
        <v>728</v>
      </c>
      <c r="H142">
        <v>2</v>
      </c>
      <c r="I142">
        <v>23.46</v>
      </c>
      <c r="J142">
        <v>671</v>
      </c>
      <c r="K142">
        <v>230</v>
      </c>
      <c r="L142">
        <v>47</v>
      </c>
      <c r="M142">
        <v>113</v>
      </c>
      <c r="N142">
        <v>0</v>
      </c>
      <c r="O142">
        <v>1334</v>
      </c>
      <c r="P142">
        <v>0</v>
      </c>
      <c r="Q142">
        <v>-281</v>
      </c>
    </row>
    <row r="143" spans="1:17" x14ac:dyDescent="0.45">
      <c r="A143">
        <v>5002</v>
      </c>
      <c r="B143" t="s">
        <v>207</v>
      </c>
      <c r="C143">
        <v>44270</v>
      </c>
      <c r="D143">
        <v>3</v>
      </c>
      <c r="E143">
        <v>42942.2</v>
      </c>
      <c r="F143">
        <v>2999.9</v>
      </c>
      <c r="G143">
        <v>28135.1</v>
      </c>
      <c r="H143">
        <v>1</v>
      </c>
      <c r="I143">
        <v>18.600000000000001</v>
      </c>
      <c r="J143">
        <v>16733</v>
      </c>
      <c r="K143">
        <v>5865</v>
      </c>
      <c r="L143">
        <v>991</v>
      </c>
      <c r="M143">
        <v>3120</v>
      </c>
      <c r="N143">
        <v>0</v>
      </c>
      <c r="O143">
        <v>2969</v>
      </c>
      <c r="P143">
        <v>105588.5</v>
      </c>
      <c r="Q143">
        <v>-21575</v>
      </c>
    </row>
    <row r="144" spans="1:17" x14ac:dyDescent="0.45">
      <c r="A144">
        <v>732</v>
      </c>
      <c r="B144" t="s">
        <v>208</v>
      </c>
      <c r="C144">
        <v>1777</v>
      </c>
      <c r="D144">
        <v>2</v>
      </c>
      <c r="E144">
        <v>1849.9</v>
      </c>
      <c r="F144">
        <v>17.399999999999999</v>
      </c>
      <c r="G144">
        <v>1984.2</v>
      </c>
      <c r="H144">
        <v>1</v>
      </c>
      <c r="I144">
        <v>16.760000000000002</v>
      </c>
      <c r="J144">
        <v>561</v>
      </c>
      <c r="K144">
        <v>250</v>
      </c>
      <c r="L144">
        <v>46</v>
      </c>
      <c r="M144">
        <v>71</v>
      </c>
      <c r="N144">
        <v>0</v>
      </c>
      <c r="O144">
        <v>788</v>
      </c>
      <c r="P144">
        <v>0</v>
      </c>
      <c r="Q144">
        <v>-261</v>
      </c>
    </row>
    <row r="145" spans="1:17" x14ac:dyDescent="0.45">
      <c r="A145">
        <v>6052</v>
      </c>
      <c r="B145" t="s">
        <v>209</v>
      </c>
      <c r="C145">
        <v>338</v>
      </c>
      <c r="D145">
        <v>3</v>
      </c>
      <c r="E145">
        <v>1414.6</v>
      </c>
      <c r="F145">
        <v>5.4</v>
      </c>
      <c r="G145">
        <v>395.5</v>
      </c>
      <c r="H145">
        <v>3</v>
      </c>
      <c r="I145">
        <v>30.8</v>
      </c>
      <c r="J145">
        <v>108</v>
      </c>
      <c r="K145">
        <v>75</v>
      </c>
      <c r="L145">
        <v>11</v>
      </c>
      <c r="M145">
        <v>15</v>
      </c>
      <c r="N145">
        <v>0</v>
      </c>
      <c r="O145">
        <v>733</v>
      </c>
      <c r="P145">
        <v>0</v>
      </c>
      <c r="Q145">
        <v>-602</v>
      </c>
    </row>
    <row r="146" spans="1:17" x14ac:dyDescent="0.45">
      <c r="A146">
        <v>2053</v>
      </c>
      <c r="B146" t="s">
        <v>210</v>
      </c>
      <c r="C146">
        <v>5844</v>
      </c>
      <c r="D146">
        <v>3</v>
      </c>
      <c r="E146">
        <v>4512.8</v>
      </c>
      <c r="F146">
        <v>362.2</v>
      </c>
      <c r="G146">
        <v>6646.5</v>
      </c>
      <c r="H146">
        <v>3</v>
      </c>
      <c r="I146">
        <v>36.93</v>
      </c>
      <c r="J146">
        <v>2547</v>
      </c>
      <c r="K146">
        <v>898</v>
      </c>
      <c r="L146">
        <v>155</v>
      </c>
      <c r="M146">
        <v>434</v>
      </c>
      <c r="N146">
        <v>0</v>
      </c>
      <c r="O146">
        <v>6584</v>
      </c>
      <c r="P146">
        <v>0</v>
      </c>
      <c r="Q146">
        <v>-1164</v>
      </c>
    </row>
    <row r="147" spans="1:17" x14ac:dyDescent="0.45">
      <c r="A147">
        <v>5581</v>
      </c>
      <c r="B147" t="s">
        <v>211</v>
      </c>
      <c r="C147">
        <v>3837</v>
      </c>
      <c r="D147">
        <v>2</v>
      </c>
      <c r="E147">
        <v>5224.6000000000004</v>
      </c>
      <c r="F147">
        <v>390.8</v>
      </c>
      <c r="G147">
        <v>1899.3</v>
      </c>
      <c r="H147">
        <v>1</v>
      </c>
      <c r="I147">
        <v>19.809999999999999</v>
      </c>
      <c r="J147">
        <v>1319</v>
      </c>
      <c r="K147">
        <v>401</v>
      </c>
      <c r="L147">
        <v>157</v>
      </c>
      <c r="M147">
        <v>291</v>
      </c>
      <c r="N147">
        <v>0</v>
      </c>
      <c r="O147">
        <v>530</v>
      </c>
      <c r="P147">
        <v>0</v>
      </c>
      <c r="Q147">
        <v>-161</v>
      </c>
    </row>
    <row r="148" spans="1:17" x14ac:dyDescent="0.45">
      <c r="A148">
        <v>5902</v>
      </c>
      <c r="B148" t="s">
        <v>212</v>
      </c>
      <c r="C148">
        <v>435</v>
      </c>
      <c r="D148">
        <v>3</v>
      </c>
      <c r="E148">
        <v>815.2</v>
      </c>
      <c r="F148">
        <v>85.2</v>
      </c>
      <c r="G148">
        <v>1023.9</v>
      </c>
      <c r="H148">
        <v>3</v>
      </c>
      <c r="I148">
        <v>35.86</v>
      </c>
      <c r="J148">
        <v>199</v>
      </c>
      <c r="K148">
        <v>70</v>
      </c>
      <c r="L148">
        <v>14</v>
      </c>
      <c r="M148">
        <v>24</v>
      </c>
      <c r="N148">
        <v>0</v>
      </c>
      <c r="O148">
        <v>1423</v>
      </c>
      <c r="P148">
        <v>13.29</v>
      </c>
      <c r="Q148">
        <v>-241</v>
      </c>
    </row>
    <row r="149" spans="1:17" x14ac:dyDescent="0.45">
      <c r="A149">
        <v>861</v>
      </c>
      <c r="B149" t="s">
        <v>213</v>
      </c>
      <c r="C149">
        <v>11578</v>
      </c>
      <c r="D149">
        <v>2</v>
      </c>
      <c r="E149">
        <v>12697</v>
      </c>
      <c r="F149">
        <v>568</v>
      </c>
      <c r="G149">
        <v>9950.6</v>
      </c>
      <c r="H149">
        <v>2</v>
      </c>
      <c r="I149">
        <v>24.84</v>
      </c>
      <c r="J149">
        <v>3742</v>
      </c>
      <c r="K149">
        <v>1466</v>
      </c>
      <c r="L149">
        <v>188</v>
      </c>
      <c r="M149">
        <v>532</v>
      </c>
      <c r="N149">
        <v>0</v>
      </c>
      <c r="O149">
        <v>6337</v>
      </c>
      <c r="P149">
        <v>1506.2</v>
      </c>
      <c r="Q149">
        <v>-1144</v>
      </c>
    </row>
    <row r="150" spans="1:17" x14ac:dyDescent="0.45">
      <c r="A150">
        <v>681</v>
      </c>
      <c r="B150" t="s">
        <v>214</v>
      </c>
      <c r="C150">
        <v>276</v>
      </c>
      <c r="D150">
        <v>2</v>
      </c>
      <c r="E150">
        <v>622</v>
      </c>
      <c r="F150">
        <v>0</v>
      </c>
      <c r="G150">
        <v>280</v>
      </c>
      <c r="H150">
        <v>3</v>
      </c>
      <c r="I150">
        <v>26.41</v>
      </c>
      <c r="J150">
        <v>136</v>
      </c>
      <c r="K150">
        <v>47</v>
      </c>
      <c r="L150">
        <v>10</v>
      </c>
      <c r="M150">
        <v>42</v>
      </c>
      <c r="N150">
        <v>0</v>
      </c>
      <c r="O150">
        <v>456</v>
      </c>
      <c r="P150">
        <v>0</v>
      </c>
      <c r="Q150">
        <v>-341</v>
      </c>
    </row>
    <row r="151" spans="1:17" x14ac:dyDescent="0.45">
      <c r="A151">
        <v>3312</v>
      </c>
      <c r="B151" t="s">
        <v>215</v>
      </c>
      <c r="C151">
        <v>3018</v>
      </c>
      <c r="D151">
        <v>3</v>
      </c>
      <c r="E151">
        <v>2164.8000000000002</v>
      </c>
      <c r="F151">
        <v>104.5</v>
      </c>
      <c r="G151">
        <v>5922.8</v>
      </c>
      <c r="H151">
        <v>3</v>
      </c>
      <c r="I151">
        <v>30.49</v>
      </c>
      <c r="J151">
        <v>1103</v>
      </c>
      <c r="K151">
        <v>544</v>
      </c>
      <c r="L151">
        <v>73</v>
      </c>
      <c r="M151">
        <v>103</v>
      </c>
      <c r="N151">
        <v>0</v>
      </c>
      <c r="O151">
        <v>10423</v>
      </c>
      <c r="P151">
        <v>642.35</v>
      </c>
      <c r="Q151">
        <v>-341</v>
      </c>
    </row>
    <row r="152" spans="1:17" x14ac:dyDescent="0.45">
      <c r="A152">
        <v>22</v>
      </c>
      <c r="B152" t="s">
        <v>216</v>
      </c>
      <c r="C152">
        <v>847</v>
      </c>
      <c r="D152">
        <v>3</v>
      </c>
      <c r="E152">
        <v>1099.3</v>
      </c>
      <c r="F152">
        <v>0</v>
      </c>
      <c r="G152">
        <v>488.7</v>
      </c>
      <c r="H152">
        <v>3</v>
      </c>
      <c r="I152">
        <v>25.15</v>
      </c>
      <c r="J152">
        <v>337</v>
      </c>
      <c r="K152">
        <v>136</v>
      </c>
      <c r="L152">
        <v>23</v>
      </c>
      <c r="M152">
        <v>44</v>
      </c>
      <c r="N152">
        <v>0</v>
      </c>
      <c r="O152">
        <v>1609</v>
      </c>
      <c r="P152">
        <v>0</v>
      </c>
      <c r="Q152">
        <v>-361</v>
      </c>
    </row>
    <row r="153" spans="1:17" x14ac:dyDescent="0.45">
      <c r="A153">
        <v>2882</v>
      </c>
      <c r="B153" t="s">
        <v>217</v>
      </c>
      <c r="C153">
        <v>659</v>
      </c>
      <c r="D153">
        <v>1</v>
      </c>
      <c r="E153">
        <v>588.1</v>
      </c>
      <c r="F153">
        <v>0</v>
      </c>
      <c r="G153">
        <v>1087.0999999999999</v>
      </c>
      <c r="H153">
        <v>3</v>
      </c>
      <c r="I153">
        <v>22.09</v>
      </c>
      <c r="J153">
        <v>291</v>
      </c>
      <c r="K153">
        <v>122</v>
      </c>
      <c r="L153">
        <v>19</v>
      </c>
      <c r="M153">
        <v>34</v>
      </c>
      <c r="N153">
        <v>0</v>
      </c>
      <c r="O153">
        <v>2182</v>
      </c>
      <c r="P153">
        <v>19.940000000000001</v>
      </c>
      <c r="Q153">
        <v>-482</v>
      </c>
    </row>
    <row r="154" spans="1:17" x14ac:dyDescent="0.45">
      <c r="A154">
        <v>5512</v>
      </c>
      <c r="B154" t="s">
        <v>218</v>
      </c>
      <c r="C154">
        <v>1359</v>
      </c>
      <c r="D154">
        <v>3</v>
      </c>
      <c r="E154">
        <v>819.4</v>
      </c>
      <c r="F154">
        <v>990.9</v>
      </c>
      <c r="G154">
        <v>1735.3</v>
      </c>
      <c r="H154">
        <v>2</v>
      </c>
      <c r="I154">
        <v>26.72</v>
      </c>
      <c r="J154">
        <v>501</v>
      </c>
      <c r="K154">
        <v>171</v>
      </c>
      <c r="L154">
        <v>30</v>
      </c>
      <c r="M154">
        <v>97</v>
      </c>
      <c r="N154">
        <v>0</v>
      </c>
      <c r="O154">
        <v>337</v>
      </c>
      <c r="P154">
        <v>50.95</v>
      </c>
      <c r="Q154">
        <v>-221</v>
      </c>
    </row>
    <row r="155" spans="1:17" x14ac:dyDescent="0.45">
      <c r="A155">
        <v>3211</v>
      </c>
      <c r="B155" t="s">
        <v>219</v>
      </c>
      <c r="C155">
        <v>988</v>
      </c>
      <c r="D155">
        <v>1</v>
      </c>
      <c r="E155">
        <v>1136.9000000000001</v>
      </c>
      <c r="F155">
        <v>16.5</v>
      </c>
      <c r="G155">
        <v>2241.8000000000002</v>
      </c>
      <c r="H155">
        <v>2</v>
      </c>
      <c r="I155">
        <v>22.8</v>
      </c>
      <c r="J155">
        <v>337</v>
      </c>
      <c r="K155">
        <v>145</v>
      </c>
      <c r="L155">
        <v>40</v>
      </c>
      <c r="M155">
        <v>42</v>
      </c>
      <c r="N155">
        <v>0</v>
      </c>
      <c r="O155">
        <v>2741</v>
      </c>
      <c r="P155">
        <v>0</v>
      </c>
      <c r="Q155">
        <v>-120</v>
      </c>
    </row>
    <row r="156" spans="1:17" x14ac:dyDescent="0.45">
      <c r="A156">
        <v>4891</v>
      </c>
      <c r="B156" t="s">
        <v>220</v>
      </c>
      <c r="C156">
        <v>3532</v>
      </c>
      <c r="D156">
        <v>3</v>
      </c>
      <c r="E156">
        <v>1928.8</v>
      </c>
      <c r="F156">
        <v>3112.6</v>
      </c>
      <c r="G156">
        <v>5905.7</v>
      </c>
      <c r="H156">
        <v>3</v>
      </c>
      <c r="I156">
        <v>26.04</v>
      </c>
      <c r="J156">
        <v>1514</v>
      </c>
      <c r="K156">
        <v>566</v>
      </c>
      <c r="L156">
        <v>92</v>
      </c>
      <c r="M156">
        <v>156</v>
      </c>
      <c r="N156">
        <v>0</v>
      </c>
      <c r="O156">
        <v>4160</v>
      </c>
      <c r="P156">
        <v>0</v>
      </c>
      <c r="Q156">
        <v>-421</v>
      </c>
    </row>
    <row r="157" spans="1:17" x14ac:dyDescent="0.45">
      <c r="A157">
        <v>23</v>
      </c>
      <c r="B157" t="s">
        <v>221</v>
      </c>
      <c r="C157">
        <v>592</v>
      </c>
      <c r="D157">
        <v>3</v>
      </c>
      <c r="E157">
        <v>591.29999999999995</v>
      </c>
      <c r="F157">
        <v>15.1</v>
      </c>
      <c r="G157">
        <v>541.5</v>
      </c>
      <c r="H157">
        <v>2</v>
      </c>
      <c r="I157">
        <v>24.61</v>
      </c>
      <c r="J157">
        <v>270</v>
      </c>
      <c r="K157">
        <v>93</v>
      </c>
      <c r="L157">
        <v>13</v>
      </c>
      <c r="M157">
        <v>31</v>
      </c>
      <c r="N157">
        <v>0</v>
      </c>
      <c r="O157">
        <v>1064</v>
      </c>
      <c r="P157">
        <v>0</v>
      </c>
      <c r="Q157">
        <v>-622</v>
      </c>
    </row>
    <row r="158" spans="1:17" x14ac:dyDescent="0.45">
      <c r="A158">
        <v>4023</v>
      </c>
      <c r="B158" t="s">
        <v>222</v>
      </c>
      <c r="C158">
        <v>2938</v>
      </c>
      <c r="D158">
        <v>3</v>
      </c>
      <c r="E158">
        <v>3240</v>
      </c>
      <c r="F158">
        <v>0</v>
      </c>
      <c r="G158">
        <v>2461.6</v>
      </c>
      <c r="H158">
        <v>1</v>
      </c>
      <c r="I158">
        <v>20.87</v>
      </c>
      <c r="J158">
        <v>1059</v>
      </c>
      <c r="K158">
        <v>432</v>
      </c>
      <c r="L158">
        <v>99</v>
      </c>
      <c r="M158">
        <v>151</v>
      </c>
      <c r="N158">
        <v>0</v>
      </c>
      <c r="O158">
        <v>1181</v>
      </c>
      <c r="P158">
        <v>0</v>
      </c>
      <c r="Q158">
        <v>-321</v>
      </c>
    </row>
    <row r="159" spans="1:17" x14ac:dyDescent="0.45">
      <c r="A159">
        <v>3544</v>
      </c>
      <c r="B159" t="s">
        <v>223</v>
      </c>
      <c r="C159">
        <v>884</v>
      </c>
      <c r="D159">
        <v>3</v>
      </c>
      <c r="E159">
        <v>2688</v>
      </c>
      <c r="F159">
        <v>0</v>
      </c>
      <c r="G159">
        <v>681.5</v>
      </c>
      <c r="H159">
        <v>3</v>
      </c>
      <c r="I159">
        <v>29.04</v>
      </c>
      <c r="J159">
        <v>258</v>
      </c>
      <c r="K159">
        <v>214</v>
      </c>
      <c r="L159">
        <v>10</v>
      </c>
      <c r="M159">
        <v>40</v>
      </c>
      <c r="N159">
        <v>0</v>
      </c>
      <c r="O159">
        <v>2595</v>
      </c>
      <c r="P159">
        <v>194.17</v>
      </c>
      <c r="Q159">
        <v>-10356</v>
      </c>
    </row>
    <row r="160" spans="1:17" x14ac:dyDescent="0.45">
      <c r="A160">
        <v>4062</v>
      </c>
      <c r="B160" t="s">
        <v>224</v>
      </c>
      <c r="C160">
        <v>4880</v>
      </c>
      <c r="D160">
        <v>3</v>
      </c>
      <c r="E160">
        <v>6804.3</v>
      </c>
      <c r="F160">
        <v>95.6</v>
      </c>
      <c r="G160">
        <v>1978.6</v>
      </c>
      <c r="H160">
        <v>1</v>
      </c>
      <c r="I160">
        <v>20.87</v>
      </c>
      <c r="J160">
        <v>1784</v>
      </c>
      <c r="K160">
        <v>591</v>
      </c>
      <c r="L160">
        <v>109</v>
      </c>
      <c r="M160">
        <v>257</v>
      </c>
      <c r="N160">
        <v>0</v>
      </c>
      <c r="O160">
        <v>1351</v>
      </c>
      <c r="P160">
        <v>0</v>
      </c>
      <c r="Q160">
        <v>-361</v>
      </c>
    </row>
    <row r="161" spans="1:17" x14ac:dyDescent="0.45">
      <c r="A161">
        <v>2932</v>
      </c>
      <c r="B161" t="s">
        <v>225</v>
      </c>
      <c r="C161">
        <v>5153</v>
      </c>
      <c r="D161">
        <v>3</v>
      </c>
      <c r="E161">
        <v>3241.9</v>
      </c>
      <c r="F161">
        <v>2125.6</v>
      </c>
      <c r="G161">
        <v>4546.6000000000004</v>
      </c>
      <c r="H161">
        <v>2</v>
      </c>
      <c r="I161">
        <v>20.54</v>
      </c>
      <c r="J161">
        <v>2112</v>
      </c>
      <c r="K161">
        <v>880</v>
      </c>
      <c r="L161">
        <v>128</v>
      </c>
      <c r="M161">
        <v>298</v>
      </c>
      <c r="N161">
        <v>0</v>
      </c>
      <c r="O161">
        <v>2760</v>
      </c>
      <c r="P161">
        <v>0</v>
      </c>
      <c r="Q161">
        <v>-2188</v>
      </c>
    </row>
    <row r="162" spans="1:17" x14ac:dyDescent="0.45">
      <c r="A162">
        <v>972</v>
      </c>
      <c r="B162" t="s">
        <v>226</v>
      </c>
      <c r="C162">
        <v>47</v>
      </c>
      <c r="D162">
        <v>2</v>
      </c>
      <c r="E162">
        <v>28.2</v>
      </c>
      <c r="F162">
        <v>0</v>
      </c>
      <c r="G162">
        <v>220.2</v>
      </c>
      <c r="H162">
        <v>3</v>
      </c>
      <c r="I162">
        <v>26.41</v>
      </c>
      <c r="J162">
        <v>27</v>
      </c>
      <c r="K162">
        <v>6</v>
      </c>
      <c r="L162">
        <v>0</v>
      </c>
      <c r="M162">
        <v>1</v>
      </c>
      <c r="N162">
        <v>0</v>
      </c>
      <c r="O162">
        <v>524</v>
      </c>
      <c r="P162">
        <v>0</v>
      </c>
      <c r="Q162">
        <v>-80</v>
      </c>
    </row>
    <row r="163" spans="1:17" x14ac:dyDescent="0.45">
      <c r="A163">
        <v>4801</v>
      </c>
      <c r="B163" t="s">
        <v>227</v>
      </c>
      <c r="C163">
        <v>928</v>
      </c>
      <c r="D163">
        <v>3</v>
      </c>
      <c r="E163">
        <v>852.6</v>
      </c>
      <c r="F163">
        <v>1224</v>
      </c>
      <c r="G163">
        <v>700.6</v>
      </c>
      <c r="H163">
        <v>3</v>
      </c>
      <c r="I163">
        <v>26.04</v>
      </c>
      <c r="J163">
        <v>375</v>
      </c>
      <c r="K163">
        <v>150</v>
      </c>
      <c r="L163">
        <v>33</v>
      </c>
      <c r="M163">
        <v>56</v>
      </c>
      <c r="N163">
        <v>0</v>
      </c>
      <c r="O163">
        <v>49</v>
      </c>
      <c r="P163">
        <v>514.63</v>
      </c>
      <c r="Q163">
        <v>-401</v>
      </c>
    </row>
    <row r="164" spans="1:17" x14ac:dyDescent="0.45">
      <c r="A164">
        <v>351</v>
      </c>
      <c r="B164" t="s">
        <v>228</v>
      </c>
      <c r="C164">
        <v>134506</v>
      </c>
      <c r="D164">
        <v>2</v>
      </c>
      <c r="E164">
        <v>71332.899999999994</v>
      </c>
      <c r="F164">
        <v>107968.7</v>
      </c>
      <c r="G164">
        <v>33291</v>
      </c>
      <c r="H164">
        <v>1</v>
      </c>
      <c r="I164">
        <v>16.760000000000002</v>
      </c>
      <c r="J164">
        <v>25832</v>
      </c>
      <c r="K164">
        <v>15413</v>
      </c>
      <c r="L164">
        <v>2975</v>
      </c>
      <c r="M164">
        <v>5186</v>
      </c>
      <c r="N164">
        <v>0</v>
      </c>
      <c r="O164">
        <v>4646</v>
      </c>
      <c r="P164">
        <v>96083</v>
      </c>
      <c r="Q164">
        <v>-3492</v>
      </c>
    </row>
    <row r="165" spans="1:17" x14ac:dyDescent="0.45">
      <c r="A165">
        <v>3233</v>
      </c>
      <c r="B165" t="s">
        <v>229</v>
      </c>
      <c r="C165">
        <v>3963</v>
      </c>
      <c r="D165">
        <v>1</v>
      </c>
      <c r="E165">
        <v>3413.3</v>
      </c>
      <c r="F165">
        <v>2282.3000000000002</v>
      </c>
      <c r="G165">
        <v>5461.9</v>
      </c>
      <c r="H165">
        <v>1</v>
      </c>
      <c r="I165">
        <v>22.7</v>
      </c>
      <c r="J165">
        <v>1399</v>
      </c>
      <c r="K165">
        <v>758</v>
      </c>
      <c r="L165">
        <v>99</v>
      </c>
      <c r="M165">
        <v>209</v>
      </c>
      <c r="N165">
        <v>0</v>
      </c>
      <c r="O165">
        <v>1145</v>
      </c>
      <c r="P165">
        <v>0</v>
      </c>
      <c r="Q165">
        <v>-281</v>
      </c>
    </row>
    <row r="166" spans="1:17" x14ac:dyDescent="0.45">
      <c r="A166">
        <v>6607</v>
      </c>
      <c r="B166" t="s">
        <v>230</v>
      </c>
      <c r="C166">
        <v>10250</v>
      </c>
      <c r="D166">
        <v>3</v>
      </c>
      <c r="E166">
        <v>6127.5</v>
      </c>
      <c r="F166">
        <v>2896.3</v>
      </c>
      <c r="G166">
        <v>4873.8999999999996</v>
      </c>
      <c r="H166">
        <v>1</v>
      </c>
      <c r="I166">
        <v>10.3</v>
      </c>
      <c r="J166">
        <v>3702</v>
      </c>
      <c r="K166">
        <v>852</v>
      </c>
      <c r="L166">
        <v>171</v>
      </c>
      <c r="M166">
        <v>583</v>
      </c>
      <c r="N166">
        <v>0</v>
      </c>
      <c r="O166">
        <v>1627</v>
      </c>
      <c r="P166">
        <v>0</v>
      </c>
      <c r="Q166">
        <v>-442</v>
      </c>
    </row>
    <row r="167" spans="1:17" x14ac:dyDescent="0.45">
      <c r="A167">
        <v>5424</v>
      </c>
      <c r="B167" t="s">
        <v>231</v>
      </c>
      <c r="C167">
        <v>301</v>
      </c>
      <c r="D167">
        <v>3</v>
      </c>
      <c r="E167">
        <v>228.6</v>
      </c>
      <c r="F167">
        <v>319.7</v>
      </c>
      <c r="G167">
        <v>609.1</v>
      </c>
      <c r="H167">
        <v>3</v>
      </c>
      <c r="I167">
        <v>35.86</v>
      </c>
      <c r="J167">
        <v>114</v>
      </c>
      <c r="K167">
        <v>48</v>
      </c>
      <c r="L167">
        <v>13</v>
      </c>
      <c r="M167">
        <v>12</v>
      </c>
      <c r="N167">
        <v>0</v>
      </c>
      <c r="O167">
        <v>2310</v>
      </c>
      <c r="P167">
        <v>0</v>
      </c>
      <c r="Q167">
        <v>-1224</v>
      </c>
    </row>
    <row r="168" spans="1:17" x14ac:dyDescent="0.45">
      <c r="A168">
        <v>1081</v>
      </c>
      <c r="B168" t="s">
        <v>232</v>
      </c>
      <c r="C168">
        <v>6701</v>
      </c>
      <c r="D168">
        <v>2</v>
      </c>
      <c r="E168">
        <v>4954.5</v>
      </c>
      <c r="F168">
        <v>131.5</v>
      </c>
      <c r="G168">
        <v>13749</v>
      </c>
      <c r="H168">
        <v>2</v>
      </c>
      <c r="I168">
        <v>28.41</v>
      </c>
      <c r="J168">
        <v>2467</v>
      </c>
      <c r="K168">
        <v>1058</v>
      </c>
      <c r="L168">
        <v>173</v>
      </c>
      <c r="M168">
        <v>299</v>
      </c>
      <c r="N168">
        <v>0</v>
      </c>
      <c r="O168">
        <v>25919</v>
      </c>
      <c r="P168">
        <v>326.36</v>
      </c>
      <c r="Q168">
        <v>-1746</v>
      </c>
    </row>
    <row r="169" spans="1:17" x14ac:dyDescent="0.45">
      <c r="A169">
        <v>4226</v>
      </c>
      <c r="B169" t="s">
        <v>233</v>
      </c>
      <c r="C169">
        <v>628</v>
      </c>
      <c r="D169">
        <v>3</v>
      </c>
      <c r="E169">
        <v>608.79999999999995</v>
      </c>
      <c r="F169">
        <v>0</v>
      </c>
      <c r="G169">
        <v>694.8</v>
      </c>
      <c r="H169">
        <v>3</v>
      </c>
      <c r="I169">
        <v>23.9</v>
      </c>
      <c r="J169">
        <v>305</v>
      </c>
      <c r="K169">
        <v>84</v>
      </c>
      <c r="L169">
        <v>16</v>
      </c>
      <c r="M169">
        <v>24</v>
      </c>
      <c r="N169">
        <v>0</v>
      </c>
      <c r="O169">
        <v>569</v>
      </c>
      <c r="P169">
        <v>0</v>
      </c>
      <c r="Q169">
        <v>-100</v>
      </c>
    </row>
    <row r="170" spans="1:17" x14ac:dyDescent="0.45">
      <c r="A170">
        <v>973</v>
      </c>
      <c r="B170" t="s">
        <v>234</v>
      </c>
      <c r="C170">
        <v>679</v>
      </c>
      <c r="D170">
        <v>2</v>
      </c>
      <c r="E170">
        <v>464.2</v>
      </c>
      <c r="F170">
        <v>311.3</v>
      </c>
      <c r="G170">
        <v>757.4</v>
      </c>
      <c r="H170">
        <v>3</v>
      </c>
      <c r="I170">
        <v>26.41</v>
      </c>
      <c r="J170">
        <v>282</v>
      </c>
      <c r="K170">
        <v>87</v>
      </c>
      <c r="L170">
        <v>14</v>
      </c>
      <c r="M170">
        <v>31</v>
      </c>
      <c r="N170">
        <v>0</v>
      </c>
      <c r="O170">
        <v>1902</v>
      </c>
      <c r="P170">
        <v>0</v>
      </c>
      <c r="Q170">
        <v>-181</v>
      </c>
    </row>
    <row r="171" spans="1:17" x14ac:dyDescent="0.45">
      <c r="A171">
        <v>5471</v>
      </c>
      <c r="B171" t="s">
        <v>235</v>
      </c>
      <c r="C171">
        <v>650</v>
      </c>
      <c r="D171">
        <v>3</v>
      </c>
      <c r="E171">
        <v>351.4</v>
      </c>
      <c r="F171">
        <v>595.4</v>
      </c>
      <c r="G171">
        <v>211.5</v>
      </c>
      <c r="H171">
        <v>3</v>
      </c>
      <c r="I171">
        <v>35.86</v>
      </c>
      <c r="J171">
        <v>255</v>
      </c>
      <c r="K171">
        <v>90</v>
      </c>
      <c r="L171">
        <v>22</v>
      </c>
      <c r="M171">
        <v>59</v>
      </c>
      <c r="N171">
        <v>0</v>
      </c>
      <c r="O171">
        <v>1930</v>
      </c>
      <c r="P171">
        <v>22.15</v>
      </c>
      <c r="Q171">
        <v>-80</v>
      </c>
    </row>
    <row r="172" spans="1:17" x14ac:dyDescent="0.45">
      <c r="A172">
        <v>2702</v>
      </c>
      <c r="B172" t="s">
        <v>236</v>
      </c>
      <c r="C172">
        <v>1288</v>
      </c>
      <c r="D172">
        <v>1</v>
      </c>
      <c r="E172">
        <v>1124.5</v>
      </c>
      <c r="F172">
        <v>1321.2</v>
      </c>
      <c r="G172">
        <v>1096.5</v>
      </c>
      <c r="H172">
        <v>1</v>
      </c>
      <c r="I172">
        <v>9.0299999999999994</v>
      </c>
      <c r="J172">
        <v>363</v>
      </c>
      <c r="K172">
        <v>124</v>
      </c>
      <c r="L172">
        <v>36</v>
      </c>
      <c r="M172">
        <v>68</v>
      </c>
      <c r="N172">
        <v>0</v>
      </c>
      <c r="O172">
        <v>785</v>
      </c>
      <c r="P172">
        <v>0</v>
      </c>
      <c r="Q172">
        <v>-201</v>
      </c>
    </row>
    <row r="173" spans="1:17" x14ac:dyDescent="0.45">
      <c r="A173">
        <v>2543</v>
      </c>
      <c r="B173" t="s">
        <v>237</v>
      </c>
      <c r="C173">
        <v>4943</v>
      </c>
      <c r="D173">
        <v>2</v>
      </c>
      <c r="E173">
        <v>4259.3999999999996</v>
      </c>
      <c r="F173">
        <v>2958.7</v>
      </c>
      <c r="G173">
        <v>3183</v>
      </c>
      <c r="H173">
        <v>1</v>
      </c>
      <c r="I173">
        <v>19.07</v>
      </c>
      <c r="J173">
        <v>2050</v>
      </c>
      <c r="K173">
        <v>766</v>
      </c>
      <c r="L173">
        <v>103</v>
      </c>
      <c r="M173">
        <v>290</v>
      </c>
      <c r="N173">
        <v>0</v>
      </c>
      <c r="O173">
        <v>3006</v>
      </c>
      <c r="P173">
        <v>0</v>
      </c>
      <c r="Q173">
        <v>-903</v>
      </c>
    </row>
    <row r="174" spans="1:17" x14ac:dyDescent="0.45">
      <c r="A174">
        <v>6205</v>
      </c>
      <c r="B174" t="s">
        <v>238</v>
      </c>
      <c r="C174">
        <v>463</v>
      </c>
      <c r="D174">
        <v>3</v>
      </c>
      <c r="E174">
        <v>1424.1</v>
      </c>
      <c r="F174">
        <v>0</v>
      </c>
      <c r="G174">
        <v>240.3</v>
      </c>
      <c r="H174">
        <v>3</v>
      </c>
      <c r="I174">
        <v>30.8</v>
      </c>
      <c r="J174">
        <v>104</v>
      </c>
      <c r="K174">
        <v>68</v>
      </c>
      <c r="L174">
        <v>5</v>
      </c>
      <c r="M174">
        <v>14</v>
      </c>
      <c r="N174">
        <v>0</v>
      </c>
      <c r="O174">
        <v>979</v>
      </c>
      <c r="P174">
        <v>0</v>
      </c>
      <c r="Q174">
        <v>-783</v>
      </c>
    </row>
    <row r="175" spans="1:17" x14ac:dyDescent="0.45">
      <c r="A175">
        <v>4716</v>
      </c>
      <c r="B175" t="s">
        <v>239</v>
      </c>
      <c r="C175">
        <v>1275</v>
      </c>
      <c r="D175">
        <v>3</v>
      </c>
      <c r="E175">
        <v>806.9</v>
      </c>
      <c r="F175">
        <v>511.2</v>
      </c>
      <c r="G175">
        <v>1916.5</v>
      </c>
      <c r="H175">
        <v>3</v>
      </c>
      <c r="I175">
        <v>26.04</v>
      </c>
      <c r="J175">
        <v>619</v>
      </c>
      <c r="K175">
        <v>216</v>
      </c>
      <c r="L175">
        <v>35</v>
      </c>
      <c r="M175">
        <v>56</v>
      </c>
      <c r="N175">
        <v>0</v>
      </c>
      <c r="O175">
        <v>2078</v>
      </c>
      <c r="P175">
        <v>0</v>
      </c>
      <c r="Q175">
        <v>-161</v>
      </c>
    </row>
    <row r="176" spans="1:17" x14ac:dyDescent="0.45">
      <c r="A176">
        <v>4227</v>
      </c>
      <c r="B176" t="s">
        <v>240</v>
      </c>
      <c r="C176">
        <v>680</v>
      </c>
      <c r="D176">
        <v>3</v>
      </c>
      <c r="E176">
        <v>522</v>
      </c>
      <c r="F176">
        <v>57.3</v>
      </c>
      <c r="G176">
        <v>1602.9</v>
      </c>
      <c r="H176">
        <v>3</v>
      </c>
      <c r="I176">
        <v>23.9</v>
      </c>
      <c r="J176">
        <v>311</v>
      </c>
      <c r="K176">
        <v>114</v>
      </c>
      <c r="L176">
        <v>45</v>
      </c>
      <c r="M176">
        <v>39</v>
      </c>
      <c r="N176">
        <v>0</v>
      </c>
      <c r="O176">
        <v>1850</v>
      </c>
      <c r="P176">
        <v>0</v>
      </c>
      <c r="Q176">
        <v>-181</v>
      </c>
    </row>
    <row r="177" spans="1:17" x14ac:dyDescent="0.45">
      <c r="A177">
        <v>3781</v>
      </c>
      <c r="B177" t="s">
        <v>241</v>
      </c>
      <c r="C177">
        <v>605</v>
      </c>
      <c r="D177">
        <v>3</v>
      </c>
      <c r="E177">
        <v>1909.3</v>
      </c>
      <c r="F177">
        <v>0</v>
      </c>
      <c r="G177">
        <v>213.8</v>
      </c>
      <c r="H177">
        <v>3</v>
      </c>
      <c r="I177">
        <v>29.04</v>
      </c>
      <c r="J177">
        <v>215</v>
      </c>
      <c r="K177">
        <v>133</v>
      </c>
      <c r="L177">
        <v>10</v>
      </c>
      <c r="M177">
        <v>33</v>
      </c>
      <c r="N177">
        <v>0</v>
      </c>
      <c r="O177">
        <v>1036</v>
      </c>
      <c r="P177">
        <v>0</v>
      </c>
      <c r="Q177">
        <v>-1305</v>
      </c>
    </row>
    <row r="178" spans="1:17" x14ac:dyDescent="0.45">
      <c r="A178">
        <v>5402</v>
      </c>
      <c r="B178" t="s">
        <v>242</v>
      </c>
      <c r="C178">
        <v>8167</v>
      </c>
      <c r="D178">
        <v>3</v>
      </c>
      <c r="E178">
        <v>6252.2</v>
      </c>
      <c r="F178">
        <v>7714.2</v>
      </c>
      <c r="G178">
        <v>8235.4</v>
      </c>
      <c r="H178">
        <v>2</v>
      </c>
      <c r="I178">
        <v>26.72</v>
      </c>
      <c r="J178">
        <v>2705</v>
      </c>
      <c r="K178">
        <v>1007</v>
      </c>
      <c r="L178">
        <v>156</v>
      </c>
      <c r="M178">
        <v>370</v>
      </c>
      <c r="N178">
        <v>0</v>
      </c>
      <c r="O178">
        <v>4291</v>
      </c>
      <c r="P178">
        <v>426.74</v>
      </c>
      <c r="Q178">
        <v>-6463</v>
      </c>
    </row>
    <row r="179" spans="1:17" x14ac:dyDescent="0.45">
      <c r="A179">
        <v>5281</v>
      </c>
      <c r="B179" t="s">
        <v>243</v>
      </c>
      <c r="C179">
        <v>6110</v>
      </c>
      <c r="D179">
        <v>3</v>
      </c>
      <c r="E179">
        <v>6089.2</v>
      </c>
      <c r="F179">
        <v>120.2</v>
      </c>
      <c r="G179">
        <v>5664.3</v>
      </c>
      <c r="H179">
        <v>2</v>
      </c>
      <c r="I179">
        <v>22.12</v>
      </c>
      <c r="J179">
        <v>2293</v>
      </c>
      <c r="K179">
        <v>1116</v>
      </c>
      <c r="L179">
        <v>114</v>
      </c>
      <c r="M179">
        <v>349</v>
      </c>
      <c r="N179">
        <v>0</v>
      </c>
      <c r="O179">
        <v>1110</v>
      </c>
      <c r="P179">
        <v>1329</v>
      </c>
      <c r="Q179">
        <v>-5600</v>
      </c>
    </row>
    <row r="180" spans="1:17" x14ac:dyDescent="0.45">
      <c r="A180">
        <v>2513</v>
      </c>
      <c r="B180" t="s">
        <v>244</v>
      </c>
      <c r="C180">
        <v>9188</v>
      </c>
      <c r="D180">
        <v>1</v>
      </c>
      <c r="E180">
        <v>5452.3</v>
      </c>
      <c r="F180">
        <v>6773.2</v>
      </c>
      <c r="G180">
        <v>6617.3</v>
      </c>
      <c r="H180">
        <v>1</v>
      </c>
      <c r="I180">
        <v>19.07</v>
      </c>
      <c r="J180">
        <v>3082</v>
      </c>
      <c r="K180">
        <v>1221</v>
      </c>
      <c r="L180">
        <v>138</v>
      </c>
      <c r="M180">
        <v>370</v>
      </c>
      <c r="N180">
        <v>0</v>
      </c>
      <c r="O180">
        <v>2163</v>
      </c>
      <c r="P180">
        <v>0</v>
      </c>
      <c r="Q180">
        <v>-803</v>
      </c>
    </row>
    <row r="181" spans="1:17" x14ac:dyDescent="0.45">
      <c r="A181">
        <v>4002</v>
      </c>
      <c r="B181" t="s">
        <v>245</v>
      </c>
      <c r="C181">
        <v>1624</v>
      </c>
      <c r="D181">
        <v>3</v>
      </c>
      <c r="E181">
        <v>1726.4</v>
      </c>
      <c r="F181">
        <v>3.7</v>
      </c>
      <c r="G181">
        <v>1501.7</v>
      </c>
      <c r="H181">
        <v>2</v>
      </c>
      <c r="I181">
        <v>23.46</v>
      </c>
      <c r="J181">
        <v>596</v>
      </c>
      <c r="K181">
        <v>207</v>
      </c>
      <c r="L181">
        <v>67</v>
      </c>
      <c r="M181">
        <v>108</v>
      </c>
      <c r="N181">
        <v>0</v>
      </c>
      <c r="O181">
        <v>370</v>
      </c>
      <c r="P181">
        <v>0</v>
      </c>
      <c r="Q181">
        <v>-381</v>
      </c>
    </row>
    <row r="182" spans="1:17" x14ac:dyDescent="0.45">
      <c r="A182">
        <v>4721</v>
      </c>
      <c r="B182" t="s">
        <v>246</v>
      </c>
      <c r="C182">
        <v>3007</v>
      </c>
      <c r="D182">
        <v>3</v>
      </c>
      <c r="E182">
        <v>2295</v>
      </c>
      <c r="F182">
        <v>236.7</v>
      </c>
      <c r="G182">
        <v>4382</v>
      </c>
      <c r="H182">
        <v>2</v>
      </c>
      <c r="I182">
        <v>21.63</v>
      </c>
      <c r="J182">
        <v>1298</v>
      </c>
      <c r="K182">
        <v>493</v>
      </c>
      <c r="L182">
        <v>92</v>
      </c>
      <c r="M182">
        <v>160</v>
      </c>
      <c r="N182">
        <v>0</v>
      </c>
      <c r="O182">
        <v>3800</v>
      </c>
      <c r="P182">
        <v>0</v>
      </c>
      <c r="Q182">
        <v>-903</v>
      </c>
    </row>
    <row r="183" spans="1:17" x14ac:dyDescent="0.45">
      <c r="A183">
        <v>2764</v>
      </c>
      <c r="B183" t="s">
        <v>248</v>
      </c>
      <c r="C183">
        <v>3555</v>
      </c>
      <c r="D183">
        <v>1</v>
      </c>
      <c r="E183">
        <v>3717.6</v>
      </c>
      <c r="F183">
        <v>0</v>
      </c>
      <c r="G183">
        <v>5378.1</v>
      </c>
      <c r="H183">
        <v>1</v>
      </c>
      <c r="I183">
        <v>14.25</v>
      </c>
      <c r="J183">
        <v>1277</v>
      </c>
      <c r="K183">
        <v>447</v>
      </c>
      <c r="L183">
        <v>124</v>
      </c>
      <c r="M183">
        <v>214</v>
      </c>
      <c r="N183">
        <v>0</v>
      </c>
      <c r="O183">
        <v>1291</v>
      </c>
      <c r="P183">
        <v>0</v>
      </c>
      <c r="Q183">
        <v>-161</v>
      </c>
    </row>
    <row r="184" spans="1:17" x14ac:dyDescent="0.45">
      <c r="A184">
        <v>371</v>
      </c>
      <c r="B184" t="s">
        <v>247</v>
      </c>
      <c r="C184">
        <v>55070</v>
      </c>
      <c r="D184">
        <v>2</v>
      </c>
      <c r="E184">
        <v>38743.5</v>
      </c>
      <c r="F184">
        <v>55440.5</v>
      </c>
      <c r="G184">
        <v>16230</v>
      </c>
      <c r="H184">
        <v>1</v>
      </c>
      <c r="I184">
        <v>16.760000000000002</v>
      </c>
      <c r="J184">
        <v>13001</v>
      </c>
      <c r="K184">
        <v>5720</v>
      </c>
      <c r="L184">
        <v>565</v>
      </c>
      <c r="M184">
        <v>1818</v>
      </c>
      <c r="N184">
        <v>0</v>
      </c>
      <c r="O184">
        <v>314</v>
      </c>
      <c r="P184">
        <v>0</v>
      </c>
      <c r="Q184">
        <v>-1947</v>
      </c>
    </row>
    <row r="185" spans="1:17" x14ac:dyDescent="0.45">
      <c r="A185">
        <v>2445</v>
      </c>
      <c r="B185" t="s">
        <v>250</v>
      </c>
      <c r="C185">
        <v>356</v>
      </c>
      <c r="D185">
        <v>2</v>
      </c>
      <c r="E185">
        <v>571.70000000000005</v>
      </c>
      <c r="F185">
        <v>0</v>
      </c>
      <c r="G185">
        <v>931.5</v>
      </c>
      <c r="H185">
        <v>3</v>
      </c>
      <c r="I185">
        <v>28.59</v>
      </c>
      <c r="J185">
        <v>155</v>
      </c>
      <c r="K185">
        <v>66</v>
      </c>
      <c r="L185">
        <v>13</v>
      </c>
      <c r="M185">
        <v>22</v>
      </c>
      <c r="N185">
        <v>0</v>
      </c>
      <c r="O185">
        <v>574</v>
      </c>
      <c r="P185">
        <v>0</v>
      </c>
      <c r="Q185">
        <v>-341</v>
      </c>
    </row>
    <row r="186" spans="1:17" x14ac:dyDescent="0.45">
      <c r="A186">
        <v>603</v>
      </c>
      <c r="B186" t="s">
        <v>251</v>
      </c>
      <c r="C186">
        <v>1852</v>
      </c>
      <c r="D186">
        <v>2</v>
      </c>
      <c r="E186">
        <v>2424.6999999999998</v>
      </c>
      <c r="F186">
        <v>20.2</v>
      </c>
      <c r="G186">
        <v>2140.5</v>
      </c>
      <c r="H186">
        <v>2</v>
      </c>
      <c r="I186">
        <v>24.84</v>
      </c>
      <c r="J186">
        <v>765</v>
      </c>
      <c r="K186">
        <v>315</v>
      </c>
      <c r="L186">
        <v>28</v>
      </c>
      <c r="M186">
        <v>86</v>
      </c>
      <c r="N186">
        <v>0</v>
      </c>
      <c r="O186">
        <v>1150</v>
      </c>
      <c r="P186">
        <v>0</v>
      </c>
      <c r="Q186">
        <v>-40</v>
      </c>
    </row>
    <row r="187" spans="1:17" x14ac:dyDescent="0.45">
      <c r="A187">
        <v>2063</v>
      </c>
      <c r="B187" t="s">
        <v>252</v>
      </c>
      <c r="C187">
        <v>883</v>
      </c>
      <c r="D187">
        <v>3</v>
      </c>
      <c r="E187">
        <v>1430.2</v>
      </c>
      <c r="F187">
        <v>50.1</v>
      </c>
      <c r="G187">
        <v>1583.5</v>
      </c>
      <c r="H187">
        <v>3</v>
      </c>
      <c r="I187">
        <v>36.93</v>
      </c>
      <c r="J187">
        <v>355</v>
      </c>
      <c r="K187">
        <v>95</v>
      </c>
      <c r="L187">
        <v>22</v>
      </c>
      <c r="M187">
        <v>46</v>
      </c>
      <c r="N187">
        <v>0</v>
      </c>
      <c r="O187">
        <v>2863</v>
      </c>
      <c r="P187">
        <v>0</v>
      </c>
      <c r="Q187">
        <v>-120</v>
      </c>
    </row>
    <row r="188" spans="1:17" x14ac:dyDescent="0.45">
      <c r="A188">
        <v>6054</v>
      </c>
      <c r="B188" t="s">
        <v>253</v>
      </c>
      <c r="C188">
        <v>128</v>
      </c>
      <c r="D188">
        <v>3</v>
      </c>
      <c r="E188">
        <v>173.3</v>
      </c>
      <c r="F188">
        <v>2.9</v>
      </c>
      <c r="G188">
        <v>16.5</v>
      </c>
      <c r="H188">
        <v>3</v>
      </c>
      <c r="I188">
        <v>30.8</v>
      </c>
      <c r="J188">
        <v>45</v>
      </c>
      <c r="K188">
        <v>30</v>
      </c>
      <c r="L188">
        <v>1</v>
      </c>
      <c r="M188">
        <v>1</v>
      </c>
      <c r="N188">
        <v>0</v>
      </c>
      <c r="O188">
        <v>542</v>
      </c>
      <c r="P188">
        <v>0</v>
      </c>
      <c r="Q188">
        <v>-2328</v>
      </c>
    </row>
    <row r="189" spans="1:17" x14ac:dyDescent="0.45">
      <c r="A189">
        <v>2765</v>
      </c>
      <c r="B189" t="s">
        <v>254</v>
      </c>
      <c r="C189">
        <v>15631</v>
      </c>
      <c r="D189">
        <v>1</v>
      </c>
      <c r="E189">
        <v>5409.8</v>
      </c>
      <c r="F189">
        <v>15892</v>
      </c>
      <c r="G189">
        <v>5058.3</v>
      </c>
      <c r="H189">
        <v>1</v>
      </c>
      <c r="I189">
        <v>14.25</v>
      </c>
      <c r="J189">
        <v>4350</v>
      </c>
      <c r="K189">
        <v>1334</v>
      </c>
      <c r="L189">
        <v>295</v>
      </c>
      <c r="M189">
        <v>679</v>
      </c>
      <c r="N189">
        <v>0</v>
      </c>
      <c r="O189">
        <v>680</v>
      </c>
      <c r="P189">
        <v>0</v>
      </c>
      <c r="Q189">
        <v>-80</v>
      </c>
    </row>
    <row r="190" spans="1:17" x14ac:dyDescent="0.45">
      <c r="A190">
        <v>5151</v>
      </c>
      <c r="B190" t="s">
        <v>255</v>
      </c>
      <c r="C190">
        <v>2737</v>
      </c>
      <c r="D190">
        <v>3</v>
      </c>
      <c r="E190">
        <v>3024.1</v>
      </c>
      <c r="F190">
        <v>913.6</v>
      </c>
      <c r="G190">
        <v>5833.9</v>
      </c>
      <c r="H190">
        <v>1</v>
      </c>
      <c r="I190">
        <v>18.600000000000001</v>
      </c>
      <c r="J190">
        <v>1305</v>
      </c>
      <c r="K190">
        <v>522</v>
      </c>
      <c r="L190">
        <v>128</v>
      </c>
      <c r="M190">
        <v>290</v>
      </c>
      <c r="N190">
        <v>0</v>
      </c>
      <c r="O190">
        <v>255</v>
      </c>
      <c r="P190">
        <v>8269.35</v>
      </c>
      <c r="Q190">
        <v>-642</v>
      </c>
    </row>
    <row r="191" spans="1:17" x14ac:dyDescent="0.45">
      <c r="A191">
        <v>5903</v>
      </c>
      <c r="B191" t="s">
        <v>256</v>
      </c>
      <c r="C191">
        <v>247</v>
      </c>
      <c r="D191">
        <v>3</v>
      </c>
      <c r="E191">
        <v>597.5</v>
      </c>
      <c r="F191">
        <v>139.4</v>
      </c>
      <c r="G191">
        <v>512.5</v>
      </c>
      <c r="H191">
        <v>3</v>
      </c>
      <c r="I191">
        <v>35.86</v>
      </c>
      <c r="J191">
        <v>101</v>
      </c>
      <c r="K191">
        <v>37</v>
      </c>
      <c r="L191">
        <v>6</v>
      </c>
      <c r="M191">
        <v>12</v>
      </c>
      <c r="N191">
        <v>0</v>
      </c>
      <c r="O191">
        <v>750</v>
      </c>
      <c r="P191">
        <v>12.54</v>
      </c>
      <c r="Q191">
        <v>-221</v>
      </c>
    </row>
    <row r="192" spans="1:17" x14ac:dyDescent="0.45">
      <c r="A192">
        <v>242</v>
      </c>
      <c r="B192" t="s">
        <v>257</v>
      </c>
      <c r="C192">
        <v>7057</v>
      </c>
      <c r="D192">
        <v>3</v>
      </c>
      <c r="E192">
        <v>7464.2</v>
      </c>
      <c r="F192">
        <v>671.7</v>
      </c>
      <c r="G192">
        <v>5278.3</v>
      </c>
      <c r="H192">
        <v>2</v>
      </c>
      <c r="I192">
        <v>24.61</v>
      </c>
      <c r="J192">
        <v>2099</v>
      </c>
      <c r="K192">
        <v>908</v>
      </c>
      <c r="L192">
        <v>191</v>
      </c>
      <c r="M192">
        <v>390</v>
      </c>
      <c r="N192">
        <v>0</v>
      </c>
      <c r="O192">
        <v>1989</v>
      </c>
      <c r="P192">
        <v>1273.6300000000001</v>
      </c>
      <c r="Q192">
        <v>-863</v>
      </c>
    </row>
    <row r="193" spans="1:17" x14ac:dyDescent="0.45">
      <c r="A193">
        <v>4024</v>
      </c>
      <c r="B193" t="s">
        <v>258</v>
      </c>
      <c r="C193">
        <v>3010</v>
      </c>
      <c r="D193">
        <v>3</v>
      </c>
      <c r="E193">
        <v>3361.7</v>
      </c>
      <c r="F193">
        <v>312.89999999999998</v>
      </c>
      <c r="G193">
        <v>2604.8000000000002</v>
      </c>
      <c r="H193">
        <v>2</v>
      </c>
      <c r="I193">
        <v>23.46</v>
      </c>
      <c r="J193">
        <v>1066</v>
      </c>
      <c r="K193">
        <v>478</v>
      </c>
      <c r="L193">
        <v>87</v>
      </c>
      <c r="M193">
        <v>146</v>
      </c>
      <c r="N193">
        <v>0</v>
      </c>
      <c r="O193">
        <v>924</v>
      </c>
      <c r="P193">
        <v>540.46</v>
      </c>
      <c r="Q193">
        <v>-562</v>
      </c>
    </row>
    <row r="194" spans="1:17" x14ac:dyDescent="0.45">
      <c r="A194">
        <v>4092</v>
      </c>
      <c r="B194" t="s">
        <v>259</v>
      </c>
      <c r="C194">
        <v>4605</v>
      </c>
      <c r="D194">
        <v>3</v>
      </c>
      <c r="E194">
        <v>1551.8</v>
      </c>
      <c r="F194">
        <v>3695.9</v>
      </c>
      <c r="G194">
        <v>2103.6999999999998</v>
      </c>
      <c r="H194">
        <v>2</v>
      </c>
      <c r="I194">
        <v>23.46</v>
      </c>
      <c r="J194">
        <v>1527</v>
      </c>
      <c r="K194">
        <v>938</v>
      </c>
      <c r="L194">
        <v>78</v>
      </c>
      <c r="M194">
        <v>215</v>
      </c>
      <c r="N194">
        <v>0</v>
      </c>
      <c r="O194">
        <v>226</v>
      </c>
      <c r="P194">
        <v>0</v>
      </c>
      <c r="Q194">
        <v>-341</v>
      </c>
    </row>
    <row r="195" spans="1:17" x14ac:dyDescent="0.45">
      <c r="A195">
        <v>4093</v>
      </c>
      <c r="B195" t="s">
        <v>260</v>
      </c>
      <c r="C195">
        <v>757</v>
      </c>
      <c r="D195">
        <v>3</v>
      </c>
      <c r="E195">
        <v>851.9</v>
      </c>
      <c r="F195">
        <v>163.6</v>
      </c>
      <c r="G195">
        <v>1545.8</v>
      </c>
      <c r="H195">
        <v>3</v>
      </c>
      <c r="I195">
        <v>23.9</v>
      </c>
      <c r="J195">
        <v>412</v>
      </c>
      <c r="K195">
        <v>194</v>
      </c>
      <c r="L195">
        <v>34</v>
      </c>
      <c r="M195">
        <v>58</v>
      </c>
      <c r="N195">
        <v>0</v>
      </c>
      <c r="O195">
        <v>443</v>
      </c>
      <c r="P195">
        <v>44.3</v>
      </c>
      <c r="Q195">
        <v>-181</v>
      </c>
    </row>
    <row r="196" spans="1:17" x14ac:dyDescent="0.45">
      <c r="A196">
        <v>4132</v>
      </c>
      <c r="B196" t="s">
        <v>261</v>
      </c>
      <c r="C196">
        <v>1357</v>
      </c>
      <c r="D196">
        <v>3</v>
      </c>
      <c r="E196">
        <v>1632.9</v>
      </c>
      <c r="F196">
        <v>31.4</v>
      </c>
      <c r="G196">
        <v>776.2</v>
      </c>
      <c r="H196">
        <v>2</v>
      </c>
      <c r="I196">
        <v>23.46</v>
      </c>
      <c r="J196">
        <v>665</v>
      </c>
      <c r="K196">
        <v>201</v>
      </c>
      <c r="L196">
        <v>39</v>
      </c>
      <c r="M196">
        <v>78</v>
      </c>
      <c r="N196">
        <v>0</v>
      </c>
      <c r="O196">
        <v>937</v>
      </c>
      <c r="P196">
        <v>0</v>
      </c>
      <c r="Q196">
        <v>-161</v>
      </c>
    </row>
    <row r="197" spans="1:17" x14ac:dyDescent="0.45">
      <c r="A197">
        <v>2766</v>
      </c>
      <c r="B197" t="s">
        <v>262</v>
      </c>
      <c r="C197">
        <v>10264</v>
      </c>
      <c r="D197">
        <v>1</v>
      </c>
      <c r="E197">
        <v>3342.4</v>
      </c>
      <c r="F197">
        <v>7224.5</v>
      </c>
      <c r="G197">
        <v>6044.2</v>
      </c>
      <c r="H197">
        <v>1</v>
      </c>
      <c r="I197">
        <v>14.25</v>
      </c>
      <c r="J197">
        <v>2587</v>
      </c>
      <c r="K197">
        <v>1039</v>
      </c>
      <c r="L197">
        <v>93</v>
      </c>
      <c r="M197">
        <v>350</v>
      </c>
      <c r="N197">
        <v>0</v>
      </c>
      <c r="O197">
        <v>0</v>
      </c>
      <c r="P197">
        <v>6401.35</v>
      </c>
      <c r="Q197">
        <v>-20</v>
      </c>
    </row>
    <row r="198" spans="1:17" x14ac:dyDescent="0.45">
      <c r="A198">
        <v>4901</v>
      </c>
      <c r="B198" t="s">
        <v>263</v>
      </c>
      <c r="C198">
        <v>1381</v>
      </c>
      <c r="D198">
        <v>3</v>
      </c>
      <c r="E198">
        <v>1754.7</v>
      </c>
      <c r="F198">
        <v>0</v>
      </c>
      <c r="G198">
        <v>4113.7</v>
      </c>
      <c r="H198">
        <v>3</v>
      </c>
      <c r="I198">
        <v>26.04</v>
      </c>
      <c r="J198">
        <v>615</v>
      </c>
      <c r="K198">
        <v>284</v>
      </c>
      <c r="L198">
        <v>44</v>
      </c>
      <c r="M198">
        <v>54</v>
      </c>
      <c r="N198">
        <v>0</v>
      </c>
      <c r="O198">
        <v>5165</v>
      </c>
      <c r="P198">
        <v>0</v>
      </c>
      <c r="Q198">
        <v>-381</v>
      </c>
    </row>
    <row r="199" spans="1:17" x14ac:dyDescent="0.45">
      <c r="A199">
        <v>4471</v>
      </c>
      <c r="B199" t="s">
        <v>264</v>
      </c>
      <c r="C199">
        <v>6064</v>
      </c>
      <c r="D199">
        <v>3</v>
      </c>
      <c r="E199">
        <v>5862.5</v>
      </c>
      <c r="F199">
        <v>2975.8</v>
      </c>
      <c r="G199">
        <v>7626.5</v>
      </c>
      <c r="H199">
        <v>2</v>
      </c>
      <c r="I199">
        <v>21.63</v>
      </c>
      <c r="J199">
        <v>2534</v>
      </c>
      <c r="K199">
        <v>1092</v>
      </c>
      <c r="L199">
        <v>131</v>
      </c>
      <c r="M199">
        <v>241</v>
      </c>
      <c r="N199">
        <v>0</v>
      </c>
      <c r="O199">
        <v>5269</v>
      </c>
      <c r="P199">
        <v>8943.42</v>
      </c>
      <c r="Q199">
        <v>-542</v>
      </c>
    </row>
    <row r="200" spans="1:17" x14ac:dyDescent="0.45">
      <c r="A200">
        <v>5154</v>
      </c>
      <c r="B200" t="s">
        <v>265</v>
      </c>
      <c r="C200">
        <v>945</v>
      </c>
      <c r="D200">
        <v>3</v>
      </c>
      <c r="E200">
        <v>1936</v>
      </c>
      <c r="F200">
        <v>206.6</v>
      </c>
      <c r="G200">
        <v>295.89999999999998</v>
      </c>
      <c r="H200">
        <v>2</v>
      </c>
      <c r="I200">
        <v>22.12</v>
      </c>
      <c r="J200">
        <v>436</v>
      </c>
      <c r="K200">
        <v>141</v>
      </c>
      <c r="L200">
        <v>20</v>
      </c>
      <c r="M200">
        <v>97</v>
      </c>
      <c r="N200">
        <v>0</v>
      </c>
      <c r="O200">
        <v>0</v>
      </c>
      <c r="P200">
        <v>0</v>
      </c>
      <c r="Q200">
        <v>-281</v>
      </c>
    </row>
    <row r="201" spans="1:17" x14ac:dyDescent="0.45">
      <c r="A201">
        <v>6172</v>
      </c>
      <c r="B201" t="s">
        <v>266</v>
      </c>
      <c r="C201">
        <v>41</v>
      </c>
      <c r="D201">
        <v>3</v>
      </c>
      <c r="E201">
        <v>16.600000000000001</v>
      </c>
      <c r="F201">
        <v>0</v>
      </c>
      <c r="G201">
        <v>14.6</v>
      </c>
      <c r="H201">
        <v>3</v>
      </c>
      <c r="I201">
        <v>30.8</v>
      </c>
      <c r="J201">
        <v>20</v>
      </c>
      <c r="K201">
        <v>3</v>
      </c>
      <c r="L201">
        <v>1</v>
      </c>
      <c r="M201">
        <v>0</v>
      </c>
      <c r="N201">
        <v>0</v>
      </c>
      <c r="O201">
        <v>280</v>
      </c>
      <c r="P201">
        <v>0</v>
      </c>
      <c r="Q201">
        <v>-502</v>
      </c>
    </row>
    <row r="202" spans="1:17" x14ac:dyDescent="0.45">
      <c r="A202">
        <v>6173</v>
      </c>
      <c r="B202" t="s">
        <v>267</v>
      </c>
      <c r="C202">
        <v>1122</v>
      </c>
      <c r="D202">
        <v>3</v>
      </c>
      <c r="E202">
        <v>918.6</v>
      </c>
      <c r="F202">
        <v>13.5</v>
      </c>
      <c r="G202">
        <v>1655.5</v>
      </c>
      <c r="H202">
        <v>2</v>
      </c>
      <c r="I202">
        <v>30.34</v>
      </c>
      <c r="J202">
        <v>371</v>
      </c>
      <c r="K202">
        <v>213</v>
      </c>
      <c r="L202">
        <v>33</v>
      </c>
      <c r="M202">
        <v>46</v>
      </c>
      <c r="N202">
        <v>0</v>
      </c>
      <c r="O202">
        <v>313</v>
      </c>
      <c r="P202">
        <v>0</v>
      </c>
      <c r="Q202">
        <v>-582</v>
      </c>
    </row>
    <row r="203" spans="1:17" x14ac:dyDescent="0.45">
      <c r="A203">
        <v>5425</v>
      </c>
      <c r="B203" t="s">
        <v>249</v>
      </c>
      <c r="C203">
        <v>1674</v>
      </c>
      <c r="D203">
        <v>3</v>
      </c>
      <c r="E203">
        <v>2200.9</v>
      </c>
      <c r="F203">
        <v>1301.5</v>
      </c>
      <c r="G203">
        <v>1123.8</v>
      </c>
      <c r="H203">
        <v>3</v>
      </c>
      <c r="I203">
        <v>35.86</v>
      </c>
      <c r="J203">
        <v>614</v>
      </c>
      <c r="K203">
        <v>267</v>
      </c>
      <c r="L203">
        <v>20</v>
      </c>
      <c r="M203">
        <v>93</v>
      </c>
      <c r="N203">
        <v>0</v>
      </c>
      <c r="O203">
        <v>4693</v>
      </c>
      <c r="P203">
        <v>271.69</v>
      </c>
      <c r="Q203">
        <v>-2569</v>
      </c>
    </row>
    <row r="204" spans="1:17" x14ac:dyDescent="0.45">
      <c r="A204">
        <v>6192</v>
      </c>
      <c r="B204" t="s">
        <v>268</v>
      </c>
      <c r="C204">
        <v>298</v>
      </c>
      <c r="D204">
        <v>3</v>
      </c>
      <c r="E204">
        <v>516.6</v>
      </c>
      <c r="F204">
        <v>0</v>
      </c>
      <c r="G204">
        <v>89.1</v>
      </c>
      <c r="H204">
        <v>3</v>
      </c>
      <c r="I204">
        <v>30.8</v>
      </c>
      <c r="J204">
        <v>82</v>
      </c>
      <c r="K204">
        <v>62</v>
      </c>
      <c r="L204">
        <v>5</v>
      </c>
      <c r="M204">
        <v>12</v>
      </c>
      <c r="N204">
        <v>0</v>
      </c>
      <c r="O204">
        <v>348</v>
      </c>
      <c r="P204">
        <v>66.45</v>
      </c>
      <c r="Q204">
        <v>-1686</v>
      </c>
    </row>
    <row r="205" spans="1:17" x14ac:dyDescent="0.45">
      <c r="A205">
        <v>2781</v>
      </c>
      <c r="B205" t="s">
        <v>269</v>
      </c>
      <c r="C205">
        <v>702</v>
      </c>
      <c r="D205">
        <v>1</v>
      </c>
      <c r="E205">
        <v>1033</v>
      </c>
      <c r="F205">
        <v>0</v>
      </c>
      <c r="G205">
        <v>684.8</v>
      </c>
      <c r="H205">
        <v>3</v>
      </c>
      <c r="I205">
        <v>22.09</v>
      </c>
      <c r="J205">
        <v>316</v>
      </c>
      <c r="K205">
        <v>123</v>
      </c>
      <c r="L205">
        <v>13</v>
      </c>
      <c r="M205">
        <v>34</v>
      </c>
      <c r="N205">
        <v>0</v>
      </c>
      <c r="O205">
        <v>605</v>
      </c>
      <c r="P205">
        <v>0</v>
      </c>
      <c r="Q205">
        <v>-823</v>
      </c>
    </row>
    <row r="206" spans="1:17" x14ac:dyDescent="0.45">
      <c r="A206">
        <v>324</v>
      </c>
      <c r="B206" t="s">
        <v>270</v>
      </c>
      <c r="C206">
        <v>748</v>
      </c>
      <c r="D206">
        <v>2</v>
      </c>
      <c r="E206">
        <v>992.2</v>
      </c>
      <c r="F206">
        <v>0</v>
      </c>
      <c r="G206">
        <v>762.4</v>
      </c>
      <c r="H206">
        <v>3</v>
      </c>
      <c r="I206">
        <v>26.41</v>
      </c>
      <c r="J206">
        <v>341</v>
      </c>
      <c r="K206">
        <v>108</v>
      </c>
      <c r="L206">
        <v>12</v>
      </c>
      <c r="M206">
        <v>31</v>
      </c>
      <c r="N206">
        <v>0</v>
      </c>
      <c r="O206">
        <v>1700</v>
      </c>
      <c r="P206">
        <v>0</v>
      </c>
      <c r="Q206">
        <v>-381</v>
      </c>
    </row>
    <row r="207" spans="1:17" x14ac:dyDescent="0.45">
      <c r="A207">
        <v>5049</v>
      </c>
      <c r="B207" t="s">
        <v>271</v>
      </c>
      <c r="C207">
        <v>1745</v>
      </c>
      <c r="D207">
        <v>3</v>
      </c>
      <c r="E207">
        <v>1442.2</v>
      </c>
      <c r="F207">
        <v>96.6</v>
      </c>
      <c r="G207">
        <v>2437.6</v>
      </c>
      <c r="H207">
        <v>3</v>
      </c>
      <c r="I207">
        <v>25.45</v>
      </c>
      <c r="J207">
        <v>731</v>
      </c>
      <c r="K207">
        <v>365</v>
      </c>
      <c r="L207">
        <v>19</v>
      </c>
      <c r="M207">
        <v>73</v>
      </c>
      <c r="N207">
        <v>0</v>
      </c>
      <c r="O207">
        <v>4840</v>
      </c>
      <c r="P207">
        <v>0</v>
      </c>
      <c r="Q207">
        <v>-11079</v>
      </c>
    </row>
    <row r="208" spans="1:17" x14ac:dyDescent="0.45">
      <c r="A208">
        <v>5892</v>
      </c>
      <c r="B208" t="s">
        <v>272</v>
      </c>
      <c r="C208">
        <v>12117</v>
      </c>
      <c r="D208">
        <v>3</v>
      </c>
      <c r="E208">
        <v>5829.3</v>
      </c>
      <c r="F208">
        <v>13113.2</v>
      </c>
      <c r="G208">
        <v>9705.2999999999993</v>
      </c>
      <c r="H208">
        <v>1</v>
      </c>
      <c r="I208">
        <v>19.809999999999999</v>
      </c>
      <c r="J208">
        <v>4263</v>
      </c>
      <c r="K208">
        <v>1266</v>
      </c>
      <c r="L208">
        <v>510</v>
      </c>
      <c r="M208">
        <v>1031</v>
      </c>
      <c r="N208">
        <v>0</v>
      </c>
      <c r="O208">
        <v>2750</v>
      </c>
      <c r="P208">
        <v>0</v>
      </c>
      <c r="Q208">
        <v>-2830</v>
      </c>
    </row>
    <row r="209" spans="1:17" x14ac:dyDescent="0.45">
      <c r="A209">
        <v>922</v>
      </c>
      <c r="B209" t="s">
        <v>273</v>
      </c>
      <c r="C209">
        <v>1267</v>
      </c>
      <c r="D209">
        <v>3</v>
      </c>
      <c r="E209">
        <v>1407.1</v>
      </c>
      <c r="F209">
        <v>0</v>
      </c>
      <c r="G209">
        <v>1597.7</v>
      </c>
      <c r="H209">
        <v>2</v>
      </c>
      <c r="I209">
        <v>24.84</v>
      </c>
      <c r="J209">
        <v>521</v>
      </c>
      <c r="K209">
        <v>186</v>
      </c>
      <c r="L209">
        <v>15</v>
      </c>
      <c r="M209">
        <v>40</v>
      </c>
      <c r="N209">
        <v>0</v>
      </c>
      <c r="O209">
        <v>2547</v>
      </c>
      <c r="P209">
        <v>0</v>
      </c>
      <c r="Q209">
        <v>-1184</v>
      </c>
    </row>
    <row r="210" spans="1:17" x14ac:dyDescent="0.45">
      <c r="A210">
        <v>5064</v>
      </c>
      <c r="B210" t="s">
        <v>275</v>
      </c>
      <c r="C210">
        <v>890</v>
      </c>
      <c r="D210">
        <v>1</v>
      </c>
      <c r="E210">
        <v>1494</v>
      </c>
      <c r="F210">
        <v>22.8</v>
      </c>
      <c r="G210">
        <v>615.4</v>
      </c>
      <c r="H210">
        <v>3</v>
      </c>
      <c r="I210">
        <v>25.45</v>
      </c>
      <c r="J210">
        <v>338</v>
      </c>
      <c r="K210">
        <v>192</v>
      </c>
      <c r="L210">
        <v>4</v>
      </c>
      <c r="M210">
        <v>47</v>
      </c>
      <c r="N210">
        <v>7557</v>
      </c>
      <c r="O210">
        <v>1</v>
      </c>
      <c r="P210">
        <v>0</v>
      </c>
      <c r="Q210">
        <v>-903</v>
      </c>
    </row>
    <row r="211" spans="1:17" x14ac:dyDescent="0.45">
      <c r="A211">
        <v>5747</v>
      </c>
      <c r="B211" t="s">
        <v>277</v>
      </c>
      <c r="C211">
        <v>203</v>
      </c>
      <c r="D211">
        <v>3</v>
      </c>
      <c r="E211">
        <v>70.400000000000006</v>
      </c>
      <c r="F211">
        <v>194.9</v>
      </c>
      <c r="G211">
        <v>194.1</v>
      </c>
      <c r="H211">
        <v>3</v>
      </c>
      <c r="I211">
        <v>35.86</v>
      </c>
      <c r="J211">
        <v>102</v>
      </c>
      <c r="K211">
        <v>31</v>
      </c>
      <c r="L211">
        <v>4</v>
      </c>
      <c r="M211">
        <v>12</v>
      </c>
      <c r="N211">
        <v>0</v>
      </c>
      <c r="O211">
        <v>1946</v>
      </c>
      <c r="P211">
        <v>0</v>
      </c>
      <c r="Q211">
        <v>-201</v>
      </c>
    </row>
    <row r="212" spans="1:17" x14ac:dyDescent="0.45">
      <c r="A212">
        <v>5705</v>
      </c>
      <c r="B212" t="s">
        <v>278</v>
      </c>
      <c r="C212">
        <v>932</v>
      </c>
      <c r="D212">
        <v>3</v>
      </c>
      <c r="E212">
        <v>655.20000000000005</v>
      </c>
      <c r="F212">
        <v>0</v>
      </c>
      <c r="G212">
        <v>620.6</v>
      </c>
      <c r="H212">
        <v>1</v>
      </c>
      <c r="I212">
        <v>19.809999999999999</v>
      </c>
      <c r="J212">
        <v>323</v>
      </c>
      <c r="K212">
        <v>102</v>
      </c>
      <c r="L212">
        <v>43</v>
      </c>
      <c r="M212">
        <v>103</v>
      </c>
      <c r="N212">
        <v>0</v>
      </c>
      <c r="O212">
        <v>587</v>
      </c>
      <c r="P212">
        <v>88.6</v>
      </c>
      <c r="Q212">
        <v>-140</v>
      </c>
    </row>
    <row r="213" spans="1:17" x14ac:dyDescent="0.45">
      <c r="A213">
        <v>2238</v>
      </c>
      <c r="B213" t="s">
        <v>279</v>
      </c>
      <c r="C213">
        <v>2344</v>
      </c>
      <c r="D213">
        <v>3</v>
      </c>
      <c r="E213">
        <v>1858.9</v>
      </c>
      <c r="F213">
        <v>11.5</v>
      </c>
      <c r="G213">
        <v>4092.3</v>
      </c>
      <c r="H213">
        <v>3</v>
      </c>
      <c r="I213">
        <v>36.93</v>
      </c>
      <c r="J213">
        <v>952</v>
      </c>
      <c r="K213">
        <v>244</v>
      </c>
      <c r="L213">
        <v>66</v>
      </c>
      <c r="M213">
        <v>189</v>
      </c>
      <c r="N213">
        <v>0</v>
      </c>
      <c r="O213">
        <v>5185</v>
      </c>
      <c r="P213">
        <v>0</v>
      </c>
      <c r="Q213">
        <v>-622</v>
      </c>
    </row>
    <row r="214" spans="1:17" x14ac:dyDescent="0.45">
      <c r="A214">
        <v>2514</v>
      </c>
      <c r="B214" t="s">
        <v>280</v>
      </c>
      <c r="C214">
        <v>581</v>
      </c>
      <c r="D214">
        <v>3</v>
      </c>
      <c r="E214">
        <v>554.6</v>
      </c>
      <c r="F214">
        <v>13.4</v>
      </c>
      <c r="G214">
        <v>709.9</v>
      </c>
      <c r="H214">
        <v>2</v>
      </c>
      <c r="I214">
        <v>26.37</v>
      </c>
      <c r="J214">
        <v>241</v>
      </c>
      <c r="K214">
        <v>92</v>
      </c>
      <c r="L214">
        <v>16</v>
      </c>
      <c r="M214">
        <v>27</v>
      </c>
      <c r="N214">
        <v>0</v>
      </c>
      <c r="O214">
        <v>416</v>
      </c>
      <c r="P214">
        <v>0</v>
      </c>
      <c r="Q214">
        <v>-100</v>
      </c>
    </row>
    <row r="215" spans="1:17" x14ac:dyDescent="0.45">
      <c r="A215">
        <v>352</v>
      </c>
      <c r="B215" t="s">
        <v>281</v>
      </c>
      <c r="C215">
        <v>6361</v>
      </c>
      <c r="D215">
        <v>2</v>
      </c>
      <c r="E215">
        <v>5005.2</v>
      </c>
      <c r="F215">
        <v>0</v>
      </c>
      <c r="G215">
        <v>5001.7</v>
      </c>
      <c r="H215">
        <v>1</v>
      </c>
      <c r="I215">
        <v>16.760000000000002</v>
      </c>
      <c r="J215">
        <v>1776</v>
      </c>
      <c r="K215">
        <v>662</v>
      </c>
      <c r="L215">
        <v>132</v>
      </c>
      <c r="M215">
        <v>252</v>
      </c>
      <c r="N215">
        <v>0</v>
      </c>
      <c r="O215">
        <v>4394</v>
      </c>
      <c r="P215">
        <v>0</v>
      </c>
      <c r="Q215">
        <v>-1425</v>
      </c>
    </row>
    <row r="216" spans="1:17" x14ac:dyDescent="0.45">
      <c r="A216">
        <v>791</v>
      </c>
      <c r="B216" t="s">
        <v>282</v>
      </c>
      <c r="C216">
        <v>1275</v>
      </c>
      <c r="D216">
        <v>3</v>
      </c>
      <c r="E216">
        <v>1554.1</v>
      </c>
      <c r="F216">
        <v>0</v>
      </c>
      <c r="G216">
        <v>647.5</v>
      </c>
      <c r="H216">
        <v>3</v>
      </c>
      <c r="I216">
        <v>26.41</v>
      </c>
      <c r="J216">
        <v>522</v>
      </c>
      <c r="K216">
        <v>329</v>
      </c>
      <c r="L216">
        <v>5</v>
      </c>
      <c r="M216">
        <v>23</v>
      </c>
      <c r="N216">
        <v>0</v>
      </c>
      <c r="O216">
        <v>9251</v>
      </c>
      <c r="P216">
        <v>110.75</v>
      </c>
      <c r="Q216">
        <v>-5178</v>
      </c>
    </row>
    <row r="217" spans="1:17" x14ac:dyDescent="0.45">
      <c r="A217">
        <v>3721</v>
      </c>
      <c r="B217" t="s">
        <v>283</v>
      </c>
      <c r="C217">
        <v>3493</v>
      </c>
      <c r="D217">
        <v>3</v>
      </c>
      <c r="E217">
        <v>3272.9</v>
      </c>
      <c r="F217">
        <v>1.7</v>
      </c>
      <c r="G217">
        <v>3232.2</v>
      </c>
      <c r="H217">
        <v>2</v>
      </c>
      <c r="I217">
        <v>21.73</v>
      </c>
      <c r="J217">
        <v>1086</v>
      </c>
      <c r="K217">
        <v>659</v>
      </c>
      <c r="L217">
        <v>90</v>
      </c>
      <c r="M217">
        <v>152</v>
      </c>
      <c r="N217">
        <v>0</v>
      </c>
      <c r="O217">
        <v>1559</v>
      </c>
      <c r="P217">
        <v>0</v>
      </c>
      <c r="Q217">
        <v>-1746</v>
      </c>
    </row>
    <row r="218" spans="1:17" x14ac:dyDescent="0.45">
      <c r="A218">
        <v>6774</v>
      </c>
      <c r="B218" t="s">
        <v>284</v>
      </c>
      <c r="C218">
        <v>1205</v>
      </c>
      <c r="D218">
        <v>3</v>
      </c>
      <c r="E218">
        <v>3327.3</v>
      </c>
      <c r="F218">
        <v>0</v>
      </c>
      <c r="G218">
        <v>3559</v>
      </c>
      <c r="H218">
        <v>3</v>
      </c>
      <c r="I218">
        <v>27.66</v>
      </c>
      <c r="J218">
        <v>582</v>
      </c>
      <c r="K218">
        <v>138</v>
      </c>
      <c r="L218">
        <v>16</v>
      </c>
      <c r="M218">
        <v>58</v>
      </c>
      <c r="N218">
        <v>0</v>
      </c>
      <c r="O218">
        <v>3264</v>
      </c>
      <c r="P218">
        <v>0</v>
      </c>
      <c r="Q218">
        <v>-702</v>
      </c>
    </row>
    <row r="219" spans="1:17" x14ac:dyDescent="0.45">
      <c r="A219">
        <v>2571</v>
      </c>
      <c r="B219" t="s">
        <v>286</v>
      </c>
      <c r="C219">
        <v>805</v>
      </c>
      <c r="D219">
        <v>2</v>
      </c>
      <c r="E219">
        <v>817.5</v>
      </c>
      <c r="F219">
        <v>3.2</v>
      </c>
      <c r="G219">
        <v>533.9</v>
      </c>
      <c r="H219">
        <v>3</v>
      </c>
      <c r="I219">
        <v>28.59</v>
      </c>
      <c r="J219">
        <v>344</v>
      </c>
      <c r="K219">
        <v>113</v>
      </c>
      <c r="L219">
        <v>17</v>
      </c>
      <c r="M219">
        <v>36</v>
      </c>
      <c r="N219">
        <v>0</v>
      </c>
      <c r="O219">
        <v>798</v>
      </c>
      <c r="P219">
        <v>0</v>
      </c>
      <c r="Q219">
        <v>-161</v>
      </c>
    </row>
    <row r="220" spans="1:17" x14ac:dyDescent="0.45">
      <c r="A220">
        <v>4192</v>
      </c>
      <c r="B220" t="s">
        <v>287</v>
      </c>
      <c r="C220">
        <v>1669</v>
      </c>
      <c r="D220">
        <v>3</v>
      </c>
      <c r="E220">
        <v>2074.1999999999998</v>
      </c>
      <c r="F220">
        <v>5.3</v>
      </c>
      <c r="G220">
        <v>1431.7</v>
      </c>
      <c r="H220">
        <v>3</v>
      </c>
      <c r="I220">
        <v>23.9</v>
      </c>
      <c r="J220">
        <v>745</v>
      </c>
      <c r="K220">
        <v>239</v>
      </c>
      <c r="L220">
        <v>46</v>
      </c>
      <c r="M220">
        <v>94</v>
      </c>
      <c r="N220">
        <v>0</v>
      </c>
      <c r="O220">
        <v>193</v>
      </c>
      <c r="P220">
        <v>0</v>
      </c>
      <c r="Q220">
        <v>-40</v>
      </c>
    </row>
    <row r="221" spans="1:17" x14ac:dyDescent="0.45">
      <c r="A221">
        <v>3</v>
      </c>
      <c r="B221" t="s">
        <v>288</v>
      </c>
      <c r="C221">
        <v>5624</v>
      </c>
      <c r="D221">
        <v>3</v>
      </c>
      <c r="E221">
        <v>4203.2</v>
      </c>
      <c r="F221">
        <v>526</v>
      </c>
      <c r="G221">
        <v>2055</v>
      </c>
      <c r="H221">
        <v>2</v>
      </c>
      <c r="I221">
        <v>24.61</v>
      </c>
      <c r="J221">
        <v>1758</v>
      </c>
      <c r="K221">
        <v>630</v>
      </c>
      <c r="L221">
        <v>174</v>
      </c>
      <c r="M221">
        <v>270</v>
      </c>
      <c r="N221">
        <v>0</v>
      </c>
      <c r="O221">
        <v>1279</v>
      </c>
      <c r="P221">
        <v>0</v>
      </c>
      <c r="Q221">
        <v>-421</v>
      </c>
    </row>
    <row r="222" spans="1:17" x14ac:dyDescent="0.45">
      <c r="A222">
        <v>5551</v>
      </c>
      <c r="B222" t="s">
        <v>289</v>
      </c>
      <c r="C222">
        <v>502</v>
      </c>
      <c r="D222">
        <v>3</v>
      </c>
      <c r="E222">
        <v>1184.9000000000001</v>
      </c>
      <c r="F222">
        <v>0</v>
      </c>
      <c r="G222">
        <v>1159.8</v>
      </c>
      <c r="H222">
        <v>2</v>
      </c>
      <c r="I222">
        <v>26.72</v>
      </c>
      <c r="J222">
        <v>227</v>
      </c>
      <c r="K222">
        <v>72</v>
      </c>
      <c r="L222">
        <v>10</v>
      </c>
      <c r="M222">
        <v>27</v>
      </c>
      <c r="N222">
        <v>0</v>
      </c>
      <c r="O222">
        <v>683</v>
      </c>
      <c r="P222">
        <v>41.33</v>
      </c>
      <c r="Q222">
        <v>-642</v>
      </c>
    </row>
    <row r="223" spans="1:17" x14ac:dyDescent="0.45">
      <c r="A223">
        <v>82</v>
      </c>
      <c r="B223" t="s">
        <v>290</v>
      </c>
      <c r="C223">
        <v>1454</v>
      </c>
      <c r="D223">
        <v>3</v>
      </c>
      <c r="E223">
        <v>1730.6</v>
      </c>
      <c r="F223">
        <v>0</v>
      </c>
      <c r="G223">
        <v>920.1</v>
      </c>
      <c r="H223">
        <v>3</v>
      </c>
      <c r="I223">
        <v>25.15</v>
      </c>
      <c r="J223">
        <v>561</v>
      </c>
      <c r="K223">
        <v>201</v>
      </c>
      <c r="L223">
        <v>60</v>
      </c>
      <c r="M223">
        <v>101</v>
      </c>
      <c r="N223">
        <v>0</v>
      </c>
      <c r="O223">
        <v>561</v>
      </c>
      <c r="P223">
        <v>0</v>
      </c>
      <c r="Q223">
        <v>-361</v>
      </c>
    </row>
    <row r="224" spans="1:17" x14ac:dyDescent="0.45">
      <c r="A224">
        <v>5706</v>
      </c>
      <c r="B224" t="s">
        <v>291</v>
      </c>
      <c r="C224">
        <v>1139</v>
      </c>
      <c r="D224">
        <v>3</v>
      </c>
      <c r="E224">
        <v>955.3</v>
      </c>
      <c r="F224">
        <v>49.7</v>
      </c>
      <c r="G224">
        <v>1173.0999999999999</v>
      </c>
      <c r="H224">
        <v>2</v>
      </c>
      <c r="I224">
        <v>26.72</v>
      </c>
      <c r="J224">
        <v>429</v>
      </c>
      <c r="K224">
        <v>124</v>
      </c>
      <c r="L224">
        <v>55</v>
      </c>
      <c r="M224">
        <v>106</v>
      </c>
      <c r="N224">
        <v>0</v>
      </c>
      <c r="O224">
        <v>237</v>
      </c>
      <c r="P224">
        <v>0</v>
      </c>
      <c r="Q224">
        <v>0</v>
      </c>
    </row>
    <row r="225" spans="1:17" x14ac:dyDescent="0.45">
      <c r="A225">
        <v>5304</v>
      </c>
      <c r="B225" t="s">
        <v>292</v>
      </c>
      <c r="C225">
        <v>53</v>
      </c>
      <c r="D225">
        <v>3</v>
      </c>
      <c r="E225">
        <v>198</v>
      </c>
      <c r="F225">
        <v>3.8</v>
      </c>
      <c r="G225">
        <v>0</v>
      </c>
      <c r="H225">
        <v>3</v>
      </c>
      <c r="I225">
        <v>25.45</v>
      </c>
      <c r="J225">
        <v>14</v>
      </c>
      <c r="K225">
        <v>14</v>
      </c>
      <c r="L225">
        <v>1</v>
      </c>
      <c r="M225">
        <v>1</v>
      </c>
      <c r="N225">
        <v>0</v>
      </c>
      <c r="O225">
        <v>323</v>
      </c>
      <c r="P225">
        <v>0</v>
      </c>
      <c r="Q225">
        <v>-1425</v>
      </c>
    </row>
    <row r="226" spans="1:17" x14ac:dyDescent="0.45">
      <c r="A226">
        <v>2323</v>
      </c>
      <c r="B226" t="s">
        <v>294</v>
      </c>
      <c r="C226">
        <v>1575</v>
      </c>
      <c r="D226">
        <v>3</v>
      </c>
      <c r="E226">
        <v>911.7</v>
      </c>
      <c r="F226">
        <v>495.3</v>
      </c>
      <c r="G226">
        <v>2166.8000000000002</v>
      </c>
      <c r="H226">
        <v>2</v>
      </c>
      <c r="I226">
        <v>28.63</v>
      </c>
      <c r="J226">
        <v>642</v>
      </c>
      <c r="K226">
        <v>182</v>
      </c>
      <c r="L226">
        <v>46</v>
      </c>
      <c r="M226">
        <v>104</v>
      </c>
      <c r="N226">
        <v>0</v>
      </c>
      <c r="O226">
        <v>1994</v>
      </c>
      <c r="P226">
        <v>0</v>
      </c>
      <c r="Q226">
        <v>-120</v>
      </c>
    </row>
    <row r="227" spans="1:17" x14ac:dyDescent="0.45">
      <c r="A227">
        <v>4228</v>
      </c>
      <c r="B227" t="s">
        <v>295</v>
      </c>
      <c r="C227">
        <v>3031</v>
      </c>
      <c r="D227">
        <v>3</v>
      </c>
      <c r="E227">
        <v>3269.9</v>
      </c>
      <c r="F227">
        <v>6.7</v>
      </c>
      <c r="G227">
        <v>3133.5</v>
      </c>
      <c r="H227">
        <v>2</v>
      </c>
      <c r="I227">
        <v>23.46</v>
      </c>
      <c r="J227">
        <v>1282</v>
      </c>
      <c r="K227">
        <v>551</v>
      </c>
      <c r="L227">
        <v>78</v>
      </c>
      <c r="M227">
        <v>173</v>
      </c>
      <c r="N227">
        <v>0</v>
      </c>
      <c r="O227">
        <v>4821</v>
      </c>
      <c r="P227">
        <v>0</v>
      </c>
      <c r="Q227">
        <v>-502</v>
      </c>
    </row>
    <row r="228" spans="1:17" x14ac:dyDescent="0.45">
      <c r="A228">
        <v>5514</v>
      </c>
      <c r="B228" t="s">
        <v>296</v>
      </c>
      <c r="C228">
        <v>1351</v>
      </c>
      <c r="D228">
        <v>3</v>
      </c>
      <c r="E228">
        <v>690.8</v>
      </c>
      <c r="F228">
        <v>850.9</v>
      </c>
      <c r="G228">
        <v>1098</v>
      </c>
      <c r="H228">
        <v>3</v>
      </c>
      <c r="I228">
        <v>35.86</v>
      </c>
      <c r="J228">
        <v>532</v>
      </c>
      <c r="K228">
        <v>124</v>
      </c>
      <c r="L228">
        <v>45</v>
      </c>
      <c r="M228">
        <v>93</v>
      </c>
      <c r="N228">
        <v>0</v>
      </c>
      <c r="O228">
        <v>3952</v>
      </c>
      <c r="P228">
        <v>39.119999999999997</v>
      </c>
      <c r="Q228">
        <v>-261</v>
      </c>
    </row>
    <row r="229" spans="1:17" x14ac:dyDescent="0.45">
      <c r="A229">
        <v>4273</v>
      </c>
      <c r="B229" t="s">
        <v>297</v>
      </c>
      <c r="C229">
        <v>852</v>
      </c>
      <c r="D229">
        <v>3</v>
      </c>
      <c r="E229">
        <v>911.9</v>
      </c>
      <c r="F229">
        <v>0</v>
      </c>
      <c r="G229">
        <v>750.7</v>
      </c>
      <c r="H229">
        <v>3</v>
      </c>
      <c r="I229">
        <v>23.9</v>
      </c>
      <c r="J229">
        <v>381</v>
      </c>
      <c r="K229">
        <v>146</v>
      </c>
      <c r="L229">
        <v>23</v>
      </c>
      <c r="M229">
        <v>37</v>
      </c>
      <c r="N229">
        <v>0</v>
      </c>
      <c r="O229">
        <v>1676</v>
      </c>
      <c r="P229">
        <v>0</v>
      </c>
      <c r="Q229">
        <v>-421</v>
      </c>
    </row>
    <row r="230" spans="1:17" x14ac:dyDescent="0.45">
      <c r="A230">
        <v>2123</v>
      </c>
      <c r="B230" t="s">
        <v>298</v>
      </c>
      <c r="C230">
        <v>733</v>
      </c>
      <c r="D230">
        <v>3</v>
      </c>
      <c r="E230">
        <v>526.70000000000005</v>
      </c>
      <c r="F230">
        <v>0</v>
      </c>
      <c r="G230">
        <v>1690</v>
      </c>
      <c r="H230">
        <v>3</v>
      </c>
      <c r="I230">
        <v>36.93</v>
      </c>
      <c r="J230">
        <v>284</v>
      </c>
      <c r="K230">
        <v>113</v>
      </c>
      <c r="L230">
        <v>24</v>
      </c>
      <c r="M230">
        <v>47</v>
      </c>
      <c r="N230">
        <v>0</v>
      </c>
      <c r="O230">
        <v>659</v>
      </c>
      <c r="P230">
        <v>0</v>
      </c>
      <c r="Q230">
        <v>-442</v>
      </c>
    </row>
    <row r="231" spans="1:17" x14ac:dyDescent="0.45">
      <c r="A231">
        <v>4643</v>
      </c>
      <c r="B231" t="s">
        <v>299</v>
      </c>
      <c r="C231">
        <v>2696</v>
      </c>
      <c r="D231">
        <v>3</v>
      </c>
      <c r="E231">
        <v>1514.2</v>
      </c>
      <c r="F231">
        <v>1712.7</v>
      </c>
      <c r="G231">
        <v>2370.1999999999998</v>
      </c>
      <c r="H231">
        <v>1</v>
      </c>
      <c r="I231">
        <v>21</v>
      </c>
      <c r="J231">
        <v>1027</v>
      </c>
      <c r="K231">
        <v>431</v>
      </c>
      <c r="L231">
        <v>128</v>
      </c>
      <c r="M231">
        <v>193</v>
      </c>
      <c r="N231">
        <v>0</v>
      </c>
      <c r="O231">
        <v>585</v>
      </c>
      <c r="P231">
        <v>0</v>
      </c>
      <c r="Q231">
        <v>-161</v>
      </c>
    </row>
    <row r="232" spans="1:17" x14ac:dyDescent="0.45">
      <c r="A232">
        <v>2767</v>
      </c>
      <c r="B232" t="s">
        <v>300</v>
      </c>
      <c r="C232">
        <v>6920</v>
      </c>
      <c r="D232">
        <v>1</v>
      </c>
      <c r="E232">
        <v>2945.1</v>
      </c>
      <c r="F232">
        <v>6715.4</v>
      </c>
      <c r="G232">
        <v>3638.4</v>
      </c>
      <c r="H232">
        <v>1</v>
      </c>
      <c r="I232">
        <v>14.25</v>
      </c>
      <c r="J232">
        <v>2080</v>
      </c>
      <c r="K232">
        <v>671</v>
      </c>
      <c r="L232">
        <v>169</v>
      </c>
      <c r="M232">
        <v>399</v>
      </c>
      <c r="N232">
        <v>0</v>
      </c>
      <c r="O232">
        <v>221</v>
      </c>
      <c r="P232">
        <v>0</v>
      </c>
      <c r="Q232">
        <v>-100</v>
      </c>
    </row>
    <row r="233" spans="1:17" x14ac:dyDescent="0.45">
      <c r="A233">
        <v>6404</v>
      </c>
      <c r="B233" t="s">
        <v>302</v>
      </c>
      <c r="C233">
        <v>6267</v>
      </c>
      <c r="D233">
        <v>2</v>
      </c>
      <c r="E233">
        <v>4755</v>
      </c>
      <c r="F233">
        <v>4251.7</v>
      </c>
      <c r="G233">
        <v>4860.8999999999996</v>
      </c>
      <c r="H233">
        <v>1</v>
      </c>
      <c r="I233">
        <v>20.88</v>
      </c>
      <c r="J233">
        <v>2373</v>
      </c>
      <c r="K233">
        <v>683</v>
      </c>
      <c r="L233">
        <v>139</v>
      </c>
      <c r="M233">
        <v>429</v>
      </c>
      <c r="N233">
        <v>0</v>
      </c>
      <c r="O233">
        <v>768</v>
      </c>
      <c r="P233">
        <v>0</v>
      </c>
      <c r="Q233">
        <v>-2127</v>
      </c>
    </row>
    <row r="234" spans="1:17" x14ac:dyDescent="0.45">
      <c r="A234">
        <v>5426</v>
      </c>
      <c r="B234" t="s">
        <v>303</v>
      </c>
      <c r="C234">
        <v>507</v>
      </c>
      <c r="D234">
        <v>3</v>
      </c>
      <c r="E234">
        <v>1127.0999999999999</v>
      </c>
      <c r="F234">
        <v>27.4</v>
      </c>
      <c r="G234">
        <v>476.5</v>
      </c>
      <c r="H234">
        <v>3</v>
      </c>
      <c r="I234">
        <v>35.86</v>
      </c>
      <c r="J234">
        <v>263</v>
      </c>
      <c r="K234">
        <v>64</v>
      </c>
      <c r="L234">
        <v>24</v>
      </c>
      <c r="M234">
        <v>44</v>
      </c>
      <c r="N234">
        <v>0</v>
      </c>
      <c r="O234">
        <v>108</v>
      </c>
      <c r="P234">
        <v>0</v>
      </c>
      <c r="Q234">
        <v>-80</v>
      </c>
    </row>
    <row r="235" spans="1:17" x14ac:dyDescent="0.45">
      <c r="A235">
        <v>5661</v>
      </c>
      <c r="B235" t="s">
        <v>304</v>
      </c>
      <c r="C235">
        <v>382</v>
      </c>
      <c r="D235">
        <v>3</v>
      </c>
      <c r="E235">
        <v>248.5</v>
      </c>
      <c r="F235">
        <v>339.9</v>
      </c>
      <c r="G235">
        <v>227</v>
      </c>
      <c r="H235">
        <v>3</v>
      </c>
      <c r="I235">
        <v>35.86</v>
      </c>
      <c r="J235">
        <v>147</v>
      </c>
      <c r="K235">
        <v>47</v>
      </c>
      <c r="L235">
        <v>13</v>
      </c>
      <c r="M235">
        <v>31</v>
      </c>
      <c r="N235">
        <v>0</v>
      </c>
      <c r="O235">
        <v>1181</v>
      </c>
      <c r="P235">
        <v>39.119999999999997</v>
      </c>
      <c r="Q235">
        <v>-221</v>
      </c>
    </row>
    <row r="236" spans="1:17" x14ac:dyDescent="0.45">
      <c r="A236">
        <v>6032</v>
      </c>
      <c r="B236" t="s">
        <v>306</v>
      </c>
      <c r="C236">
        <v>218</v>
      </c>
      <c r="D236">
        <v>3</v>
      </c>
      <c r="E236">
        <v>479.7</v>
      </c>
      <c r="F236">
        <v>2.5</v>
      </c>
      <c r="G236">
        <v>483.9</v>
      </c>
      <c r="H236">
        <v>3</v>
      </c>
      <c r="I236">
        <v>30.8</v>
      </c>
      <c r="J236">
        <v>104</v>
      </c>
      <c r="K236">
        <v>48</v>
      </c>
      <c r="L236">
        <v>8</v>
      </c>
      <c r="M236">
        <v>6</v>
      </c>
      <c r="N236">
        <v>0</v>
      </c>
      <c r="O236">
        <v>198</v>
      </c>
      <c r="P236">
        <v>0</v>
      </c>
      <c r="Q236">
        <v>-1365</v>
      </c>
    </row>
    <row r="237" spans="1:17" x14ac:dyDescent="0.45">
      <c r="A237">
        <v>5613</v>
      </c>
      <c r="B237" t="s">
        <v>305</v>
      </c>
      <c r="C237">
        <v>5386</v>
      </c>
      <c r="D237">
        <v>3</v>
      </c>
      <c r="E237">
        <v>7167.1</v>
      </c>
      <c r="F237">
        <v>3423</v>
      </c>
      <c r="G237">
        <v>4235.2</v>
      </c>
      <c r="H237">
        <v>2</v>
      </c>
      <c r="I237">
        <v>26.72</v>
      </c>
      <c r="J237">
        <v>2000</v>
      </c>
      <c r="K237">
        <v>548</v>
      </c>
      <c r="L237">
        <v>226</v>
      </c>
      <c r="M237">
        <v>431</v>
      </c>
      <c r="N237">
        <v>0</v>
      </c>
      <c r="O237">
        <v>1797</v>
      </c>
      <c r="P237">
        <v>886</v>
      </c>
      <c r="Q237">
        <v>-221</v>
      </c>
    </row>
    <row r="238" spans="1:17" x14ac:dyDescent="0.45">
      <c r="A238">
        <v>5472</v>
      </c>
      <c r="B238" t="s">
        <v>307</v>
      </c>
      <c r="C238">
        <v>511</v>
      </c>
      <c r="D238">
        <v>3</v>
      </c>
      <c r="E238">
        <v>130.6</v>
      </c>
      <c r="F238">
        <v>492.5</v>
      </c>
      <c r="G238">
        <v>989.7</v>
      </c>
      <c r="H238">
        <v>3</v>
      </c>
      <c r="I238">
        <v>35.86</v>
      </c>
      <c r="J238">
        <v>216</v>
      </c>
      <c r="K238">
        <v>58</v>
      </c>
      <c r="L238">
        <v>17</v>
      </c>
      <c r="M238">
        <v>26</v>
      </c>
      <c r="N238">
        <v>0</v>
      </c>
      <c r="O238">
        <v>834</v>
      </c>
      <c r="P238">
        <v>0</v>
      </c>
      <c r="Q238">
        <v>-140</v>
      </c>
    </row>
    <row r="239" spans="1:17" x14ac:dyDescent="0.45">
      <c r="A239">
        <v>6703</v>
      </c>
      <c r="B239" t="s">
        <v>308</v>
      </c>
      <c r="C239">
        <v>258</v>
      </c>
      <c r="D239">
        <v>3</v>
      </c>
      <c r="E239">
        <v>509</v>
      </c>
      <c r="F239">
        <v>0</v>
      </c>
      <c r="G239">
        <v>972.1</v>
      </c>
      <c r="H239">
        <v>3</v>
      </c>
      <c r="I239">
        <v>27.66</v>
      </c>
      <c r="J239">
        <v>86</v>
      </c>
      <c r="K239">
        <v>50</v>
      </c>
      <c r="L239">
        <v>8</v>
      </c>
      <c r="M239">
        <v>15</v>
      </c>
      <c r="N239">
        <v>0</v>
      </c>
      <c r="O239">
        <v>4347</v>
      </c>
      <c r="P239">
        <v>12.54</v>
      </c>
      <c r="Q239">
        <v>-823</v>
      </c>
    </row>
    <row r="240" spans="1:17" x14ac:dyDescent="0.45">
      <c r="A240">
        <v>5473</v>
      </c>
      <c r="B240" t="s">
        <v>309</v>
      </c>
      <c r="C240">
        <v>1006</v>
      </c>
      <c r="D240">
        <v>3</v>
      </c>
      <c r="E240">
        <v>441.6</v>
      </c>
      <c r="F240">
        <v>995.1</v>
      </c>
      <c r="G240">
        <v>1276.4000000000001</v>
      </c>
      <c r="H240">
        <v>3</v>
      </c>
      <c r="I240">
        <v>35.86</v>
      </c>
      <c r="J240">
        <v>373</v>
      </c>
      <c r="K240">
        <v>121</v>
      </c>
      <c r="L240">
        <v>26</v>
      </c>
      <c r="M240">
        <v>98</v>
      </c>
      <c r="N240">
        <v>0</v>
      </c>
      <c r="O240">
        <v>897</v>
      </c>
      <c r="P240">
        <v>33.229999999999997</v>
      </c>
      <c r="Q240">
        <v>-80</v>
      </c>
    </row>
    <row r="241" spans="1:17" x14ac:dyDescent="0.45">
      <c r="A241">
        <v>6131</v>
      </c>
      <c r="B241" t="s">
        <v>310</v>
      </c>
      <c r="C241">
        <v>911</v>
      </c>
      <c r="D241">
        <v>3</v>
      </c>
      <c r="E241">
        <v>521.9</v>
      </c>
      <c r="F241">
        <v>9.6999999999999993</v>
      </c>
      <c r="G241">
        <v>382.5</v>
      </c>
      <c r="H241">
        <v>3</v>
      </c>
      <c r="I241">
        <v>30.8</v>
      </c>
      <c r="J241">
        <v>412</v>
      </c>
      <c r="K241">
        <v>147</v>
      </c>
      <c r="L241">
        <v>10</v>
      </c>
      <c r="M241">
        <v>35</v>
      </c>
      <c r="N241">
        <v>0</v>
      </c>
      <c r="O241">
        <v>5</v>
      </c>
      <c r="P241">
        <v>0</v>
      </c>
      <c r="Q241">
        <v>-1947</v>
      </c>
    </row>
    <row r="242" spans="1:17" x14ac:dyDescent="0.45">
      <c r="A242">
        <v>605</v>
      </c>
      <c r="B242" t="s">
        <v>311</v>
      </c>
      <c r="C242">
        <v>1338</v>
      </c>
      <c r="D242">
        <v>2</v>
      </c>
      <c r="E242">
        <v>1129.7</v>
      </c>
      <c r="F242">
        <v>131.1</v>
      </c>
      <c r="G242">
        <v>478.5</v>
      </c>
      <c r="H242">
        <v>3</v>
      </c>
      <c r="I242">
        <v>26.41</v>
      </c>
      <c r="J242">
        <v>547</v>
      </c>
      <c r="K242">
        <v>209</v>
      </c>
      <c r="L242">
        <v>15</v>
      </c>
      <c r="M242">
        <v>35</v>
      </c>
      <c r="N242">
        <v>0</v>
      </c>
      <c r="O242">
        <v>5611</v>
      </c>
      <c r="P242">
        <v>0</v>
      </c>
      <c r="Q242">
        <v>-1104</v>
      </c>
    </row>
    <row r="243" spans="1:17" x14ac:dyDescent="0.45">
      <c r="A243">
        <v>6702</v>
      </c>
      <c r="B243" t="s">
        <v>276</v>
      </c>
      <c r="C243">
        <v>951</v>
      </c>
      <c r="D243">
        <v>3</v>
      </c>
      <c r="E243">
        <v>1354.9</v>
      </c>
      <c r="F243">
        <v>0</v>
      </c>
      <c r="G243">
        <v>1465</v>
      </c>
      <c r="H243">
        <v>3</v>
      </c>
      <c r="I243">
        <v>27.66</v>
      </c>
      <c r="J243">
        <v>458</v>
      </c>
      <c r="K243">
        <v>116</v>
      </c>
      <c r="L243">
        <v>27</v>
      </c>
      <c r="M243">
        <v>47</v>
      </c>
      <c r="N243">
        <v>0</v>
      </c>
      <c r="O243">
        <v>2639</v>
      </c>
      <c r="P243">
        <v>0</v>
      </c>
      <c r="Q243">
        <v>-963</v>
      </c>
    </row>
    <row r="244" spans="1:17" x14ac:dyDescent="0.45">
      <c r="A244">
        <v>4723</v>
      </c>
      <c r="B244" t="s">
        <v>314</v>
      </c>
      <c r="C244">
        <v>855</v>
      </c>
      <c r="D244">
        <v>3</v>
      </c>
      <c r="E244">
        <v>840.7</v>
      </c>
      <c r="F244">
        <v>0</v>
      </c>
      <c r="G244">
        <v>2216.1999999999998</v>
      </c>
      <c r="H244">
        <v>3</v>
      </c>
      <c r="I244">
        <v>26.04</v>
      </c>
      <c r="J244">
        <v>392</v>
      </c>
      <c r="K244">
        <v>146</v>
      </c>
      <c r="L244">
        <v>33</v>
      </c>
      <c r="M244">
        <v>44</v>
      </c>
      <c r="N244">
        <v>0</v>
      </c>
      <c r="O244">
        <v>4092</v>
      </c>
      <c r="P244">
        <v>0</v>
      </c>
      <c r="Q244">
        <v>-421</v>
      </c>
    </row>
    <row r="245" spans="1:17" x14ac:dyDescent="0.45">
      <c r="A245">
        <v>3792</v>
      </c>
      <c r="B245" t="s">
        <v>315</v>
      </c>
      <c r="C245">
        <v>1576</v>
      </c>
      <c r="D245">
        <v>3</v>
      </c>
      <c r="E245">
        <v>2024.2</v>
      </c>
      <c r="F245">
        <v>22.7</v>
      </c>
      <c r="G245">
        <v>807.2</v>
      </c>
      <c r="H245">
        <v>3</v>
      </c>
      <c r="I245">
        <v>29.04</v>
      </c>
      <c r="J245">
        <v>579</v>
      </c>
      <c r="K245">
        <v>391</v>
      </c>
      <c r="L245">
        <v>24</v>
      </c>
      <c r="M245">
        <v>63</v>
      </c>
      <c r="N245">
        <v>0</v>
      </c>
      <c r="O245">
        <v>2340</v>
      </c>
      <c r="P245">
        <v>268.72000000000003</v>
      </c>
      <c r="Q245">
        <v>-10075</v>
      </c>
    </row>
    <row r="246" spans="1:17" x14ac:dyDescent="0.45">
      <c r="A246">
        <v>5269</v>
      </c>
      <c r="B246" t="s">
        <v>316</v>
      </c>
      <c r="C246">
        <v>1914</v>
      </c>
      <c r="D246">
        <v>3</v>
      </c>
      <c r="E246">
        <v>2470.4</v>
      </c>
      <c r="F246">
        <v>30.4</v>
      </c>
      <c r="G246">
        <v>1392</v>
      </c>
      <c r="H246">
        <v>2</v>
      </c>
      <c r="I246">
        <v>22.12</v>
      </c>
      <c r="J246">
        <v>836</v>
      </c>
      <c r="K246">
        <v>248</v>
      </c>
      <c r="L246">
        <v>53</v>
      </c>
      <c r="M246">
        <v>163</v>
      </c>
      <c r="N246">
        <v>0</v>
      </c>
      <c r="O246">
        <v>969</v>
      </c>
      <c r="P246">
        <v>0</v>
      </c>
      <c r="Q246">
        <v>-4054</v>
      </c>
    </row>
    <row r="247" spans="1:17" x14ac:dyDescent="0.45">
      <c r="A247">
        <v>3981</v>
      </c>
      <c r="B247" t="s">
        <v>317</v>
      </c>
      <c r="C247">
        <v>1719</v>
      </c>
      <c r="D247">
        <v>3</v>
      </c>
      <c r="E247">
        <v>2524.5</v>
      </c>
      <c r="F247">
        <v>0</v>
      </c>
      <c r="G247">
        <v>2684.2</v>
      </c>
      <c r="H247">
        <v>3</v>
      </c>
      <c r="I247">
        <v>29.04</v>
      </c>
      <c r="J247">
        <v>464</v>
      </c>
      <c r="K247">
        <v>426</v>
      </c>
      <c r="L247">
        <v>22</v>
      </c>
      <c r="M247">
        <v>53</v>
      </c>
      <c r="N247">
        <v>0</v>
      </c>
      <c r="O247">
        <v>7132</v>
      </c>
      <c r="P247">
        <v>321.18</v>
      </c>
      <c r="Q247">
        <v>-4716</v>
      </c>
    </row>
    <row r="248" spans="1:17" x14ac:dyDescent="0.45">
      <c r="A248">
        <v>2613</v>
      </c>
      <c r="B248" t="s">
        <v>318</v>
      </c>
      <c r="C248">
        <v>4153</v>
      </c>
      <c r="D248">
        <v>2</v>
      </c>
      <c r="E248">
        <v>4821.2</v>
      </c>
      <c r="F248">
        <v>1003.3</v>
      </c>
      <c r="G248">
        <v>6320.4</v>
      </c>
      <c r="H248">
        <v>2</v>
      </c>
      <c r="I248">
        <v>26.37</v>
      </c>
      <c r="J248">
        <v>1580</v>
      </c>
      <c r="K248">
        <v>610</v>
      </c>
      <c r="L248">
        <v>87</v>
      </c>
      <c r="M248">
        <v>166</v>
      </c>
      <c r="N248">
        <v>0</v>
      </c>
      <c r="O248">
        <v>1639</v>
      </c>
      <c r="P248">
        <v>0</v>
      </c>
      <c r="Q248">
        <v>-462</v>
      </c>
    </row>
    <row r="249" spans="1:17" x14ac:dyDescent="0.45">
      <c r="A249">
        <v>5622</v>
      </c>
      <c r="B249" t="s">
        <v>319</v>
      </c>
      <c r="C249">
        <v>606</v>
      </c>
      <c r="D249">
        <v>3</v>
      </c>
      <c r="E249">
        <v>334.2</v>
      </c>
      <c r="F249">
        <v>677.6</v>
      </c>
      <c r="G249">
        <v>588.4</v>
      </c>
      <c r="H249">
        <v>3</v>
      </c>
      <c r="I249">
        <v>35.86</v>
      </c>
      <c r="J249">
        <v>284</v>
      </c>
      <c r="K249">
        <v>66</v>
      </c>
      <c r="L249">
        <v>47</v>
      </c>
      <c r="M249">
        <v>77</v>
      </c>
      <c r="N249">
        <v>0</v>
      </c>
      <c r="O249">
        <v>1284</v>
      </c>
      <c r="P249">
        <v>267.26</v>
      </c>
      <c r="Q249">
        <v>-120</v>
      </c>
    </row>
    <row r="250" spans="1:17" x14ac:dyDescent="0.45">
      <c r="A250">
        <v>4063</v>
      </c>
      <c r="B250" t="s">
        <v>320</v>
      </c>
      <c r="C250">
        <v>8705</v>
      </c>
      <c r="D250">
        <v>3</v>
      </c>
      <c r="E250">
        <v>7581.3</v>
      </c>
      <c r="F250">
        <v>0</v>
      </c>
      <c r="G250">
        <v>6537.7</v>
      </c>
      <c r="H250">
        <v>1</v>
      </c>
      <c r="I250">
        <v>20.87</v>
      </c>
      <c r="J250">
        <v>3093</v>
      </c>
      <c r="K250">
        <v>1273</v>
      </c>
      <c r="L250">
        <v>246</v>
      </c>
      <c r="M250">
        <v>450</v>
      </c>
      <c r="N250">
        <v>0</v>
      </c>
      <c r="O250">
        <v>1117</v>
      </c>
      <c r="P250">
        <v>1384.38</v>
      </c>
      <c r="Q250">
        <v>-1064</v>
      </c>
    </row>
    <row r="251" spans="1:17" x14ac:dyDescent="0.45">
      <c r="A251">
        <v>353</v>
      </c>
      <c r="B251" t="s">
        <v>321</v>
      </c>
      <c r="C251">
        <v>4303</v>
      </c>
      <c r="D251">
        <v>3</v>
      </c>
      <c r="E251">
        <v>3632.4</v>
      </c>
      <c r="F251">
        <v>888.1</v>
      </c>
      <c r="G251">
        <v>2295.3000000000002</v>
      </c>
      <c r="H251">
        <v>1</v>
      </c>
      <c r="I251">
        <v>16.760000000000002</v>
      </c>
      <c r="J251">
        <v>1104</v>
      </c>
      <c r="K251">
        <v>455</v>
      </c>
      <c r="L251">
        <v>81</v>
      </c>
      <c r="M251">
        <v>163</v>
      </c>
      <c r="N251">
        <v>0</v>
      </c>
      <c r="O251">
        <v>328</v>
      </c>
      <c r="P251">
        <v>0</v>
      </c>
      <c r="Q251">
        <v>-60</v>
      </c>
    </row>
    <row r="252" spans="1:17" x14ac:dyDescent="0.45">
      <c r="A252">
        <v>606</v>
      </c>
      <c r="B252" t="s">
        <v>322</v>
      </c>
      <c r="C252">
        <v>488</v>
      </c>
      <c r="D252">
        <v>2</v>
      </c>
      <c r="E252">
        <v>482.8</v>
      </c>
      <c r="F252">
        <v>0</v>
      </c>
      <c r="G252">
        <v>225.4</v>
      </c>
      <c r="H252">
        <v>3</v>
      </c>
      <c r="I252">
        <v>26.41</v>
      </c>
      <c r="J252">
        <v>221</v>
      </c>
      <c r="K252">
        <v>77</v>
      </c>
      <c r="L252">
        <v>11</v>
      </c>
      <c r="M252">
        <v>9</v>
      </c>
      <c r="N252">
        <v>0</v>
      </c>
      <c r="O252">
        <v>791</v>
      </c>
      <c r="P252">
        <v>0</v>
      </c>
      <c r="Q252">
        <v>-161</v>
      </c>
    </row>
    <row r="253" spans="1:17" x14ac:dyDescent="0.45">
      <c r="A253">
        <v>5515</v>
      </c>
      <c r="B253" t="s">
        <v>323</v>
      </c>
      <c r="C253">
        <v>877</v>
      </c>
      <c r="D253">
        <v>3</v>
      </c>
      <c r="E253">
        <v>600.1</v>
      </c>
      <c r="F253">
        <v>662</v>
      </c>
      <c r="G253">
        <v>262.60000000000002</v>
      </c>
      <c r="H253">
        <v>2</v>
      </c>
      <c r="I253">
        <v>26.72</v>
      </c>
      <c r="J253">
        <v>391</v>
      </c>
      <c r="K253">
        <v>100</v>
      </c>
      <c r="L253">
        <v>24</v>
      </c>
      <c r="M253">
        <v>75</v>
      </c>
      <c r="N253">
        <v>0</v>
      </c>
      <c r="O253">
        <v>171</v>
      </c>
      <c r="P253">
        <v>287.95</v>
      </c>
      <c r="Q253">
        <v>-140</v>
      </c>
    </row>
    <row r="254" spans="1:17" x14ac:dyDescent="0.45">
      <c r="A254">
        <v>5748</v>
      </c>
      <c r="B254" t="s">
        <v>324</v>
      </c>
      <c r="C254">
        <v>264</v>
      </c>
      <c r="D254">
        <v>3</v>
      </c>
      <c r="E254">
        <v>441.7</v>
      </c>
      <c r="F254">
        <v>0</v>
      </c>
      <c r="G254">
        <v>157.69999999999999</v>
      </c>
      <c r="H254">
        <v>3</v>
      </c>
      <c r="I254">
        <v>35.86</v>
      </c>
      <c r="J254">
        <v>106</v>
      </c>
      <c r="K254">
        <v>35</v>
      </c>
      <c r="L254">
        <v>3</v>
      </c>
      <c r="M254">
        <v>13</v>
      </c>
      <c r="N254">
        <v>0</v>
      </c>
      <c r="O254">
        <v>1687</v>
      </c>
      <c r="P254">
        <v>0</v>
      </c>
      <c r="Q254">
        <v>-502</v>
      </c>
    </row>
    <row r="255" spans="1:17" x14ac:dyDescent="0.45">
      <c r="A255">
        <v>2883</v>
      </c>
      <c r="B255" t="s">
        <v>325</v>
      </c>
      <c r="C255">
        <v>749</v>
      </c>
      <c r="D255">
        <v>1</v>
      </c>
      <c r="E255">
        <v>1370.2</v>
      </c>
      <c r="F255">
        <v>0</v>
      </c>
      <c r="G255">
        <v>822.8</v>
      </c>
      <c r="H255">
        <v>3</v>
      </c>
      <c r="I255">
        <v>22.09</v>
      </c>
      <c r="J255">
        <v>300</v>
      </c>
      <c r="K255">
        <v>130</v>
      </c>
      <c r="L255">
        <v>11</v>
      </c>
      <c r="M255">
        <v>24</v>
      </c>
      <c r="N255">
        <v>0</v>
      </c>
      <c r="O255">
        <v>2448</v>
      </c>
      <c r="P255">
        <v>26.58</v>
      </c>
      <c r="Q255">
        <v>-522</v>
      </c>
    </row>
    <row r="256" spans="1:17" x14ac:dyDescent="0.45">
      <c r="A256">
        <v>573</v>
      </c>
      <c r="B256" t="s">
        <v>326</v>
      </c>
      <c r="C256">
        <v>3225</v>
      </c>
      <c r="D256">
        <v>3</v>
      </c>
      <c r="E256">
        <v>5530.7</v>
      </c>
      <c r="F256">
        <v>34.1</v>
      </c>
      <c r="G256">
        <v>2959.5</v>
      </c>
      <c r="H256">
        <v>2</v>
      </c>
      <c r="I256">
        <v>24.84</v>
      </c>
      <c r="J256">
        <v>960</v>
      </c>
      <c r="K256">
        <v>565</v>
      </c>
      <c r="L256">
        <v>73</v>
      </c>
      <c r="M256">
        <v>133</v>
      </c>
      <c r="N256">
        <v>0</v>
      </c>
      <c r="O256">
        <v>4799</v>
      </c>
      <c r="P256">
        <v>336.68</v>
      </c>
      <c r="Q256">
        <v>-3011</v>
      </c>
    </row>
    <row r="257" spans="1:17" x14ac:dyDescent="0.45">
      <c r="A257">
        <v>574</v>
      </c>
      <c r="B257" t="s">
        <v>327</v>
      </c>
      <c r="C257">
        <v>486</v>
      </c>
      <c r="D257">
        <v>3</v>
      </c>
      <c r="E257">
        <v>963.1</v>
      </c>
      <c r="F257">
        <v>0</v>
      </c>
      <c r="G257">
        <v>354.1</v>
      </c>
      <c r="H257">
        <v>3</v>
      </c>
      <c r="I257">
        <v>26.41</v>
      </c>
      <c r="J257">
        <v>191</v>
      </c>
      <c r="K257">
        <v>128</v>
      </c>
      <c r="L257">
        <v>15</v>
      </c>
      <c r="M257">
        <v>23</v>
      </c>
      <c r="N257">
        <v>0</v>
      </c>
      <c r="O257">
        <v>38</v>
      </c>
      <c r="P257">
        <v>55.38</v>
      </c>
      <c r="Q257">
        <v>-1084</v>
      </c>
    </row>
    <row r="258" spans="1:17" x14ac:dyDescent="0.45">
      <c r="A258">
        <v>6002</v>
      </c>
      <c r="B258" t="s">
        <v>328</v>
      </c>
      <c r="C258">
        <v>13642</v>
      </c>
      <c r="D258">
        <v>3</v>
      </c>
      <c r="E258">
        <v>25834</v>
      </c>
      <c r="F258">
        <v>896.2</v>
      </c>
      <c r="G258">
        <v>9339.2999999999993</v>
      </c>
      <c r="H258">
        <v>1</v>
      </c>
      <c r="I258">
        <v>24.74</v>
      </c>
      <c r="J258">
        <v>4197</v>
      </c>
      <c r="K258">
        <v>2234</v>
      </c>
      <c r="L258">
        <v>260</v>
      </c>
      <c r="M258">
        <v>519</v>
      </c>
      <c r="N258">
        <v>0</v>
      </c>
      <c r="O258">
        <v>1073</v>
      </c>
      <c r="P258">
        <v>24673.5</v>
      </c>
      <c r="Q258">
        <v>-3773</v>
      </c>
    </row>
    <row r="259" spans="1:17" x14ac:dyDescent="0.45">
      <c r="A259">
        <v>5096</v>
      </c>
      <c r="B259" t="s">
        <v>329</v>
      </c>
      <c r="C259">
        <v>452</v>
      </c>
      <c r="D259">
        <v>3</v>
      </c>
      <c r="E259">
        <v>1004.4</v>
      </c>
      <c r="F259">
        <v>3</v>
      </c>
      <c r="G259">
        <v>799.9</v>
      </c>
      <c r="H259">
        <v>1</v>
      </c>
      <c r="I259">
        <v>18.600000000000001</v>
      </c>
      <c r="J259">
        <v>339</v>
      </c>
      <c r="K259">
        <v>90</v>
      </c>
      <c r="L259">
        <v>22</v>
      </c>
      <c r="M259">
        <v>59</v>
      </c>
      <c r="N259">
        <v>0</v>
      </c>
      <c r="O259">
        <v>4</v>
      </c>
      <c r="P259">
        <v>0</v>
      </c>
      <c r="Q259">
        <v>-542</v>
      </c>
    </row>
    <row r="260" spans="1:17" x14ac:dyDescent="0.45">
      <c r="A260">
        <v>2782</v>
      </c>
      <c r="B260" t="s">
        <v>330</v>
      </c>
      <c r="C260">
        <v>1701</v>
      </c>
      <c r="D260">
        <v>1</v>
      </c>
      <c r="E260">
        <v>2283.6</v>
      </c>
      <c r="F260">
        <v>41.2</v>
      </c>
      <c r="G260">
        <v>1365.1</v>
      </c>
      <c r="H260">
        <v>2</v>
      </c>
      <c r="I260">
        <v>20.72</v>
      </c>
      <c r="J260">
        <v>759</v>
      </c>
      <c r="K260">
        <v>248</v>
      </c>
      <c r="L260">
        <v>37</v>
      </c>
      <c r="M260">
        <v>65</v>
      </c>
      <c r="N260">
        <v>0</v>
      </c>
      <c r="O260">
        <v>2502</v>
      </c>
      <c r="P260">
        <v>0</v>
      </c>
      <c r="Q260">
        <v>-702</v>
      </c>
    </row>
    <row r="261" spans="1:17" x14ac:dyDescent="0.45">
      <c r="A261">
        <v>5097</v>
      </c>
      <c r="B261" t="s">
        <v>331</v>
      </c>
      <c r="C261">
        <v>1613</v>
      </c>
      <c r="D261">
        <v>3</v>
      </c>
      <c r="E261">
        <v>5550.8</v>
      </c>
      <c r="F261">
        <v>66.2</v>
      </c>
      <c r="G261">
        <v>1822</v>
      </c>
      <c r="H261">
        <v>2</v>
      </c>
      <c r="I261">
        <v>22.12</v>
      </c>
      <c r="J261">
        <v>718</v>
      </c>
      <c r="K261">
        <v>260</v>
      </c>
      <c r="L261">
        <v>30</v>
      </c>
      <c r="M261">
        <v>128</v>
      </c>
      <c r="N261">
        <v>0</v>
      </c>
      <c r="O261">
        <v>42</v>
      </c>
      <c r="P261">
        <v>725.06</v>
      </c>
      <c r="Q261">
        <v>-2449</v>
      </c>
    </row>
    <row r="262" spans="1:17" x14ac:dyDescent="0.45">
      <c r="A262">
        <v>4274</v>
      </c>
      <c r="B262" t="s">
        <v>332</v>
      </c>
      <c r="C262">
        <v>4130</v>
      </c>
      <c r="D262">
        <v>3</v>
      </c>
      <c r="E262">
        <v>4044.4</v>
      </c>
      <c r="F262">
        <v>1416.4</v>
      </c>
      <c r="G262">
        <v>3654.1</v>
      </c>
      <c r="H262">
        <v>1</v>
      </c>
      <c r="I262">
        <v>20.87</v>
      </c>
      <c r="J262">
        <v>1710</v>
      </c>
      <c r="K262">
        <v>612</v>
      </c>
      <c r="L262">
        <v>113</v>
      </c>
      <c r="M262">
        <v>232</v>
      </c>
      <c r="N262">
        <v>0</v>
      </c>
      <c r="O262">
        <v>3363</v>
      </c>
      <c r="P262">
        <v>0</v>
      </c>
      <c r="Q262">
        <v>-943</v>
      </c>
    </row>
    <row r="263" spans="1:17" x14ac:dyDescent="0.45">
      <c r="A263">
        <v>2124</v>
      </c>
      <c r="B263" t="s">
        <v>333</v>
      </c>
      <c r="C263">
        <v>2649</v>
      </c>
      <c r="D263">
        <v>3</v>
      </c>
      <c r="E263">
        <v>1776.5</v>
      </c>
      <c r="F263">
        <v>206.8</v>
      </c>
      <c r="G263">
        <v>769.1</v>
      </c>
      <c r="H263">
        <v>2</v>
      </c>
      <c r="I263">
        <v>28.63</v>
      </c>
      <c r="J263">
        <v>1007</v>
      </c>
      <c r="K263">
        <v>338</v>
      </c>
      <c r="L263">
        <v>51</v>
      </c>
      <c r="M263">
        <v>201</v>
      </c>
      <c r="N263">
        <v>0</v>
      </c>
      <c r="O263">
        <v>1099</v>
      </c>
      <c r="P263">
        <v>1218.25</v>
      </c>
      <c r="Q263">
        <v>-863</v>
      </c>
    </row>
    <row r="264" spans="1:17" x14ac:dyDescent="0.45">
      <c r="A264">
        <v>6433</v>
      </c>
      <c r="B264" t="s">
        <v>334</v>
      </c>
      <c r="C264">
        <v>282</v>
      </c>
      <c r="D264">
        <v>3</v>
      </c>
      <c r="E264">
        <v>502.7</v>
      </c>
      <c r="F264">
        <v>0</v>
      </c>
      <c r="G264">
        <v>791.2</v>
      </c>
      <c r="H264">
        <v>3</v>
      </c>
      <c r="I264">
        <v>36.21</v>
      </c>
      <c r="J264">
        <v>133</v>
      </c>
      <c r="K264">
        <v>54</v>
      </c>
      <c r="L264">
        <v>9</v>
      </c>
      <c r="M264">
        <v>10</v>
      </c>
      <c r="N264">
        <v>0</v>
      </c>
      <c r="O264">
        <v>6608</v>
      </c>
      <c r="P264">
        <v>0</v>
      </c>
      <c r="Q264">
        <v>-843</v>
      </c>
    </row>
    <row r="265" spans="1:17" x14ac:dyDescent="0.45">
      <c r="A265">
        <v>4095</v>
      </c>
      <c r="B265" t="s">
        <v>335</v>
      </c>
      <c r="C265">
        <v>12943</v>
      </c>
      <c r="D265">
        <v>3</v>
      </c>
      <c r="E265">
        <v>8635.9</v>
      </c>
      <c r="F265">
        <v>11154.3</v>
      </c>
      <c r="G265">
        <v>6461.3</v>
      </c>
      <c r="H265">
        <v>1</v>
      </c>
      <c r="I265">
        <v>20.87</v>
      </c>
      <c r="J265">
        <v>3957</v>
      </c>
      <c r="K265">
        <v>1833</v>
      </c>
      <c r="L265">
        <v>264</v>
      </c>
      <c r="M265">
        <v>557</v>
      </c>
      <c r="N265">
        <v>0</v>
      </c>
      <c r="O265">
        <v>223</v>
      </c>
      <c r="P265">
        <v>183.85</v>
      </c>
      <c r="Q265">
        <v>-502</v>
      </c>
    </row>
    <row r="266" spans="1:17" x14ac:dyDescent="0.45">
      <c r="A266">
        <v>4193</v>
      </c>
      <c r="B266" t="s">
        <v>337</v>
      </c>
      <c r="C266">
        <v>877</v>
      </c>
      <c r="D266">
        <v>3</v>
      </c>
      <c r="E266">
        <v>371.9</v>
      </c>
      <c r="F266">
        <v>739.1</v>
      </c>
      <c r="G266">
        <v>1604.2</v>
      </c>
      <c r="H266">
        <v>2</v>
      </c>
      <c r="I266">
        <v>23.46</v>
      </c>
      <c r="J266">
        <v>349</v>
      </c>
      <c r="K266">
        <v>184</v>
      </c>
      <c r="L266">
        <v>86</v>
      </c>
      <c r="M266">
        <v>66</v>
      </c>
      <c r="N266">
        <v>0</v>
      </c>
      <c r="O266">
        <v>282</v>
      </c>
      <c r="P266">
        <v>0</v>
      </c>
      <c r="Q266">
        <v>-80</v>
      </c>
    </row>
    <row r="267" spans="1:17" x14ac:dyDescent="0.45">
      <c r="A267">
        <v>5160</v>
      </c>
      <c r="B267" t="s">
        <v>339</v>
      </c>
      <c r="C267">
        <v>458</v>
      </c>
      <c r="D267">
        <v>3</v>
      </c>
      <c r="E267">
        <v>960.5</v>
      </c>
      <c r="F267">
        <v>4</v>
      </c>
      <c r="G267">
        <v>345.5</v>
      </c>
      <c r="H267">
        <v>3</v>
      </c>
      <c r="I267">
        <v>25.45</v>
      </c>
      <c r="J267">
        <v>205</v>
      </c>
      <c r="K267">
        <v>67</v>
      </c>
      <c r="L267">
        <v>7</v>
      </c>
      <c r="M267">
        <v>39</v>
      </c>
      <c r="N267">
        <v>0</v>
      </c>
      <c r="O267">
        <v>1</v>
      </c>
      <c r="P267">
        <v>0</v>
      </c>
      <c r="Q267">
        <v>-743</v>
      </c>
    </row>
    <row r="268" spans="1:17" x14ac:dyDescent="0.45">
      <c r="A268">
        <v>3551</v>
      </c>
      <c r="B268" t="s">
        <v>340</v>
      </c>
      <c r="C268">
        <v>1124</v>
      </c>
      <c r="D268">
        <v>3</v>
      </c>
      <c r="E268">
        <v>1347</v>
      </c>
      <c r="F268">
        <v>3.3</v>
      </c>
      <c r="G268">
        <v>279.7</v>
      </c>
      <c r="H268">
        <v>3</v>
      </c>
      <c r="I268">
        <v>29.04</v>
      </c>
      <c r="J268">
        <v>422</v>
      </c>
      <c r="K268">
        <v>403</v>
      </c>
      <c r="L268">
        <v>24</v>
      </c>
      <c r="M268">
        <v>40</v>
      </c>
      <c r="N268">
        <v>0</v>
      </c>
      <c r="O268">
        <v>1390</v>
      </c>
      <c r="P268">
        <v>121.83</v>
      </c>
      <c r="Q268">
        <v>-4917</v>
      </c>
    </row>
    <row r="269" spans="1:17" x14ac:dyDescent="0.45">
      <c r="A269">
        <v>733</v>
      </c>
      <c r="B269" t="s">
        <v>336</v>
      </c>
      <c r="C269">
        <v>4456</v>
      </c>
      <c r="D269">
        <v>2</v>
      </c>
      <c r="E269">
        <v>6108.6</v>
      </c>
      <c r="F269">
        <v>472.3</v>
      </c>
      <c r="G269">
        <v>4526.7</v>
      </c>
      <c r="H269">
        <v>1</v>
      </c>
      <c r="I269">
        <v>16.760000000000002</v>
      </c>
      <c r="J269">
        <v>1469</v>
      </c>
      <c r="K269">
        <v>624</v>
      </c>
      <c r="L269">
        <v>91</v>
      </c>
      <c r="M269">
        <v>197</v>
      </c>
      <c r="N269">
        <v>0</v>
      </c>
      <c r="O269">
        <v>457</v>
      </c>
      <c r="P269">
        <v>34252.6</v>
      </c>
      <c r="Q269">
        <v>-321</v>
      </c>
    </row>
    <row r="270" spans="1:17" x14ac:dyDescent="0.45">
      <c r="A270">
        <v>2292</v>
      </c>
      <c r="B270" t="s">
        <v>338</v>
      </c>
      <c r="C270">
        <v>694</v>
      </c>
      <c r="D270">
        <v>3</v>
      </c>
      <c r="E270">
        <v>515.70000000000005</v>
      </c>
      <c r="F270">
        <v>0</v>
      </c>
      <c r="G270">
        <v>626.70000000000005</v>
      </c>
      <c r="H270">
        <v>3</v>
      </c>
      <c r="I270">
        <v>36.93</v>
      </c>
      <c r="J270">
        <v>315</v>
      </c>
      <c r="K270">
        <v>130</v>
      </c>
      <c r="L270">
        <v>14</v>
      </c>
      <c r="M270">
        <v>26</v>
      </c>
      <c r="N270">
        <v>0</v>
      </c>
      <c r="O270">
        <v>1407</v>
      </c>
      <c r="P270">
        <v>0</v>
      </c>
      <c r="Q270">
        <v>-140</v>
      </c>
    </row>
    <row r="271" spans="1:17" x14ac:dyDescent="0.45">
      <c r="A271">
        <v>491</v>
      </c>
      <c r="B271" t="s">
        <v>341</v>
      </c>
      <c r="C271">
        <v>621</v>
      </c>
      <c r="D271">
        <v>2</v>
      </c>
      <c r="E271">
        <v>963.9</v>
      </c>
      <c r="F271">
        <v>0</v>
      </c>
      <c r="G271">
        <v>410</v>
      </c>
      <c r="H271">
        <v>3</v>
      </c>
      <c r="I271">
        <v>26.41</v>
      </c>
      <c r="J271">
        <v>250</v>
      </c>
      <c r="K271">
        <v>138</v>
      </c>
      <c r="L271">
        <v>9</v>
      </c>
      <c r="M271">
        <v>19</v>
      </c>
      <c r="N271">
        <v>0</v>
      </c>
      <c r="O271">
        <v>1300</v>
      </c>
      <c r="P271">
        <v>0</v>
      </c>
      <c r="Q271">
        <v>-301</v>
      </c>
    </row>
    <row r="272" spans="1:17" x14ac:dyDescent="0.45">
      <c r="A272">
        <v>213</v>
      </c>
      <c r="B272" t="s">
        <v>342</v>
      </c>
      <c r="C272">
        <v>2161</v>
      </c>
      <c r="D272">
        <v>3</v>
      </c>
      <c r="E272">
        <v>2235.6</v>
      </c>
      <c r="F272">
        <v>15</v>
      </c>
      <c r="G272">
        <v>1591.5</v>
      </c>
      <c r="H272">
        <v>2</v>
      </c>
      <c r="I272">
        <v>24.61</v>
      </c>
      <c r="J272">
        <v>841</v>
      </c>
      <c r="K272">
        <v>291</v>
      </c>
      <c r="L272">
        <v>94</v>
      </c>
      <c r="M272">
        <v>155</v>
      </c>
      <c r="N272">
        <v>0</v>
      </c>
      <c r="O272">
        <v>2155</v>
      </c>
      <c r="P272">
        <v>0</v>
      </c>
      <c r="Q272">
        <v>-401</v>
      </c>
    </row>
    <row r="273" spans="1:17" x14ac:dyDescent="0.45">
      <c r="A273">
        <v>2823</v>
      </c>
      <c r="B273" t="s">
        <v>343</v>
      </c>
      <c r="C273">
        <v>4439</v>
      </c>
      <c r="D273">
        <v>1</v>
      </c>
      <c r="E273">
        <v>4665.8</v>
      </c>
      <c r="F273">
        <v>0</v>
      </c>
      <c r="G273">
        <v>5267.5</v>
      </c>
      <c r="H273">
        <v>2</v>
      </c>
      <c r="I273">
        <v>20.72</v>
      </c>
      <c r="J273">
        <v>1501</v>
      </c>
      <c r="K273">
        <v>605</v>
      </c>
      <c r="L273">
        <v>119</v>
      </c>
      <c r="M273">
        <v>212</v>
      </c>
      <c r="N273">
        <v>151</v>
      </c>
      <c r="O273">
        <v>1311</v>
      </c>
      <c r="P273">
        <v>537.49</v>
      </c>
      <c r="Q273">
        <v>-943</v>
      </c>
    </row>
    <row r="274" spans="1:17" x14ac:dyDescent="0.45">
      <c r="A274">
        <v>112</v>
      </c>
      <c r="B274" t="s">
        <v>344</v>
      </c>
      <c r="C274">
        <v>7496</v>
      </c>
      <c r="D274">
        <v>3</v>
      </c>
      <c r="E274">
        <v>6569.4</v>
      </c>
      <c r="F274">
        <v>2626.7</v>
      </c>
      <c r="G274">
        <v>6744.5</v>
      </c>
      <c r="H274">
        <v>2</v>
      </c>
      <c r="I274">
        <v>24.61</v>
      </c>
      <c r="J274">
        <v>2725</v>
      </c>
      <c r="K274">
        <v>1105</v>
      </c>
      <c r="L274">
        <v>247</v>
      </c>
      <c r="M274">
        <v>408</v>
      </c>
      <c r="N274">
        <v>0</v>
      </c>
      <c r="O274">
        <v>4700</v>
      </c>
      <c r="P274">
        <v>191.95</v>
      </c>
      <c r="Q274">
        <v>-301</v>
      </c>
    </row>
    <row r="275" spans="1:17" x14ac:dyDescent="0.45">
      <c r="A275">
        <v>2961</v>
      </c>
      <c r="B275" t="s">
        <v>345</v>
      </c>
      <c r="C275">
        <v>310</v>
      </c>
      <c r="D275">
        <v>3</v>
      </c>
      <c r="E275">
        <v>329.6</v>
      </c>
      <c r="F275">
        <v>3.2</v>
      </c>
      <c r="G275">
        <v>691.1</v>
      </c>
      <c r="H275">
        <v>3</v>
      </c>
      <c r="I275">
        <v>19.850000000000001</v>
      </c>
      <c r="J275">
        <v>158</v>
      </c>
      <c r="K275">
        <v>68</v>
      </c>
      <c r="L275">
        <v>11</v>
      </c>
      <c r="M275">
        <v>14</v>
      </c>
      <c r="N275">
        <v>0</v>
      </c>
      <c r="O275">
        <v>1207</v>
      </c>
      <c r="P275">
        <v>0</v>
      </c>
      <c r="Q275">
        <v>-140</v>
      </c>
    </row>
    <row r="276" spans="1:17" x14ac:dyDescent="0.45">
      <c r="A276">
        <v>24</v>
      </c>
      <c r="B276" t="s">
        <v>346</v>
      </c>
      <c r="C276">
        <v>1038</v>
      </c>
      <c r="D276">
        <v>3</v>
      </c>
      <c r="E276">
        <v>691.2</v>
      </c>
      <c r="F276">
        <v>8.1</v>
      </c>
      <c r="G276">
        <v>945.3</v>
      </c>
      <c r="H276">
        <v>3</v>
      </c>
      <c r="I276">
        <v>25.15</v>
      </c>
      <c r="J276">
        <v>380</v>
      </c>
      <c r="K276">
        <v>177</v>
      </c>
      <c r="L276">
        <v>52</v>
      </c>
      <c r="M276">
        <v>45</v>
      </c>
      <c r="N276">
        <v>0</v>
      </c>
      <c r="O276">
        <v>3689</v>
      </c>
      <c r="P276">
        <v>0</v>
      </c>
      <c r="Q276">
        <v>-783</v>
      </c>
    </row>
    <row r="277" spans="1:17" x14ac:dyDescent="0.45">
      <c r="A277">
        <v>2933</v>
      </c>
      <c r="B277" t="s">
        <v>347</v>
      </c>
      <c r="C277">
        <v>880</v>
      </c>
      <c r="D277">
        <v>3</v>
      </c>
      <c r="E277">
        <v>771</v>
      </c>
      <c r="F277">
        <v>0</v>
      </c>
      <c r="G277">
        <v>1268.5999999999999</v>
      </c>
      <c r="H277">
        <v>3</v>
      </c>
      <c r="I277">
        <v>19.850000000000001</v>
      </c>
      <c r="J277">
        <v>382</v>
      </c>
      <c r="K277">
        <v>143</v>
      </c>
      <c r="L277">
        <v>40</v>
      </c>
      <c r="M277">
        <v>50</v>
      </c>
      <c r="N277">
        <v>0</v>
      </c>
      <c r="O277">
        <v>1392</v>
      </c>
      <c r="P277">
        <v>0</v>
      </c>
      <c r="Q277">
        <v>-401</v>
      </c>
    </row>
    <row r="278" spans="1:17" x14ac:dyDescent="0.45">
      <c r="A278">
        <v>2465</v>
      </c>
      <c r="B278" t="s">
        <v>348</v>
      </c>
      <c r="C278">
        <v>2898</v>
      </c>
      <c r="D278">
        <v>3</v>
      </c>
      <c r="E278">
        <v>2953.5</v>
      </c>
      <c r="F278">
        <v>43</v>
      </c>
      <c r="G278">
        <v>4861</v>
      </c>
      <c r="H278">
        <v>3</v>
      </c>
      <c r="I278">
        <v>28.59</v>
      </c>
      <c r="J278">
        <v>1372</v>
      </c>
      <c r="K278">
        <v>532</v>
      </c>
      <c r="L278">
        <v>89</v>
      </c>
      <c r="M278">
        <v>152</v>
      </c>
      <c r="N278">
        <v>0</v>
      </c>
      <c r="O278">
        <v>6887</v>
      </c>
      <c r="P278">
        <v>16.260000000000002</v>
      </c>
      <c r="Q278">
        <v>-1726</v>
      </c>
    </row>
    <row r="279" spans="1:17" x14ac:dyDescent="0.45">
      <c r="A279">
        <v>923</v>
      </c>
      <c r="B279" t="s">
        <v>349</v>
      </c>
      <c r="C279">
        <v>1536</v>
      </c>
      <c r="D279">
        <v>3</v>
      </c>
      <c r="E279">
        <v>1382.1</v>
      </c>
      <c r="F279">
        <v>0</v>
      </c>
      <c r="G279">
        <v>1179.5</v>
      </c>
      <c r="H279">
        <v>3</v>
      </c>
      <c r="I279">
        <v>26.41</v>
      </c>
      <c r="J279">
        <v>599</v>
      </c>
      <c r="K279">
        <v>337</v>
      </c>
      <c r="L279">
        <v>14</v>
      </c>
      <c r="M279">
        <v>33</v>
      </c>
      <c r="N279">
        <v>0</v>
      </c>
      <c r="O279">
        <v>7296</v>
      </c>
      <c r="P279">
        <v>0</v>
      </c>
      <c r="Q279">
        <v>-1024</v>
      </c>
    </row>
    <row r="280" spans="1:17" x14ac:dyDescent="0.45">
      <c r="A280">
        <v>5623</v>
      </c>
      <c r="B280" t="s">
        <v>350</v>
      </c>
      <c r="C280">
        <v>674</v>
      </c>
      <c r="D280">
        <v>3</v>
      </c>
      <c r="E280">
        <v>503.5</v>
      </c>
      <c r="F280">
        <v>600.4</v>
      </c>
      <c r="G280">
        <v>599.70000000000005</v>
      </c>
      <c r="H280">
        <v>2</v>
      </c>
      <c r="I280">
        <v>26.72</v>
      </c>
      <c r="J280">
        <v>301</v>
      </c>
      <c r="K280">
        <v>83</v>
      </c>
      <c r="L280">
        <v>38</v>
      </c>
      <c r="M280">
        <v>51</v>
      </c>
      <c r="N280">
        <v>0</v>
      </c>
      <c r="O280">
        <v>84</v>
      </c>
      <c r="P280">
        <v>0</v>
      </c>
      <c r="Q280">
        <v>-140</v>
      </c>
    </row>
    <row r="281" spans="1:17" x14ac:dyDescent="0.45">
      <c r="A281">
        <v>1052</v>
      </c>
      <c r="B281" t="s">
        <v>351</v>
      </c>
      <c r="C281">
        <v>6621</v>
      </c>
      <c r="D281">
        <v>3</v>
      </c>
      <c r="E281">
        <v>3170.6</v>
      </c>
      <c r="F281">
        <v>15.9</v>
      </c>
      <c r="G281">
        <v>9170.4</v>
      </c>
      <c r="H281">
        <v>1</v>
      </c>
      <c r="I281">
        <v>19.39</v>
      </c>
      <c r="J281">
        <v>2065</v>
      </c>
      <c r="K281">
        <v>905</v>
      </c>
      <c r="L281">
        <v>154</v>
      </c>
      <c r="M281">
        <v>366</v>
      </c>
      <c r="N281">
        <v>0</v>
      </c>
      <c r="O281">
        <v>831</v>
      </c>
      <c r="P281">
        <v>0</v>
      </c>
      <c r="Q281">
        <v>-161</v>
      </c>
    </row>
    <row r="282" spans="1:17" x14ac:dyDescent="0.45">
      <c r="A282">
        <v>4003</v>
      </c>
      <c r="B282" t="s">
        <v>352</v>
      </c>
      <c r="C282">
        <v>8319</v>
      </c>
      <c r="D282">
        <v>3</v>
      </c>
      <c r="E282">
        <v>3239.2</v>
      </c>
      <c r="F282">
        <v>5733.3</v>
      </c>
      <c r="G282">
        <v>6069.7</v>
      </c>
      <c r="H282">
        <v>1</v>
      </c>
      <c r="I282">
        <v>20.87</v>
      </c>
      <c r="J282">
        <v>2471</v>
      </c>
      <c r="K282">
        <v>1225</v>
      </c>
      <c r="L282">
        <v>179</v>
      </c>
      <c r="M282">
        <v>395</v>
      </c>
      <c r="N282">
        <v>0</v>
      </c>
      <c r="O282">
        <v>191</v>
      </c>
      <c r="P282">
        <v>76332</v>
      </c>
      <c r="Q282">
        <v>-462</v>
      </c>
    </row>
    <row r="283" spans="1:17" x14ac:dyDescent="0.45">
      <c r="A283">
        <v>3271</v>
      </c>
      <c r="B283" t="s">
        <v>353</v>
      </c>
      <c r="C283">
        <v>13605</v>
      </c>
      <c r="D283">
        <v>3</v>
      </c>
      <c r="E283">
        <v>10535.8</v>
      </c>
      <c r="F283">
        <v>831.1</v>
      </c>
      <c r="G283">
        <v>11206.7</v>
      </c>
      <c r="H283">
        <v>1</v>
      </c>
      <c r="I283">
        <v>22.7</v>
      </c>
      <c r="J283">
        <v>4286</v>
      </c>
      <c r="K283">
        <v>2558</v>
      </c>
      <c r="L283">
        <v>302</v>
      </c>
      <c r="M283">
        <v>626</v>
      </c>
      <c r="N283">
        <v>0</v>
      </c>
      <c r="O283">
        <v>2438</v>
      </c>
      <c r="P283">
        <v>102518.08</v>
      </c>
      <c r="Q283">
        <v>-883</v>
      </c>
    </row>
    <row r="284" spans="1:17" x14ac:dyDescent="0.45">
      <c r="A284">
        <v>83</v>
      </c>
      <c r="B284" t="s">
        <v>354</v>
      </c>
      <c r="C284">
        <v>6628</v>
      </c>
      <c r="D284">
        <v>3</v>
      </c>
      <c r="E284">
        <v>5305</v>
      </c>
      <c r="F284">
        <v>1864.5</v>
      </c>
      <c r="G284">
        <v>3289.1</v>
      </c>
      <c r="H284">
        <v>1</v>
      </c>
      <c r="I284">
        <v>15.69</v>
      </c>
      <c r="J284">
        <v>2401</v>
      </c>
      <c r="K284">
        <v>973</v>
      </c>
      <c r="L284">
        <v>196</v>
      </c>
      <c r="M284">
        <v>360</v>
      </c>
      <c r="N284">
        <v>0</v>
      </c>
      <c r="O284">
        <v>826</v>
      </c>
      <c r="P284">
        <v>941.38</v>
      </c>
      <c r="Q284">
        <v>-301</v>
      </c>
    </row>
    <row r="285" spans="1:17" x14ac:dyDescent="0.45">
      <c r="A285">
        <v>2843</v>
      </c>
      <c r="B285" t="s">
        <v>355</v>
      </c>
      <c r="C285">
        <v>717</v>
      </c>
      <c r="D285">
        <v>1</v>
      </c>
      <c r="E285">
        <v>873.3</v>
      </c>
      <c r="F285">
        <v>0</v>
      </c>
      <c r="G285">
        <v>648.29999999999995</v>
      </c>
      <c r="H285">
        <v>3</v>
      </c>
      <c r="I285">
        <v>22.09</v>
      </c>
      <c r="J285">
        <v>289</v>
      </c>
      <c r="K285">
        <v>108</v>
      </c>
      <c r="L285">
        <v>26</v>
      </c>
      <c r="M285">
        <v>39</v>
      </c>
      <c r="N285">
        <v>0</v>
      </c>
      <c r="O285">
        <v>662</v>
      </c>
      <c r="P285">
        <v>0</v>
      </c>
      <c r="Q285">
        <v>-120</v>
      </c>
    </row>
    <row r="286" spans="1:17" x14ac:dyDescent="0.45">
      <c r="A286">
        <v>2125</v>
      </c>
      <c r="B286" t="s">
        <v>359</v>
      </c>
      <c r="C286">
        <v>25722</v>
      </c>
      <c r="D286">
        <v>3</v>
      </c>
      <c r="E286">
        <v>12527.1</v>
      </c>
      <c r="F286">
        <v>24.3</v>
      </c>
      <c r="G286">
        <v>24896.6</v>
      </c>
      <c r="H286">
        <v>1</v>
      </c>
      <c r="I286">
        <v>23.82</v>
      </c>
      <c r="J286">
        <v>8736</v>
      </c>
      <c r="K286">
        <v>3555</v>
      </c>
      <c r="L286">
        <v>570</v>
      </c>
      <c r="M286">
        <v>1811</v>
      </c>
      <c r="N286">
        <v>0</v>
      </c>
      <c r="O286">
        <v>4870</v>
      </c>
      <c r="P286">
        <v>0</v>
      </c>
      <c r="Q286">
        <v>-1465</v>
      </c>
    </row>
    <row r="287" spans="1:17" x14ac:dyDescent="0.45">
      <c r="A287">
        <v>5552</v>
      </c>
      <c r="B287" t="s">
        <v>360</v>
      </c>
      <c r="C287">
        <v>656</v>
      </c>
      <c r="D287">
        <v>3</v>
      </c>
      <c r="E287">
        <v>1493.2</v>
      </c>
      <c r="F287">
        <v>110.9</v>
      </c>
      <c r="G287">
        <v>934.9</v>
      </c>
      <c r="H287">
        <v>3</v>
      </c>
      <c r="I287">
        <v>35.86</v>
      </c>
      <c r="J287">
        <v>276</v>
      </c>
      <c r="K287">
        <v>103</v>
      </c>
      <c r="L287">
        <v>19</v>
      </c>
      <c r="M287">
        <v>70</v>
      </c>
      <c r="N287">
        <v>0</v>
      </c>
      <c r="O287">
        <v>2051</v>
      </c>
      <c r="P287">
        <v>0</v>
      </c>
      <c r="Q287">
        <v>-1325</v>
      </c>
    </row>
    <row r="288" spans="1:17" x14ac:dyDescent="0.45">
      <c r="A288">
        <v>1502</v>
      </c>
      <c r="B288" t="s">
        <v>362</v>
      </c>
      <c r="C288">
        <v>5483</v>
      </c>
      <c r="D288">
        <v>3</v>
      </c>
      <c r="E288">
        <v>5408.9</v>
      </c>
      <c r="F288">
        <v>217.3</v>
      </c>
      <c r="G288">
        <v>5116.3</v>
      </c>
      <c r="H288">
        <v>3</v>
      </c>
      <c r="I288">
        <v>44.23</v>
      </c>
      <c r="J288">
        <v>2097</v>
      </c>
      <c r="K288">
        <v>859</v>
      </c>
      <c r="L288">
        <v>137</v>
      </c>
      <c r="M288">
        <v>336</v>
      </c>
      <c r="N288">
        <v>0</v>
      </c>
      <c r="O288">
        <v>4795</v>
      </c>
      <c r="P288">
        <v>1162.8800000000001</v>
      </c>
      <c r="Q288">
        <v>-662</v>
      </c>
    </row>
    <row r="289" spans="1:17" x14ac:dyDescent="0.45">
      <c r="A289">
        <v>6778</v>
      </c>
      <c r="B289" t="s">
        <v>364</v>
      </c>
      <c r="C289">
        <v>631</v>
      </c>
      <c r="D289">
        <v>3</v>
      </c>
      <c r="E289">
        <v>1576.1</v>
      </c>
      <c r="F289">
        <v>0</v>
      </c>
      <c r="G289">
        <v>1250</v>
      </c>
      <c r="H289">
        <v>3</v>
      </c>
      <c r="I289">
        <v>27.66</v>
      </c>
      <c r="J289">
        <v>325</v>
      </c>
      <c r="K289">
        <v>79</v>
      </c>
      <c r="L289">
        <v>18</v>
      </c>
      <c r="M289">
        <v>37</v>
      </c>
      <c r="N289">
        <v>0</v>
      </c>
      <c r="O289">
        <v>3201</v>
      </c>
      <c r="P289">
        <v>132.9</v>
      </c>
      <c r="Q289">
        <v>-803</v>
      </c>
    </row>
    <row r="290" spans="1:17" x14ac:dyDescent="0.45">
      <c r="A290">
        <v>2783</v>
      </c>
      <c r="B290" t="s">
        <v>367</v>
      </c>
      <c r="C290">
        <v>271</v>
      </c>
      <c r="D290">
        <v>1</v>
      </c>
      <c r="E290">
        <v>456.1</v>
      </c>
      <c r="F290">
        <v>0</v>
      </c>
      <c r="G290">
        <v>179.3</v>
      </c>
      <c r="H290">
        <v>3</v>
      </c>
      <c r="I290">
        <v>22.09</v>
      </c>
      <c r="J290">
        <v>116</v>
      </c>
      <c r="K290">
        <v>49</v>
      </c>
      <c r="L290">
        <v>8</v>
      </c>
      <c r="M290">
        <v>22</v>
      </c>
      <c r="N290">
        <v>0</v>
      </c>
      <c r="O290">
        <v>195</v>
      </c>
      <c r="P290">
        <v>13.29</v>
      </c>
      <c r="Q290">
        <v>-462</v>
      </c>
    </row>
    <row r="291" spans="1:17" x14ac:dyDescent="0.45">
      <c r="A291">
        <v>404</v>
      </c>
      <c r="B291" t="s">
        <v>368</v>
      </c>
      <c r="C291">
        <v>16586</v>
      </c>
      <c r="D291">
        <v>1</v>
      </c>
      <c r="E291">
        <v>10045</v>
      </c>
      <c r="F291">
        <v>14212.6</v>
      </c>
      <c r="G291">
        <v>16856.8</v>
      </c>
      <c r="H291">
        <v>1</v>
      </c>
      <c r="I291">
        <v>16.760000000000002</v>
      </c>
      <c r="J291">
        <v>4617</v>
      </c>
      <c r="K291">
        <v>1988</v>
      </c>
      <c r="L291">
        <v>268</v>
      </c>
      <c r="M291">
        <v>579</v>
      </c>
      <c r="N291">
        <v>0</v>
      </c>
      <c r="O291">
        <v>1282</v>
      </c>
      <c r="P291">
        <v>0</v>
      </c>
      <c r="Q291">
        <v>-1284</v>
      </c>
    </row>
    <row r="292" spans="1:17" x14ac:dyDescent="0.45">
      <c r="A292">
        <v>863</v>
      </c>
      <c r="B292" t="s">
        <v>369</v>
      </c>
      <c r="C292">
        <v>1098</v>
      </c>
      <c r="D292">
        <v>2</v>
      </c>
      <c r="E292">
        <v>1324.8</v>
      </c>
      <c r="F292">
        <v>31.3</v>
      </c>
      <c r="G292">
        <v>1761.5</v>
      </c>
      <c r="H292">
        <v>3</v>
      </c>
      <c r="I292">
        <v>26.41</v>
      </c>
      <c r="J292">
        <v>493</v>
      </c>
      <c r="K292">
        <v>208</v>
      </c>
      <c r="L292">
        <v>20</v>
      </c>
      <c r="M292">
        <v>39</v>
      </c>
      <c r="N292">
        <v>0</v>
      </c>
      <c r="O292">
        <v>3855</v>
      </c>
      <c r="P292">
        <v>0</v>
      </c>
      <c r="Q292">
        <v>-161</v>
      </c>
    </row>
    <row r="293" spans="1:17" x14ac:dyDescent="0.45">
      <c r="A293">
        <v>5852</v>
      </c>
      <c r="B293" t="s">
        <v>373</v>
      </c>
      <c r="C293">
        <v>504</v>
      </c>
      <c r="D293">
        <v>3</v>
      </c>
      <c r="E293">
        <v>843.8</v>
      </c>
      <c r="F293">
        <v>0</v>
      </c>
      <c r="G293">
        <v>119.7</v>
      </c>
      <c r="H293">
        <v>2</v>
      </c>
      <c r="I293">
        <v>26.72</v>
      </c>
      <c r="J293">
        <v>256</v>
      </c>
      <c r="K293">
        <v>65</v>
      </c>
      <c r="L293">
        <v>18</v>
      </c>
      <c r="M293">
        <v>47</v>
      </c>
      <c r="N293">
        <v>0</v>
      </c>
      <c r="O293">
        <v>115</v>
      </c>
      <c r="P293">
        <v>0</v>
      </c>
      <c r="Q293">
        <v>-20</v>
      </c>
    </row>
    <row r="294" spans="1:17" x14ac:dyDescent="0.45">
      <c r="A294">
        <v>5853</v>
      </c>
      <c r="B294" t="s">
        <v>374</v>
      </c>
      <c r="C294">
        <v>766</v>
      </c>
      <c r="D294">
        <v>3</v>
      </c>
      <c r="E294">
        <v>571.4</v>
      </c>
      <c r="F294">
        <v>882.1</v>
      </c>
      <c r="G294">
        <v>329.7</v>
      </c>
      <c r="H294">
        <v>2</v>
      </c>
      <c r="I294">
        <v>26.72</v>
      </c>
      <c r="J294">
        <v>360</v>
      </c>
      <c r="K294">
        <v>93</v>
      </c>
      <c r="L294">
        <v>41</v>
      </c>
      <c r="M294">
        <v>80</v>
      </c>
      <c r="N294">
        <v>0</v>
      </c>
      <c r="O294">
        <v>909</v>
      </c>
      <c r="P294">
        <v>0</v>
      </c>
      <c r="Q294">
        <v>-201</v>
      </c>
    </row>
    <row r="295" spans="1:17" x14ac:dyDescent="0.45">
      <c r="A295">
        <v>5854</v>
      </c>
      <c r="B295" t="s">
        <v>375</v>
      </c>
      <c r="C295">
        <v>414</v>
      </c>
      <c r="D295">
        <v>3</v>
      </c>
      <c r="E295">
        <v>515.79999999999995</v>
      </c>
      <c r="F295">
        <v>20.5</v>
      </c>
      <c r="G295">
        <v>767.6</v>
      </c>
      <c r="H295">
        <v>3</v>
      </c>
      <c r="I295">
        <v>35.86</v>
      </c>
      <c r="J295">
        <v>146</v>
      </c>
      <c r="K295">
        <v>60</v>
      </c>
      <c r="L295">
        <v>13</v>
      </c>
      <c r="M295">
        <v>33</v>
      </c>
      <c r="N295">
        <v>0</v>
      </c>
      <c r="O295">
        <v>1662</v>
      </c>
      <c r="P295">
        <v>22.15</v>
      </c>
      <c r="Q295">
        <v>-381</v>
      </c>
    </row>
    <row r="296" spans="1:17" x14ac:dyDescent="0.45">
      <c r="A296">
        <v>3804</v>
      </c>
      <c r="B296" t="s">
        <v>376</v>
      </c>
      <c r="C296">
        <v>83</v>
      </c>
      <c r="D296">
        <v>3</v>
      </c>
      <c r="E296">
        <v>24.2</v>
      </c>
      <c r="F296">
        <v>0</v>
      </c>
      <c r="G296">
        <v>27.5</v>
      </c>
      <c r="H296">
        <v>3</v>
      </c>
      <c r="I296">
        <v>29.04</v>
      </c>
      <c r="J296">
        <v>38</v>
      </c>
      <c r="K296">
        <v>12</v>
      </c>
      <c r="L296">
        <v>0</v>
      </c>
      <c r="M296">
        <v>9</v>
      </c>
      <c r="N296">
        <v>0</v>
      </c>
      <c r="O296">
        <v>65</v>
      </c>
      <c r="P296">
        <v>0</v>
      </c>
      <c r="Q296">
        <v>-1826</v>
      </c>
    </row>
    <row r="297" spans="1:17" x14ac:dyDescent="0.45">
      <c r="A297">
        <v>5624</v>
      </c>
      <c r="B297" t="s">
        <v>378</v>
      </c>
      <c r="C297">
        <v>10365</v>
      </c>
      <c r="D297">
        <v>3</v>
      </c>
      <c r="E297">
        <v>4571.8999999999996</v>
      </c>
      <c r="F297">
        <v>6593</v>
      </c>
      <c r="G297">
        <v>7728.8</v>
      </c>
      <c r="H297">
        <v>1</v>
      </c>
      <c r="I297">
        <v>19.809999999999999</v>
      </c>
      <c r="J297">
        <v>3566</v>
      </c>
      <c r="K297">
        <v>1313</v>
      </c>
      <c r="L297">
        <v>213</v>
      </c>
      <c r="M297">
        <v>762</v>
      </c>
      <c r="N297">
        <v>0</v>
      </c>
      <c r="O297">
        <v>362</v>
      </c>
      <c r="P297">
        <v>941.38</v>
      </c>
      <c r="Q297">
        <v>-181</v>
      </c>
    </row>
    <row r="298" spans="1:17" x14ac:dyDescent="0.45">
      <c r="A298">
        <v>4921</v>
      </c>
      <c r="B298" t="s">
        <v>379</v>
      </c>
      <c r="C298">
        <v>2546</v>
      </c>
      <c r="D298">
        <v>3</v>
      </c>
      <c r="E298">
        <v>2210.3000000000002</v>
      </c>
      <c r="F298">
        <v>677.9</v>
      </c>
      <c r="G298">
        <v>5233.8999999999996</v>
      </c>
      <c r="H298">
        <v>3</v>
      </c>
      <c r="I298">
        <v>26.04</v>
      </c>
      <c r="J298">
        <v>997</v>
      </c>
      <c r="K298">
        <v>472</v>
      </c>
      <c r="L298">
        <v>69</v>
      </c>
      <c r="M298">
        <v>90</v>
      </c>
      <c r="N298">
        <v>0</v>
      </c>
      <c r="O298">
        <v>9481</v>
      </c>
      <c r="P298">
        <v>0</v>
      </c>
      <c r="Q298">
        <v>-682</v>
      </c>
    </row>
    <row r="299" spans="1:17" x14ac:dyDescent="0.45">
      <c r="A299">
        <v>325</v>
      </c>
      <c r="B299" t="s">
        <v>380</v>
      </c>
      <c r="C299">
        <v>173</v>
      </c>
      <c r="D299">
        <v>3</v>
      </c>
      <c r="E299">
        <v>209.4</v>
      </c>
      <c r="F299">
        <v>0</v>
      </c>
      <c r="G299">
        <v>284.89999999999998</v>
      </c>
      <c r="H299">
        <v>3</v>
      </c>
      <c r="I299">
        <v>26.41</v>
      </c>
      <c r="J299">
        <v>71</v>
      </c>
      <c r="K299">
        <v>37</v>
      </c>
      <c r="L299">
        <v>1</v>
      </c>
      <c r="M299">
        <v>8</v>
      </c>
      <c r="N299">
        <v>0</v>
      </c>
      <c r="O299">
        <v>1025</v>
      </c>
      <c r="P299">
        <v>0</v>
      </c>
      <c r="Q299">
        <v>-261</v>
      </c>
    </row>
    <row r="300" spans="1:17" x14ac:dyDescent="0.45">
      <c r="A300">
        <v>5663</v>
      </c>
      <c r="B300" t="s">
        <v>381</v>
      </c>
      <c r="C300">
        <v>246</v>
      </c>
      <c r="D300">
        <v>3</v>
      </c>
      <c r="E300">
        <v>370.8</v>
      </c>
      <c r="F300">
        <v>4.5999999999999996</v>
      </c>
      <c r="G300">
        <v>303.5</v>
      </c>
      <c r="H300">
        <v>3</v>
      </c>
      <c r="I300">
        <v>35.86</v>
      </c>
      <c r="J300">
        <v>102</v>
      </c>
      <c r="K300">
        <v>38</v>
      </c>
      <c r="L300">
        <v>5</v>
      </c>
      <c r="M300">
        <v>19</v>
      </c>
      <c r="N300">
        <v>0</v>
      </c>
      <c r="O300">
        <v>619</v>
      </c>
      <c r="P300">
        <v>0</v>
      </c>
      <c r="Q300">
        <v>-140</v>
      </c>
    </row>
    <row r="301" spans="1:17" x14ac:dyDescent="0.45">
      <c r="A301">
        <v>1083</v>
      </c>
      <c r="B301" t="s">
        <v>385</v>
      </c>
      <c r="C301">
        <v>3421</v>
      </c>
      <c r="D301">
        <v>2</v>
      </c>
      <c r="E301">
        <v>1404.9</v>
      </c>
      <c r="F301">
        <v>0</v>
      </c>
      <c r="G301">
        <v>11939.2</v>
      </c>
      <c r="H301">
        <v>2</v>
      </c>
      <c r="I301">
        <v>28.41</v>
      </c>
      <c r="J301">
        <v>1262</v>
      </c>
      <c r="K301">
        <v>555</v>
      </c>
      <c r="L301">
        <v>92</v>
      </c>
      <c r="M301">
        <v>140</v>
      </c>
      <c r="N301">
        <v>0</v>
      </c>
      <c r="O301">
        <v>12448</v>
      </c>
      <c r="P301">
        <v>155.05000000000001</v>
      </c>
      <c r="Q301">
        <v>-522</v>
      </c>
    </row>
    <row r="302" spans="1:17" x14ac:dyDescent="0.45">
      <c r="A302">
        <v>4230</v>
      </c>
      <c r="B302" t="s">
        <v>386</v>
      </c>
      <c r="C302">
        <v>1274</v>
      </c>
      <c r="D302">
        <v>3</v>
      </c>
      <c r="E302">
        <v>1155.8</v>
      </c>
      <c r="F302">
        <v>0</v>
      </c>
      <c r="G302">
        <v>1392.8</v>
      </c>
      <c r="H302">
        <v>3</v>
      </c>
      <c r="I302">
        <v>23.9</v>
      </c>
      <c r="J302">
        <v>494</v>
      </c>
      <c r="K302">
        <v>228</v>
      </c>
      <c r="L302">
        <v>35</v>
      </c>
      <c r="M302">
        <v>71</v>
      </c>
      <c r="N302">
        <v>0</v>
      </c>
      <c r="O302">
        <v>950</v>
      </c>
      <c r="P302">
        <v>0</v>
      </c>
      <c r="Q302">
        <v>-201</v>
      </c>
    </row>
    <row r="303" spans="1:17" x14ac:dyDescent="0.45">
      <c r="A303">
        <v>2844</v>
      </c>
      <c r="B303" t="s">
        <v>387</v>
      </c>
      <c r="C303">
        <v>1116</v>
      </c>
      <c r="D303">
        <v>1</v>
      </c>
      <c r="E303">
        <v>1220.2</v>
      </c>
      <c r="F303">
        <v>4.7</v>
      </c>
      <c r="G303">
        <v>1052.5999999999999</v>
      </c>
      <c r="H303">
        <v>3</v>
      </c>
      <c r="I303">
        <v>22.09</v>
      </c>
      <c r="J303">
        <v>401</v>
      </c>
      <c r="K303">
        <v>157</v>
      </c>
      <c r="L303">
        <v>31</v>
      </c>
      <c r="M303">
        <v>47</v>
      </c>
      <c r="N303">
        <v>0</v>
      </c>
      <c r="O303">
        <v>2390</v>
      </c>
      <c r="P303">
        <v>46.52</v>
      </c>
      <c r="Q303">
        <v>-502</v>
      </c>
    </row>
    <row r="304" spans="1:17" x14ac:dyDescent="0.45">
      <c r="A304">
        <v>111</v>
      </c>
      <c r="B304" t="s">
        <v>177</v>
      </c>
      <c r="C304">
        <v>5098</v>
      </c>
      <c r="D304">
        <v>3</v>
      </c>
      <c r="E304">
        <v>4817.8</v>
      </c>
      <c r="F304">
        <v>88.3</v>
      </c>
      <c r="G304">
        <v>4241</v>
      </c>
      <c r="H304">
        <v>2</v>
      </c>
      <c r="I304">
        <v>24.61</v>
      </c>
      <c r="J304">
        <v>1914</v>
      </c>
      <c r="K304">
        <v>764</v>
      </c>
      <c r="L304">
        <v>124</v>
      </c>
      <c r="M304">
        <v>242</v>
      </c>
      <c r="N304">
        <v>0</v>
      </c>
      <c r="O304">
        <v>6777</v>
      </c>
      <c r="P304">
        <v>11.08</v>
      </c>
      <c r="Q304">
        <v>-1686</v>
      </c>
    </row>
    <row r="305" spans="1:17" x14ac:dyDescent="0.45">
      <c r="A305">
        <v>403</v>
      </c>
      <c r="B305" t="s">
        <v>180</v>
      </c>
      <c r="C305">
        <v>1096</v>
      </c>
      <c r="D305">
        <v>2</v>
      </c>
      <c r="E305">
        <v>1535.2</v>
      </c>
      <c r="F305">
        <v>0</v>
      </c>
      <c r="G305">
        <v>1038.8</v>
      </c>
      <c r="H305">
        <v>2</v>
      </c>
      <c r="I305">
        <v>24.84</v>
      </c>
      <c r="J305">
        <v>409</v>
      </c>
      <c r="K305">
        <v>145</v>
      </c>
      <c r="L305">
        <v>33</v>
      </c>
      <c r="M305">
        <v>49</v>
      </c>
      <c r="N305">
        <v>0</v>
      </c>
      <c r="O305">
        <v>316</v>
      </c>
      <c r="P305">
        <v>0</v>
      </c>
      <c r="Q305">
        <v>-221</v>
      </c>
    </row>
    <row r="306" spans="1:17" x14ac:dyDescent="0.45">
      <c r="A306">
        <v>2611</v>
      </c>
      <c r="B306" t="s">
        <v>181</v>
      </c>
      <c r="C306">
        <v>786</v>
      </c>
      <c r="D306">
        <v>3</v>
      </c>
      <c r="E306">
        <v>1371.4</v>
      </c>
      <c r="F306">
        <v>0</v>
      </c>
      <c r="G306">
        <v>637.1</v>
      </c>
      <c r="H306">
        <v>3</v>
      </c>
      <c r="I306">
        <v>28.59</v>
      </c>
      <c r="J306">
        <v>310</v>
      </c>
      <c r="K306">
        <v>133</v>
      </c>
      <c r="L306">
        <v>12</v>
      </c>
      <c r="M306">
        <v>32</v>
      </c>
      <c r="N306">
        <v>0</v>
      </c>
      <c r="O306">
        <v>2224</v>
      </c>
      <c r="P306">
        <v>0</v>
      </c>
      <c r="Q306">
        <v>-1104</v>
      </c>
    </row>
    <row r="307" spans="1:17" x14ac:dyDescent="0.45">
      <c r="A307">
        <v>533</v>
      </c>
      <c r="B307" t="s">
        <v>188</v>
      </c>
      <c r="C307">
        <v>3368</v>
      </c>
      <c r="D307">
        <v>2</v>
      </c>
      <c r="E307">
        <v>2441.8000000000002</v>
      </c>
      <c r="F307">
        <v>1136.0999999999999</v>
      </c>
      <c r="G307">
        <v>7121.5</v>
      </c>
      <c r="H307">
        <v>2</v>
      </c>
      <c r="I307">
        <v>24.84</v>
      </c>
      <c r="J307">
        <v>1202</v>
      </c>
      <c r="K307">
        <v>414</v>
      </c>
      <c r="L307">
        <v>75</v>
      </c>
      <c r="M307">
        <v>128</v>
      </c>
      <c r="N307">
        <v>0</v>
      </c>
      <c r="O307">
        <v>2843</v>
      </c>
      <c r="P307">
        <v>0</v>
      </c>
      <c r="Q307">
        <v>-502</v>
      </c>
    </row>
    <row r="308" spans="1:17" x14ac:dyDescent="0.45">
      <c r="A308">
        <v>2471</v>
      </c>
      <c r="B308" t="s">
        <v>189</v>
      </c>
      <c r="C308">
        <v>1169</v>
      </c>
      <c r="D308">
        <v>2</v>
      </c>
      <c r="E308">
        <v>2130.9</v>
      </c>
      <c r="F308">
        <v>0</v>
      </c>
      <c r="G308">
        <v>761.7</v>
      </c>
      <c r="H308">
        <v>2</v>
      </c>
      <c r="I308">
        <v>26.37</v>
      </c>
      <c r="J308">
        <v>480</v>
      </c>
      <c r="K308">
        <v>163</v>
      </c>
      <c r="L308">
        <v>24</v>
      </c>
      <c r="M308">
        <v>48</v>
      </c>
      <c r="N308">
        <v>0</v>
      </c>
      <c r="O308">
        <v>314</v>
      </c>
      <c r="P308">
        <v>0</v>
      </c>
      <c r="Q308">
        <v>-60</v>
      </c>
    </row>
    <row r="309" spans="1:17" x14ac:dyDescent="0.45">
      <c r="A309">
        <v>2842</v>
      </c>
      <c r="B309" t="s">
        <v>274</v>
      </c>
      <c r="C309">
        <v>806</v>
      </c>
      <c r="D309">
        <v>1</v>
      </c>
      <c r="E309">
        <v>844.8</v>
      </c>
      <c r="F309">
        <v>0</v>
      </c>
      <c r="G309">
        <v>1091.8</v>
      </c>
      <c r="H309">
        <v>2</v>
      </c>
      <c r="I309">
        <v>20.72</v>
      </c>
      <c r="J309">
        <v>344</v>
      </c>
      <c r="K309">
        <v>121</v>
      </c>
      <c r="L309">
        <v>26</v>
      </c>
      <c r="M309">
        <v>38</v>
      </c>
      <c r="N309">
        <v>0</v>
      </c>
      <c r="O309">
        <v>538</v>
      </c>
      <c r="P309">
        <v>0</v>
      </c>
      <c r="Q309">
        <v>-181</v>
      </c>
    </row>
    <row r="310" spans="1:17" x14ac:dyDescent="0.45">
      <c r="A310">
        <v>572</v>
      </c>
      <c r="B310" t="s">
        <v>285</v>
      </c>
      <c r="C310">
        <v>2568</v>
      </c>
      <c r="D310">
        <v>2</v>
      </c>
      <c r="E310">
        <v>2753.9</v>
      </c>
      <c r="F310">
        <v>727.1</v>
      </c>
      <c r="G310">
        <v>3089.1</v>
      </c>
      <c r="H310">
        <v>1</v>
      </c>
      <c r="I310">
        <v>16.760000000000002</v>
      </c>
      <c r="J310">
        <v>840</v>
      </c>
      <c r="K310">
        <v>368</v>
      </c>
      <c r="L310">
        <v>24</v>
      </c>
      <c r="M310">
        <v>101</v>
      </c>
      <c r="N310">
        <v>0</v>
      </c>
      <c r="O310">
        <v>824</v>
      </c>
      <c r="P310">
        <v>0</v>
      </c>
      <c r="Q310">
        <v>-1706</v>
      </c>
    </row>
    <row r="311" spans="1:17" x14ac:dyDescent="0.45">
      <c r="A311">
        <v>2295</v>
      </c>
      <c r="B311" t="s">
        <v>293</v>
      </c>
      <c r="C311">
        <v>3339</v>
      </c>
      <c r="D311">
        <v>3</v>
      </c>
      <c r="E311">
        <v>1679.9</v>
      </c>
      <c r="F311">
        <v>21.3</v>
      </c>
      <c r="G311">
        <v>5171.8</v>
      </c>
      <c r="H311">
        <v>2</v>
      </c>
      <c r="I311">
        <v>28.63</v>
      </c>
      <c r="J311">
        <v>1380</v>
      </c>
      <c r="K311">
        <v>453</v>
      </c>
      <c r="L311">
        <v>78</v>
      </c>
      <c r="M311">
        <v>275</v>
      </c>
      <c r="N311">
        <v>0</v>
      </c>
      <c r="O311">
        <v>5330</v>
      </c>
      <c r="P311">
        <v>0</v>
      </c>
      <c r="Q311">
        <v>-421</v>
      </c>
    </row>
    <row r="312" spans="1:17" x14ac:dyDescent="0.45">
      <c r="A312">
        <v>4303</v>
      </c>
      <c r="B312" t="s">
        <v>301</v>
      </c>
      <c r="C312">
        <v>4143</v>
      </c>
      <c r="D312">
        <v>3</v>
      </c>
      <c r="E312">
        <v>1356.9</v>
      </c>
      <c r="F312">
        <v>0</v>
      </c>
      <c r="G312">
        <v>6637.5</v>
      </c>
      <c r="H312">
        <v>1</v>
      </c>
      <c r="I312">
        <v>20.87</v>
      </c>
      <c r="J312">
        <v>1549</v>
      </c>
      <c r="K312">
        <v>776</v>
      </c>
      <c r="L312">
        <v>60</v>
      </c>
      <c r="M312">
        <v>211</v>
      </c>
      <c r="N312">
        <v>0</v>
      </c>
      <c r="O312">
        <v>991</v>
      </c>
      <c r="P312">
        <v>443</v>
      </c>
      <c r="Q312">
        <v>-502</v>
      </c>
    </row>
    <row r="313" spans="1:17" x14ac:dyDescent="0.45">
      <c r="A313">
        <v>4124</v>
      </c>
      <c r="B313" t="s">
        <v>312</v>
      </c>
      <c r="C313">
        <v>1657</v>
      </c>
      <c r="D313">
        <v>3</v>
      </c>
      <c r="E313">
        <v>2154.6</v>
      </c>
      <c r="F313">
        <v>51.5</v>
      </c>
      <c r="G313">
        <v>2252.1999999999998</v>
      </c>
      <c r="H313">
        <v>3</v>
      </c>
      <c r="I313">
        <v>23.9</v>
      </c>
      <c r="J313">
        <v>705</v>
      </c>
      <c r="K313">
        <v>297</v>
      </c>
      <c r="L313">
        <v>50</v>
      </c>
      <c r="M313">
        <v>78</v>
      </c>
      <c r="N313">
        <v>0</v>
      </c>
      <c r="O313">
        <v>3741</v>
      </c>
      <c r="P313">
        <v>16.97</v>
      </c>
      <c r="Q313">
        <v>-1164</v>
      </c>
    </row>
    <row r="314" spans="1:17" x14ac:dyDescent="0.45">
      <c r="A314">
        <v>4185</v>
      </c>
      <c r="B314" t="s">
        <v>313</v>
      </c>
      <c r="C314">
        <v>2843</v>
      </c>
      <c r="D314">
        <v>3</v>
      </c>
      <c r="E314">
        <v>2993</v>
      </c>
      <c r="F314">
        <v>5.9</v>
      </c>
      <c r="G314">
        <v>3616.8</v>
      </c>
      <c r="H314">
        <v>3</v>
      </c>
      <c r="I314">
        <v>23.9</v>
      </c>
      <c r="J314">
        <v>1094</v>
      </c>
      <c r="K314">
        <v>583</v>
      </c>
      <c r="L314">
        <v>87</v>
      </c>
      <c r="M314">
        <v>148</v>
      </c>
      <c r="N314">
        <v>0</v>
      </c>
      <c r="O314">
        <v>6681</v>
      </c>
      <c r="P314">
        <v>138.79</v>
      </c>
      <c r="Q314">
        <v>-1786</v>
      </c>
    </row>
    <row r="315" spans="1:17" x14ac:dyDescent="0.45">
      <c r="A315">
        <v>382</v>
      </c>
      <c r="B315" t="s">
        <v>356</v>
      </c>
      <c r="C315">
        <v>920</v>
      </c>
      <c r="D315">
        <v>2</v>
      </c>
      <c r="E315">
        <v>763.6</v>
      </c>
      <c r="F315">
        <v>5.9</v>
      </c>
      <c r="G315">
        <v>2448.1999999999998</v>
      </c>
      <c r="H315">
        <v>2</v>
      </c>
      <c r="I315">
        <v>24.84</v>
      </c>
      <c r="J315">
        <v>341</v>
      </c>
      <c r="K315">
        <v>138</v>
      </c>
      <c r="L315">
        <v>39</v>
      </c>
      <c r="M315">
        <v>34</v>
      </c>
      <c r="N315">
        <v>0</v>
      </c>
      <c r="O315">
        <v>985</v>
      </c>
      <c r="P315">
        <v>0</v>
      </c>
      <c r="Q315">
        <v>-201</v>
      </c>
    </row>
    <row r="316" spans="1:17" x14ac:dyDescent="0.45">
      <c r="A316">
        <v>734</v>
      </c>
      <c r="B316" t="s">
        <v>357</v>
      </c>
      <c r="C316">
        <v>483</v>
      </c>
      <c r="D316">
        <v>2</v>
      </c>
      <c r="E316">
        <v>584.9</v>
      </c>
      <c r="F316">
        <v>0</v>
      </c>
      <c r="G316">
        <v>562.79999999999995</v>
      </c>
      <c r="H316">
        <v>3</v>
      </c>
      <c r="I316">
        <v>26.41</v>
      </c>
      <c r="J316">
        <v>240</v>
      </c>
      <c r="K316">
        <v>74</v>
      </c>
      <c r="L316">
        <v>11</v>
      </c>
      <c r="M316">
        <v>19</v>
      </c>
      <c r="N316">
        <v>0</v>
      </c>
      <c r="O316">
        <v>1339</v>
      </c>
      <c r="P316">
        <v>0</v>
      </c>
      <c r="Q316">
        <v>-20</v>
      </c>
    </row>
    <row r="317" spans="1:17" x14ac:dyDescent="0.45">
      <c r="A317">
        <v>3021</v>
      </c>
      <c r="B317" t="s">
        <v>358</v>
      </c>
      <c r="C317">
        <v>1841</v>
      </c>
      <c r="D317">
        <v>3</v>
      </c>
      <c r="E317">
        <v>2613.1</v>
      </c>
      <c r="F317">
        <v>216.5</v>
      </c>
      <c r="G317">
        <v>2569.4</v>
      </c>
      <c r="H317">
        <v>2</v>
      </c>
      <c r="I317">
        <v>17.79</v>
      </c>
      <c r="J317">
        <v>690</v>
      </c>
      <c r="K317">
        <v>369</v>
      </c>
      <c r="L317">
        <v>36</v>
      </c>
      <c r="M317">
        <v>63</v>
      </c>
      <c r="N317">
        <v>0</v>
      </c>
      <c r="O317">
        <v>2294</v>
      </c>
      <c r="P317">
        <v>443</v>
      </c>
      <c r="Q317">
        <v>-281</v>
      </c>
    </row>
    <row r="318" spans="1:17" x14ac:dyDescent="0.45">
      <c r="A318">
        <v>53</v>
      </c>
      <c r="B318" t="s">
        <v>59</v>
      </c>
      <c r="C318">
        <v>23624</v>
      </c>
      <c r="D318">
        <v>3</v>
      </c>
      <c r="E318">
        <v>17435</v>
      </c>
      <c r="F318">
        <v>5133.8</v>
      </c>
      <c r="G318">
        <v>7760.3</v>
      </c>
      <c r="H318">
        <v>1</v>
      </c>
      <c r="I318">
        <v>15.69</v>
      </c>
      <c r="J318">
        <v>6964</v>
      </c>
      <c r="K318">
        <v>2962</v>
      </c>
      <c r="L318">
        <v>450</v>
      </c>
      <c r="M318">
        <v>1274</v>
      </c>
      <c r="N318">
        <v>0</v>
      </c>
      <c r="O318">
        <v>1566</v>
      </c>
      <c r="P318">
        <v>1347.47</v>
      </c>
      <c r="Q318">
        <v>-1224</v>
      </c>
    </row>
    <row r="319" spans="1:17" x14ac:dyDescent="0.45">
      <c r="A319">
        <v>4229</v>
      </c>
      <c r="B319" t="s">
        <v>361</v>
      </c>
      <c r="C319">
        <v>1197</v>
      </c>
      <c r="D319">
        <v>3</v>
      </c>
      <c r="E319">
        <v>1175.8</v>
      </c>
      <c r="F319">
        <v>0</v>
      </c>
      <c r="G319">
        <v>1231</v>
      </c>
      <c r="H319">
        <v>2</v>
      </c>
      <c r="I319">
        <v>23.46</v>
      </c>
      <c r="J319">
        <v>480</v>
      </c>
      <c r="K319">
        <v>178</v>
      </c>
      <c r="L319">
        <v>35</v>
      </c>
      <c r="M319">
        <v>61</v>
      </c>
      <c r="N319">
        <v>0</v>
      </c>
      <c r="O319">
        <v>1849</v>
      </c>
      <c r="P319">
        <v>332.25</v>
      </c>
      <c r="Q319">
        <v>-341</v>
      </c>
    </row>
    <row r="320" spans="1:17" x14ac:dyDescent="0.45">
      <c r="A320">
        <v>6193</v>
      </c>
      <c r="B320" t="s">
        <v>363</v>
      </c>
      <c r="C320">
        <v>750</v>
      </c>
      <c r="D320">
        <v>2</v>
      </c>
      <c r="E320">
        <v>1775.1</v>
      </c>
      <c r="F320">
        <v>9.6</v>
      </c>
      <c r="G320">
        <v>1556.9</v>
      </c>
      <c r="H320">
        <v>3</v>
      </c>
      <c r="I320">
        <v>30.8</v>
      </c>
      <c r="J320">
        <v>226</v>
      </c>
      <c r="K320">
        <v>145</v>
      </c>
      <c r="L320">
        <v>32</v>
      </c>
      <c r="M320">
        <v>35</v>
      </c>
      <c r="N320">
        <v>0</v>
      </c>
      <c r="O320">
        <v>1042</v>
      </c>
      <c r="P320">
        <v>0</v>
      </c>
      <c r="Q320">
        <v>-1505</v>
      </c>
    </row>
    <row r="321" spans="1:17" x14ac:dyDescent="0.45">
      <c r="A321">
        <v>2472</v>
      </c>
      <c r="B321" t="s">
        <v>365</v>
      </c>
      <c r="C321">
        <v>1066</v>
      </c>
      <c r="D321">
        <v>3</v>
      </c>
      <c r="E321">
        <v>1087.9000000000001</v>
      </c>
      <c r="F321">
        <v>7</v>
      </c>
      <c r="G321">
        <v>810.4</v>
      </c>
      <c r="H321">
        <v>3</v>
      </c>
      <c r="I321">
        <v>28.59</v>
      </c>
      <c r="J321">
        <v>413</v>
      </c>
      <c r="K321">
        <v>147</v>
      </c>
      <c r="L321">
        <v>33</v>
      </c>
      <c r="M321">
        <v>31</v>
      </c>
      <c r="N321">
        <v>0</v>
      </c>
      <c r="O321">
        <v>1384</v>
      </c>
      <c r="P321">
        <v>44.3</v>
      </c>
      <c r="Q321">
        <v>-562</v>
      </c>
    </row>
    <row r="322" spans="1:17" x14ac:dyDescent="0.45">
      <c r="A322">
        <v>383</v>
      </c>
      <c r="B322" t="s">
        <v>366</v>
      </c>
      <c r="C322">
        <v>3696</v>
      </c>
      <c r="D322">
        <v>2</v>
      </c>
      <c r="E322">
        <v>4258.8999999999996</v>
      </c>
      <c r="F322">
        <v>893.9</v>
      </c>
      <c r="G322">
        <v>5657.4</v>
      </c>
      <c r="H322">
        <v>2</v>
      </c>
      <c r="I322">
        <v>24.84</v>
      </c>
      <c r="J322">
        <v>1350</v>
      </c>
      <c r="K322">
        <v>627</v>
      </c>
      <c r="L322">
        <v>60</v>
      </c>
      <c r="M322">
        <v>154</v>
      </c>
      <c r="N322">
        <v>0</v>
      </c>
      <c r="O322">
        <v>2201</v>
      </c>
      <c r="P322">
        <v>0</v>
      </c>
      <c r="Q322">
        <v>-863</v>
      </c>
    </row>
    <row r="323" spans="1:17" x14ac:dyDescent="0.45">
      <c r="A323">
        <v>4911</v>
      </c>
      <c r="B323" t="s">
        <v>370</v>
      </c>
      <c r="C323">
        <v>4067</v>
      </c>
      <c r="D323">
        <v>3</v>
      </c>
      <c r="E323">
        <v>3022.5</v>
      </c>
      <c r="F323">
        <v>3282.9</v>
      </c>
      <c r="G323">
        <v>5219</v>
      </c>
      <c r="H323">
        <v>3</v>
      </c>
      <c r="I323">
        <v>26.04</v>
      </c>
      <c r="J323">
        <v>1718</v>
      </c>
      <c r="K323">
        <v>760</v>
      </c>
      <c r="L323">
        <v>100</v>
      </c>
      <c r="M323">
        <v>174</v>
      </c>
      <c r="N323">
        <v>0</v>
      </c>
      <c r="O323">
        <v>4211</v>
      </c>
      <c r="P323">
        <v>0</v>
      </c>
      <c r="Q323">
        <v>-401</v>
      </c>
    </row>
    <row r="324" spans="1:17" x14ac:dyDescent="0.45">
      <c r="A324">
        <v>1205</v>
      </c>
      <c r="B324" t="s">
        <v>371</v>
      </c>
      <c r="C324">
        <v>3877</v>
      </c>
      <c r="D324">
        <v>3</v>
      </c>
      <c r="E324">
        <v>2725.5</v>
      </c>
      <c r="F324">
        <v>3.3</v>
      </c>
      <c r="G324">
        <v>1988</v>
      </c>
      <c r="H324">
        <v>1</v>
      </c>
      <c r="I324">
        <v>26.15</v>
      </c>
      <c r="J324">
        <v>902</v>
      </c>
      <c r="K324">
        <v>514</v>
      </c>
      <c r="L324">
        <v>28</v>
      </c>
      <c r="M324">
        <v>77</v>
      </c>
      <c r="N324">
        <v>0</v>
      </c>
      <c r="O324">
        <v>6942</v>
      </c>
      <c r="P324">
        <v>0</v>
      </c>
      <c r="Q324">
        <v>-2047</v>
      </c>
    </row>
    <row r="325" spans="1:17" x14ac:dyDescent="0.45">
      <c r="A325">
        <v>1082</v>
      </c>
      <c r="B325" t="s">
        <v>372</v>
      </c>
      <c r="C325">
        <v>2714</v>
      </c>
      <c r="D325">
        <v>2</v>
      </c>
      <c r="E325">
        <v>1943.1</v>
      </c>
      <c r="F325">
        <v>0</v>
      </c>
      <c r="G325">
        <v>4876.8</v>
      </c>
      <c r="H325">
        <v>3</v>
      </c>
      <c r="I325">
        <v>26.39</v>
      </c>
      <c r="J325">
        <v>1004</v>
      </c>
      <c r="K325">
        <v>525</v>
      </c>
      <c r="L325">
        <v>69</v>
      </c>
      <c r="M325">
        <v>107</v>
      </c>
      <c r="N325">
        <v>0</v>
      </c>
      <c r="O325">
        <v>3636</v>
      </c>
      <c r="P325">
        <v>0</v>
      </c>
      <c r="Q325">
        <v>-181</v>
      </c>
    </row>
    <row r="326" spans="1:17" x14ac:dyDescent="0.45">
      <c r="A326">
        <v>2614</v>
      </c>
      <c r="B326" t="s">
        <v>377</v>
      </c>
      <c r="C326">
        <v>2361</v>
      </c>
      <c r="D326">
        <v>2</v>
      </c>
      <c r="E326">
        <v>3174</v>
      </c>
      <c r="F326">
        <v>216.1</v>
      </c>
      <c r="G326">
        <v>5438.6</v>
      </c>
      <c r="H326">
        <v>2</v>
      </c>
      <c r="I326">
        <v>26.37</v>
      </c>
      <c r="J326">
        <v>1022</v>
      </c>
      <c r="K326">
        <v>369</v>
      </c>
      <c r="L326">
        <v>67</v>
      </c>
      <c r="M326">
        <v>97</v>
      </c>
      <c r="N326">
        <v>0</v>
      </c>
      <c r="O326">
        <v>1609</v>
      </c>
      <c r="P326">
        <v>0</v>
      </c>
      <c r="Q326">
        <v>-682</v>
      </c>
    </row>
    <row r="327" spans="1:17" x14ac:dyDescent="0.45">
      <c r="A327">
        <v>3395</v>
      </c>
      <c r="B327" t="s">
        <v>382</v>
      </c>
      <c r="C327">
        <v>5163</v>
      </c>
      <c r="D327">
        <v>3</v>
      </c>
      <c r="E327">
        <v>2057.5</v>
      </c>
      <c r="F327">
        <v>3022.3</v>
      </c>
      <c r="G327">
        <v>7014.9</v>
      </c>
      <c r="H327">
        <v>2</v>
      </c>
      <c r="I327">
        <v>22.8</v>
      </c>
      <c r="J327">
        <v>2033</v>
      </c>
      <c r="K327">
        <v>1013</v>
      </c>
      <c r="L327">
        <v>121</v>
      </c>
      <c r="M327">
        <v>188</v>
      </c>
      <c r="N327">
        <v>0</v>
      </c>
      <c r="O327">
        <v>9775</v>
      </c>
      <c r="P327">
        <v>363.97</v>
      </c>
      <c r="Q327">
        <v>-903</v>
      </c>
    </row>
    <row r="328" spans="1:17" x14ac:dyDescent="0.45">
      <c r="A328">
        <v>2914</v>
      </c>
      <c r="B328" t="s">
        <v>383</v>
      </c>
      <c r="C328">
        <v>420</v>
      </c>
      <c r="D328">
        <v>3</v>
      </c>
      <c r="E328">
        <v>391.2</v>
      </c>
      <c r="F328">
        <v>0</v>
      </c>
      <c r="G328">
        <v>272.3</v>
      </c>
      <c r="H328">
        <v>3</v>
      </c>
      <c r="I328">
        <v>19.850000000000001</v>
      </c>
      <c r="J328">
        <v>183</v>
      </c>
      <c r="K328">
        <v>69</v>
      </c>
      <c r="L328">
        <v>8</v>
      </c>
      <c r="M328">
        <v>18</v>
      </c>
      <c r="N328">
        <v>0</v>
      </c>
      <c r="O328">
        <v>606</v>
      </c>
      <c r="P328">
        <v>0</v>
      </c>
      <c r="Q328">
        <v>-341</v>
      </c>
    </row>
    <row r="329" spans="1:17" x14ac:dyDescent="0.45">
      <c r="A329">
        <v>4064</v>
      </c>
      <c r="B329" t="s">
        <v>384</v>
      </c>
      <c r="C329">
        <v>1111</v>
      </c>
      <c r="D329">
        <v>3</v>
      </c>
      <c r="E329">
        <v>872.1</v>
      </c>
      <c r="F329">
        <v>500.9</v>
      </c>
      <c r="G329">
        <v>1085.4000000000001</v>
      </c>
      <c r="H329">
        <v>2</v>
      </c>
      <c r="I329">
        <v>23.46</v>
      </c>
      <c r="J329">
        <v>451</v>
      </c>
      <c r="K329">
        <v>166</v>
      </c>
      <c r="L329">
        <v>37</v>
      </c>
      <c r="M329">
        <v>68</v>
      </c>
      <c r="N329">
        <v>0</v>
      </c>
      <c r="O329">
        <v>832</v>
      </c>
      <c r="P329">
        <v>0</v>
      </c>
      <c r="Q329">
        <v>-181</v>
      </c>
    </row>
    <row r="330" spans="1:17" x14ac:dyDescent="0.45">
      <c r="A330">
        <v>-1</v>
      </c>
      <c r="B330" t="s">
        <v>2866</v>
      </c>
      <c r="C330">
        <v>8815385</v>
      </c>
      <c r="D330">
        <v>-1</v>
      </c>
      <c r="E330">
        <v>7082437.5000000093</v>
      </c>
      <c r="F330">
        <v>4153201.0000000051</v>
      </c>
      <c r="G330">
        <v>7138692.9000000004</v>
      </c>
      <c r="H330">
        <v>-1</v>
      </c>
      <c r="I330">
        <v>21.13</v>
      </c>
      <c r="J330">
        <v>2899213</v>
      </c>
      <c r="K330">
        <v>1219855</v>
      </c>
      <c r="L330">
        <v>202527</v>
      </c>
      <c r="M330">
        <v>474492</v>
      </c>
      <c r="N330">
        <v>1939784</v>
      </c>
      <c r="O330">
        <v>5948636</v>
      </c>
      <c r="P330">
        <v>2886336.870000001</v>
      </c>
      <c r="Q330">
        <v>-2479547</v>
      </c>
    </row>
    <row r="331" spans="1:17" x14ac:dyDescent="0.45">
      <c r="A331">
        <v>5161</v>
      </c>
      <c r="B331" t="s">
        <v>388</v>
      </c>
      <c r="C331">
        <v>789</v>
      </c>
      <c r="D331">
        <v>3</v>
      </c>
      <c r="E331">
        <v>1142.5</v>
      </c>
      <c r="F331">
        <v>1.9</v>
      </c>
      <c r="G331">
        <v>694.8</v>
      </c>
      <c r="H331">
        <v>3</v>
      </c>
      <c r="I331">
        <v>25.45</v>
      </c>
      <c r="J331">
        <v>293</v>
      </c>
      <c r="K331">
        <v>94</v>
      </c>
      <c r="L331">
        <v>28</v>
      </c>
      <c r="M331">
        <v>68</v>
      </c>
      <c r="N331">
        <v>0</v>
      </c>
      <c r="O331">
        <v>191</v>
      </c>
      <c r="P331">
        <v>0</v>
      </c>
      <c r="Q331">
        <v>-582</v>
      </c>
    </row>
    <row r="332" spans="1:17" x14ac:dyDescent="0.45">
      <c r="A332">
        <v>5162</v>
      </c>
      <c r="B332" t="s">
        <v>389</v>
      </c>
      <c r="C332">
        <v>1501</v>
      </c>
      <c r="D332">
        <v>3</v>
      </c>
      <c r="E332">
        <v>1247.3</v>
      </c>
      <c r="F332">
        <v>836.9</v>
      </c>
      <c r="G332">
        <v>2498</v>
      </c>
      <c r="H332">
        <v>1</v>
      </c>
      <c r="I332">
        <v>18.600000000000001</v>
      </c>
      <c r="J332">
        <v>714</v>
      </c>
      <c r="K332">
        <v>273</v>
      </c>
      <c r="L332">
        <v>34</v>
      </c>
      <c r="M332">
        <v>142</v>
      </c>
      <c r="N332">
        <v>0</v>
      </c>
      <c r="O332">
        <v>1</v>
      </c>
      <c r="P332">
        <v>0</v>
      </c>
      <c r="Q332">
        <v>-20</v>
      </c>
    </row>
    <row r="333" spans="1:17" x14ac:dyDescent="0.45">
      <c r="A333">
        <v>5003</v>
      </c>
      <c r="B333" t="s">
        <v>390</v>
      </c>
      <c r="C333">
        <v>3068</v>
      </c>
      <c r="D333">
        <v>3</v>
      </c>
      <c r="E333">
        <v>2643.7</v>
      </c>
      <c r="F333">
        <v>247.9</v>
      </c>
      <c r="G333">
        <v>7532.5</v>
      </c>
      <c r="H333">
        <v>2</v>
      </c>
      <c r="I333">
        <v>22.12</v>
      </c>
      <c r="J333">
        <v>1189</v>
      </c>
      <c r="K333">
        <v>572</v>
      </c>
      <c r="L333">
        <v>30</v>
      </c>
      <c r="M333">
        <v>195</v>
      </c>
      <c r="N333">
        <v>0</v>
      </c>
      <c r="O333">
        <v>874</v>
      </c>
      <c r="P333">
        <v>0</v>
      </c>
      <c r="Q333">
        <v>-923</v>
      </c>
    </row>
    <row r="334" spans="1:17" x14ac:dyDescent="0.45">
      <c r="A334">
        <v>3837</v>
      </c>
      <c r="B334" t="s">
        <v>391</v>
      </c>
      <c r="C334">
        <v>217</v>
      </c>
      <c r="D334">
        <v>3</v>
      </c>
      <c r="E334">
        <v>50.4</v>
      </c>
      <c r="F334">
        <v>3</v>
      </c>
      <c r="G334">
        <v>63</v>
      </c>
      <c r="H334">
        <v>3</v>
      </c>
      <c r="I334">
        <v>29.04</v>
      </c>
      <c r="J334">
        <v>70</v>
      </c>
      <c r="K334">
        <v>41</v>
      </c>
      <c r="L334">
        <v>3</v>
      </c>
      <c r="M334">
        <v>15</v>
      </c>
      <c r="N334">
        <v>0</v>
      </c>
      <c r="O334">
        <v>825</v>
      </c>
      <c r="P334">
        <v>0</v>
      </c>
      <c r="Q334">
        <v>-3773</v>
      </c>
    </row>
    <row r="335" spans="1:17" x14ac:dyDescent="0.45">
      <c r="A335">
        <v>3831</v>
      </c>
      <c r="B335" t="s">
        <v>392</v>
      </c>
      <c r="C335">
        <v>658</v>
      </c>
      <c r="D335">
        <v>3</v>
      </c>
      <c r="E335">
        <v>308.60000000000002</v>
      </c>
      <c r="F335">
        <v>0</v>
      </c>
      <c r="G335">
        <v>282.89999999999998</v>
      </c>
      <c r="H335">
        <v>3</v>
      </c>
      <c r="I335">
        <v>29.04</v>
      </c>
      <c r="J335">
        <v>328</v>
      </c>
      <c r="K335">
        <v>159</v>
      </c>
      <c r="L335">
        <v>18</v>
      </c>
      <c r="M335">
        <v>49</v>
      </c>
      <c r="N335">
        <v>0</v>
      </c>
      <c r="O335">
        <v>168</v>
      </c>
      <c r="P335">
        <v>0</v>
      </c>
      <c r="Q335">
        <v>-1746</v>
      </c>
    </row>
    <row r="336" spans="1:17" x14ac:dyDescent="0.45">
      <c r="A336">
        <v>5307</v>
      </c>
      <c r="B336" t="s">
        <v>393</v>
      </c>
      <c r="C336">
        <v>49</v>
      </c>
      <c r="D336">
        <v>3</v>
      </c>
      <c r="E336">
        <v>100.3</v>
      </c>
      <c r="F336">
        <v>6.3</v>
      </c>
      <c r="G336">
        <v>69.900000000000006</v>
      </c>
      <c r="H336">
        <v>3</v>
      </c>
      <c r="I336">
        <v>25.45</v>
      </c>
      <c r="J336">
        <v>23</v>
      </c>
      <c r="K336">
        <v>12</v>
      </c>
      <c r="L336">
        <v>0</v>
      </c>
      <c r="M336">
        <v>0</v>
      </c>
      <c r="N336">
        <v>0</v>
      </c>
      <c r="O336">
        <v>221</v>
      </c>
      <c r="P336">
        <v>0</v>
      </c>
      <c r="Q336">
        <v>-4516</v>
      </c>
    </row>
    <row r="337" spans="1:17" x14ac:dyDescent="0.45">
      <c r="A337">
        <v>5167</v>
      </c>
      <c r="B337" t="s">
        <v>394</v>
      </c>
      <c r="C337">
        <v>2330</v>
      </c>
      <c r="D337">
        <v>2</v>
      </c>
      <c r="E337">
        <v>1589.6</v>
      </c>
      <c r="F337">
        <v>1339.1</v>
      </c>
      <c r="G337">
        <v>1159.2</v>
      </c>
      <c r="H337">
        <v>1</v>
      </c>
      <c r="I337">
        <v>18.600000000000001</v>
      </c>
      <c r="J337">
        <v>899</v>
      </c>
      <c r="K337">
        <v>272</v>
      </c>
      <c r="L337">
        <v>44</v>
      </c>
      <c r="M337">
        <v>198</v>
      </c>
      <c r="N337">
        <v>0</v>
      </c>
      <c r="O337">
        <v>0</v>
      </c>
      <c r="P337">
        <v>0</v>
      </c>
      <c r="Q337">
        <v>-100</v>
      </c>
    </row>
    <row r="338" spans="1:17" x14ac:dyDescent="0.45">
      <c r="A338">
        <v>5226</v>
      </c>
      <c r="B338" t="s">
        <v>395</v>
      </c>
      <c r="C338">
        <v>6740</v>
      </c>
      <c r="D338">
        <v>3</v>
      </c>
      <c r="E338">
        <v>5669.2</v>
      </c>
      <c r="F338">
        <v>267.3</v>
      </c>
      <c r="G338">
        <v>5464.3</v>
      </c>
      <c r="H338">
        <v>2</v>
      </c>
      <c r="I338">
        <v>22.12</v>
      </c>
      <c r="J338">
        <v>2579</v>
      </c>
      <c r="K338">
        <v>875</v>
      </c>
      <c r="L338">
        <v>156</v>
      </c>
      <c r="M338">
        <v>451</v>
      </c>
      <c r="N338">
        <v>0</v>
      </c>
      <c r="O338">
        <v>775</v>
      </c>
      <c r="P338">
        <v>0</v>
      </c>
      <c r="Q338">
        <v>-4315</v>
      </c>
    </row>
    <row r="339" spans="1:17" x14ac:dyDescent="0.45">
      <c r="A339">
        <v>6608</v>
      </c>
      <c r="B339" t="s">
        <v>396</v>
      </c>
      <c r="C339">
        <v>22164</v>
      </c>
      <c r="D339">
        <v>3</v>
      </c>
      <c r="E339">
        <v>6195.9</v>
      </c>
      <c r="F339">
        <v>15279.2</v>
      </c>
      <c r="G339">
        <v>3296.9</v>
      </c>
      <c r="H339">
        <v>1</v>
      </c>
      <c r="I339">
        <v>10.3</v>
      </c>
      <c r="J339">
        <v>6283</v>
      </c>
      <c r="K339">
        <v>1844</v>
      </c>
      <c r="L339">
        <v>313</v>
      </c>
      <c r="M339">
        <v>1096</v>
      </c>
      <c r="N339">
        <v>0</v>
      </c>
      <c r="O339">
        <v>4</v>
      </c>
      <c r="P339">
        <v>0</v>
      </c>
      <c r="Q339">
        <v>-40</v>
      </c>
    </row>
    <row r="340" spans="1:17" x14ac:dyDescent="0.45">
      <c r="A340">
        <v>6609</v>
      </c>
      <c r="B340" t="s">
        <v>397</v>
      </c>
      <c r="C340">
        <v>1021</v>
      </c>
      <c r="D340">
        <v>2</v>
      </c>
      <c r="E340">
        <v>352.8</v>
      </c>
      <c r="F340">
        <v>46.7</v>
      </c>
      <c r="G340">
        <v>345.2</v>
      </c>
      <c r="H340">
        <v>3</v>
      </c>
      <c r="I340">
        <v>27.36</v>
      </c>
      <c r="J340">
        <v>435</v>
      </c>
      <c r="K340">
        <v>95</v>
      </c>
      <c r="L340">
        <v>28</v>
      </c>
      <c r="M340">
        <v>79</v>
      </c>
      <c r="N340">
        <v>0</v>
      </c>
      <c r="O340">
        <v>284</v>
      </c>
      <c r="P340">
        <v>0</v>
      </c>
      <c r="Q340">
        <v>-221</v>
      </c>
    </row>
    <row r="341" spans="1:17" x14ac:dyDescent="0.45">
      <c r="A341">
        <v>5171</v>
      </c>
      <c r="B341" t="s">
        <v>398</v>
      </c>
      <c r="C341">
        <v>4329</v>
      </c>
      <c r="D341">
        <v>3</v>
      </c>
      <c r="E341">
        <v>4441.2</v>
      </c>
      <c r="F341">
        <v>40.4</v>
      </c>
      <c r="G341">
        <v>3408.1</v>
      </c>
      <c r="H341">
        <v>2</v>
      </c>
      <c r="I341">
        <v>22.12</v>
      </c>
      <c r="J341">
        <v>1532</v>
      </c>
      <c r="K341">
        <v>486</v>
      </c>
      <c r="L341">
        <v>63</v>
      </c>
      <c r="M341">
        <v>305</v>
      </c>
      <c r="N341">
        <v>0</v>
      </c>
      <c r="O341">
        <v>0</v>
      </c>
      <c r="P341">
        <v>0</v>
      </c>
      <c r="Q341">
        <v>-221</v>
      </c>
    </row>
    <row r="342" spans="1:17" x14ac:dyDescent="0.45">
      <c r="A342">
        <v>3805</v>
      </c>
      <c r="B342" t="s">
        <v>399</v>
      </c>
      <c r="C342">
        <v>268</v>
      </c>
      <c r="D342">
        <v>3</v>
      </c>
      <c r="E342">
        <v>540.1</v>
      </c>
      <c r="F342">
        <v>0</v>
      </c>
      <c r="G342">
        <v>283.2</v>
      </c>
      <c r="H342">
        <v>3</v>
      </c>
      <c r="I342">
        <v>29.04</v>
      </c>
      <c r="J342">
        <v>84</v>
      </c>
      <c r="K342">
        <v>54</v>
      </c>
      <c r="L342">
        <v>5</v>
      </c>
      <c r="M342">
        <v>10</v>
      </c>
      <c r="N342">
        <v>0</v>
      </c>
      <c r="O342">
        <v>52</v>
      </c>
      <c r="P342">
        <v>39.119999999999997</v>
      </c>
      <c r="Q342">
        <v>-642</v>
      </c>
    </row>
    <row r="343" spans="1:17" x14ac:dyDescent="0.45">
      <c r="A343">
        <v>5249</v>
      </c>
      <c r="B343" t="s">
        <v>400</v>
      </c>
      <c r="C343">
        <v>2227</v>
      </c>
      <c r="D343">
        <v>2</v>
      </c>
      <c r="E343">
        <v>3021.5</v>
      </c>
      <c r="F343">
        <v>91.8</v>
      </c>
      <c r="G343">
        <v>2449.5</v>
      </c>
      <c r="H343">
        <v>1</v>
      </c>
      <c r="I343">
        <v>18.600000000000001</v>
      </c>
      <c r="J343">
        <v>1010</v>
      </c>
      <c r="K343">
        <v>336</v>
      </c>
      <c r="L343">
        <v>78</v>
      </c>
      <c r="M343">
        <v>182</v>
      </c>
      <c r="N343">
        <v>0</v>
      </c>
      <c r="O343">
        <v>449</v>
      </c>
      <c r="P343">
        <v>0</v>
      </c>
      <c r="Q343">
        <v>-1525</v>
      </c>
    </row>
    <row r="344" spans="1:17" x14ac:dyDescent="0.45">
      <c r="A344">
        <v>3661</v>
      </c>
      <c r="B344" t="s">
        <v>401</v>
      </c>
      <c r="C344">
        <v>2346</v>
      </c>
      <c r="D344">
        <v>3</v>
      </c>
      <c r="E344">
        <v>2024.6</v>
      </c>
      <c r="F344">
        <v>2</v>
      </c>
      <c r="G344">
        <v>4180.8999999999996</v>
      </c>
      <c r="H344">
        <v>2</v>
      </c>
      <c r="I344">
        <v>21.73</v>
      </c>
      <c r="J344">
        <v>770</v>
      </c>
      <c r="K344">
        <v>538</v>
      </c>
      <c r="L344">
        <v>32</v>
      </c>
      <c r="M344">
        <v>110</v>
      </c>
      <c r="N344">
        <v>0</v>
      </c>
      <c r="O344">
        <v>6364</v>
      </c>
      <c r="P344">
        <v>1218.25</v>
      </c>
      <c r="Q344">
        <v>-2127</v>
      </c>
    </row>
    <row r="345" spans="1:17" x14ac:dyDescent="0.45">
      <c r="A345">
        <v>3782</v>
      </c>
      <c r="B345" t="s">
        <v>402</v>
      </c>
      <c r="C345">
        <v>1424</v>
      </c>
      <c r="D345">
        <v>3</v>
      </c>
      <c r="E345">
        <v>7361.8</v>
      </c>
      <c r="F345">
        <v>4.2</v>
      </c>
      <c r="G345">
        <v>207.5</v>
      </c>
      <c r="H345">
        <v>3</v>
      </c>
      <c r="I345">
        <v>29.04</v>
      </c>
      <c r="J345">
        <v>615</v>
      </c>
      <c r="K345">
        <v>270</v>
      </c>
      <c r="L345">
        <v>19</v>
      </c>
      <c r="M345">
        <v>85</v>
      </c>
      <c r="N345">
        <v>0</v>
      </c>
      <c r="O345">
        <v>615</v>
      </c>
      <c r="P345">
        <v>3691.65</v>
      </c>
      <c r="Q345">
        <v>-1485</v>
      </c>
    </row>
    <row r="346" spans="1:17" x14ac:dyDescent="0.45">
      <c r="A346">
        <v>5397</v>
      </c>
      <c r="B346" t="s">
        <v>404</v>
      </c>
      <c r="C346">
        <v>1102</v>
      </c>
      <c r="D346">
        <v>3</v>
      </c>
      <c r="E346">
        <v>493.9</v>
      </c>
      <c r="F346">
        <v>47</v>
      </c>
      <c r="G346">
        <v>600.29999999999995</v>
      </c>
      <c r="H346">
        <v>2</v>
      </c>
      <c r="I346">
        <v>22.12</v>
      </c>
      <c r="J346">
        <v>456</v>
      </c>
      <c r="K346">
        <v>134</v>
      </c>
      <c r="L346">
        <v>26</v>
      </c>
      <c r="M346">
        <v>62</v>
      </c>
      <c r="N346">
        <v>0</v>
      </c>
      <c r="O346">
        <v>351</v>
      </c>
      <c r="P346">
        <v>11.08</v>
      </c>
      <c r="Q346">
        <v>-7847</v>
      </c>
    </row>
    <row r="347" spans="1:17" x14ac:dyDescent="0.45">
      <c r="A347">
        <v>5309</v>
      </c>
      <c r="B347" t="s">
        <v>405</v>
      </c>
      <c r="C347">
        <v>36</v>
      </c>
      <c r="D347">
        <v>3</v>
      </c>
      <c r="E347">
        <v>26.4</v>
      </c>
      <c r="F347">
        <v>7.5</v>
      </c>
      <c r="G347">
        <v>17.899999999999999</v>
      </c>
      <c r="H347">
        <v>3</v>
      </c>
      <c r="I347">
        <v>25.45</v>
      </c>
      <c r="J347">
        <v>12</v>
      </c>
      <c r="K347">
        <v>6</v>
      </c>
      <c r="L347">
        <v>2</v>
      </c>
      <c r="M347">
        <v>0</v>
      </c>
      <c r="N347">
        <v>0</v>
      </c>
      <c r="O347">
        <v>173</v>
      </c>
      <c r="P347">
        <v>0</v>
      </c>
      <c r="Q347">
        <v>-2910</v>
      </c>
    </row>
    <row r="348" spans="1:17" x14ac:dyDescent="0.45">
      <c r="A348">
        <v>5310</v>
      </c>
      <c r="B348" t="s">
        <v>406</v>
      </c>
      <c r="C348">
        <v>1110</v>
      </c>
      <c r="D348">
        <v>3</v>
      </c>
      <c r="E348">
        <v>975.9</v>
      </c>
      <c r="F348">
        <v>138.30000000000001</v>
      </c>
      <c r="G348">
        <v>671.4</v>
      </c>
      <c r="H348">
        <v>3</v>
      </c>
      <c r="I348">
        <v>25.45</v>
      </c>
      <c r="J348">
        <v>438</v>
      </c>
      <c r="K348">
        <v>152</v>
      </c>
      <c r="L348">
        <v>17</v>
      </c>
      <c r="M348">
        <v>48</v>
      </c>
      <c r="N348">
        <v>0</v>
      </c>
      <c r="O348">
        <v>291</v>
      </c>
      <c r="P348">
        <v>0</v>
      </c>
      <c r="Q348">
        <v>-11761</v>
      </c>
    </row>
    <row r="349" spans="1:17" x14ac:dyDescent="0.45">
      <c r="A349">
        <v>6232</v>
      </c>
      <c r="B349" t="s">
        <v>407</v>
      </c>
      <c r="C349">
        <v>3759</v>
      </c>
      <c r="D349">
        <v>3</v>
      </c>
      <c r="E349">
        <v>4614.8</v>
      </c>
      <c r="F349">
        <v>2175.6999999999998</v>
      </c>
      <c r="G349">
        <v>4640.7</v>
      </c>
      <c r="H349">
        <v>2</v>
      </c>
      <c r="I349">
        <v>30.34</v>
      </c>
      <c r="J349">
        <v>1795</v>
      </c>
      <c r="K349">
        <v>620</v>
      </c>
      <c r="L349">
        <v>85</v>
      </c>
      <c r="M349">
        <v>178</v>
      </c>
      <c r="N349">
        <v>0</v>
      </c>
      <c r="O349">
        <v>584</v>
      </c>
      <c r="P349">
        <v>0</v>
      </c>
      <c r="Q349">
        <v>-3091</v>
      </c>
    </row>
    <row r="350" spans="1:17" x14ac:dyDescent="0.45">
      <c r="A350">
        <v>1702</v>
      </c>
      <c r="B350" t="s">
        <v>408</v>
      </c>
      <c r="C350">
        <v>17643</v>
      </c>
      <c r="D350">
        <v>2</v>
      </c>
      <c r="E350">
        <v>9296.2000000000007</v>
      </c>
      <c r="F350">
        <v>9216.7000000000007</v>
      </c>
      <c r="G350">
        <v>13248.2</v>
      </c>
      <c r="H350">
        <v>1</v>
      </c>
      <c r="I350">
        <v>22.43</v>
      </c>
      <c r="J350">
        <v>6930</v>
      </c>
      <c r="K350">
        <v>3186</v>
      </c>
      <c r="L350">
        <v>1826</v>
      </c>
      <c r="M350">
        <v>1635</v>
      </c>
      <c r="N350">
        <v>0</v>
      </c>
      <c r="O350">
        <v>8406</v>
      </c>
      <c r="P350">
        <v>8047.85</v>
      </c>
      <c r="Q350">
        <v>-442</v>
      </c>
    </row>
    <row r="351" spans="1:17" x14ac:dyDescent="0.45">
      <c r="A351">
        <v>5904</v>
      </c>
      <c r="B351" t="s">
        <v>409</v>
      </c>
      <c r="C351">
        <v>567</v>
      </c>
      <c r="D351">
        <v>3</v>
      </c>
      <c r="E351">
        <v>74.900000000000006</v>
      </c>
      <c r="F351">
        <v>987.5</v>
      </c>
      <c r="G351">
        <v>339.7</v>
      </c>
      <c r="H351">
        <v>2</v>
      </c>
      <c r="I351">
        <v>26.72</v>
      </c>
      <c r="J351">
        <v>220</v>
      </c>
      <c r="K351">
        <v>59</v>
      </c>
      <c r="L351">
        <v>21</v>
      </c>
      <c r="M351">
        <v>40</v>
      </c>
      <c r="N351">
        <v>0</v>
      </c>
      <c r="O351">
        <v>0</v>
      </c>
      <c r="P351">
        <v>0</v>
      </c>
      <c r="Q351">
        <v>-161</v>
      </c>
    </row>
    <row r="352" spans="1:17" x14ac:dyDescent="0.45">
      <c r="A352">
        <v>6022</v>
      </c>
      <c r="B352" t="s">
        <v>410</v>
      </c>
      <c r="C352">
        <v>4178</v>
      </c>
      <c r="D352">
        <v>3</v>
      </c>
      <c r="E352">
        <v>3619.6</v>
      </c>
      <c r="F352">
        <v>27.5</v>
      </c>
      <c r="G352">
        <v>3103.8</v>
      </c>
      <c r="H352">
        <v>2</v>
      </c>
      <c r="I352">
        <v>30.34</v>
      </c>
      <c r="J352">
        <v>1956</v>
      </c>
      <c r="K352">
        <v>701</v>
      </c>
      <c r="L352">
        <v>159</v>
      </c>
      <c r="M352">
        <v>278</v>
      </c>
      <c r="N352">
        <v>0</v>
      </c>
      <c r="O352">
        <v>462</v>
      </c>
      <c r="P352">
        <v>360.29</v>
      </c>
      <c r="Q352">
        <v>-1967</v>
      </c>
    </row>
    <row r="353" spans="1:17" x14ac:dyDescent="0.45">
      <c r="A353">
        <v>5553</v>
      </c>
      <c r="B353" t="s">
        <v>411</v>
      </c>
      <c r="C353">
        <v>1073</v>
      </c>
      <c r="D353">
        <v>3</v>
      </c>
      <c r="E353">
        <v>863.6</v>
      </c>
      <c r="F353">
        <v>24.8</v>
      </c>
      <c r="G353">
        <v>2254.8000000000002</v>
      </c>
      <c r="H353">
        <v>2</v>
      </c>
      <c r="I353">
        <v>26.72</v>
      </c>
      <c r="J353">
        <v>434</v>
      </c>
      <c r="K353">
        <v>121</v>
      </c>
      <c r="L353">
        <v>57</v>
      </c>
      <c r="M353">
        <v>69</v>
      </c>
      <c r="N353">
        <v>0</v>
      </c>
      <c r="O353">
        <v>843</v>
      </c>
      <c r="P353">
        <v>39.869999999999997</v>
      </c>
      <c r="Q353">
        <v>-281</v>
      </c>
    </row>
    <row r="354" spans="1:17" x14ac:dyDescent="0.45">
      <c r="A354">
        <v>683</v>
      </c>
      <c r="B354" t="s">
        <v>413</v>
      </c>
      <c r="C354">
        <v>160</v>
      </c>
      <c r="D354">
        <v>2</v>
      </c>
      <c r="E354">
        <v>347.4</v>
      </c>
      <c r="F354">
        <v>0</v>
      </c>
      <c r="G354">
        <v>270.89999999999998</v>
      </c>
      <c r="H354">
        <v>3</v>
      </c>
      <c r="I354">
        <v>26.41</v>
      </c>
      <c r="J354">
        <v>80</v>
      </c>
      <c r="K354">
        <v>23</v>
      </c>
      <c r="L354">
        <v>7</v>
      </c>
      <c r="M354">
        <v>2</v>
      </c>
      <c r="N354">
        <v>0</v>
      </c>
      <c r="O354">
        <v>1082</v>
      </c>
      <c r="P354">
        <v>0</v>
      </c>
      <c r="Q354">
        <v>-642</v>
      </c>
    </row>
    <row r="355" spans="1:17" x14ac:dyDescent="0.45">
      <c r="A355">
        <v>5812</v>
      </c>
      <c r="B355" t="s">
        <v>414</v>
      </c>
      <c r="C355">
        <v>169</v>
      </c>
      <c r="D355">
        <v>3</v>
      </c>
      <c r="E355">
        <v>245</v>
      </c>
      <c r="F355">
        <v>136.9</v>
      </c>
      <c r="G355">
        <v>149.30000000000001</v>
      </c>
      <c r="H355">
        <v>3</v>
      </c>
      <c r="I355">
        <v>35.86</v>
      </c>
      <c r="J355">
        <v>76</v>
      </c>
      <c r="K355">
        <v>33</v>
      </c>
      <c r="L355">
        <v>3</v>
      </c>
      <c r="M355">
        <v>11</v>
      </c>
      <c r="N355">
        <v>0</v>
      </c>
      <c r="O355">
        <v>923</v>
      </c>
      <c r="P355">
        <v>0</v>
      </c>
      <c r="Q355">
        <v>-120</v>
      </c>
    </row>
    <row r="356" spans="1:17" x14ac:dyDescent="0.45">
      <c r="A356">
        <v>5905</v>
      </c>
      <c r="B356" t="s">
        <v>415</v>
      </c>
      <c r="C356">
        <v>727</v>
      </c>
      <c r="D356">
        <v>3</v>
      </c>
      <c r="E356">
        <v>527.1</v>
      </c>
      <c r="F356">
        <v>858.2</v>
      </c>
      <c r="G356">
        <v>1205.8</v>
      </c>
      <c r="H356">
        <v>3</v>
      </c>
      <c r="I356">
        <v>35.86</v>
      </c>
      <c r="J356">
        <v>281</v>
      </c>
      <c r="K356">
        <v>104</v>
      </c>
      <c r="L356">
        <v>16</v>
      </c>
      <c r="M356">
        <v>46</v>
      </c>
      <c r="N356">
        <v>0</v>
      </c>
      <c r="O356">
        <v>2834</v>
      </c>
      <c r="P356">
        <v>33.229999999999997</v>
      </c>
      <c r="Q356">
        <v>-421</v>
      </c>
    </row>
    <row r="357" spans="1:17" x14ac:dyDescent="0.45">
      <c r="A357">
        <v>6151</v>
      </c>
      <c r="B357" t="s">
        <v>412</v>
      </c>
      <c r="C357">
        <v>1350</v>
      </c>
      <c r="D357">
        <v>3</v>
      </c>
      <c r="E357">
        <v>7744.7</v>
      </c>
      <c r="F357">
        <v>45.6</v>
      </c>
      <c r="G357">
        <v>634.79999999999995</v>
      </c>
      <c r="H357">
        <v>3</v>
      </c>
      <c r="I357">
        <v>30.8</v>
      </c>
      <c r="J357">
        <v>646</v>
      </c>
      <c r="K357">
        <v>258</v>
      </c>
      <c r="L357">
        <v>26</v>
      </c>
      <c r="M357">
        <v>96</v>
      </c>
      <c r="N357">
        <v>0</v>
      </c>
      <c r="O357">
        <v>1162</v>
      </c>
      <c r="P357">
        <v>166.13</v>
      </c>
      <c r="Q357">
        <v>-2709</v>
      </c>
    </row>
    <row r="358" spans="1:17" x14ac:dyDescent="0.45">
      <c r="A358">
        <v>6611</v>
      </c>
      <c r="B358" t="s">
        <v>416</v>
      </c>
      <c r="C358">
        <v>1671</v>
      </c>
      <c r="D358">
        <v>3</v>
      </c>
      <c r="E358">
        <v>961.9</v>
      </c>
      <c r="F358">
        <v>67.900000000000006</v>
      </c>
      <c r="G358">
        <v>725.5</v>
      </c>
      <c r="H358">
        <v>2</v>
      </c>
      <c r="I358">
        <v>18.96</v>
      </c>
      <c r="J358">
        <v>593</v>
      </c>
      <c r="K358">
        <v>154</v>
      </c>
      <c r="L358">
        <v>20</v>
      </c>
      <c r="M358">
        <v>80</v>
      </c>
      <c r="N358">
        <v>0</v>
      </c>
      <c r="O358">
        <v>579</v>
      </c>
      <c r="P358">
        <v>195.67</v>
      </c>
      <c r="Q358">
        <v>-341</v>
      </c>
    </row>
    <row r="359" spans="1:17" x14ac:dyDescent="0.45">
      <c r="A359">
        <v>2066</v>
      </c>
      <c r="B359" t="s">
        <v>417</v>
      </c>
      <c r="C359">
        <v>334</v>
      </c>
      <c r="D359">
        <v>3</v>
      </c>
      <c r="E359">
        <v>348.9</v>
      </c>
      <c r="F359">
        <v>6.8</v>
      </c>
      <c r="G359">
        <v>338.9</v>
      </c>
      <c r="H359">
        <v>3</v>
      </c>
      <c r="I359">
        <v>36.93</v>
      </c>
      <c r="J359">
        <v>141</v>
      </c>
      <c r="K359">
        <v>38</v>
      </c>
      <c r="L359">
        <v>13</v>
      </c>
      <c r="M359">
        <v>30</v>
      </c>
      <c r="N359">
        <v>0</v>
      </c>
      <c r="O359">
        <v>608</v>
      </c>
      <c r="P359">
        <v>0</v>
      </c>
      <c r="Q359">
        <v>-80</v>
      </c>
    </row>
    <row r="360" spans="1:17" x14ac:dyDescent="0.45">
      <c r="A360">
        <v>5882</v>
      </c>
      <c r="B360" t="s">
        <v>418</v>
      </c>
      <c r="C360">
        <v>3186</v>
      </c>
      <c r="D360">
        <v>3</v>
      </c>
      <c r="E360">
        <v>2045.3</v>
      </c>
      <c r="F360">
        <v>4370.6000000000004</v>
      </c>
      <c r="G360">
        <v>1865.1</v>
      </c>
      <c r="H360">
        <v>1</v>
      </c>
      <c r="I360">
        <v>19.809999999999999</v>
      </c>
      <c r="J360">
        <v>1178</v>
      </c>
      <c r="K360">
        <v>355</v>
      </c>
      <c r="L360">
        <v>141</v>
      </c>
      <c r="M360">
        <v>274</v>
      </c>
      <c r="N360">
        <v>0</v>
      </c>
      <c r="O360">
        <v>1785</v>
      </c>
      <c r="P360">
        <v>0</v>
      </c>
      <c r="Q360">
        <v>-702</v>
      </c>
    </row>
    <row r="361" spans="1:17" x14ac:dyDescent="0.45">
      <c r="A361">
        <v>5707</v>
      </c>
      <c r="B361" t="s">
        <v>425</v>
      </c>
      <c r="C361">
        <v>1340</v>
      </c>
      <c r="D361">
        <v>3</v>
      </c>
      <c r="E361">
        <v>1037.3</v>
      </c>
      <c r="F361">
        <v>34.799999999999997</v>
      </c>
      <c r="G361">
        <v>1011.9</v>
      </c>
      <c r="H361">
        <v>1</v>
      </c>
      <c r="I361">
        <v>19.809999999999999</v>
      </c>
      <c r="J361">
        <v>559</v>
      </c>
      <c r="K361">
        <v>191</v>
      </c>
      <c r="L361">
        <v>64</v>
      </c>
      <c r="M361">
        <v>144</v>
      </c>
      <c r="N361">
        <v>0</v>
      </c>
      <c r="O361">
        <v>398</v>
      </c>
      <c r="P361">
        <v>0</v>
      </c>
      <c r="Q361">
        <v>-80</v>
      </c>
    </row>
    <row r="362" spans="1:17" x14ac:dyDescent="0.45">
      <c r="A362">
        <v>5708</v>
      </c>
      <c r="B362" t="s">
        <v>426</v>
      </c>
      <c r="C362">
        <v>1014</v>
      </c>
      <c r="D362">
        <v>3</v>
      </c>
      <c r="E362">
        <v>435</v>
      </c>
      <c r="F362">
        <v>95.4</v>
      </c>
      <c r="G362">
        <v>244.5</v>
      </c>
      <c r="H362">
        <v>3</v>
      </c>
      <c r="I362">
        <v>35.86</v>
      </c>
      <c r="J362">
        <v>332</v>
      </c>
      <c r="K362">
        <v>100</v>
      </c>
      <c r="L362">
        <v>38</v>
      </c>
      <c r="M362">
        <v>108</v>
      </c>
      <c r="N362">
        <v>0</v>
      </c>
      <c r="O362">
        <v>101</v>
      </c>
      <c r="P362">
        <v>33.229999999999997</v>
      </c>
      <c r="Q362">
        <v>-161</v>
      </c>
    </row>
    <row r="363" spans="1:17" x14ac:dyDescent="0.45">
      <c r="A363">
        <v>5907</v>
      </c>
      <c r="B363" t="s">
        <v>427</v>
      </c>
      <c r="C363">
        <v>316</v>
      </c>
      <c r="D363">
        <v>3</v>
      </c>
      <c r="E363">
        <v>347.9</v>
      </c>
      <c r="F363">
        <v>396.5</v>
      </c>
      <c r="G363">
        <v>228.5</v>
      </c>
      <c r="H363">
        <v>3</v>
      </c>
      <c r="I363">
        <v>35.86</v>
      </c>
      <c r="J363">
        <v>152</v>
      </c>
      <c r="K363">
        <v>52</v>
      </c>
      <c r="L363">
        <v>8</v>
      </c>
      <c r="M363">
        <v>15</v>
      </c>
      <c r="N363">
        <v>0</v>
      </c>
      <c r="O363">
        <v>422</v>
      </c>
      <c r="P363">
        <v>16.260000000000002</v>
      </c>
      <c r="Q363">
        <v>-100</v>
      </c>
    </row>
    <row r="364" spans="1:17" x14ac:dyDescent="0.45">
      <c r="A364">
        <v>5475</v>
      </c>
      <c r="B364" t="s">
        <v>428</v>
      </c>
      <c r="C364">
        <v>163</v>
      </c>
      <c r="D364">
        <v>2</v>
      </c>
      <c r="E364">
        <v>384.4</v>
      </c>
      <c r="F364">
        <v>74.400000000000006</v>
      </c>
      <c r="G364">
        <v>127.7</v>
      </c>
      <c r="H364">
        <v>3</v>
      </c>
      <c r="I364">
        <v>35.86</v>
      </c>
      <c r="J364">
        <v>68</v>
      </c>
      <c r="K364">
        <v>27</v>
      </c>
      <c r="L364">
        <v>4</v>
      </c>
      <c r="M364">
        <v>6</v>
      </c>
      <c r="N364">
        <v>0</v>
      </c>
      <c r="O364">
        <v>1963</v>
      </c>
      <c r="P364">
        <v>0</v>
      </c>
      <c r="Q364">
        <v>-140</v>
      </c>
    </row>
    <row r="365" spans="1:17" x14ac:dyDescent="0.45">
      <c r="A365">
        <v>5627</v>
      </c>
      <c r="B365" t="s">
        <v>429</v>
      </c>
      <c r="C365">
        <v>8737</v>
      </c>
      <c r="D365">
        <v>2</v>
      </c>
      <c r="E365">
        <v>5836.6</v>
      </c>
      <c r="F365">
        <v>5214.8999999999996</v>
      </c>
      <c r="G365">
        <v>2787.8</v>
      </c>
      <c r="H365">
        <v>1</v>
      </c>
      <c r="I365">
        <v>19.809999999999999</v>
      </c>
      <c r="J365">
        <v>1817</v>
      </c>
      <c r="K365">
        <v>777</v>
      </c>
      <c r="L365">
        <v>61</v>
      </c>
      <c r="M365">
        <v>324</v>
      </c>
      <c r="N365">
        <v>0</v>
      </c>
      <c r="O365">
        <v>5</v>
      </c>
      <c r="P365">
        <v>0</v>
      </c>
      <c r="Q365">
        <v>-20</v>
      </c>
    </row>
    <row r="366" spans="1:17" x14ac:dyDescent="0.45">
      <c r="A366">
        <v>5665</v>
      </c>
      <c r="B366" t="s">
        <v>430</v>
      </c>
      <c r="C366">
        <v>218</v>
      </c>
      <c r="D366">
        <v>3</v>
      </c>
      <c r="E366">
        <v>421</v>
      </c>
      <c r="F366">
        <v>0</v>
      </c>
      <c r="G366">
        <v>590.29999999999995</v>
      </c>
      <c r="H366">
        <v>3</v>
      </c>
      <c r="I366">
        <v>35.86</v>
      </c>
      <c r="J366">
        <v>109</v>
      </c>
      <c r="K366">
        <v>27</v>
      </c>
      <c r="L366">
        <v>13</v>
      </c>
      <c r="M366">
        <v>9</v>
      </c>
      <c r="N366">
        <v>0</v>
      </c>
      <c r="O366">
        <v>2307</v>
      </c>
      <c r="P366">
        <v>0</v>
      </c>
      <c r="Q366">
        <v>-201</v>
      </c>
    </row>
    <row r="367" spans="1:17" x14ac:dyDescent="0.45">
      <c r="A367">
        <v>5749</v>
      </c>
      <c r="B367" t="s">
        <v>431</v>
      </c>
      <c r="C367">
        <v>5395</v>
      </c>
      <c r="D367">
        <v>3</v>
      </c>
      <c r="E367">
        <v>2234.6999999999998</v>
      </c>
      <c r="F367">
        <v>4455.5</v>
      </c>
      <c r="G367">
        <v>5710.4</v>
      </c>
      <c r="H367">
        <v>2</v>
      </c>
      <c r="I367">
        <v>26.72</v>
      </c>
      <c r="J367">
        <v>1997</v>
      </c>
      <c r="K367">
        <v>738</v>
      </c>
      <c r="L367">
        <v>119</v>
      </c>
      <c r="M367">
        <v>348</v>
      </c>
      <c r="N367">
        <v>0</v>
      </c>
      <c r="O367">
        <v>4474</v>
      </c>
      <c r="P367">
        <v>221.5</v>
      </c>
      <c r="Q367">
        <v>-682</v>
      </c>
    </row>
    <row r="368" spans="1:17" x14ac:dyDescent="0.45">
      <c r="A368">
        <v>5909</v>
      </c>
      <c r="B368" t="s">
        <v>436</v>
      </c>
      <c r="C368">
        <v>735</v>
      </c>
      <c r="D368">
        <v>3</v>
      </c>
      <c r="E368">
        <v>626.20000000000005</v>
      </c>
      <c r="F368">
        <v>168.5</v>
      </c>
      <c r="G368">
        <v>1414.7</v>
      </c>
      <c r="H368">
        <v>1</v>
      </c>
      <c r="I368">
        <v>19.809999999999999</v>
      </c>
      <c r="J368">
        <v>274</v>
      </c>
      <c r="K368">
        <v>62</v>
      </c>
      <c r="L368">
        <v>28</v>
      </c>
      <c r="M368">
        <v>51</v>
      </c>
      <c r="N368">
        <v>0</v>
      </c>
      <c r="O368">
        <v>568</v>
      </c>
      <c r="P368">
        <v>36.9</v>
      </c>
      <c r="Q368">
        <v>-622</v>
      </c>
    </row>
    <row r="369" spans="1:17" x14ac:dyDescent="0.45">
      <c r="A369">
        <v>5582</v>
      </c>
      <c r="B369" t="s">
        <v>437</v>
      </c>
      <c r="C369">
        <v>4517</v>
      </c>
      <c r="D369">
        <v>3</v>
      </c>
      <c r="E369">
        <v>2990.7</v>
      </c>
      <c r="F369">
        <v>1835.6</v>
      </c>
      <c r="G369">
        <v>2284.4</v>
      </c>
      <c r="H369">
        <v>2</v>
      </c>
      <c r="I369">
        <v>26.72</v>
      </c>
      <c r="J369">
        <v>1897</v>
      </c>
      <c r="K369">
        <v>494</v>
      </c>
      <c r="L369">
        <v>144</v>
      </c>
      <c r="M369">
        <v>390</v>
      </c>
      <c r="N369">
        <v>0</v>
      </c>
      <c r="O369">
        <v>1166</v>
      </c>
      <c r="P369">
        <v>0</v>
      </c>
      <c r="Q369">
        <v>-140</v>
      </c>
    </row>
    <row r="370" spans="1:17" x14ac:dyDescent="0.45">
      <c r="A370">
        <v>5403</v>
      </c>
      <c r="B370" t="s">
        <v>439</v>
      </c>
      <c r="C370">
        <v>528</v>
      </c>
      <c r="D370">
        <v>3</v>
      </c>
      <c r="E370">
        <v>396.5</v>
      </c>
      <c r="F370">
        <v>377.5</v>
      </c>
      <c r="G370">
        <v>1357.6</v>
      </c>
      <c r="H370">
        <v>2</v>
      </c>
      <c r="I370">
        <v>26.72</v>
      </c>
      <c r="J370">
        <v>179</v>
      </c>
      <c r="K370">
        <v>56</v>
      </c>
      <c r="L370">
        <v>10</v>
      </c>
      <c r="M370">
        <v>28</v>
      </c>
      <c r="N370">
        <v>0</v>
      </c>
      <c r="O370">
        <v>1166</v>
      </c>
      <c r="P370">
        <v>0</v>
      </c>
      <c r="Q370">
        <v>-140</v>
      </c>
    </row>
    <row r="371" spans="1:17" x14ac:dyDescent="0.45">
      <c r="A371">
        <v>5476</v>
      </c>
      <c r="B371" t="s">
        <v>440</v>
      </c>
      <c r="C371">
        <v>331</v>
      </c>
      <c r="D371">
        <v>3</v>
      </c>
      <c r="E371">
        <v>339.2</v>
      </c>
      <c r="F371">
        <v>5.7</v>
      </c>
      <c r="G371">
        <v>299.3</v>
      </c>
      <c r="H371">
        <v>3</v>
      </c>
      <c r="I371">
        <v>35.86</v>
      </c>
      <c r="J371">
        <v>149</v>
      </c>
      <c r="K371">
        <v>32</v>
      </c>
      <c r="L371">
        <v>13</v>
      </c>
      <c r="M371">
        <v>30</v>
      </c>
      <c r="N371">
        <v>0</v>
      </c>
      <c r="O371">
        <v>519</v>
      </c>
      <c r="P371">
        <v>16.260000000000002</v>
      </c>
      <c r="Q371">
        <v>-140</v>
      </c>
    </row>
    <row r="372" spans="1:17" x14ac:dyDescent="0.45">
      <c r="A372">
        <v>5813</v>
      </c>
      <c r="B372" t="s">
        <v>441</v>
      </c>
      <c r="C372">
        <v>519</v>
      </c>
      <c r="D372">
        <v>3</v>
      </c>
      <c r="E372">
        <v>945.8</v>
      </c>
      <c r="F372">
        <v>95.6</v>
      </c>
      <c r="G372">
        <v>1280.0999999999999</v>
      </c>
      <c r="H372">
        <v>3</v>
      </c>
      <c r="I372">
        <v>35.86</v>
      </c>
      <c r="J372">
        <v>236</v>
      </c>
      <c r="K372">
        <v>54</v>
      </c>
      <c r="L372">
        <v>19</v>
      </c>
      <c r="M372">
        <v>31</v>
      </c>
      <c r="N372">
        <v>0</v>
      </c>
      <c r="O372">
        <v>337</v>
      </c>
      <c r="P372">
        <v>50.19</v>
      </c>
      <c r="Q372">
        <v>-161</v>
      </c>
    </row>
    <row r="373" spans="1:17" x14ac:dyDescent="0.45">
      <c r="A373">
        <v>5601</v>
      </c>
      <c r="B373" t="s">
        <v>442</v>
      </c>
      <c r="C373">
        <v>2202</v>
      </c>
      <c r="D373">
        <v>3</v>
      </c>
      <c r="E373">
        <v>1329.4</v>
      </c>
      <c r="F373">
        <v>2916.4</v>
      </c>
      <c r="G373">
        <v>626.5</v>
      </c>
      <c r="H373">
        <v>2</v>
      </c>
      <c r="I373">
        <v>26.72</v>
      </c>
      <c r="J373">
        <v>842</v>
      </c>
      <c r="K373">
        <v>238</v>
      </c>
      <c r="L373">
        <v>61</v>
      </c>
      <c r="M373">
        <v>155</v>
      </c>
      <c r="N373">
        <v>0</v>
      </c>
      <c r="O373">
        <v>436</v>
      </c>
      <c r="P373">
        <v>0</v>
      </c>
      <c r="Q373">
        <v>-60</v>
      </c>
    </row>
    <row r="374" spans="1:17" x14ac:dyDescent="0.45">
      <c r="A374">
        <v>2055</v>
      </c>
      <c r="B374" t="s">
        <v>443</v>
      </c>
      <c r="C374">
        <v>2405</v>
      </c>
      <c r="D374">
        <v>3</v>
      </c>
      <c r="E374">
        <v>1769.3</v>
      </c>
      <c r="F374">
        <v>206.9</v>
      </c>
      <c r="G374">
        <v>3451.3</v>
      </c>
      <c r="H374">
        <v>3</v>
      </c>
      <c r="I374">
        <v>36.93</v>
      </c>
      <c r="J374">
        <v>1015</v>
      </c>
      <c r="K374">
        <v>300</v>
      </c>
      <c r="L374">
        <v>84</v>
      </c>
      <c r="M374">
        <v>176</v>
      </c>
      <c r="N374">
        <v>0</v>
      </c>
      <c r="O374">
        <v>3260</v>
      </c>
      <c r="P374">
        <v>0</v>
      </c>
      <c r="Q374">
        <v>-622</v>
      </c>
    </row>
    <row r="375" spans="1:17" x14ac:dyDescent="0.45">
      <c r="A375">
        <v>5250</v>
      </c>
      <c r="B375" t="s">
        <v>444</v>
      </c>
      <c r="C375">
        <v>7420</v>
      </c>
      <c r="D375">
        <v>2</v>
      </c>
      <c r="E375">
        <v>7143.6</v>
      </c>
      <c r="F375">
        <v>6799</v>
      </c>
      <c r="G375">
        <v>2715.2</v>
      </c>
      <c r="H375">
        <v>1</v>
      </c>
      <c r="I375">
        <v>18.600000000000001</v>
      </c>
      <c r="J375">
        <v>2756</v>
      </c>
      <c r="K375">
        <v>1085</v>
      </c>
      <c r="L375">
        <v>124</v>
      </c>
      <c r="M375">
        <v>701</v>
      </c>
      <c r="N375">
        <v>0</v>
      </c>
      <c r="O375">
        <v>62</v>
      </c>
      <c r="P375">
        <v>0</v>
      </c>
      <c r="Q375">
        <v>-502</v>
      </c>
    </row>
    <row r="376" spans="1:17" x14ac:dyDescent="0.45">
      <c r="A376">
        <v>5628</v>
      </c>
      <c r="B376" t="s">
        <v>445</v>
      </c>
      <c r="C376">
        <v>419</v>
      </c>
      <c r="D376">
        <v>3</v>
      </c>
      <c r="E376">
        <v>336.8</v>
      </c>
      <c r="F376">
        <v>244.3</v>
      </c>
      <c r="G376">
        <v>239.9</v>
      </c>
      <c r="H376">
        <v>1</v>
      </c>
      <c r="I376">
        <v>19.809999999999999</v>
      </c>
      <c r="J376">
        <v>116</v>
      </c>
      <c r="K376">
        <v>41</v>
      </c>
      <c r="L376">
        <v>22</v>
      </c>
      <c r="M376">
        <v>27</v>
      </c>
      <c r="N376">
        <v>0</v>
      </c>
      <c r="O376">
        <v>58</v>
      </c>
      <c r="P376">
        <v>0</v>
      </c>
      <c r="Q376">
        <v>-20</v>
      </c>
    </row>
    <row r="377" spans="1:17" x14ac:dyDescent="0.45">
      <c r="A377">
        <v>6235</v>
      </c>
      <c r="B377" t="s">
        <v>446</v>
      </c>
      <c r="C377">
        <v>1556</v>
      </c>
      <c r="D377">
        <v>2</v>
      </c>
      <c r="E377">
        <v>539.29999999999995</v>
      </c>
      <c r="F377">
        <v>1664.3</v>
      </c>
      <c r="G377">
        <v>627.1</v>
      </c>
      <c r="H377">
        <v>1</v>
      </c>
      <c r="I377">
        <v>24.74</v>
      </c>
      <c r="J377">
        <v>681</v>
      </c>
      <c r="K377">
        <v>307</v>
      </c>
      <c r="L377">
        <v>14</v>
      </c>
      <c r="M377">
        <v>72</v>
      </c>
      <c r="N377">
        <v>3581</v>
      </c>
      <c r="O377">
        <v>270</v>
      </c>
      <c r="P377">
        <v>0</v>
      </c>
      <c r="Q377">
        <v>-221</v>
      </c>
    </row>
    <row r="378" spans="1:17" x14ac:dyDescent="0.45">
      <c r="A378">
        <v>6614</v>
      </c>
      <c r="B378" t="s">
        <v>447</v>
      </c>
      <c r="C378">
        <v>1222</v>
      </c>
      <c r="D378">
        <v>3</v>
      </c>
      <c r="E378">
        <v>877.7</v>
      </c>
      <c r="F378">
        <v>760.6</v>
      </c>
      <c r="G378">
        <v>499</v>
      </c>
      <c r="H378">
        <v>2</v>
      </c>
      <c r="I378">
        <v>18.96</v>
      </c>
      <c r="J378">
        <v>507</v>
      </c>
      <c r="K378">
        <v>105</v>
      </c>
      <c r="L378">
        <v>30</v>
      </c>
      <c r="M378">
        <v>106</v>
      </c>
      <c r="N378">
        <v>0</v>
      </c>
      <c r="O378">
        <v>1126</v>
      </c>
      <c r="P378">
        <v>0</v>
      </c>
      <c r="Q378">
        <v>-60</v>
      </c>
    </row>
    <row r="379" spans="1:17" x14ac:dyDescent="0.45">
      <c r="A379">
        <v>3901</v>
      </c>
      <c r="B379" t="s">
        <v>448</v>
      </c>
      <c r="C379">
        <v>38129</v>
      </c>
      <c r="D379">
        <v>3</v>
      </c>
      <c r="E379">
        <v>20462.5</v>
      </c>
      <c r="F379">
        <v>36594.1</v>
      </c>
      <c r="G379">
        <v>18490.3</v>
      </c>
      <c r="H379">
        <v>1</v>
      </c>
      <c r="I379">
        <v>21.87</v>
      </c>
      <c r="J379">
        <v>10397</v>
      </c>
      <c r="K379">
        <v>6066</v>
      </c>
      <c r="L379">
        <v>831</v>
      </c>
      <c r="M379">
        <v>1563</v>
      </c>
      <c r="N379">
        <v>0</v>
      </c>
      <c r="O379">
        <v>5194</v>
      </c>
      <c r="P379">
        <v>6921.88</v>
      </c>
      <c r="Q379">
        <v>-5700</v>
      </c>
    </row>
    <row r="380" spans="1:17" x14ac:dyDescent="0.45">
      <c r="A380">
        <v>3911</v>
      </c>
      <c r="B380" t="s">
        <v>449</v>
      </c>
      <c r="C380">
        <v>2121</v>
      </c>
      <c r="D380">
        <v>3</v>
      </c>
      <c r="E380">
        <v>5751.7</v>
      </c>
      <c r="F380">
        <v>253.1</v>
      </c>
      <c r="G380">
        <v>5786.6</v>
      </c>
      <c r="H380">
        <v>3</v>
      </c>
      <c r="I380">
        <v>29.04</v>
      </c>
      <c r="J380">
        <v>554</v>
      </c>
      <c r="K380">
        <v>424</v>
      </c>
      <c r="L380">
        <v>46</v>
      </c>
      <c r="M380">
        <v>76</v>
      </c>
      <c r="N380">
        <v>0</v>
      </c>
      <c r="O380">
        <v>4452</v>
      </c>
      <c r="P380">
        <v>535.28</v>
      </c>
      <c r="Q380">
        <v>-3673</v>
      </c>
    </row>
    <row r="381" spans="1:17" x14ac:dyDescent="0.45">
      <c r="A381">
        <v>5841</v>
      </c>
      <c r="B381" t="s">
        <v>419</v>
      </c>
      <c r="C381">
        <v>3564</v>
      </c>
      <c r="D381">
        <v>3</v>
      </c>
      <c r="E381">
        <v>7033.5</v>
      </c>
      <c r="F381">
        <v>77.3</v>
      </c>
      <c r="G381">
        <v>2866.2</v>
      </c>
      <c r="H381">
        <v>2</v>
      </c>
      <c r="I381">
        <v>26.72</v>
      </c>
      <c r="J381">
        <v>1135</v>
      </c>
      <c r="K381">
        <v>606</v>
      </c>
      <c r="L381">
        <v>44</v>
      </c>
      <c r="M381">
        <v>214</v>
      </c>
      <c r="N381">
        <v>0</v>
      </c>
      <c r="O381">
        <v>11860</v>
      </c>
      <c r="P381">
        <v>396.49</v>
      </c>
      <c r="Q381">
        <v>-7526</v>
      </c>
    </row>
    <row r="382" spans="1:17" x14ac:dyDescent="0.45">
      <c r="A382">
        <v>2325</v>
      </c>
      <c r="B382" t="s">
        <v>420</v>
      </c>
      <c r="C382">
        <v>8163</v>
      </c>
      <c r="D382">
        <v>3</v>
      </c>
      <c r="E382">
        <v>8986.4</v>
      </c>
      <c r="F382">
        <v>524.9</v>
      </c>
      <c r="G382">
        <v>9347.1</v>
      </c>
      <c r="H382">
        <v>2</v>
      </c>
      <c r="I382">
        <v>28.63</v>
      </c>
      <c r="J382">
        <v>3239</v>
      </c>
      <c r="K382">
        <v>1237</v>
      </c>
      <c r="L382">
        <v>206</v>
      </c>
      <c r="M382">
        <v>685</v>
      </c>
      <c r="N382">
        <v>0</v>
      </c>
      <c r="O382">
        <v>6757</v>
      </c>
      <c r="P382">
        <v>0</v>
      </c>
      <c r="Q382">
        <v>-3793</v>
      </c>
    </row>
    <row r="383" spans="1:17" x14ac:dyDescent="0.45">
      <c r="A383">
        <v>2128</v>
      </c>
      <c r="B383" t="s">
        <v>421</v>
      </c>
      <c r="C383">
        <v>348</v>
      </c>
      <c r="D383">
        <v>3</v>
      </c>
      <c r="E383">
        <v>326.60000000000002</v>
      </c>
      <c r="F383">
        <v>0</v>
      </c>
      <c r="G383">
        <v>265.5</v>
      </c>
      <c r="H383">
        <v>3</v>
      </c>
      <c r="I383">
        <v>36.93</v>
      </c>
      <c r="J383">
        <v>132</v>
      </c>
      <c r="K383">
        <v>46</v>
      </c>
      <c r="L383">
        <v>11</v>
      </c>
      <c r="M383">
        <v>31</v>
      </c>
      <c r="N383">
        <v>0</v>
      </c>
      <c r="O383">
        <v>450</v>
      </c>
      <c r="P383">
        <v>0</v>
      </c>
      <c r="Q383">
        <v>-140</v>
      </c>
    </row>
    <row r="384" spans="1:17" x14ac:dyDescent="0.45">
      <c r="A384">
        <v>2008</v>
      </c>
      <c r="B384" t="s">
        <v>422</v>
      </c>
      <c r="C384">
        <v>513</v>
      </c>
      <c r="D384">
        <v>3</v>
      </c>
      <c r="E384">
        <v>371.1</v>
      </c>
      <c r="F384">
        <v>2.7</v>
      </c>
      <c r="G384">
        <v>613.70000000000005</v>
      </c>
      <c r="H384">
        <v>3</v>
      </c>
      <c r="I384">
        <v>36.93</v>
      </c>
      <c r="J384">
        <v>210</v>
      </c>
      <c r="K384">
        <v>55</v>
      </c>
      <c r="L384">
        <v>20</v>
      </c>
      <c r="M384">
        <v>39</v>
      </c>
      <c r="N384">
        <v>0</v>
      </c>
      <c r="O384">
        <v>666</v>
      </c>
      <c r="P384">
        <v>0</v>
      </c>
      <c r="Q384">
        <v>-60</v>
      </c>
    </row>
    <row r="385" spans="1:17" x14ac:dyDescent="0.45">
      <c r="A385">
        <v>6704</v>
      </c>
      <c r="B385" t="s">
        <v>423</v>
      </c>
      <c r="C385">
        <v>471</v>
      </c>
      <c r="D385">
        <v>3</v>
      </c>
      <c r="E385">
        <v>649.9</v>
      </c>
      <c r="F385">
        <v>0</v>
      </c>
      <c r="G385">
        <v>448.5</v>
      </c>
      <c r="H385">
        <v>3</v>
      </c>
      <c r="I385">
        <v>27.66</v>
      </c>
      <c r="J385">
        <v>193</v>
      </c>
      <c r="K385">
        <v>63</v>
      </c>
      <c r="L385">
        <v>5</v>
      </c>
      <c r="M385">
        <v>41</v>
      </c>
      <c r="N385">
        <v>0</v>
      </c>
      <c r="O385">
        <v>1453</v>
      </c>
      <c r="P385">
        <v>0</v>
      </c>
      <c r="Q385">
        <v>-522</v>
      </c>
    </row>
    <row r="386" spans="1:17" x14ac:dyDescent="0.45">
      <c r="A386">
        <v>2068</v>
      </c>
      <c r="B386" t="s">
        <v>424</v>
      </c>
      <c r="C386">
        <v>884</v>
      </c>
      <c r="D386">
        <v>3</v>
      </c>
      <c r="E386">
        <v>721.6</v>
      </c>
      <c r="F386">
        <v>201</v>
      </c>
      <c r="G386">
        <v>1390.4</v>
      </c>
      <c r="H386">
        <v>3</v>
      </c>
      <c r="I386">
        <v>36.93</v>
      </c>
      <c r="J386">
        <v>384</v>
      </c>
      <c r="K386">
        <v>142</v>
      </c>
      <c r="L386">
        <v>30</v>
      </c>
      <c r="M386">
        <v>44</v>
      </c>
      <c r="N386">
        <v>0</v>
      </c>
      <c r="O386">
        <v>2491</v>
      </c>
      <c r="P386">
        <v>59.05</v>
      </c>
      <c r="Q386">
        <v>-281</v>
      </c>
    </row>
    <row r="387" spans="1:17" x14ac:dyDescent="0.45">
      <c r="A387">
        <v>2177</v>
      </c>
      <c r="B387" t="s">
        <v>434</v>
      </c>
      <c r="C387">
        <v>835</v>
      </c>
      <c r="D387">
        <v>3</v>
      </c>
      <c r="E387">
        <v>588.4</v>
      </c>
      <c r="F387">
        <v>50.6</v>
      </c>
      <c r="G387">
        <v>1393.1</v>
      </c>
      <c r="H387">
        <v>3</v>
      </c>
      <c r="I387">
        <v>36.93</v>
      </c>
      <c r="J387">
        <v>355</v>
      </c>
      <c r="K387">
        <v>124</v>
      </c>
      <c r="L387">
        <v>26</v>
      </c>
      <c r="M387">
        <v>55</v>
      </c>
      <c r="N387">
        <v>0</v>
      </c>
      <c r="O387">
        <v>783</v>
      </c>
      <c r="P387">
        <v>0</v>
      </c>
      <c r="Q387">
        <v>-161</v>
      </c>
    </row>
    <row r="388" spans="1:17" x14ac:dyDescent="0.45">
      <c r="A388">
        <v>5709</v>
      </c>
      <c r="B388" t="s">
        <v>438</v>
      </c>
      <c r="C388">
        <v>1245</v>
      </c>
      <c r="D388">
        <v>3</v>
      </c>
      <c r="E388">
        <v>1803.2</v>
      </c>
      <c r="F388">
        <v>49.8</v>
      </c>
      <c r="G388">
        <v>1048</v>
      </c>
      <c r="H388">
        <v>2</v>
      </c>
      <c r="I388">
        <v>26.72</v>
      </c>
      <c r="J388">
        <v>593</v>
      </c>
      <c r="K388">
        <v>140</v>
      </c>
      <c r="L388">
        <v>44</v>
      </c>
      <c r="M388">
        <v>121</v>
      </c>
      <c r="N388">
        <v>0</v>
      </c>
      <c r="O388">
        <v>605</v>
      </c>
      <c r="P388">
        <v>0</v>
      </c>
      <c r="Q388">
        <v>-1084</v>
      </c>
    </row>
    <row r="389" spans="1:17" x14ac:dyDescent="0.45">
      <c r="A389">
        <v>6612</v>
      </c>
      <c r="B389" t="s">
        <v>432</v>
      </c>
      <c r="C389">
        <v>13261</v>
      </c>
      <c r="D389">
        <v>3</v>
      </c>
      <c r="E389">
        <v>6746.3</v>
      </c>
      <c r="F389">
        <v>8743</v>
      </c>
      <c r="G389">
        <v>3109.2</v>
      </c>
      <c r="H389">
        <v>1</v>
      </c>
      <c r="I389">
        <v>10.3</v>
      </c>
      <c r="J389">
        <v>3963</v>
      </c>
      <c r="K389">
        <v>989</v>
      </c>
      <c r="L389">
        <v>233</v>
      </c>
      <c r="M389">
        <v>880</v>
      </c>
      <c r="N389">
        <v>0</v>
      </c>
      <c r="O389">
        <v>0</v>
      </c>
      <c r="P389">
        <v>0</v>
      </c>
      <c r="Q389">
        <v>-60</v>
      </c>
    </row>
    <row r="390" spans="1:17" x14ac:dyDescent="0.45">
      <c r="A390">
        <v>6613</v>
      </c>
      <c r="B390" t="s">
        <v>433</v>
      </c>
      <c r="C390">
        <v>8836</v>
      </c>
      <c r="D390">
        <v>3</v>
      </c>
      <c r="E390">
        <v>3394.2</v>
      </c>
      <c r="F390">
        <v>5440.7</v>
      </c>
      <c r="G390">
        <v>1405.5</v>
      </c>
      <c r="H390">
        <v>1</v>
      </c>
      <c r="I390">
        <v>10.3</v>
      </c>
      <c r="J390">
        <v>2454</v>
      </c>
      <c r="K390">
        <v>730</v>
      </c>
      <c r="L390">
        <v>72</v>
      </c>
      <c r="M390">
        <v>422</v>
      </c>
      <c r="N390">
        <v>0</v>
      </c>
      <c r="O390">
        <v>7</v>
      </c>
      <c r="P390">
        <v>0</v>
      </c>
      <c r="Q390">
        <v>0</v>
      </c>
    </row>
    <row r="391" spans="1:17" x14ac:dyDescent="0.45">
      <c r="A391">
        <v>5908</v>
      </c>
      <c r="B391" t="s">
        <v>435</v>
      </c>
      <c r="C391">
        <v>162</v>
      </c>
      <c r="D391">
        <v>3</v>
      </c>
      <c r="E391">
        <v>109.4</v>
      </c>
      <c r="F391">
        <v>100.9</v>
      </c>
      <c r="G391">
        <v>318.89999999999998</v>
      </c>
      <c r="H391">
        <v>3</v>
      </c>
      <c r="I391">
        <v>35.86</v>
      </c>
      <c r="J391">
        <v>58</v>
      </c>
      <c r="K391">
        <v>20</v>
      </c>
      <c r="L391">
        <v>15</v>
      </c>
      <c r="M391">
        <v>5</v>
      </c>
      <c r="N391">
        <v>0</v>
      </c>
      <c r="O391">
        <v>269</v>
      </c>
      <c r="P391">
        <v>0</v>
      </c>
      <c r="Q391">
        <v>-100</v>
      </c>
    </row>
    <row r="392" spans="1:17" x14ac:dyDescent="0.45">
      <c r="A392">
        <v>5629</v>
      </c>
      <c r="B392" t="s">
        <v>450</v>
      </c>
      <c r="C392">
        <v>213</v>
      </c>
      <c r="D392">
        <v>2</v>
      </c>
      <c r="E392">
        <v>84</v>
      </c>
      <c r="F392">
        <v>255.9</v>
      </c>
      <c r="G392">
        <v>1061.5999999999999</v>
      </c>
      <c r="H392">
        <v>3</v>
      </c>
      <c r="I392">
        <v>35.86</v>
      </c>
      <c r="J392">
        <v>83</v>
      </c>
      <c r="K392">
        <v>22</v>
      </c>
      <c r="L392">
        <v>5</v>
      </c>
      <c r="M392">
        <v>10</v>
      </c>
      <c r="N392">
        <v>0</v>
      </c>
      <c r="O392">
        <v>1251</v>
      </c>
      <c r="P392">
        <v>0</v>
      </c>
      <c r="Q392">
        <v>-20</v>
      </c>
    </row>
    <row r="393" spans="1:17" x14ac:dyDescent="0.45">
      <c r="A393">
        <v>6808</v>
      </c>
      <c r="B393" t="s">
        <v>451</v>
      </c>
      <c r="C393">
        <v>1275</v>
      </c>
      <c r="D393">
        <v>3</v>
      </c>
      <c r="E393">
        <v>1799</v>
      </c>
      <c r="F393">
        <v>22.2</v>
      </c>
      <c r="G393">
        <v>2208.5</v>
      </c>
      <c r="H393">
        <v>3</v>
      </c>
      <c r="I393">
        <v>27.66</v>
      </c>
      <c r="J393">
        <v>587</v>
      </c>
      <c r="K393">
        <v>193</v>
      </c>
      <c r="L393">
        <v>22</v>
      </c>
      <c r="M393">
        <v>52</v>
      </c>
      <c r="N393">
        <v>0</v>
      </c>
      <c r="O393">
        <v>16158</v>
      </c>
      <c r="P393">
        <v>116.64</v>
      </c>
      <c r="Q393">
        <v>-6021</v>
      </c>
    </row>
    <row r="394" spans="1:17" x14ac:dyDescent="0.45">
      <c r="A394">
        <v>6781</v>
      </c>
      <c r="B394" t="s">
        <v>452</v>
      </c>
      <c r="C394">
        <v>718</v>
      </c>
      <c r="D394">
        <v>3</v>
      </c>
      <c r="E394">
        <v>1485.9</v>
      </c>
      <c r="F394">
        <v>3.9</v>
      </c>
      <c r="G394">
        <v>1247.9000000000001</v>
      </c>
      <c r="H394">
        <v>3</v>
      </c>
      <c r="I394">
        <v>27.66</v>
      </c>
      <c r="J394">
        <v>307</v>
      </c>
      <c r="K394">
        <v>88</v>
      </c>
      <c r="L394">
        <v>20</v>
      </c>
      <c r="M394">
        <v>35</v>
      </c>
      <c r="N394">
        <v>0</v>
      </c>
      <c r="O394">
        <v>3088</v>
      </c>
      <c r="P394">
        <v>0</v>
      </c>
      <c r="Q394">
        <v>-863</v>
      </c>
    </row>
    <row r="395" spans="1:17" x14ac:dyDescent="0.45">
      <c r="A395">
        <v>5710</v>
      </c>
      <c r="B395" t="s">
        <v>453</v>
      </c>
      <c r="C395">
        <v>498</v>
      </c>
      <c r="D395">
        <v>3</v>
      </c>
      <c r="E395">
        <v>662.8</v>
      </c>
      <c r="F395">
        <v>0</v>
      </c>
      <c r="G395">
        <v>369.2</v>
      </c>
      <c r="H395">
        <v>3</v>
      </c>
      <c r="I395">
        <v>35.86</v>
      </c>
      <c r="J395">
        <v>240</v>
      </c>
      <c r="K395">
        <v>59</v>
      </c>
      <c r="L395">
        <v>15</v>
      </c>
      <c r="M395">
        <v>52</v>
      </c>
      <c r="N395">
        <v>0</v>
      </c>
      <c r="O395">
        <v>231</v>
      </c>
      <c r="P395">
        <v>0</v>
      </c>
      <c r="Q395">
        <v>-80</v>
      </c>
    </row>
    <row r="396" spans="1:17" x14ac:dyDescent="0.45">
      <c r="A396">
        <v>5251</v>
      </c>
      <c r="B396" t="s">
        <v>454</v>
      </c>
      <c r="C396">
        <v>2848</v>
      </c>
      <c r="D396">
        <v>1</v>
      </c>
      <c r="E396">
        <v>2500.8000000000002</v>
      </c>
      <c r="F396">
        <v>1288</v>
      </c>
      <c r="G396">
        <v>2284.1999999999998</v>
      </c>
      <c r="H396">
        <v>1</v>
      </c>
      <c r="I396">
        <v>18.600000000000001</v>
      </c>
      <c r="J396">
        <v>1196</v>
      </c>
      <c r="K396">
        <v>355</v>
      </c>
      <c r="L396">
        <v>56</v>
      </c>
      <c r="M396">
        <v>245</v>
      </c>
      <c r="N396">
        <v>0</v>
      </c>
      <c r="O396">
        <v>412</v>
      </c>
      <c r="P396">
        <v>0</v>
      </c>
      <c r="Q396">
        <v>-80</v>
      </c>
    </row>
    <row r="397" spans="1:17" x14ac:dyDescent="0.45">
      <c r="A397">
        <v>6615</v>
      </c>
      <c r="B397" t="s">
        <v>455</v>
      </c>
      <c r="C397">
        <v>1727</v>
      </c>
      <c r="D397">
        <v>3</v>
      </c>
      <c r="E397">
        <v>1596.8</v>
      </c>
      <c r="F397">
        <v>154.5</v>
      </c>
      <c r="G397">
        <v>642.1</v>
      </c>
      <c r="H397">
        <v>2</v>
      </c>
      <c r="I397">
        <v>18.96</v>
      </c>
      <c r="J397">
        <v>548</v>
      </c>
      <c r="K397">
        <v>144</v>
      </c>
      <c r="L397">
        <v>36</v>
      </c>
      <c r="M397">
        <v>119</v>
      </c>
      <c r="N397">
        <v>0</v>
      </c>
      <c r="O397">
        <v>1258</v>
      </c>
      <c r="P397">
        <v>0</v>
      </c>
      <c r="Q397">
        <v>-341</v>
      </c>
    </row>
    <row r="398" spans="1:17" x14ac:dyDescent="0.45">
      <c r="A398">
        <v>5236</v>
      </c>
      <c r="B398" t="s">
        <v>456</v>
      </c>
      <c r="C398">
        <v>4816</v>
      </c>
      <c r="D398">
        <v>2</v>
      </c>
      <c r="E398">
        <v>4743.8</v>
      </c>
      <c r="F398">
        <v>4155.8999999999996</v>
      </c>
      <c r="G398">
        <v>3509.2</v>
      </c>
      <c r="H398">
        <v>1</v>
      </c>
      <c r="I398">
        <v>18.600000000000001</v>
      </c>
      <c r="J398">
        <v>2114</v>
      </c>
      <c r="K398">
        <v>705</v>
      </c>
      <c r="L398">
        <v>177</v>
      </c>
      <c r="M398">
        <v>498</v>
      </c>
      <c r="N398">
        <v>0</v>
      </c>
      <c r="O398">
        <v>14</v>
      </c>
      <c r="P398">
        <v>0</v>
      </c>
      <c r="Q398">
        <v>-582</v>
      </c>
    </row>
    <row r="399" spans="1:17" x14ac:dyDescent="0.45">
      <c r="A399">
        <v>6152</v>
      </c>
      <c r="B399" t="s">
        <v>457</v>
      </c>
      <c r="C399">
        <v>9739</v>
      </c>
      <c r="D399">
        <v>3</v>
      </c>
      <c r="E399">
        <v>4082.7</v>
      </c>
      <c r="F399">
        <v>7834.9</v>
      </c>
      <c r="G399">
        <v>11077</v>
      </c>
      <c r="H399">
        <v>1</v>
      </c>
      <c r="I399">
        <v>24.74</v>
      </c>
      <c r="J399">
        <v>4633</v>
      </c>
      <c r="K399">
        <v>1858</v>
      </c>
      <c r="L399">
        <v>262</v>
      </c>
      <c r="M399">
        <v>634</v>
      </c>
      <c r="N399">
        <v>0</v>
      </c>
      <c r="O399">
        <v>4481</v>
      </c>
      <c r="P399">
        <v>437.11</v>
      </c>
      <c r="Q399">
        <v>-2288</v>
      </c>
    </row>
    <row r="400" spans="1:17" x14ac:dyDescent="0.45">
      <c r="A400">
        <v>6616</v>
      </c>
      <c r="B400" t="s">
        <v>458</v>
      </c>
      <c r="C400">
        <v>8496</v>
      </c>
      <c r="D400">
        <v>3</v>
      </c>
      <c r="E400">
        <v>5197.3999999999996</v>
      </c>
      <c r="F400">
        <v>6666.9</v>
      </c>
      <c r="G400">
        <v>4944.5</v>
      </c>
      <c r="H400">
        <v>1</v>
      </c>
      <c r="I400">
        <v>10.3</v>
      </c>
      <c r="J400">
        <v>3127</v>
      </c>
      <c r="K400">
        <v>711</v>
      </c>
      <c r="L400">
        <v>251</v>
      </c>
      <c r="M400">
        <v>727</v>
      </c>
      <c r="N400">
        <v>0</v>
      </c>
      <c r="O400">
        <v>110</v>
      </c>
      <c r="P400">
        <v>0</v>
      </c>
      <c r="Q400">
        <v>-40</v>
      </c>
    </row>
    <row r="401" spans="1:17" x14ac:dyDescent="0.45">
      <c r="A401">
        <v>6211</v>
      </c>
      <c r="B401" t="s">
        <v>459</v>
      </c>
      <c r="C401">
        <v>843</v>
      </c>
      <c r="D401">
        <v>3</v>
      </c>
      <c r="E401">
        <v>636.20000000000005</v>
      </c>
      <c r="F401">
        <v>23.7</v>
      </c>
      <c r="G401">
        <v>718.3</v>
      </c>
      <c r="H401">
        <v>3</v>
      </c>
      <c r="I401">
        <v>30.8</v>
      </c>
      <c r="J401">
        <v>410</v>
      </c>
      <c r="K401">
        <v>142</v>
      </c>
      <c r="L401">
        <v>18</v>
      </c>
      <c r="M401">
        <v>41</v>
      </c>
      <c r="N401">
        <v>0</v>
      </c>
      <c r="O401">
        <v>678</v>
      </c>
      <c r="P401">
        <v>0</v>
      </c>
      <c r="Q401">
        <v>-1164</v>
      </c>
    </row>
    <row r="402" spans="1:17" x14ac:dyDescent="0.45">
      <c r="A402">
        <v>6617</v>
      </c>
      <c r="B402" t="s">
        <v>460</v>
      </c>
      <c r="C402">
        <v>5970</v>
      </c>
      <c r="D402">
        <v>3</v>
      </c>
      <c r="E402">
        <v>4284.8</v>
      </c>
      <c r="F402">
        <v>7640.1</v>
      </c>
      <c r="G402">
        <v>1851.1</v>
      </c>
      <c r="H402">
        <v>1</v>
      </c>
      <c r="I402">
        <v>10.3</v>
      </c>
      <c r="J402">
        <v>2159</v>
      </c>
      <c r="K402">
        <v>512</v>
      </c>
      <c r="L402">
        <v>203</v>
      </c>
      <c r="M402">
        <v>562</v>
      </c>
      <c r="N402">
        <v>0</v>
      </c>
      <c r="O402">
        <v>80</v>
      </c>
      <c r="P402">
        <v>0</v>
      </c>
      <c r="Q402">
        <v>-40</v>
      </c>
    </row>
    <row r="403" spans="1:17" x14ac:dyDescent="0.45">
      <c r="A403">
        <v>5176</v>
      </c>
      <c r="B403" t="s">
        <v>461</v>
      </c>
      <c r="C403">
        <v>2155</v>
      </c>
      <c r="D403">
        <v>2</v>
      </c>
      <c r="E403">
        <v>1570.7</v>
      </c>
      <c r="F403">
        <v>1524.1</v>
      </c>
      <c r="G403">
        <v>1693.1</v>
      </c>
      <c r="H403">
        <v>1</v>
      </c>
      <c r="I403">
        <v>18.600000000000001</v>
      </c>
      <c r="J403">
        <v>845</v>
      </c>
      <c r="K403">
        <v>267</v>
      </c>
      <c r="L403">
        <v>75</v>
      </c>
      <c r="M403">
        <v>216</v>
      </c>
      <c r="N403">
        <v>0</v>
      </c>
      <c r="O403">
        <v>28</v>
      </c>
      <c r="P403">
        <v>0</v>
      </c>
      <c r="Q403">
        <v>-201</v>
      </c>
    </row>
    <row r="404" spans="1:17" x14ac:dyDescent="0.45">
      <c r="A404">
        <v>5711</v>
      </c>
      <c r="B404" t="s">
        <v>462</v>
      </c>
      <c r="C404">
        <v>2976</v>
      </c>
      <c r="D404">
        <v>3</v>
      </c>
      <c r="E404">
        <v>2744.5</v>
      </c>
      <c r="F404">
        <v>147.5</v>
      </c>
      <c r="G404">
        <v>2192.1</v>
      </c>
      <c r="H404">
        <v>1</v>
      </c>
      <c r="I404">
        <v>19.809999999999999</v>
      </c>
      <c r="J404">
        <v>1054</v>
      </c>
      <c r="K404">
        <v>334</v>
      </c>
      <c r="L404">
        <v>102</v>
      </c>
      <c r="M404">
        <v>281</v>
      </c>
      <c r="N404">
        <v>0</v>
      </c>
      <c r="O404">
        <v>1145</v>
      </c>
      <c r="P404">
        <v>0</v>
      </c>
      <c r="Q404">
        <v>-281</v>
      </c>
    </row>
    <row r="405" spans="1:17" x14ac:dyDescent="0.45">
      <c r="A405">
        <v>5554</v>
      </c>
      <c r="B405" t="s">
        <v>463</v>
      </c>
      <c r="C405">
        <v>1004</v>
      </c>
      <c r="D405">
        <v>3</v>
      </c>
      <c r="E405">
        <v>1362</v>
      </c>
      <c r="F405">
        <v>87.5</v>
      </c>
      <c r="G405">
        <v>638.79999999999995</v>
      </c>
      <c r="H405">
        <v>3</v>
      </c>
      <c r="I405">
        <v>35.86</v>
      </c>
      <c r="J405">
        <v>446</v>
      </c>
      <c r="K405">
        <v>127</v>
      </c>
      <c r="L405">
        <v>26</v>
      </c>
      <c r="M405">
        <v>46</v>
      </c>
      <c r="N405">
        <v>0</v>
      </c>
      <c r="O405">
        <v>1027</v>
      </c>
      <c r="P405">
        <v>0</v>
      </c>
      <c r="Q405">
        <v>-1485</v>
      </c>
    </row>
    <row r="406" spans="1:17" x14ac:dyDescent="0.45">
      <c r="A406">
        <v>6618</v>
      </c>
      <c r="B406" t="s">
        <v>464</v>
      </c>
      <c r="C406">
        <v>4593</v>
      </c>
      <c r="D406">
        <v>3</v>
      </c>
      <c r="E406">
        <v>1600</v>
      </c>
      <c r="F406">
        <v>2331.1999999999998</v>
      </c>
      <c r="G406">
        <v>2097</v>
      </c>
      <c r="H406">
        <v>1</v>
      </c>
      <c r="I406">
        <v>10.3</v>
      </c>
      <c r="J406">
        <v>1511</v>
      </c>
      <c r="K406">
        <v>349</v>
      </c>
      <c r="L406">
        <v>65</v>
      </c>
      <c r="M406">
        <v>284</v>
      </c>
      <c r="N406">
        <v>0</v>
      </c>
      <c r="O406">
        <v>171</v>
      </c>
      <c r="P406">
        <v>0</v>
      </c>
      <c r="Q406">
        <v>-40</v>
      </c>
    </row>
    <row r="407" spans="1:17" x14ac:dyDescent="0.45">
      <c r="A407">
        <v>3881</v>
      </c>
      <c r="B407" t="s">
        <v>465</v>
      </c>
      <c r="C407">
        <v>241</v>
      </c>
      <c r="D407">
        <v>3</v>
      </c>
      <c r="E407">
        <v>198.2</v>
      </c>
      <c r="F407">
        <v>27.1</v>
      </c>
      <c r="G407">
        <v>172.1</v>
      </c>
      <c r="H407">
        <v>3</v>
      </c>
      <c r="I407">
        <v>29.04</v>
      </c>
      <c r="J407">
        <v>67</v>
      </c>
      <c r="K407">
        <v>42</v>
      </c>
      <c r="L407">
        <v>3</v>
      </c>
      <c r="M407">
        <v>14</v>
      </c>
      <c r="N407">
        <v>0</v>
      </c>
      <c r="O407">
        <v>931</v>
      </c>
      <c r="P407">
        <v>0</v>
      </c>
      <c r="Q407">
        <v>-1626</v>
      </c>
    </row>
    <row r="408" spans="1:17" x14ac:dyDescent="0.45">
      <c r="A408">
        <v>6023</v>
      </c>
      <c r="B408" t="s">
        <v>466</v>
      </c>
      <c r="C408">
        <v>8983</v>
      </c>
      <c r="D408">
        <v>2</v>
      </c>
      <c r="E408">
        <v>4599.5</v>
      </c>
      <c r="F408">
        <v>6053.2</v>
      </c>
      <c r="G408">
        <v>10010.299999999999</v>
      </c>
      <c r="H408">
        <v>1</v>
      </c>
      <c r="I408">
        <v>24.74</v>
      </c>
      <c r="J408">
        <v>4162</v>
      </c>
      <c r="K408">
        <v>1583</v>
      </c>
      <c r="L408">
        <v>208</v>
      </c>
      <c r="M408">
        <v>389</v>
      </c>
      <c r="N408">
        <v>0</v>
      </c>
      <c r="O408">
        <v>2369</v>
      </c>
      <c r="P408">
        <v>115.93</v>
      </c>
      <c r="Q408">
        <v>-4456</v>
      </c>
    </row>
    <row r="409" spans="1:17" x14ac:dyDescent="0.45">
      <c r="A409">
        <v>5712</v>
      </c>
      <c r="B409" t="s">
        <v>467</v>
      </c>
      <c r="C409">
        <v>3206</v>
      </c>
      <c r="D409">
        <v>3</v>
      </c>
      <c r="E409">
        <v>4678.8999999999996</v>
      </c>
      <c r="F409">
        <v>180.4</v>
      </c>
      <c r="G409">
        <v>1775</v>
      </c>
      <c r="H409">
        <v>1</v>
      </c>
      <c r="I409">
        <v>19.809999999999999</v>
      </c>
      <c r="J409">
        <v>1135</v>
      </c>
      <c r="K409">
        <v>306</v>
      </c>
      <c r="L409">
        <v>129</v>
      </c>
      <c r="M409">
        <v>316</v>
      </c>
      <c r="N409">
        <v>0</v>
      </c>
      <c r="O409">
        <v>11</v>
      </c>
      <c r="P409">
        <v>332.25</v>
      </c>
      <c r="Q409">
        <v>-20</v>
      </c>
    </row>
    <row r="410" spans="1:17" x14ac:dyDescent="0.45">
      <c r="A410">
        <v>5404</v>
      </c>
      <c r="B410" t="s">
        <v>468</v>
      </c>
      <c r="C410">
        <v>440</v>
      </c>
      <c r="D410">
        <v>3</v>
      </c>
      <c r="E410">
        <v>830.9</v>
      </c>
      <c r="F410">
        <v>1.1000000000000001</v>
      </c>
      <c r="G410">
        <v>397.8</v>
      </c>
      <c r="H410">
        <v>3</v>
      </c>
      <c r="I410">
        <v>35.86</v>
      </c>
      <c r="J410">
        <v>184</v>
      </c>
      <c r="K410">
        <v>55</v>
      </c>
      <c r="L410">
        <v>7</v>
      </c>
      <c r="M410">
        <v>25</v>
      </c>
      <c r="N410">
        <v>0</v>
      </c>
      <c r="O410">
        <v>486</v>
      </c>
      <c r="P410">
        <v>0</v>
      </c>
      <c r="Q410">
        <v>-2268</v>
      </c>
    </row>
    <row r="411" spans="1:17" x14ac:dyDescent="0.45">
      <c r="A411">
        <v>2129</v>
      </c>
      <c r="B411" t="s">
        <v>469</v>
      </c>
      <c r="C411">
        <v>1021</v>
      </c>
      <c r="D411">
        <v>3</v>
      </c>
      <c r="E411">
        <v>922.2</v>
      </c>
      <c r="F411">
        <v>21.8</v>
      </c>
      <c r="G411">
        <v>1130.5999999999999</v>
      </c>
      <c r="H411">
        <v>3</v>
      </c>
      <c r="I411">
        <v>36.93</v>
      </c>
      <c r="J411">
        <v>437</v>
      </c>
      <c r="K411">
        <v>113</v>
      </c>
      <c r="L411">
        <v>48</v>
      </c>
      <c r="M411">
        <v>62</v>
      </c>
      <c r="N411">
        <v>0</v>
      </c>
      <c r="O411">
        <v>1883</v>
      </c>
      <c r="P411">
        <v>0</v>
      </c>
      <c r="Q411">
        <v>-783</v>
      </c>
    </row>
    <row r="412" spans="1:17" x14ac:dyDescent="0.45">
      <c r="A412">
        <v>687</v>
      </c>
      <c r="B412" t="s">
        <v>470</v>
      </c>
      <c r="C412">
        <v>201</v>
      </c>
      <c r="D412">
        <v>2</v>
      </c>
      <c r="E412">
        <v>448.1</v>
      </c>
      <c r="F412">
        <v>0</v>
      </c>
      <c r="G412">
        <v>216.6</v>
      </c>
      <c r="H412">
        <v>3</v>
      </c>
      <c r="I412">
        <v>26.41</v>
      </c>
      <c r="J412">
        <v>89</v>
      </c>
      <c r="K412">
        <v>18</v>
      </c>
      <c r="L412">
        <v>6</v>
      </c>
      <c r="M412">
        <v>6</v>
      </c>
      <c r="N412">
        <v>0</v>
      </c>
      <c r="O412">
        <v>1342</v>
      </c>
      <c r="P412">
        <v>0</v>
      </c>
      <c r="Q412">
        <v>-702</v>
      </c>
    </row>
    <row r="413" spans="1:17" x14ac:dyDescent="0.45">
      <c r="A413">
        <v>5785</v>
      </c>
      <c r="B413" t="s">
        <v>471</v>
      </c>
      <c r="C413">
        <v>483</v>
      </c>
      <c r="D413">
        <v>3</v>
      </c>
      <c r="E413">
        <v>751.3</v>
      </c>
      <c r="F413">
        <v>262.2</v>
      </c>
      <c r="G413">
        <v>317.2</v>
      </c>
      <c r="H413">
        <v>3</v>
      </c>
      <c r="I413">
        <v>35.86</v>
      </c>
      <c r="J413">
        <v>216</v>
      </c>
      <c r="K413">
        <v>60</v>
      </c>
      <c r="L413">
        <v>10</v>
      </c>
      <c r="M413">
        <v>53</v>
      </c>
      <c r="N413">
        <v>0</v>
      </c>
      <c r="O413">
        <v>2606</v>
      </c>
      <c r="P413">
        <v>0</v>
      </c>
      <c r="Q413">
        <v>-642</v>
      </c>
    </row>
    <row r="414" spans="1:17" x14ac:dyDescent="0.45">
      <c r="A414">
        <v>5555</v>
      </c>
      <c r="B414" t="s">
        <v>472</v>
      </c>
      <c r="C414">
        <v>413</v>
      </c>
      <c r="D414">
        <v>3</v>
      </c>
      <c r="E414">
        <v>512.9</v>
      </c>
      <c r="F414">
        <v>53</v>
      </c>
      <c r="G414">
        <v>408.2</v>
      </c>
      <c r="H414">
        <v>3</v>
      </c>
      <c r="I414">
        <v>35.86</v>
      </c>
      <c r="J414">
        <v>167</v>
      </c>
      <c r="K414">
        <v>43</v>
      </c>
      <c r="L414">
        <v>12</v>
      </c>
      <c r="M414">
        <v>22</v>
      </c>
      <c r="N414">
        <v>0</v>
      </c>
      <c r="O414">
        <v>769</v>
      </c>
      <c r="P414">
        <v>66.45</v>
      </c>
      <c r="Q414">
        <v>-341</v>
      </c>
    </row>
    <row r="415" spans="1:17" x14ac:dyDescent="0.45">
      <c r="A415">
        <v>5816</v>
      </c>
      <c r="B415" t="s">
        <v>473</v>
      </c>
      <c r="C415">
        <v>2844</v>
      </c>
      <c r="D415">
        <v>3</v>
      </c>
      <c r="E415">
        <v>2949.6</v>
      </c>
      <c r="F415">
        <v>628.79999999999995</v>
      </c>
      <c r="G415">
        <v>3210.3</v>
      </c>
      <c r="H415">
        <v>1</v>
      </c>
      <c r="I415">
        <v>19.809999999999999</v>
      </c>
      <c r="J415">
        <v>1053</v>
      </c>
      <c r="K415">
        <v>384</v>
      </c>
      <c r="L415">
        <v>52</v>
      </c>
      <c r="M415">
        <v>189</v>
      </c>
      <c r="N415">
        <v>0</v>
      </c>
      <c r="O415">
        <v>5006</v>
      </c>
      <c r="P415">
        <v>183.09</v>
      </c>
      <c r="Q415">
        <v>-100</v>
      </c>
    </row>
    <row r="416" spans="1:17" x14ac:dyDescent="0.45">
      <c r="A416">
        <v>431</v>
      </c>
      <c r="B416" t="s">
        <v>474</v>
      </c>
      <c r="C416">
        <v>1789</v>
      </c>
      <c r="D416">
        <v>2</v>
      </c>
      <c r="E416">
        <v>2250</v>
      </c>
      <c r="F416">
        <v>0</v>
      </c>
      <c r="G416">
        <v>2283.5</v>
      </c>
      <c r="H416">
        <v>3</v>
      </c>
      <c r="I416">
        <v>26.41</v>
      </c>
      <c r="J416">
        <v>710</v>
      </c>
      <c r="K416">
        <v>231</v>
      </c>
      <c r="L416">
        <v>36</v>
      </c>
      <c r="M416">
        <v>91</v>
      </c>
      <c r="N416">
        <v>0</v>
      </c>
      <c r="O416">
        <v>3358</v>
      </c>
      <c r="P416">
        <v>0</v>
      </c>
      <c r="Q416">
        <v>-1204</v>
      </c>
    </row>
    <row r="417" spans="1:17" x14ac:dyDescent="0.45">
      <c r="A417">
        <v>2183</v>
      </c>
      <c r="B417" t="s">
        <v>475</v>
      </c>
      <c r="C417">
        <v>2893</v>
      </c>
      <c r="D417">
        <v>3</v>
      </c>
      <c r="E417">
        <v>1679.9</v>
      </c>
      <c r="F417">
        <v>1201.9000000000001</v>
      </c>
      <c r="G417">
        <v>4834.5</v>
      </c>
      <c r="H417">
        <v>1</v>
      </c>
      <c r="I417">
        <v>23.82</v>
      </c>
      <c r="J417">
        <v>1068</v>
      </c>
      <c r="K417">
        <v>337</v>
      </c>
      <c r="L417">
        <v>99</v>
      </c>
      <c r="M417">
        <v>286</v>
      </c>
      <c r="N417">
        <v>0</v>
      </c>
      <c r="O417">
        <v>2458</v>
      </c>
      <c r="P417">
        <v>0</v>
      </c>
      <c r="Q417">
        <v>-442</v>
      </c>
    </row>
    <row r="418" spans="1:17" x14ac:dyDescent="0.45">
      <c r="A418">
        <v>432</v>
      </c>
      <c r="B418" t="s">
        <v>476</v>
      </c>
      <c r="C418">
        <v>505</v>
      </c>
      <c r="D418">
        <v>1</v>
      </c>
      <c r="E418">
        <v>1163.3</v>
      </c>
      <c r="F418">
        <v>0</v>
      </c>
      <c r="G418">
        <v>600.9</v>
      </c>
      <c r="H418">
        <v>3</v>
      </c>
      <c r="I418">
        <v>26.41</v>
      </c>
      <c r="J418">
        <v>201</v>
      </c>
      <c r="K418">
        <v>64</v>
      </c>
      <c r="L418">
        <v>6</v>
      </c>
      <c r="M418">
        <v>14</v>
      </c>
      <c r="N418">
        <v>0</v>
      </c>
      <c r="O418">
        <v>1428</v>
      </c>
      <c r="P418">
        <v>0</v>
      </c>
      <c r="Q418">
        <v>-1044</v>
      </c>
    </row>
    <row r="419" spans="1:17" x14ac:dyDescent="0.45">
      <c r="A419">
        <v>6451</v>
      </c>
      <c r="B419" t="s">
        <v>477</v>
      </c>
      <c r="C419">
        <v>1635</v>
      </c>
      <c r="D419">
        <v>2</v>
      </c>
      <c r="E419">
        <v>2881.5</v>
      </c>
      <c r="F419">
        <v>26.4</v>
      </c>
      <c r="G419">
        <v>934.5</v>
      </c>
      <c r="H419">
        <v>2</v>
      </c>
      <c r="I419">
        <v>30.44</v>
      </c>
      <c r="J419">
        <v>875</v>
      </c>
      <c r="K419">
        <v>307</v>
      </c>
      <c r="L419">
        <v>32</v>
      </c>
      <c r="M419">
        <v>112</v>
      </c>
      <c r="N419">
        <v>95722</v>
      </c>
      <c r="O419">
        <v>1315</v>
      </c>
      <c r="P419">
        <v>0</v>
      </c>
      <c r="Q419">
        <v>-201</v>
      </c>
    </row>
    <row r="420" spans="1:17" x14ac:dyDescent="0.45">
      <c r="A420">
        <v>6782</v>
      </c>
      <c r="B420" t="s">
        <v>478</v>
      </c>
      <c r="C420">
        <v>1018</v>
      </c>
      <c r="D420">
        <v>3</v>
      </c>
      <c r="E420">
        <v>1564.7</v>
      </c>
      <c r="F420">
        <v>0</v>
      </c>
      <c r="G420">
        <v>979</v>
      </c>
      <c r="H420">
        <v>3</v>
      </c>
      <c r="I420">
        <v>27.66</v>
      </c>
      <c r="J420">
        <v>484</v>
      </c>
      <c r="K420">
        <v>111</v>
      </c>
      <c r="L420">
        <v>28</v>
      </c>
      <c r="M420">
        <v>48</v>
      </c>
      <c r="N420">
        <v>0</v>
      </c>
      <c r="O420">
        <v>2307</v>
      </c>
      <c r="P420">
        <v>0</v>
      </c>
      <c r="Q420">
        <v>-702</v>
      </c>
    </row>
    <row r="421" spans="1:17" x14ac:dyDescent="0.45">
      <c r="A421">
        <v>5883</v>
      </c>
      <c r="B421" t="s">
        <v>479</v>
      </c>
      <c r="C421">
        <v>2303</v>
      </c>
      <c r="D421">
        <v>3</v>
      </c>
      <c r="E421">
        <v>1636.1</v>
      </c>
      <c r="F421">
        <v>3194</v>
      </c>
      <c r="G421">
        <v>984.2</v>
      </c>
      <c r="H421">
        <v>1</v>
      </c>
      <c r="I421">
        <v>19.809999999999999</v>
      </c>
      <c r="J421">
        <v>866</v>
      </c>
      <c r="K421">
        <v>226</v>
      </c>
      <c r="L421">
        <v>78</v>
      </c>
      <c r="M421">
        <v>181</v>
      </c>
      <c r="N421">
        <v>0</v>
      </c>
      <c r="O421">
        <v>23</v>
      </c>
      <c r="P421">
        <v>0</v>
      </c>
      <c r="Q421">
        <v>0</v>
      </c>
    </row>
    <row r="422" spans="1:17" x14ac:dyDescent="0.45">
      <c r="A422">
        <v>6619</v>
      </c>
      <c r="B422" t="s">
        <v>480</v>
      </c>
      <c r="C422">
        <v>2267</v>
      </c>
      <c r="D422">
        <v>3</v>
      </c>
      <c r="E422">
        <v>1648.7</v>
      </c>
      <c r="F422">
        <v>1739.1</v>
      </c>
      <c r="G422">
        <v>826.9</v>
      </c>
      <c r="H422">
        <v>1</v>
      </c>
      <c r="I422">
        <v>10.3</v>
      </c>
      <c r="J422">
        <v>868</v>
      </c>
      <c r="K422">
        <v>213</v>
      </c>
      <c r="L422">
        <v>69</v>
      </c>
      <c r="M422">
        <v>192</v>
      </c>
      <c r="N422">
        <v>0</v>
      </c>
      <c r="O422">
        <v>157</v>
      </c>
      <c r="P422">
        <v>332.25</v>
      </c>
      <c r="Q422">
        <v>-20</v>
      </c>
    </row>
    <row r="423" spans="1:17" x14ac:dyDescent="0.45">
      <c r="A423">
        <v>5884</v>
      </c>
      <c r="B423" t="s">
        <v>481</v>
      </c>
      <c r="C423">
        <v>3362</v>
      </c>
      <c r="D423">
        <v>3</v>
      </c>
      <c r="E423">
        <v>3272.5</v>
      </c>
      <c r="F423">
        <v>2044.2</v>
      </c>
      <c r="G423">
        <v>1363</v>
      </c>
      <c r="H423">
        <v>1</v>
      </c>
      <c r="I423">
        <v>19.809999999999999</v>
      </c>
      <c r="J423">
        <v>1058</v>
      </c>
      <c r="K423">
        <v>356</v>
      </c>
      <c r="L423">
        <v>72</v>
      </c>
      <c r="M423">
        <v>197</v>
      </c>
      <c r="N423">
        <v>0</v>
      </c>
      <c r="O423">
        <v>1331</v>
      </c>
      <c r="P423">
        <v>0</v>
      </c>
      <c r="Q423">
        <v>-381</v>
      </c>
    </row>
    <row r="424" spans="1:17" x14ac:dyDescent="0.45">
      <c r="A424">
        <v>6408</v>
      </c>
      <c r="B424" t="s">
        <v>482</v>
      </c>
      <c r="C424">
        <v>4707</v>
      </c>
      <c r="D424">
        <v>2</v>
      </c>
      <c r="E424">
        <v>4162.8999999999996</v>
      </c>
      <c r="F424">
        <v>5164.2</v>
      </c>
      <c r="G424">
        <v>4592</v>
      </c>
      <c r="H424">
        <v>1</v>
      </c>
      <c r="I424">
        <v>20.88</v>
      </c>
      <c r="J424">
        <v>2072</v>
      </c>
      <c r="K424">
        <v>548</v>
      </c>
      <c r="L424">
        <v>128</v>
      </c>
      <c r="M424">
        <v>351</v>
      </c>
      <c r="N424">
        <v>0</v>
      </c>
      <c r="O424">
        <v>207</v>
      </c>
      <c r="P424">
        <v>0</v>
      </c>
      <c r="Q424">
        <v>-60</v>
      </c>
    </row>
    <row r="425" spans="1:17" x14ac:dyDescent="0.45">
      <c r="A425">
        <v>433</v>
      </c>
      <c r="B425" t="s">
        <v>483</v>
      </c>
      <c r="C425">
        <v>683</v>
      </c>
      <c r="D425">
        <v>1</v>
      </c>
      <c r="E425">
        <v>1364</v>
      </c>
      <c r="F425">
        <v>0</v>
      </c>
      <c r="G425">
        <v>622.5</v>
      </c>
      <c r="H425">
        <v>3</v>
      </c>
      <c r="I425">
        <v>26.41</v>
      </c>
      <c r="J425">
        <v>276</v>
      </c>
      <c r="K425">
        <v>98</v>
      </c>
      <c r="L425">
        <v>4</v>
      </c>
      <c r="M425">
        <v>34</v>
      </c>
      <c r="N425">
        <v>0</v>
      </c>
      <c r="O425">
        <v>2444</v>
      </c>
      <c r="P425">
        <v>0</v>
      </c>
      <c r="Q425">
        <v>-1244</v>
      </c>
    </row>
    <row r="426" spans="1:17" x14ac:dyDescent="0.45">
      <c r="A426">
        <v>5477</v>
      </c>
      <c r="B426" t="s">
        <v>484</v>
      </c>
      <c r="C426">
        <v>4386</v>
      </c>
      <c r="D426">
        <v>3</v>
      </c>
      <c r="E426">
        <v>1061</v>
      </c>
      <c r="F426">
        <v>5312.8</v>
      </c>
      <c r="G426">
        <v>3572.4</v>
      </c>
      <c r="H426">
        <v>2</v>
      </c>
      <c r="I426">
        <v>26.72</v>
      </c>
      <c r="J426">
        <v>1792</v>
      </c>
      <c r="K426">
        <v>489</v>
      </c>
      <c r="L426">
        <v>136</v>
      </c>
      <c r="M426">
        <v>359</v>
      </c>
      <c r="N426">
        <v>0</v>
      </c>
      <c r="O426">
        <v>1849</v>
      </c>
      <c r="P426">
        <v>0</v>
      </c>
      <c r="Q426">
        <v>-361</v>
      </c>
    </row>
    <row r="427" spans="1:17" x14ac:dyDescent="0.45">
      <c r="A427">
        <v>2186</v>
      </c>
      <c r="B427" t="s">
        <v>485</v>
      </c>
      <c r="C427">
        <v>1521</v>
      </c>
      <c r="D427">
        <v>3</v>
      </c>
      <c r="E427">
        <v>1066.7</v>
      </c>
      <c r="F427">
        <v>151.19999999999999</v>
      </c>
      <c r="G427">
        <v>2638.4</v>
      </c>
      <c r="H427">
        <v>3</v>
      </c>
      <c r="I427">
        <v>36.93</v>
      </c>
      <c r="J427">
        <v>550</v>
      </c>
      <c r="K427">
        <v>172</v>
      </c>
      <c r="L427">
        <v>41</v>
      </c>
      <c r="M427">
        <v>99</v>
      </c>
      <c r="N427">
        <v>0</v>
      </c>
      <c r="O427">
        <v>2595</v>
      </c>
      <c r="P427">
        <v>50.19</v>
      </c>
      <c r="Q427">
        <v>-161</v>
      </c>
    </row>
    <row r="428" spans="1:17" x14ac:dyDescent="0.45">
      <c r="A428">
        <v>6706</v>
      </c>
      <c r="B428" t="s">
        <v>486</v>
      </c>
      <c r="C428">
        <v>441</v>
      </c>
      <c r="D428">
        <v>3</v>
      </c>
      <c r="E428">
        <v>654.9</v>
      </c>
      <c r="F428">
        <v>0</v>
      </c>
      <c r="G428">
        <v>533.5</v>
      </c>
      <c r="H428">
        <v>3</v>
      </c>
      <c r="I428">
        <v>27.66</v>
      </c>
      <c r="J428">
        <v>210</v>
      </c>
      <c r="K428">
        <v>50</v>
      </c>
      <c r="L428">
        <v>7</v>
      </c>
      <c r="M428">
        <v>29</v>
      </c>
      <c r="N428">
        <v>0</v>
      </c>
      <c r="O428">
        <v>2363</v>
      </c>
      <c r="P428">
        <v>0</v>
      </c>
      <c r="Q428">
        <v>-502</v>
      </c>
    </row>
    <row r="429" spans="1:17" x14ac:dyDescent="0.45">
      <c r="A429">
        <v>6783</v>
      </c>
      <c r="B429" t="s">
        <v>487</v>
      </c>
      <c r="C429">
        <v>293</v>
      </c>
      <c r="D429">
        <v>3</v>
      </c>
      <c r="E429">
        <v>462.4</v>
      </c>
      <c r="F429">
        <v>0</v>
      </c>
      <c r="G429">
        <v>547.5</v>
      </c>
      <c r="H429">
        <v>3</v>
      </c>
      <c r="I429">
        <v>27.66</v>
      </c>
      <c r="J429">
        <v>157</v>
      </c>
      <c r="K429">
        <v>44</v>
      </c>
      <c r="L429">
        <v>5</v>
      </c>
      <c r="M429">
        <v>10</v>
      </c>
      <c r="N429">
        <v>0</v>
      </c>
      <c r="O429">
        <v>1276</v>
      </c>
      <c r="P429">
        <v>0</v>
      </c>
      <c r="Q429">
        <v>-743</v>
      </c>
    </row>
    <row r="430" spans="1:17" x14ac:dyDescent="0.45">
      <c r="A430">
        <v>6784</v>
      </c>
      <c r="B430" t="s">
        <v>488</v>
      </c>
      <c r="C430">
        <v>2435</v>
      </c>
      <c r="D430">
        <v>3</v>
      </c>
      <c r="E430">
        <v>4253.7</v>
      </c>
      <c r="F430">
        <v>0</v>
      </c>
      <c r="G430">
        <v>11694.9</v>
      </c>
      <c r="H430">
        <v>3</v>
      </c>
      <c r="I430">
        <v>27.66</v>
      </c>
      <c r="J430">
        <v>1079</v>
      </c>
      <c r="K430">
        <v>244</v>
      </c>
      <c r="L430">
        <v>66</v>
      </c>
      <c r="M430">
        <v>138</v>
      </c>
      <c r="N430">
        <v>0</v>
      </c>
      <c r="O430">
        <v>5015</v>
      </c>
      <c r="P430">
        <v>0</v>
      </c>
      <c r="Q430">
        <v>-1545</v>
      </c>
    </row>
    <row r="431" spans="1:17" x14ac:dyDescent="0.45">
      <c r="A431">
        <v>2250</v>
      </c>
      <c r="B431" t="s">
        <v>489</v>
      </c>
      <c r="C431">
        <v>1394</v>
      </c>
      <c r="D431">
        <v>3</v>
      </c>
      <c r="E431">
        <v>1015.2</v>
      </c>
      <c r="F431">
        <v>91.1</v>
      </c>
      <c r="G431">
        <v>2228.6</v>
      </c>
      <c r="H431">
        <v>1</v>
      </c>
      <c r="I431">
        <v>23.82</v>
      </c>
      <c r="J431">
        <v>421</v>
      </c>
      <c r="K431">
        <v>179</v>
      </c>
      <c r="L431">
        <v>51</v>
      </c>
      <c r="M431">
        <v>79</v>
      </c>
      <c r="N431">
        <v>0</v>
      </c>
      <c r="O431">
        <v>437</v>
      </c>
      <c r="P431">
        <v>0</v>
      </c>
      <c r="Q431">
        <v>-181</v>
      </c>
    </row>
    <row r="432" spans="1:17" x14ac:dyDescent="0.45">
      <c r="A432">
        <v>6708</v>
      </c>
      <c r="B432" t="s">
        <v>490</v>
      </c>
      <c r="C432">
        <v>3686</v>
      </c>
      <c r="D432">
        <v>3</v>
      </c>
      <c r="E432">
        <v>3869.7</v>
      </c>
      <c r="F432">
        <v>1701.1</v>
      </c>
      <c r="G432">
        <v>2166.6999999999998</v>
      </c>
      <c r="H432">
        <v>2</v>
      </c>
      <c r="I432">
        <v>31.97</v>
      </c>
      <c r="J432">
        <v>1493</v>
      </c>
      <c r="K432">
        <v>415</v>
      </c>
      <c r="L432">
        <v>57</v>
      </c>
      <c r="M432">
        <v>202</v>
      </c>
      <c r="N432">
        <v>0</v>
      </c>
      <c r="O432">
        <v>4064</v>
      </c>
      <c r="P432">
        <v>0</v>
      </c>
      <c r="Q432">
        <v>-1887</v>
      </c>
    </row>
    <row r="433" spans="1:17" x14ac:dyDescent="0.45">
      <c r="A433">
        <v>6709</v>
      </c>
      <c r="B433" t="s">
        <v>491</v>
      </c>
      <c r="C433">
        <v>3313</v>
      </c>
      <c r="D433">
        <v>3</v>
      </c>
      <c r="E433">
        <v>4750.3</v>
      </c>
      <c r="F433">
        <v>902.2</v>
      </c>
      <c r="G433">
        <v>4647.3</v>
      </c>
      <c r="H433">
        <v>1</v>
      </c>
      <c r="I433">
        <v>20.95</v>
      </c>
      <c r="J433">
        <v>1384</v>
      </c>
      <c r="K433">
        <v>378</v>
      </c>
      <c r="L433">
        <v>64</v>
      </c>
      <c r="M433">
        <v>174</v>
      </c>
      <c r="N433">
        <v>0</v>
      </c>
      <c r="O433">
        <v>5605</v>
      </c>
      <c r="P433">
        <v>2768.75</v>
      </c>
      <c r="Q433">
        <v>-1465</v>
      </c>
    </row>
    <row r="434" spans="1:17" x14ac:dyDescent="0.45">
      <c r="A434">
        <v>690</v>
      </c>
      <c r="B434" t="s">
        <v>492</v>
      </c>
      <c r="C434">
        <v>1394</v>
      </c>
      <c r="D434">
        <v>1</v>
      </c>
      <c r="E434">
        <v>2923.7</v>
      </c>
      <c r="F434">
        <v>0</v>
      </c>
      <c r="G434">
        <v>1999</v>
      </c>
      <c r="H434">
        <v>3</v>
      </c>
      <c r="I434">
        <v>26.41</v>
      </c>
      <c r="J434">
        <v>572</v>
      </c>
      <c r="K434">
        <v>212</v>
      </c>
      <c r="L434">
        <v>15</v>
      </c>
      <c r="M434">
        <v>68</v>
      </c>
      <c r="N434">
        <v>0</v>
      </c>
      <c r="O434">
        <v>3050</v>
      </c>
      <c r="P434">
        <v>598.04999999999995</v>
      </c>
      <c r="Q434">
        <v>-2810</v>
      </c>
    </row>
    <row r="435" spans="1:17" x14ac:dyDescent="0.45">
      <c r="A435">
        <v>6785</v>
      </c>
      <c r="B435" t="s">
        <v>493</v>
      </c>
      <c r="C435">
        <v>786</v>
      </c>
      <c r="D435">
        <v>3</v>
      </c>
      <c r="E435">
        <v>1339.9</v>
      </c>
      <c r="F435">
        <v>3.2</v>
      </c>
      <c r="G435">
        <v>1596.6</v>
      </c>
      <c r="H435">
        <v>3</v>
      </c>
      <c r="I435">
        <v>27.66</v>
      </c>
      <c r="J435">
        <v>351</v>
      </c>
      <c r="K435">
        <v>98</v>
      </c>
      <c r="L435">
        <v>20</v>
      </c>
      <c r="M435">
        <v>44</v>
      </c>
      <c r="N435">
        <v>0</v>
      </c>
      <c r="O435">
        <v>1662</v>
      </c>
      <c r="P435">
        <v>0</v>
      </c>
      <c r="Q435">
        <v>-622</v>
      </c>
    </row>
    <row r="436" spans="1:17" x14ac:dyDescent="0.45">
      <c r="A436">
        <v>434</v>
      </c>
      <c r="B436" t="s">
        <v>494</v>
      </c>
      <c r="C436">
        <v>1420</v>
      </c>
      <c r="D436">
        <v>2</v>
      </c>
      <c r="E436">
        <v>2401.1999999999998</v>
      </c>
      <c r="F436">
        <v>12.5</v>
      </c>
      <c r="G436">
        <v>1583.4</v>
      </c>
      <c r="H436">
        <v>3</v>
      </c>
      <c r="I436">
        <v>26.41</v>
      </c>
      <c r="J436">
        <v>578</v>
      </c>
      <c r="K436">
        <v>205</v>
      </c>
      <c r="L436">
        <v>25</v>
      </c>
      <c r="M436">
        <v>56</v>
      </c>
      <c r="N436">
        <v>0</v>
      </c>
      <c r="O436">
        <v>4778</v>
      </c>
      <c r="P436">
        <v>0</v>
      </c>
      <c r="Q436">
        <v>-1726</v>
      </c>
    </row>
    <row r="437" spans="1:17" x14ac:dyDescent="0.45">
      <c r="A437">
        <v>2254</v>
      </c>
      <c r="B437" t="s">
        <v>495</v>
      </c>
      <c r="C437">
        <v>5702</v>
      </c>
      <c r="D437">
        <v>3</v>
      </c>
      <c r="E437">
        <v>3860.6</v>
      </c>
      <c r="F437">
        <v>627.79999999999995</v>
      </c>
      <c r="G437">
        <v>8035</v>
      </c>
      <c r="H437">
        <v>2</v>
      </c>
      <c r="I437">
        <v>28.63</v>
      </c>
      <c r="J437">
        <v>2052</v>
      </c>
      <c r="K437">
        <v>820</v>
      </c>
      <c r="L437">
        <v>126</v>
      </c>
      <c r="M437">
        <v>325</v>
      </c>
      <c r="N437">
        <v>0</v>
      </c>
      <c r="O437">
        <v>6055</v>
      </c>
      <c r="P437">
        <v>1716.63</v>
      </c>
      <c r="Q437">
        <v>-1044</v>
      </c>
    </row>
    <row r="438" spans="1:17" x14ac:dyDescent="0.45">
      <c r="A438">
        <v>6710</v>
      </c>
      <c r="B438" t="s">
        <v>496</v>
      </c>
      <c r="C438">
        <v>2654</v>
      </c>
      <c r="D438">
        <v>3</v>
      </c>
      <c r="E438">
        <v>3548.4</v>
      </c>
      <c r="F438">
        <v>166.9</v>
      </c>
      <c r="G438">
        <v>1867.4</v>
      </c>
      <c r="H438">
        <v>2</v>
      </c>
      <c r="I438">
        <v>31.97</v>
      </c>
      <c r="J438">
        <v>1151</v>
      </c>
      <c r="K438">
        <v>345</v>
      </c>
      <c r="L438">
        <v>46</v>
      </c>
      <c r="M438">
        <v>124</v>
      </c>
      <c r="N438">
        <v>0</v>
      </c>
      <c r="O438">
        <v>3194</v>
      </c>
      <c r="P438">
        <v>0</v>
      </c>
      <c r="Q438">
        <v>-943</v>
      </c>
    </row>
    <row r="439" spans="1:17" x14ac:dyDescent="0.45">
      <c r="A439">
        <v>5713</v>
      </c>
      <c r="B439" t="s">
        <v>497</v>
      </c>
      <c r="C439">
        <v>2363</v>
      </c>
      <c r="D439">
        <v>3</v>
      </c>
      <c r="E439">
        <v>2821.9</v>
      </c>
      <c r="F439">
        <v>42.4</v>
      </c>
      <c r="G439">
        <v>1614.4</v>
      </c>
      <c r="H439">
        <v>2</v>
      </c>
      <c r="I439">
        <v>26.72</v>
      </c>
      <c r="J439">
        <v>958</v>
      </c>
      <c r="K439">
        <v>270</v>
      </c>
      <c r="L439">
        <v>99</v>
      </c>
      <c r="M439">
        <v>232</v>
      </c>
      <c r="N439">
        <v>0</v>
      </c>
      <c r="O439">
        <v>1033</v>
      </c>
      <c r="P439">
        <v>138.08000000000001</v>
      </c>
      <c r="Q439">
        <v>-140</v>
      </c>
    </row>
    <row r="440" spans="1:17" x14ac:dyDescent="0.45">
      <c r="A440">
        <v>6253</v>
      </c>
      <c r="B440" t="s">
        <v>498</v>
      </c>
      <c r="C440">
        <v>10271</v>
      </c>
      <c r="D440">
        <v>3</v>
      </c>
      <c r="E440">
        <v>16240.6</v>
      </c>
      <c r="F440">
        <v>24307.3</v>
      </c>
      <c r="G440">
        <v>5526.5</v>
      </c>
      <c r="H440">
        <v>1</v>
      </c>
      <c r="I440">
        <v>24.74</v>
      </c>
      <c r="J440">
        <v>5758</v>
      </c>
      <c r="K440">
        <v>1877</v>
      </c>
      <c r="L440">
        <v>261</v>
      </c>
      <c r="M440">
        <v>828</v>
      </c>
      <c r="N440">
        <v>0</v>
      </c>
      <c r="O440">
        <v>1569</v>
      </c>
      <c r="P440">
        <v>0</v>
      </c>
      <c r="Q440">
        <v>-3472</v>
      </c>
    </row>
    <row r="441" spans="1:17" x14ac:dyDescent="0.45">
      <c r="A441">
        <v>5714</v>
      </c>
      <c r="B441" t="s">
        <v>499</v>
      </c>
      <c r="C441">
        <v>1236</v>
      </c>
      <c r="D441">
        <v>3</v>
      </c>
      <c r="E441">
        <v>1476.8</v>
      </c>
      <c r="F441">
        <v>109.7</v>
      </c>
      <c r="G441">
        <v>598.29999999999995</v>
      </c>
      <c r="H441">
        <v>2</v>
      </c>
      <c r="I441">
        <v>26.72</v>
      </c>
      <c r="J441">
        <v>481</v>
      </c>
      <c r="K441">
        <v>140</v>
      </c>
      <c r="L441">
        <v>43</v>
      </c>
      <c r="M441">
        <v>111</v>
      </c>
      <c r="N441">
        <v>0</v>
      </c>
      <c r="O441">
        <v>371</v>
      </c>
      <c r="P441">
        <v>110.75</v>
      </c>
      <c r="Q441">
        <v>-40</v>
      </c>
    </row>
    <row r="442" spans="1:17" x14ac:dyDescent="0.45">
      <c r="A442">
        <v>2257</v>
      </c>
      <c r="B442" t="s">
        <v>501</v>
      </c>
      <c r="C442">
        <v>1056</v>
      </c>
      <c r="D442">
        <v>3</v>
      </c>
      <c r="E442">
        <v>974.9</v>
      </c>
      <c r="F442">
        <v>0</v>
      </c>
      <c r="G442">
        <v>2390.3000000000002</v>
      </c>
      <c r="H442">
        <v>3</v>
      </c>
      <c r="I442">
        <v>36.93</v>
      </c>
      <c r="J442">
        <v>427</v>
      </c>
      <c r="K442">
        <v>180</v>
      </c>
      <c r="L442">
        <v>31</v>
      </c>
      <c r="M442">
        <v>92</v>
      </c>
      <c r="N442">
        <v>0</v>
      </c>
      <c r="O442">
        <v>1155</v>
      </c>
      <c r="P442">
        <v>0</v>
      </c>
      <c r="Q442">
        <v>-161</v>
      </c>
    </row>
    <row r="443" spans="1:17" x14ac:dyDescent="0.45">
      <c r="A443">
        <v>6452</v>
      </c>
      <c r="B443" t="s">
        <v>502</v>
      </c>
      <c r="C443">
        <v>1888</v>
      </c>
      <c r="D443">
        <v>2</v>
      </c>
      <c r="E443">
        <v>3541.8</v>
      </c>
      <c r="F443">
        <v>322.5</v>
      </c>
      <c r="G443">
        <v>10343.9</v>
      </c>
      <c r="H443">
        <v>2</v>
      </c>
      <c r="I443">
        <v>30.44</v>
      </c>
      <c r="J443">
        <v>814</v>
      </c>
      <c r="K443">
        <v>252</v>
      </c>
      <c r="L443">
        <v>20</v>
      </c>
      <c r="M443">
        <v>86</v>
      </c>
      <c r="N443">
        <v>0</v>
      </c>
      <c r="O443">
        <v>359</v>
      </c>
      <c r="P443">
        <v>0</v>
      </c>
      <c r="Q443">
        <v>-923</v>
      </c>
    </row>
    <row r="444" spans="1:17" x14ac:dyDescent="0.45">
      <c r="A444">
        <v>5583</v>
      </c>
      <c r="B444" t="s">
        <v>504</v>
      </c>
      <c r="C444">
        <v>9181</v>
      </c>
      <c r="D444">
        <v>2</v>
      </c>
      <c r="E444">
        <v>5404.1</v>
      </c>
      <c r="F444">
        <v>6904.2</v>
      </c>
      <c r="G444">
        <v>6605.2</v>
      </c>
      <c r="H444">
        <v>1</v>
      </c>
      <c r="I444">
        <v>19.809999999999999</v>
      </c>
      <c r="J444">
        <v>3172</v>
      </c>
      <c r="K444">
        <v>1251</v>
      </c>
      <c r="L444">
        <v>280</v>
      </c>
      <c r="M444">
        <v>952</v>
      </c>
      <c r="N444">
        <v>0</v>
      </c>
      <c r="O444">
        <v>80</v>
      </c>
      <c r="P444">
        <v>0</v>
      </c>
      <c r="Q444">
        <v>-301</v>
      </c>
    </row>
    <row r="445" spans="1:17" x14ac:dyDescent="0.45">
      <c r="A445">
        <v>5910</v>
      </c>
      <c r="B445" t="s">
        <v>505</v>
      </c>
      <c r="C445">
        <v>410</v>
      </c>
      <c r="D445">
        <v>3</v>
      </c>
      <c r="E445">
        <v>661.3</v>
      </c>
      <c r="F445">
        <v>104.8</v>
      </c>
      <c r="G445">
        <v>1567.5</v>
      </c>
      <c r="H445">
        <v>3</v>
      </c>
      <c r="I445">
        <v>35.86</v>
      </c>
      <c r="J445">
        <v>157</v>
      </c>
      <c r="K445">
        <v>58</v>
      </c>
      <c r="L445">
        <v>8</v>
      </c>
      <c r="M445">
        <v>30</v>
      </c>
      <c r="N445">
        <v>0</v>
      </c>
      <c r="O445">
        <v>1276</v>
      </c>
      <c r="P445">
        <v>22.15</v>
      </c>
      <c r="Q445">
        <v>-442</v>
      </c>
    </row>
    <row r="446" spans="1:17" x14ac:dyDescent="0.45">
      <c r="A446">
        <v>5752</v>
      </c>
      <c r="B446" t="s">
        <v>506</v>
      </c>
      <c r="C446">
        <v>386</v>
      </c>
      <c r="D446">
        <v>3</v>
      </c>
      <c r="E446">
        <v>294</v>
      </c>
      <c r="F446">
        <v>450.9</v>
      </c>
      <c r="G446">
        <v>393.8</v>
      </c>
      <c r="H446">
        <v>3</v>
      </c>
      <c r="I446">
        <v>35.86</v>
      </c>
      <c r="J446">
        <v>144</v>
      </c>
      <c r="K446">
        <v>39</v>
      </c>
      <c r="L446">
        <v>11</v>
      </c>
      <c r="M446">
        <v>16</v>
      </c>
      <c r="N446">
        <v>0</v>
      </c>
      <c r="O446">
        <v>178</v>
      </c>
      <c r="P446">
        <v>105.57</v>
      </c>
      <c r="Q446">
        <v>-421</v>
      </c>
    </row>
    <row r="447" spans="1:17" x14ac:dyDescent="0.45">
      <c r="A447">
        <v>691</v>
      </c>
      <c r="B447" t="s">
        <v>500</v>
      </c>
      <c r="C447">
        <v>508</v>
      </c>
      <c r="D447">
        <v>2</v>
      </c>
      <c r="E447">
        <v>1088</v>
      </c>
      <c r="F447">
        <v>0</v>
      </c>
      <c r="G447">
        <v>560.5</v>
      </c>
      <c r="H447">
        <v>3</v>
      </c>
      <c r="I447">
        <v>26.41</v>
      </c>
      <c r="J447">
        <v>195</v>
      </c>
      <c r="K447">
        <v>81</v>
      </c>
      <c r="L447">
        <v>10</v>
      </c>
      <c r="M447">
        <v>30</v>
      </c>
      <c r="N447">
        <v>0</v>
      </c>
      <c r="O447">
        <v>2275</v>
      </c>
      <c r="P447">
        <v>0</v>
      </c>
      <c r="Q447">
        <v>-863</v>
      </c>
    </row>
    <row r="448" spans="1:17" x14ac:dyDescent="0.45">
      <c r="A448">
        <v>2130</v>
      </c>
      <c r="B448" t="s">
        <v>503</v>
      </c>
      <c r="C448">
        <v>449</v>
      </c>
      <c r="D448">
        <v>3</v>
      </c>
      <c r="E448">
        <v>800.2</v>
      </c>
      <c r="F448">
        <v>17.600000000000001</v>
      </c>
      <c r="G448">
        <v>389.8</v>
      </c>
      <c r="H448">
        <v>3</v>
      </c>
      <c r="I448">
        <v>36.93</v>
      </c>
      <c r="J448">
        <v>186</v>
      </c>
      <c r="K448">
        <v>68</v>
      </c>
      <c r="L448">
        <v>11</v>
      </c>
      <c r="M448">
        <v>26</v>
      </c>
      <c r="N448">
        <v>0</v>
      </c>
      <c r="O448">
        <v>46</v>
      </c>
      <c r="P448">
        <v>0</v>
      </c>
      <c r="Q448">
        <v>-140</v>
      </c>
    </row>
    <row r="449" spans="1:17" x14ac:dyDescent="0.45">
      <c r="A449">
        <v>5479</v>
      </c>
      <c r="B449" t="s">
        <v>507</v>
      </c>
      <c r="C449">
        <v>545</v>
      </c>
      <c r="D449">
        <v>3</v>
      </c>
      <c r="E449">
        <v>247</v>
      </c>
      <c r="F449">
        <v>1015.9</v>
      </c>
      <c r="G449">
        <v>602.1</v>
      </c>
      <c r="H449">
        <v>3</v>
      </c>
      <c r="I449">
        <v>35.86</v>
      </c>
      <c r="J449">
        <v>196</v>
      </c>
      <c r="K449">
        <v>92</v>
      </c>
      <c r="L449">
        <v>19</v>
      </c>
      <c r="M449">
        <v>32</v>
      </c>
      <c r="N449">
        <v>0</v>
      </c>
      <c r="O449">
        <v>1537</v>
      </c>
      <c r="P449">
        <v>28.04</v>
      </c>
      <c r="Q449">
        <v>-421</v>
      </c>
    </row>
    <row r="450" spans="1:17" x14ac:dyDescent="0.45">
      <c r="A450">
        <v>5911</v>
      </c>
      <c r="B450" t="s">
        <v>508</v>
      </c>
      <c r="C450">
        <v>237</v>
      </c>
      <c r="D450">
        <v>3</v>
      </c>
      <c r="E450">
        <v>294.60000000000002</v>
      </c>
      <c r="F450">
        <v>180.4</v>
      </c>
      <c r="G450">
        <v>90.5</v>
      </c>
      <c r="H450">
        <v>3</v>
      </c>
      <c r="I450">
        <v>35.86</v>
      </c>
      <c r="J450">
        <v>118</v>
      </c>
      <c r="K450">
        <v>31</v>
      </c>
      <c r="L450">
        <v>5</v>
      </c>
      <c r="M450">
        <v>18</v>
      </c>
      <c r="N450">
        <v>0</v>
      </c>
      <c r="O450">
        <v>852</v>
      </c>
      <c r="P450">
        <v>14.04</v>
      </c>
      <c r="Q450">
        <v>-221</v>
      </c>
    </row>
    <row r="451" spans="1:17" x14ac:dyDescent="0.45">
      <c r="A451">
        <v>5456</v>
      </c>
      <c r="B451" t="s">
        <v>509</v>
      </c>
      <c r="C451">
        <v>1875</v>
      </c>
      <c r="D451">
        <v>3</v>
      </c>
      <c r="E451">
        <v>1750.8</v>
      </c>
      <c r="F451">
        <v>95.8</v>
      </c>
      <c r="G451">
        <v>4167.8999999999996</v>
      </c>
      <c r="H451">
        <v>3</v>
      </c>
      <c r="I451">
        <v>35.86</v>
      </c>
      <c r="J451">
        <v>821</v>
      </c>
      <c r="K451">
        <v>271</v>
      </c>
      <c r="L451">
        <v>68</v>
      </c>
      <c r="M451">
        <v>143</v>
      </c>
      <c r="N451">
        <v>0</v>
      </c>
      <c r="O451">
        <v>5049</v>
      </c>
      <c r="P451">
        <v>78.989999999999995</v>
      </c>
      <c r="Q451">
        <v>-723</v>
      </c>
    </row>
    <row r="452" spans="1:17" x14ac:dyDescent="0.45">
      <c r="A452">
        <v>5138</v>
      </c>
      <c r="B452" t="s">
        <v>510</v>
      </c>
      <c r="C452">
        <v>2851</v>
      </c>
      <c r="D452">
        <v>3</v>
      </c>
      <c r="E452">
        <v>2492.4</v>
      </c>
      <c r="F452">
        <v>38.299999999999997</v>
      </c>
      <c r="G452">
        <v>4363</v>
      </c>
      <c r="H452">
        <v>1</v>
      </c>
      <c r="I452">
        <v>18.600000000000001</v>
      </c>
      <c r="J452">
        <v>1503</v>
      </c>
      <c r="K452">
        <v>462</v>
      </c>
      <c r="L452">
        <v>110</v>
      </c>
      <c r="M452">
        <v>269</v>
      </c>
      <c r="N452">
        <v>0</v>
      </c>
      <c r="O452">
        <v>398</v>
      </c>
      <c r="P452">
        <v>0</v>
      </c>
      <c r="Q452">
        <v>-2388</v>
      </c>
    </row>
    <row r="453" spans="1:17" x14ac:dyDescent="0.45">
      <c r="A453">
        <v>2011</v>
      </c>
      <c r="B453" t="s">
        <v>511</v>
      </c>
      <c r="C453">
        <v>1942</v>
      </c>
      <c r="D453">
        <v>3</v>
      </c>
      <c r="E453">
        <v>1617.2</v>
      </c>
      <c r="F453">
        <v>125.9</v>
      </c>
      <c r="G453">
        <v>3904.2</v>
      </c>
      <c r="H453">
        <v>3</v>
      </c>
      <c r="I453">
        <v>36.93</v>
      </c>
      <c r="J453">
        <v>844</v>
      </c>
      <c r="K453">
        <v>260</v>
      </c>
      <c r="L453">
        <v>47</v>
      </c>
      <c r="M453">
        <v>119</v>
      </c>
      <c r="N453">
        <v>0</v>
      </c>
      <c r="O453">
        <v>5701</v>
      </c>
      <c r="P453">
        <v>0</v>
      </c>
      <c r="Q453">
        <v>-381</v>
      </c>
    </row>
    <row r="454" spans="1:17" x14ac:dyDescent="0.45">
      <c r="A454">
        <v>5516</v>
      </c>
      <c r="B454" t="s">
        <v>512</v>
      </c>
      <c r="C454">
        <v>2696</v>
      </c>
      <c r="D454">
        <v>3</v>
      </c>
      <c r="E454">
        <v>2514.6</v>
      </c>
      <c r="F454">
        <v>1024.4000000000001</v>
      </c>
      <c r="G454">
        <v>2344</v>
      </c>
      <c r="H454">
        <v>1</v>
      </c>
      <c r="I454">
        <v>19.809999999999999</v>
      </c>
      <c r="J454">
        <v>1079</v>
      </c>
      <c r="K454">
        <v>358</v>
      </c>
      <c r="L454">
        <v>111</v>
      </c>
      <c r="M454">
        <v>223</v>
      </c>
      <c r="N454">
        <v>0</v>
      </c>
      <c r="O454">
        <v>548</v>
      </c>
      <c r="P454">
        <v>110.75</v>
      </c>
      <c r="Q454">
        <v>-221</v>
      </c>
    </row>
    <row r="455" spans="1:17" x14ac:dyDescent="0.45">
      <c r="A455">
        <v>5180</v>
      </c>
      <c r="B455" t="s">
        <v>513</v>
      </c>
      <c r="C455">
        <v>1487</v>
      </c>
      <c r="D455">
        <v>1</v>
      </c>
      <c r="E455">
        <v>754.7</v>
      </c>
      <c r="F455">
        <v>1178.7</v>
      </c>
      <c r="G455">
        <v>916.9</v>
      </c>
      <c r="H455">
        <v>1</v>
      </c>
      <c r="I455">
        <v>18.600000000000001</v>
      </c>
      <c r="J455">
        <v>594</v>
      </c>
      <c r="K455">
        <v>188</v>
      </c>
      <c r="L455">
        <v>46</v>
      </c>
      <c r="M455">
        <v>128</v>
      </c>
      <c r="N455">
        <v>0</v>
      </c>
      <c r="O455">
        <v>3</v>
      </c>
      <c r="P455">
        <v>0</v>
      </c>
      <c r="Q455">
        <v>-80</v>
      </c>
    </row>
    <row r="456" spans="1:17" x14ac:dyDescent="0.45">
      <c r="A456">
        <v>5181</v>
      </c>
      <c r="B456" t="s">
        <v>514</v>
      </c>
      <c r="C456">
        <v>608</v>
      </c>
      <c r="D456">
        <v>2</v>
      </c>
      <c r="E456">
        <v>717.9</v>
      </c>
      <c r="F456">
        <v>28.2</v>
      </c>
      <c r="G456">
        <v>886.5</v>
      </c>
      <c r="H456">
        <v>2</v>
      </c>
      <c r="I456">
        <v>22.12</v>
      </c>
      <c r="J456">
        <v>266</v>
      </c>
      <c r="K456">
        <v>82</v>
      </c>
      <c r="L456">
        <v>14</v>
      </c>
      <c r="M456">
        <v>36</v>
      </c>
      <c r="N456">
        <v>0</v>
      </c>
      <c r="O456">
        <v>91</v>
      </c>
      <c r="P456">
        <v>138.79</v>
      </c>
      <c r="Q456">
        <v>-421</v>
      </c>
    </row>
    <row r="457" spans="1:17" x14ac:dyDescent="0.45">
      <c r="A457">
        <v>5669</v>
      </c>
      <c r="B457" t="s">
        <v>515</v>
      </c>
      <c r="C457">
        <v>290</v>
      </c>
      <c r="D457">
        <v>3</v>
      </c>
      <c r="E457">
        <v>396</v>
      </c>
      <c r="F457">
        <v>282.5</v>
      </c>
      <c r="G457">
        <v>529.1</v>
      </c>
      <c r="H457">
        <v>3</v>
      </c>
      <c r="I457">
        <v>35.86</v>
      </c>
      <c r="J457">
        <v>138</v>
      </c>
      <c r="K457">
        <v>39</v>
      </c>
      <c r="L457">
        <v>14</v>
      </c>
      <c r="M457">
        <v>8</v>
      </c>
      <c r="N457">
        <v>0</v>
      </c>
      <c r="O457">
        <v>1153</v>
      </c>
      <c r="P457">
        <v>0</v>
      </c>
      <c r="Q457">
        <v>-140</v>
      </c>
    </row>
    <row r="458" spans="1:17" x14ac:dyDescent="0.45">
      <c r="A458">
        <v>6610</v>
      </c>
      <c r="B458" t="s">
        <v>403</v>
      </c>
      <c r="C458">
        <v>845</v>
      </c>
      <c r="D458">
        <v>3</v>
      </c>
      <c r="E458">
        <v>979.2</v>
      </c>
      <c r="F458">
        <v>32.299999999999997</v>
      </c>
      <c r="G458">
        <v>455.2</v>
      </c>
      <c r="H458">
        <v>2</v>
      </c>
      <c r="I458">
        <v>18.96</v>
      </c>
      <c r="J458">
        <v>305</v>
      </c>
      <c r="K458">
        <v>104</v>
      </c>
      <c r="L458">
        <v>29</v>
      </c>
      <c r="M458">
        <v>59</v>
      </c>
      <c r="N458">
        <v>0</v>
      </c>
      <c r="O458">
        <v>1230</v>
      </c>
      <c r="P458">
        <v>0</v>
      </c>
      <c r="Q458">
        <v>-140</v>
      </c>
    </row>
    <row r="459" spans="1:17" x14ac:dyDescent="0.45">
      <c r="A459">
        <v>25</v>
      </c>
      <c r="B459" t="s">
        <v>516</v>
      </c>
      <c r="C459">
        <v>1950</v>
      </c>
      <c r="D459">
        <v>3</v>
      </c>
      <c r="E459">
        <v>2418.8000000000002</v>
      </c>
      <c r="F459">
        <v>0</v>
      </c>
      <c r="G459">
        <v>1336.3</v>
      </c>
      <c r="H459">
        <v>2</v>
      </c>
      <c r="I459">
        <v>24.61</v>
      </c>
      <c r="J459">
        <v>697</v>
      </c>
      <c r="K459">
        <v>271</v>
      </c>
      <c r="L459">
        <v>72</v>
      </c>
      <c r="M459">
        <v>80</v>
      </c>
      <c r="N459">
        <v>0</v>
      </c>
      <c r="O459">
        <v>95</v>
      </c>
      <c r="P459">
        <v>173.52</v>
      </c>
      <c r="Q459">
        <v>-80</v>
      </c>
    </row>
    <row r="460" spans="1:17" x14ac:dyDescent="0.45">
      <c r="A460">
        <v>1125</v>
      </c>
      <c r="B460" t="s">
        <v>518</v>
      </c>
      <c r="C460">
        <v>5807</v>
      </c>
      <c r="D460">
        <v>2</v>
      </c>
      <c r="E460">
        <v>3803.6</v>
      </c>
      <c r="F460">
        <v>787.3</v>
      </c>
      <c r="G460">
        <v>13347.7</v>
      </c>
      <c r="H460">
        <v>3</v>
      </c>
      <c r="I460">
        <v>26.39</v>
      </c>
      <c r="J460">
        <v>2275</v>
      </c>
      <c r="K460">
        <v>1055</v>
      </c>
      <c r="L460">
        <v>134</v>
      </c>
      <c r="M460">
        <v>235</v>
      </c>
      <c r="N460">
        <v>0</v>
      </c>
      <c r="O460">
        <v>11647</v>
      </c>
      <c r="P460">
        <v>0</v>
      </c>
      <c r="Q460">
        <v>-1586</v>
      </c>
    </row>
    <row r="461" spans="1:17" x14ac:dyDescent="0.45">
      <c r="A461">
        <v>5480</v>
      </c>
      <c r="B461" t="s">
        <v>519</v>
      </c>
      <c r="C461">
        <v>1057</v>
      </c>
      <c r="D461">
        <v>3</v>
      </c>
      <c r="E461">
        <v>1287.8</v>
      </c>
      <c r="F461">
        <v>276.39999999999998</v>
      </c>
      <c r="G461">
        <v>3262.1</v>
      </c>
      <c r="H461">
        <v>3</v>
      </c>
      <c r="I461">
        <v>35.86</v>
      </c>
      <c r="J461">
        <v>401</v>
      </c>
      <c r="K461">
        <v>130</v>
      </c>
      <c r="L461">
        <v>45</v>
      </c>
      <c r="M461">
        <v>118</v>
      </c>
      <c r="N461">
        <v>0</v>
      </c>
      <c r="O461">
        <v>1161</v>
      </c>
      <c r="P461">
        <v>44.3</v>
      </c>
      <c r="Q461">
        <v>-201</v>
      </c>
    </row>
    <row r="462" spans="1:17" x14ac:dyDescent="0.45">
      <c r="A462">
        <v>1503</v>
      </c>
      <c r="B462" t="s">
        <v>520</v>
      </c>
      <c r="C462">
        <v>1847</v>
      </c>
      <c r="D462">
        <v>3</v>
      </c>
      <c r="E462">
        <v>1579.7</v>
      </c>
      <c r="F462">
        <v>1.3</v>
      </c>
      <c r="G462">
        <v>1311.8</v>
      </c>
      <c r="H462">
        <v>3</v>
      </c>
      <c r="I462">
        <v>44.23</v>
      </c>
      <c r="J462">
        <v>669</v>
      </c>
      <c r="K462">
        <v>360</v>
      </c>
      <c r="L462">
        <v>42</v>
      </c>
      <c r="M462">
        <v>88</v>
      </c>
      <c r="N462">
        <v>0</v>
      </c>
      <c r="O462">
        <v>4506</v>
      </c>
      <c r="P462">
        <v>0</v>
      </c>
      <c r="Q462">
        <v>-1104</v>
      </c>
    </row>
    <row r="463" spans="1:17" x14ac:dyDescent="0.45">
      <c r="A463">
        <v>5071</v>
      </c>
      <c r="B463" t="s">
        <v>522</v>
      </c>
      <c r="C463">
        <v>177</v>
      </c>
      <c r="D463">
        <v>3</v>
      </c>
      <c r="E463">
        <v>175.2</v>
      </c>
      <c r="F463">
        <v>8.9</v>
      </c>
      <c r="G463">
        <v>255.9</v>
      </c>
      <c r="H463">
        <v>3</v>
      </c>
      <c r="I463">
        <v>25.45</v>
      </c>
      <c r="J463">
        <v>60</v>
      </c>
      <c r="K463">
        <v>45</v>
      </c>
      <c r="L463">
        <v>4</v>
      </c>
      <c r="M463">
        <v>16</v>
      </c>
      <c r="N463">
        <v>0</v>
      </c>
      <c r="O463">
        <v>300</v>
      </c>
      <c r="P463">
        <v>0</v>
      </c>
      <c r="Q463">
        <v>-1425</v>
      </c>
    </row>
    <row r="464" spans="1:17" x14ac:dyDescent="0.45">
      <c r="A464">
        <v>6811</v>
      </c>
      <c r="B464" t="s">
        <v>523</v>
      </c>
      <c r="C464">
        <v>370</v>
      </c>
      <c r="D464">
        <v>3</v>
      </c>
      <c r="E464">
        <v>854.9</v>
      </c>
      <c r="F464">
        <v>12.2</v>
      </c>
      <c r="G464">
        <v>596</v>
      </c>
      <c r="H464">
        <v>3</v>
      </c>
      <c r="I464">
        <v>27.66</v>
      </c>
      <c r="J464">
        <v>161</v>
      </c>
      <c r="K464">
        <v>62</v>
      </c>
      <c r="L464">
        <v>6</v>
      </c>
      <c r="M464">
        <v>16</v>
      </c>
      <c r="N464">
        <v>0</v>
      </c>
      <c r="O464">
        <v>4897</v>
      </c>
      <c r="P464">
        <v>75.31</v>
      </c>
      <c r="Q464">
        <v>-702</v>
      </c>
    </row>
    <row r="465" spans="1:17" x14ac:dyDescent="0.45">
      <c r="A465">
        <v>6620</v>
      </c>
      <c r="B465" t="s">
        <v>526</v>
      </c>
      <c r="C465">
        <v>1799</v>
      </c>
      <c r="D465">
        <v>3</v>
      </c>
      <c r="E465">
        <v>1541.9</v>
      </c>
      <c r="F465">
        <v>423</v>
      </c>
      <c r="G465">
        <v>610</v>
      </c>
      <c r="H465">
        <v>3</v>
      </c>
      <c r="I465">
        <v>27.36</v>
      </c>
      <c r="J465">
        <v>638</v>
      </c>
      <c r="K465">
        <v>198</v>
      </c>
      <c r="L465">
        <v>15</v>
      </c>
      <c r="M465">
        <v>88</v>
      </c>
      <c r="N465">
        <v>0</v>
      </c>
      <c r="O465">
        <v>701</v>
      </c>
      <c r="P465">
        <v>795.94</v>
      </c>
      <c r="Q465">
        <v>-462</v>
      </c>
    </row>
    <row r="466" spans="1:17" x14ac:dyDescent="0.45">
      <c r="A466">
        <v>3851</v>
      </c>
      <c r="B466" t="s">
        <v>530</v>
      </c>
      <c r="C466">
        <v>10732</v>
      </c>
      <c r="D466">
        <v>3</v>
      </c>
      <c r="E466">
        <v>37585.4</v>
      </c>
      <c r="F466">
        <v>99.6</v>
      </c>
      <c r="G466">
        <v>4259.3</v>
      </c>
      <c r="H466">
        <v>1</v>
      </c>
      <c r="I466">
        <v>21.87</v>
      </c>
      <c r="J466">
        <v>2973</v>
      </c>
      <c r="K466">
        <v>2077</v>
      </c>
      <c r="L466">
        <v>176</v>
      </c>
      <c r="M466">
        <v>470</v>
      </c>
      <c r="N466">
        <v>0</v>
      </c>
      <c r="O466">
        <v>7250</v>
      </c>
      <c r="P466">
        <v>1501.73</v>
      </c>
      <c r="Q466">
        <v>-12343</v>
      </c>
    </row>
    <row r="467" spans="1:17" x14ac:dyDescent="0.45">
      <c r="A467">
        <v>3401</v>
      </c>
      <c r="B467" t="s">
        <v>531</v>
      </c>
      <c r="C467">
        <v>4081</v>
      </c>
      <c r="D467">
        <v>3</v>
      </c>
      <c r="E467">
        <v>2151.3000000000002</v>
      </c>
      <c r="F467">
        <v>2895.4</v>
      </c>
      <c r="G467">
        <v>3931.2</v>
      </c>
      <c r="H467">
        <v>2</v>
      </c>
      <c r="I467">
        <v>22.8</v>
      </c>
      <c r="J467">
        <v>1260</v>
      </c>
      <c r="K467">
        <v>606</v>
      </c>
      <c r="L467">
        <v>59</v>
      </c>
      <c r="M467">
        <v>190</v>
      </c>
      <c r="N467">
        <v>0</v>
      </c>
      <c r="O467">
        <v>6322</v>
      </c>
      <c r="P467">
        <v>0</v>
      </c>
      <c r="Q467">
        <v>-1044</v>
      </c>
    </row>
    <row r="468" spans="1:17" x14ac:dyDescent="0.45">
      <c r="A468">
        <v>535</v>
      </c>
      <c r="B468" t="s">
        <v>532</v>
      </c>
      <c r="C468">
        <v>88</v>
      </c>
      <c r="D468">
        <v>3</v>
      </c>
      <c r="E468">
        <v>0</v>
      </c>
      <c r="F468">
        <v>0</v>
      </c>
      <c r="G468">
        <v>172.4</v>
      </c>
      <c r="H468">
        <v>3</v>
      </c>
      <c r="I468">
        <v>26.41</v>
      </c>
      <c r="J468">
        <v>33</v>
      </c>
      <c r="K468">
        <v>14</v>
      </c>
      <c r="L468">
        <v>2</v>
      </c>
      <c r="M468">
        <v>5</v>
      </c>
      <c r="N468">
        <v>0</v>
      </c>
      <c r="O468">
        <v>564</v>
      </c>
      <c r="P468">
        <v>0</v>
      </c>
      <c r="Q468">
        <v>-100</v>
      </c>
    </row>
    <row r="469" spans="1:17" x14ac:dyDescent="0.45">
      <c r="A469">
        <v>2516</v>
      </c>
      <c r="B469" t="s">
        <v>533</v>
      </c>
      <c r="C469">
        <v>2323</v>
      </c>
      <c r="D469">
        <v>2</v>
      </c>
      <c r="E469">
        <v>1656</v>
      </c>
      <c r="F469">
        <v>1582.3</v>
      </c>
      <c r="G469">
        <v>5753.1</v>
      </c>
      <c r="H469">
        <v>2</v>
      </c>
      <c r="I469">
        <v>26.37</v>
      </c>
      <c r="J469">
        <v>991</v>
      </c>
      <c r="K469">
        <v>361</v>
      </c>
      <c r="L469">
        <v>66</v>
      </c>
      <c r="M469">
        <v>97</v>
      </c>
      <c r="N469">
        <v>0</v>
      </c>
      <c r="O469">
        <v>2768</v>
      </c>
      <c r="P469">
        <v>0</v>
      </c>
      <c r="Q469">
        <v>-341</v>
      </c>
    </row>
    <row r="470" spans="1:17" x14ac:dyDescent="0.45">
      <c r="A470">
        <v>2051</v>
      </c>
      <c r="B470" t="s">
        <v>535</v>
      </c>
      <c r="C470">
        <v>1309</v>
      </c>
      <c r="D470">
        <v>3</v>
      </c>
      <c r="E470">
        <v>1116.8</v>
      </c>
      <c r="F470">
        <v>9.9</v>
      </c>
      <c r="G470">
        <v>2018.9</v>
      </c>
      <c r="H470">
        <v>3</v>
      </c>
      <c r="I470">
        <v>36.93</v>
      </c>
      <c r="J470">
        <v>535</v>
      </c>
      <c r="K470">
        <v>195</v>
      </c>
      <c r="L470">
        <v>63</v>
      </c>
      <c r="M470">
        <v>97</v>
      </c>
      <c r="N470">
        <v>0</v>
      </c>
      <c r="O470">
        <v>761</v>
      </c>
      <c r="P470">
        <v>249.54</v>
      </c>
      <c r="Q470">
        <v>-181</v>
      </c>
    </row>
    <row r="471" spans="1:17" x14ac:dyDescent="0.45">
      <c r="A471">
        <v>6711</v>
      </c>
      <c r="B471" t="s">
        <v>534</v>
      </c>
      <c r="C471">
        <v>12636</v>
      </c>
      <c r="D471">
        <v>3</v>
      </c>
      <c r="E471">
        <v>11683.2</v>
      </c>
      <c r="F471">
        <v>12151.7</v>
      </c>
      <c r="G471">
        <v>11354.4</v>
      </c>
      <c r="H471">
        <v>1</v>
      </c>
      <c r="I471">
        <v>20.95</v>
      </c>
      <c r="J471">
        <v>4306</v>
      </c>
      <c r="K471">
        <v>1343</v>
      </c>
      <c r="L471">
        <v>206</v>
      </c>
      <c r="M471">
        <v>721</v>
      </c>
      <c r="N471">
        <v>873</v>
      </c>
      <c r="O471">
        <v>3986</v>
      </c>
      <c r="P471">
        <v>0</v>
      </c>
      <c r="Q471">
        <v>-1826</v>
      </c>
    </row>
    <row r="472" spans="1:17" x14ac:dyDescent="0.45">
      <c r="A472">
        <v>5631</v>
      </c>
      <c r="B472" t="s">
        <v>537</v>
      </c>
      <c r="C472">
        <v>714</v>
      </c>
      <c r="D472">
        <v>2</v>
      </c>
      <c r="E472">
        <v>602.9</v>
      </c>
      <c r="F472">
        <v>788.6</v>
      </c>
      <c r="G472">
        <v>1223</v>
      </c>
      <c r="H472">
        <v>2</v>
      </c>
      <c r="I472">
        <v>26.72</v>
      </c>
      <c r="J472">
        <v>296</v>
      </c>
      <c r="K472">
        <v>80</v>
      </c>
      <c r="L472">
        <v>31</v>
      </c>
      <c r="M472">
        <v>57</v>
      </c>
      <c r="N472">
        <v>0</v>
      </c>
      <c r="O472">
        <v>1414</v>
      </c>
      <c r="P472">
        <v>0</v>
      </c>
      <c r="Q472">
        <v>-20</v>
      </c>
    </row>
    <row r="473" spans="1:17" x14ac:dyDescent="0.45">
      <c r="A473">
        <v>5632</v>
      </c>
      <c r="B473" t="s">
        <v>538</v>
      </c>
      <c r="C473">
        <v>1774</v>
      </c>
      <c r="D473">
        <v>3</v>
      </c>
      <c r="E473">
        <v>1383.7</v>
      </c>
      <c r="F473">
        <v>1257.5999999999999</v>
      </c>
      <c r="G473">
        <v>2045.7</v>
      </c>
      <c r="H473">
        <v>1</v>
      </c>
      <c r="I473">
        <v>19.809999999999999</v>
      </c>
      <c r="J473">
        <v>703</v>
      </c>
      <c r="K473">
        <v>238</v>
      </c>
      <c r="L473">
        <v>48</v>
      </c>
      <c r="M473">
        <v>129</v>
      </c>
      <c r="N473">
        <v>0</v>
      </c>
      <c r="O473">
        <v>61</v>
      </c>
      <c r="P473">
        <v>0</v>
      </c>
      <c r="Q473">
        <v>-20</v>
      </c>
    </row>
    <row r="474" spans="1:17" x14ac:dyDescent="0.45">
      <c r="A474">
        <v>4004</v>
      </c>
      <c r="B474" t="s">
        <v>539</v>
      </c>
      <c r="C474">
        <v>743</v>
      </c>
      <c r="D474">
        <v>3</v>
      </c>
      <c r="E474">
        <v>755.7</v>
      </c>
      <c r="F474">
        <v>18.399999999999999</v>
      </c>
      <c r="G474">
        <v>1452.7</v>
      </c>
      <c r="H474">
        <v>3</v>
      </c>
      <c r="I474">
        <v>23.9</v>
      </c>
      <c r="J474">
        <v>291</v>
      </c>
      <c r="K474">
        <v>141</v>
      </c>
      <c r="L474">
        <v>30</v>
      </c>
      <c r="M474">
        <v>46</v>
      </c>
      <c r="N474">
        <v>0</v>
      </c>
      <c r="O474">
        <v>3419</v>
      </c>
      <c r="P474">
        <v>82.71</v>
      </c>
      <c r="Q474">
        <v>-1305</v>
      </c>
    </row>
    <row r="475" spans="1:17" x14ac:dyDescent="0.45">
      <c r="A475">
        <v>2517</v>
      </c>
      <c r="B475" t="s">
        <v>540</v>
      </c>
      <c r="C475">
        <v>6799</v>
      </c>
      <c r="D475">
        <v>1</v>
      </c>
      <c r="E475">
        <v>3357.8</v>
      </c>
      <c r="F475">
        <v>5624.1</v>
      </c>
      <c r="G475">
        <v>5316.7</v>
      </c>
      <c r="H475">
        <v>1</v>
      </c>
      <c r="I475">
        <v>19.07</v>
      </c>
      <c r="J475">
        <v>2575</v>
      </c>
      <c r="K475">
        <v>1023</v>
      </c>
      <c r="L475">
        <v>84</v>
      </c>
      <c r="M475">
        <v>253</v>
      </c>
      <c r="N475">
        <v>0</v>
      </c>
      <c r="O475">
        <v>828</v>
      </c>
      <c r="P475">
        <v>0</v>
      </c>
      <c r="Q475">
        <v>-281</v>
      </c>
    </row>
    <row r="476" spans="1:17" x14ac:dyDescent="0.45">
      <c r="A476">
        <v>6712</v>
      </c>
      <c r="B476" t="s">
        <v>541</v>
      </c>
      <c r="C476">
        <v>1360</v>
      </c>
      <c r="D476">
        <v>3</v>
      </c>
      <c r="E476">
        <v>2578.5</v>
      </c>
      <c r="F476">
        <v>18.8</v>
      </c>
      <c r="G476">
        <v>5639</v>
      </c>
      <c r="H476">
        <v>3</v>
      </c>
      <c r="I476">
        <v>27.66</v>
      </c>
      <c r="J476">
        <v>630</v>
      </c>
      <c r="K476">
        <v>199</v>
      </c>
      <c r="L476">
        <v>60</v>
      </c>
      <c r="M476">
        <v>98</v>
      </c>
      <c r="N476">
        <v>0</v>
      </c>
      <c r="O476">
        <v>3763</v>
      </c>
      <c r="P476">
        <v>0</v>
      </c>
      <c r="Q476">
        <v>-1044</v>
      </c>
    </row>
    <row r="477" spans="1:17" x14ac:dyDescent="0.45">
      <c r="A477">
        <v>2884</v>
      </c>
      <c r="B477" t="s">
        <v>542</v>
      </c>
      <c r="C477">
        <v>1636</v>
      </c>
      <c r="D477">
        <v>1</v>
      </c>
      <c r="E477">
        <v>1835.9</v>
      </c>
      <c r="F477">
        <v>14.4</v>
      </c>
      <c r="G477">
        <v>2245</v>
      </c>
      <c r="H477">
        <v>3</v>
      </c>
      <c r="I477">
        <v>22.09</v>
      </c>
      <c r="J477">
        <v>637</v>
      </c>
      <c r="K477">
        <v>251</v>
      </c>
      <c r="L477">
        <v>55</v>
      </c>
      <c r="M477">
        <v>94</v>
      </c>
      <c r="N477">
        <v>0</v>
      </c>
      <c r="O477">
        <v>5037</v>
      </c>
      <c r="P477">
        <v>0</v>
      </c>
      <c r="Q477">
        <v>-743</v>
      </c>
    </row>
    <row r="478" spans="1:17" x14ac:dyDescent="0.45">
      <c r="A478">
        <v>86</v>
      </c>
      <c r="B478" t="s">
        <v>543</v>
      </c>
      <c r="C478">
        <v>6151</v>
      </c>
      <c r="D478">
        <v>3</v>
      </c>
      <c r="E478">
        <v>9063.2999999999993</v>
      </c>
      <c r="F478">
        <v>387.3</v>
      </c>
      <c r="G478">
        <v>6674.3</v>
      </c>
      <c r="H478">
        <v>2</v>
      </c>
      <c r="I478">
        <v>24.61</v>
      </c>
      <c r="J478">
        <v>2254</v>
      </c>
      <c r="K478">
        <v>1001</v>
      </c>
      <c r="L478">
        <v>348</v>
      </c>
      <c r="M478">
        <v>626</v>
      </c>
      <c r="N478">
        <v>0</v>
      </c>
      <c r="O478">
        <v>326</v>
      </c>
      <c r="P478">
        <v>0</v>
      </c>
      <c r="Q478">
        <v>-341</v>
      </c>
    </row>
    <row r="479" spans="1:17" x14ac:dyDescent="0.45">
      <c r="A479">
        <v>762</v>
      </c>
      <c r="B479" t="s">
        <v>544</v>
      </c>
      <c r="C479">
        <v>2271</v>
      </c>
      <c r="D479">
        <v>3</v>
      </c>
      <c r="E479">
        <v>2477.6999999999998</v>
      </c>
      <c r="F479">
        <v>3.5</v>
      </c>
      <c r="G479">
        <v>2743.7</v>
      </c>
      <c r="H479">
        <v>3</v>
      </c>
      <c r="I479">
        <v>26.41</v>
      </c>
      <c r="J479">
        <v>946</v>
      </c>
      <c r="K479">
        <v>639</v>
      </c>
      <c r="L479">
        <v>28</v>
      </c>
      <c r="M479">
        <v>71</v>
      </c>
      <c r="N479">
        <v>0</v>
      </c>
      <c r="O479">
        <v>12265</v>
      </c>
      <c r="P479">
        <v>0</v>
      </c>
      <c r="Q479">
        <v>-7326</v>
      </c>
    </row>
    <row r="480" spans="1:17" x14ac:dyDescent="0.45">
      <c r="A480">
        <v>2845</v>
      </c>
      <c r="B480" t="s">
        <v>545</v>
      </c>
      <c r="C480">
        <v>785</v>
      </c>
      <c r="D480">
        <v>1</v>
      </c>
      <c r="E480">
        <v>773.6</v>
      </c>
      <c r="F480">
        <v>32.200000000000003</v>
      </c>
      <c r="G480">
        <v>721.7</v>
      </c>
      <c r="H480">
        <v>2</v>
      </c>
      <c r="I480">
        <v>20.72</v>
      </c>
      <c r="J480">
        <v>292</v>
      </c>
      <c r="K480">
        <v>127</v>
      </c>
      <c r="L480">
        <v>29</v>
      </c>
      <c r="M480">
        <v>38</v>
      </c>
      <c r="N480">
        <v>0</v>
      </c>
      <c r="O480">
        <v>0</v>
      </c>
      <c r="P480">
        <v>0</v>
      </c>
      <c r="Q480">
        <v>-161</v>
      </c>
    </row>
    <row r="481" spans="1:17" x14ac:dyDescent="0.45">
      <c r="A481">
        <v>3234</v>
      </c>
      <c r="B481" t="s">
        <v>546</v>
      </c>
      <c r="C481">
        <v>6889</v>
      </c>
      <c r="D481">
        <v>3</v>
      </c>
      <c r="E481">
        <v>6194.7</v>
      </c>
      <c r="F481">
        <v>1144</v>
      </c>
      <c r="G481">
        <v>9718.7999999999993</v>
      </c>
      <c r="H481">
        <v>1</v>
      </c>
      <c r="I481">
        <v>22.7</v>
      </c>
      <c r="J481">
        <v>2426</v>
      </c>
      <c r="K481">
        <v>1436</v>
      </c>
      <c r="L481">
        <v>157</v>
      </c>
      <c r="M481">
        <v>286</v>
      </c>
      <c r="N481">
        <v>0</v>
      </c>
      <c r="O481">
        <v>6191</v>
      </c>
      <c r="P481">
        <v>0</v>
      </c>
      <c r="Q481">
        <v>-80</v>
      </c>
    </row>
    <row r="482" spans="1:17" x14ac:dyDescent="0.45">
      <c r="A482">
        <v>1053</v>
      </c>
      <c r="B482" t="s">
        <v>547</v>
      </c>
      <c r="C482">
        <v>1609</v>
      </c>
      <c r="D482">
        <v>3</v>
      </c>
      <c r="E482">
        <v>1172.4000000000001</v>
      </c>
      <c r="F482">
        <v>1.9</v>
      </c>
      <c r="G482">
        <v>2054.1999999999998</v>
      </c>
      <c r="H482">
        <v>1</v>
      </c>
      <c r="I482">
        <v>19.39</v>
      </c>
      <c r="J482">
        <v>498</v>
      </c>
      <c r="K482">
        <v>359</v>
      </c>
      <c r="L482">
        <v>40</v>
      </c>
      <c r="M482">
        <v>126</v>
      </c>
      <c r="N482">
        <v>0</v>
      </c>
      <c r="O482">
        <v>1467</v>
      </c>
      <c r="P482">
        <v>0</v>
      </c>
      <c r="Q482">
        <v>-120</v>
      </c>
    </row>
    <row r="483" spans="1:17" x14ac:dyDescent="0.45">
      <c r="A483">
        <v>385</v>
      </c>
      <c r="B483" t="s">
        <v>548</v>
      </c>
      <c r="C483">
        <v>1016</v>
      </c>
      <c r="D483">
        <v>2</v>
      </c>
      <c r="E483">
        <v>1553.3</v>
      </c>
      <c r="F483">
        <v>24.5</v>
      </c>
      <c r="G483">
        <v>1717.6</v>
      </c>
      <c r="H483">
        <v>3</v>
      </c>
      <c r="I483">
        <v>26.41</v>
      </c>
      <c r="J483">
        <v>385</v>
      </c>
      <c r="K483">
        <v>176</v>
      </c>
      <c r="L483">
        <v>19</v>
      </c>
      <c r="M483">
        <v>24</v>
      </c>
      <c r="N483">
        <v>0</v>
      </c>
      <c r="O483">
        <v>2407</v>
      </c>
      <c r="P483">
        <v>0</v>
      </c>
      <c r="Q483">
        <v>-401</v>
      </c>
    </row>
    <row r="484" spans="1:17" x14ac:dyDescent="0.45">
      <c r="A484">
        <v>4545</v>
      </c>
      <c r="B484" t="s">
        <v>549</v>
      </c>
      <c r="C484">
        <v>4118</v>
      </c>
      <c r="D484">
        <v>3</v>
      </c>
      <c r="E484">
        <v>3344.8</v>
      </c>
      <c r="F484">
        <v>2573.4</v>
      </c>
      <c r="G484">
        <v>3288.3</v>
      </c>
      <c r="H484">
        <v>3</v>
      </c>
      <c r="I484">
        <v>26.04</v>
      </c>
      <c r="J484">
        <v>1516</v>
      </c>
      <c r="K484">
        <v>722</v>
      </c>
      <c r="L484">
        <v>64</v>
      </c>
      <c r="M484">
        <v>172</v>
      </c>
      <c r="N484">
        <v>0</v>
      </c>
      <c r="O484">
        <v>989</v>
      </c>
      <c r="P484">
        <v>387.63</v>
      </c>
      <c r="Q484">
        <v>-723</v>
      </c>
    </row>
    <row r="485" spans="1:17" x14ac:dyDescent="0.45">
      <c r="A485">
        <v>243</v>
      </c>
      <c r="B485" t="s">
        <v>550</v>
      </c>
      <c r="C485">
        <v>28162</v>
      </c>
      <c r="D485">
        <v>3</v>
      </c>
      <c r="E485">
        <v>11552</v>
      </c>
      <c r="F485">
        <v>13455.2</v>
      </c>
      <c r="G485">
        <v>7268.8</v>
      </c>
      <c r="H485">
        <v>1</v>
      </c>
      <c r="I485">
        <v>15.69</v>
      </c>
      <c r="J485">
        <v>7001</v>
      </c>
      <c r="K485">
        <v>4138</v>
      </c>
      <c r="L485">
        <v>448</v>
      </c>
      <c r="M485">
        <v>1536</v>
      </c>
      <c r="N485">
        <v>0</v>
      </c>
      <c r="O485">
        <v>858</v>
      </c>
      <c r="P485">
        <v>57270.85</v>
      </c>
      <c r="Q485">
        <v>-502</v>
      </c>
    </row>
    <row r="486" spans="1:17" x14ac:dyDescent="0.45">
      <c r="A486">
        <v>54</v>
      </c>
      <c r="B486" t="s">
        <v>551</v>
      </c>
      <c r="C486">
        <v>7855</v>
      </c>
      <c r="D486">
        <v>3</v>
      </c>
      <c r="E486">
        <v>5394.8</v>
      </c>
      <c r="F486">
        <v>4878.2</v>
      </c>
      <c r="G486">
        <v>6111.5</v>
      </c>
      <c r="H486">
        <v>1</v>
      </c>
      <c r="I486">
        <v>15.69</v>
      </c>
      <c r="J486">
        <v>2603</v>
      </c>
      <c r="K486">
        <v>1247</v>
      </c>
      <c r="L486">
        <v>243</v>
      </c>
      <c r="M486">
        <v>676</v>
      </c>
      <c r="N486">
        <v>0</v>
      </c>
      <c r="O486">
        <v>297</v>
      </c>
      <c r="P486">
        <v>0</v>
      </c>
      <c r="Q486">
        <v>-261</v>
      </c>
    </row>
    <row r="487" spans="1:17" x14ac:dyDescent="0.45">
      <c r="A487">
        <v>4231</v>
      </c>
      <c r="B487" t="s">
        <v>552</v>
      </c>
      <c r="C487">
        <v>1428</v>
      </c>
      <c r="D487">
        <v>3</v>
      </c>
      <c r="E487">
        <v>992.6</v>
      </c>
      <c r="F487">
        <v>14.3</v>
      </c>
      <c r="G487">
        <v>1967.3</v>
      </c>
      <c r="H487">
        <v>3</v>
      </c>
      <c r="I487">
        <v>23.9</v>
      </c>
      <c r="J487">
        <v>524</v>
      </c>
      <c r="K487">
        <v>237</v>
      </c>
      <c r="L487">
        <v>29</v>
      </c>
      <c r="M487">
        <v>49</v>
      </c>
      <c r="N487">
        <v>0</v>
      </c>
      <c r="O487">
        <v>2324</v>
      </c>
      <c r="P487">
        <v>0</v>
      </c>
      <c r="Q487">
        <v>-181</v>
      </c>
    </row>
    <row r="488" spans="1:17" x14ac:dyDescent="0.45">
      <c r="A488">
        <v>216</v>
      </c>
      <c r="B488" t="s">
        <v>553</v>
      </c>
      <c r="C488">
        <v>1730</v>
      </c>
      <c r="D488">
        <v>3</v>
      </c>
      <c r="E488">
        <v>1726.7</v>
      </c>
      <c r="F488">
        <v>0</v>
      </c>
      <c r="G488">
        <v>1849.5</v>
      </c>
      <c r="H488">
        <v>3</v>
      </c>
      <c r="I488">
        <v>25.15</v>
      </c>
      <c r="J488">
        <v>689</v>
      </c>
      <c r="K488">
        <v>258</v>
      </c>
      <c r="L488">
        <v>49</v>
      </c>
      <c r="M488">
        <v>77</v>
      </c>
      <c r="N488">
        <v>0</v>
      </c>
      <c r="O488">
        <v>2891</v>
      </c>
      <c r="P488">
        <v>0</v>
      </c>
      <c r="Q488">
        <v>-261</v>
      </c>
    </row>
    <row r="489" spans="1:17" x14ac:dyDescent="0.45">
      <c r="A489">
        <v>4194</v>
      </c>
      <c r="B489" t="s">
        <v>554</v>
      </c>
      <c r="C489">
        <v>2379</v>
      </c>
      <c r="D489">
        <v>3</v>
      </c>
      <c r="E489">
        <v>1946.5</v>
      </c>
      <c r="F489">
        <v>282.8</v>
      </c>
      <c r="G489">
        <v>2765.9</v>
      </c>
      <c r="H489">
        <v>2</v>
      </c>
      <c r="I489">
        <v>23.46</v>
      </c>
      <c r="J489">
        <v>986</v>
      </c>
      <c r="K489">
        <v>408</v>
      </c>
      <c r="L489">
        <v>77</v>
      </c>
      <c r="M489">
        <v>151</v>
      </c>
      <c r="N489">
        <v>0</v>
      </c>
      <c r="O489">
        <v>923</v>
      </c>
      <c r="P489">
        <v>0</v>
      </c>
      <c r="Q489">
        <v>-321</v>
      </c>
    </row>
    <row r="490" spans="1:17" x14ac:dyDescent="0.45">
      <c r="A490">
        <v>3982</v>
      </c>
      <c r="B490" t="s">
        <v>555</v>
      </c>
      <c r="C490">
        <v>2009</v>
      </c>
      <c r="D490">
        <v>3</v>
      </c>
      <c r="E490">
        <v>4903</v>
      </c>
      <c r="F490">
        <v>0</v>
      </c>
      <c r="G490">
        <v>3174.1</v>
      </c>
      <c r="H490">
        <v>3</v>
      </c>
      <c r="I490">
        <v>29.04</v>
      </c>
      <c r="J490">
        <v>521</v>
      </c>
      <c r="K490">
        <v>447</v>
      </c>
      <c r="L490">
        <v>45</v>
      </c>
      <c r="M490">
        <v>69</v>
      </c>
      <c r="N490">
        <v>0</v>
      </c>
      <c r="O490">
        <v>3142</v>
      </c>
      <c r="P490">
        <v>462.18</v>
      </c>
      <c r="Q490">
        <v>-4576</v>
      </c>
    </row>
    <row r="491" spans="1:17" x14ac:dyDescent="0.45">
      <c r="A491">
        <v>2784</v>
      </c>
      <c r="B491" t="s">
        <v>556</v>
      </c>
      <c r="C491">
        <v>730</v>
      </c>
      <c r="D491">
        <v>1</v>
      </c>
      <c r="E491">
        <v>909.2</v>
      </c>
      <c r="F491">
        <v>0</v>
      </c>
      <c r="G491">
        <v>710.4</v>
      </c>
      <c r="H491">
        <v>2</v>
      </c>
      <c r="I491">
        <v>20.72</v>
      </c>
      <c r="J491">
        <v>281</v>
      </c>
      <c r="K491">
        <v>108</v>
      </c>
      <c r="L491">
        <v>15</v>
      </c>
      <c r="M491">
        <v>34</v>
      </c>
      <c r="N491">
        <v>0</v>
      </c>
      <c r="O491">
        <v>612</v>
      </c>
      <c r="P491">
        <v>0</v>
      </c>
      <c r="Q491">
        <v>-803</v>
      </c>
    </row>
    <row r="492" spans="1:17" x14ac:dyDescent="0.45">
      <c r="A492">
        <v>5481</v>
      </c>
      <c r="B492" t="s">
        <v>557</v>
      </c>
      <c r="C492">
        <v>232</v>
      </c>
      <c r="D492">
        <v>3</v>
      </c>
      <c r="E492">
        <v>90.5</v>
      </c>
      <c r="F492">
        <v>473.7</v>
      </c>
      <c r="G492">
        <v>310.60000000000002</v>
      </c>
      <c r="H492">
        <v>3</v>
      </c>
      <c r="I492">
        <v>35.86</v>
      </c>
      <c r="J492">
        <v>100</v>
      </c>
      <c r="K492">
        <v>35</v>
      </c>
      <c r="L492">
        <v>4</v>
      </c>
      <c r="M492">
        <v>16</v>
      </c>
      <c r="N492">
        <v>0</v>
      </c>
      <c r="O492">
        <v>784</v>
      </c>
      <c r="P492">
        <v>17.72</v>
      </c>
      <c r="Q492">
        <v>-120</v>
      </c>
    </row>
    <row r="493" spans="1:17" x14ac:dyDescent="0.45">
      <c r="A493">
        <v>3722</v>
      </c>
      <c r="B493" t="s">
        <v>558</v>
      </c>
      <c r="C493">
        <v>8199</v>
      </c>
      <c r="D493">
        <v>3</v>
      </c>
      <c r="E493">
        <v>8159.8</v>
      </c>
      <c r="F493">
        <v>778</v>
      </c>
      <c r="G493">
        <v>8078.1</v>
      </c>
      <c r="H493">
        <v>2</v>
      </c>
      <c r="I493">
        <v>21.73</v>
      </c>
      <c r="J493">
        <v>2410</v>
      </c>
      <c r="K493">
        <v>1465</v>
      </c>
      <c r="L493">
        <v>143</v>
      </c>
      <c r="M493">
        <v>328</v>
      </c>
      <c r="N493">
        <v>0</v>
      </c>
      <c r="O493">
        <v>1587</v>
      </c>
      <c r="P493">
        <v>2658</v>
      </c>
      <c r="Q493">
        <v>-2469</v>
      </c>
    </row>
    <row r="494" spans="1:17" x14ac:dyDescent="0.45">
      <c r="A494">
        <v>3673</v>
      </c>
      <c r="B494" t="s">
        <v>559</v>
      </c>
      <c r="C494">
        <v>2200</v>
      </c>
      <c r="D494">
        <v>3</v>
      </c>
      <c r="E494">
        <v>1864.4</v>
      </c>
      <c r="F494">
        <v>11.7</v>
      </c>
      <c r="G494">
        <v>3567.4</v>
      </c>
      <c r="H494">
        <v>3</v>
      </c>
      <c r="I494">
        <v>29.04</v>
      </c>
      <c r="J494">
        <v>702</v>
      </c>
      <c r="K494">
        <v>483</v>
      </c>
      <c r="L494">
        <v>64</v>
      </c>
      <c r="M494">
        <v>82</v>
      </c>
      <c r="N494">
        <v>0</v>
      </c>
      <c r="O494">
        <v>6934</v>
      </c>
      <c r="P494">
        <v>33.229999999999997</v>
      </c>
      <c r="Q494">
        <v>-4275</v>
      </c>
    </row>
    <row r="495" spans="1:17" x14ac:dyDescent="0.45">
      <c r="A495">
        <v>5671</v>
      </c>
      <c r="B495" t="s">
        <v>560</v>
      </c>
      <c r="C495">
        <v>248</v>
      </c>
      <c r="D495">
        <v>3</v>
      </c>
      <c r="E495">
        <v>317.89999999999998</v>
      </c>
      <c r="F495">
        <v>319.89999999999998</v>
      </c>
      <c r="G495">
        <v>502.9</v>
      </c>
      <c r="H495">
        <v>3</v>
      </c>
      <c r="I495">
        <v>35.86</v>
      </c>
      <c r="J495">
        <v>116</v>
      </c>
      <c r="K495">
        <v>31</v>
      </c>
      <c r="L495">
        <v>9</v>
      </c>
      <c r="M495">
        <v>11</v>
      </c>
      <c r="N495">
        <v>0</v>
      </c>
      <c r="O495">
        <v>703</v>
      </c>
      <c r="P495">
        <v>0</v>
      </c>
      <c r="Q495">
        <v>-120</v>
      </c>
    </row>
    <row r="496" spans="1:17" x14ac:dyDescent="0.45">
      <c r="A496">
        <v>5913</v>
      </c>
      <c r="B496" t="s">
        <v>561</v>
      </c>
      <c r="C496">
        <v>905</v>
      </c>
      <c r="D496">
        <v>3</v>
      </c>
      <c r="E496">
        <v>921.8</v>
      </c>
      <c r="F496">
        <v>343.5</v>
      </c>
      <c r="G496">
        <v>1123.7</v>
      </c>
      <c r="H496">
        <v>3</v>
      </c>
      <c r="I496">
        <v>35.86</v>
      </c>
      <c r="J496">
        <v>365</v>
      </c>
      <c r="K496">
        <v>114</v>
      </c>
      <c r="L496">
        <v>40</v>
      </c>
      <c r="M496">
        <v>55</v>
      </c>
      <c r="N496">
        <v>0</v>
      </c>
      <c r="O496">
        <v>2555</v>
      </c>
      <c r="P496">
        <v>44.3</v>
      </c>
      <c r="Q496">
        <v>-421</v>
      </c>
    </row>
    <row r="497" spans="1:17" x14ac:dyDescent="0.45">
      <c r="A497">
        <v>1001</v>
      </c>
      <c r="B497" t="s">
        <v>562</v>
      </c>
      <c r="C497">
        <v>806</v>
      </c>
      <c r="D497">
        <v>2</v>
      </c>
      <c r="E497">
        <v>564</v>
      </c>
      <c r="F497">
        <v>26.5</v>
      </c>
      <c r="G497">
        <v>1169.7</v>
      </c>
      <c r="H497">
        <v>3</v>
      </c>
      <c r="I497">
        <v>26.39</v>
      </c>
      <c r="J497">
        <v>341</v>
      </c>
      <c r="K497">
        <v>131</v>
      </c>
      <c r="L497">
        <v>9</v>
      </c>
      <c r="M497">
        <v>29</v>
      </c>
      <c r="N497">
        <v>0</v>
      </c>
      <c r="O497">
        <v>3235</v>
      </c>
      <c r="P497">
        <v>775.25</v>
      </c>
      <c r="Q497">
        <v>-442</v>
      </c>
    </row>
    <row r="498" spans="1:17" x14ac:dyDescent="0.45">
      <c r="A498">
        <v>26</v>
      </c>
      <c r="B498" t="s">
        <v>564</v>
      </c>
      <c r="C498">
        <v>712</v>
      </c>
      <c r="D498">
        <v>3</v>
      </c>
      <c r="E498">
        <v>691.7</v>
      </c>
      <c r="F498">
        <v>0</v>
      </c>
      <c r="G498">
        <v>343.7</v>
      </c>
      <c r="H498">
        <v>3</v>
      </c>
      <c r="I498">
        <v>25.15</v>
      </c>
      <c r="J498">
        <v>293</v>
      </c>
      <c r="K498">
        <v>108</v>
      </c>
      <c r="L498">
        <v>24</v>
      </c>
      <c r="M498">
        <v>51</v>
      </c>
      <c r="N498">
        <v>0</v>
      </c>
      <c r="O498">
        <v>635</v>
      </c>
      <c r="P498">
        <v>0</v>
      </c>
      <c r="Q498">
        <v>-442</v>
      </c>
    </row>
    <row r="499" spans="1:17" x14ac:dyDescent="0.45">
      <c r="A499">
        <v>2473</v>
      </c>
      <c r="B499" t="s">
        <v>566</v>
      </c>
      <c r="C499">
        <v>6795</v>
      </c>
      <c r="D499">
        <v>2</v>
      </c>
      <c r="E499">
        <v>4245.1000000000004</v>
      </c>
      <c r="F499">
        <v>6636.1</v>
      </c>
      <c r="G499">
        <v>3059.1</v>
      </c>
      <c r="H499">
        <v>1</v>
      </c>
      <c r="I499">
        <v>19.07</v>
      </c>
      <c r="J499">
        <v>2051</v>
      </c>
      <c r="K499">
        <v>771</v>
      </c>
      <c r="L499">
        <v>184</v>
      </c>
      <c r="M499">
        <v>289</v>
      </c>
      <c r="N499">
        <v>0</v>
      </c>
      <c r="O499">
        <v>267</v>
      </c>
      <c r="P499">
        <v>0</v>
      </c>
      <c r="Q499">
        <v>-522</v>
      </c>
    </row>
    <row r="500" spans="1:17" x14ac:dyDescent="0.45">
      <c r="A500">
        <v>6212</v>
      </c>
      <c r="B500" t="s">
        <v>563</v>
      </c>
      <c r="C500">
        <v>1086</v>
      </c>
      <c r="D500">
        <v>3</v>
      </c>
      <c r="E500">
        <v>904.2</v>
      </c>
      <c r="F500">
        <v>3.5</v>
      </c>
      <c r="G500">
        <v>649.79999999999995</v>
      </c>
      <c r="H500">
        <v>3</v>
      </c>
      <c r="I500">
        <v>30.8</v>
      </c>
      <c r="J500">
        <v>608</v>
      </c>
      <c r="K500">
        <v>214</v>
      </c>
      <c r="L500">
        <v>14</v>
      </c>
      <c r="M500">
        <v>45</v>
      </c>
      <c r="N500">
        <v>0</v>
      </c>
      <c r="O500">
        <v>442</v>
      </c>
      <c r="P500">
        <v>0</v>
      </c>
      <c r="Q500">
        <v>-1505</v>
      </c>
    </row>
    <row r="501" spans="1:17" x14ac:dyDescent="0.45">
      <c r="A501">
        <v>4065</v>
      </c>
      <c r="B501" t="s">
        <v>567</v>
      </c>
      <c r="C501">
        <v>4085</v>
      </c>
      <c r="D501">
        <v>3</v>
      </c>
      <c r="E501">
        <v>3424.8</v>
      </c>
      <c r="F501">
        <v>344.3</v>
      </c>
      <c r="G501">
        <v>1962.6</v>
      </c>
      <c r="H501">
        <v>2</v>
      </c>
      <c r="I501">
        <v>23.46</v>
      </c>
      <c r="J501">
        <v>1937</v>
      </c>
      <c r="K501">
        <v>835</v>
      </c>
      <c r="L501">
        <v>87</v>
      </c>
      <c r="M501">
        <v>254</v>
      </c>
      <c r="N501">
        <v>0</v>
      </c>
      <c r="O501">
        <v>1091</v>
      </c>
      <c r="P501">
        <v>0</v>
      </c>
      <c r="Q501">
        <v>-161</v>
      </c>
    </row>
    <row r="502" spans="1:17" x14ac:dyDescent="0.45">
      <c r="A502">
        <v>386</v>
      </c>
      <c r="B502" t="s">
        <v>569</v>
      </c>
      <c r="C502">
        <v>1589</v>
      </c>
      <c r="D502">
        <v>2</v>
      </c>
      <c r="E502">
        <v>1609.6</v>
      </c>
      <c r="F502">
        <v>62.9</v>
      </c>
      <c r="G502">
        <v>1795.4</v>
      </c>
      <c r="H502">
        <v>2</v>
      </c>
      <c r="I502">
        <v>24.84</v>
      </c>
      <c r="J502">
        <v>638</v>
      </c>
      <c r="K502">
        <v>215</v>
      </c>
      <c r="L502">
        <v>32</v>
      </c>
      <c r="M502">
        <v>59</v>
      </c>
      <c r="N502">
        <v>0</v>
      </c>
      <c r="O502">
        <v>1835</v>
      </c>
      <c r="P502">
        <v>0</v>
      </c>
      <c r="Q502">
        <v>-221</v>
      </c>
    </row>
    <row r="503" spans="1:17" x14ac:dyDescent="0.45">
      <c r="A503">
        <v>4406</v>
      </c>
      <c r="B503" t="s">
        <v>570</v>
      </c>
      <c r="C503">
        <v>715</v>
      </c>
      <c r="D503">
        <v>3</v>
      </c>
      <c r="E503">
        <v>580.6</v>
      </c>
      <c r="F503">
        <v>180.9</v>
      </c>
      <c r="G503">
        <v>1409.6</v>
      </c>
      <c r="H503">
        <v>2</v>
      </c>
      <c r="I503">
        <v>21.63</v>
      </c>
      <c r="J503">
        <v>270</v>
      </c>
      <c r="K503">
        <v>122</v>
      </c>
      <c r="L503">
        <v>21</v>
      </c>
      <c r="M503">
        <v>50</v>
      </c>
      <c r="N503">
        <v>0</v>
      </c>
      <c r="O503">
        <v>1317</v>
      </c>
      <c r="P503">
        <v>0</v>
      </c>
      <c r="Q503">
        <v>0</v>
      </c>
    </row>
    <row r="504" spans="1:17" x14ac:dyDescent="0.45">
      <c r="A504">
        <v>2535</v>
      </c>
      <c r="B504" t="s">
        <v>571</v>
      </c>
      <c r="C504">
        <v>730</v>
      </c>
      <c r="D504">
        <v>3</v>
      </c>
      <c r="E504">
        <v>786.3</v>
      </c>
      <c r="F504">
        <v>14.7</v>
      </c>
      <c r="G504">
        <v>774.6</v>
      </c>
      <c r="H504">
        <v>3</v>
      </c>
      <c r="I504">
        <v>28.59</v>
      </c>
      <c r="J504">
        <v>346</v>
      </c>
      <c r="K504">
        <v>105</v>
      </c>
      <c r="L504">
        <v>25</v>
      </c>
      <c r="M504">
        <v>30</v>
      </c>
      <c r="N504">
        <v>0</v>
      </c>
      <c r="O504">
        <v>933</v>
      </c>
      <c r="P504">
        <v>0</v>
      </c>
      <c r="Q504">
        <v>-321</v>
      </c>
    </row>
    <row r="505" spans="1:17" x14ac:dyDescent="0.45">
      <c r="A505">
        <v>2785</v>
      </c>
      <c r="B505" t="s">
        <v>574</v>
      </c>
      <c r="C505">
        <v>1598</v>
      </c>
      <c r="D505">
        <v>1</v>
      </c>
      <c r="E505">
        <v>2087</v>
      </c>
      <c r="F505">
        <v>441.7</v>
      </c>
      <c r="G505">
        <v>1880.9</v>
      </c>
      <c r="H505">
        <v>2</v>
      </c>
      <c r="I505">
        <v>20.72</v>
      </c>
      <c r="J505">
        <v>576</v>
      </c>
      <c r="K505">
        <v>204</v>
      </c>
      <c r="L505">
        <v>56</v>
      </c>
      <c r="M505">
        <v>76</v>
      </c>
      <c r="N505">
        <v>0</v>
      </c>
      <c r="O505">
        <v>726</v>
      </c>
      <c r="P505">
        <v>0</v>
      </c>
      <c r="Q505">
        <v>-622</v>
      </c>
    </row>
    <row r="506" spans="1:17" x14ac:dyDescent="0.45">
      <c r="A506">
        <v>5715</v>
      </c>
      <c r="B506" t="s">
        <v>575</v>
      </c>
      <c r="C506">
        <v>1113</v>
      </c>
      <c r="D506">
        <v>3</v>
      </c>
      <c r="E506">
        <v>657</v>
      </c>
      <c r="F506">
        <v>1081.4000000000001</v>
      </c>
      <c r="G506">
        <v>898.2</v>
      </c>
      <c r="H506">
        <v>3</v>
      </c>
      <c r="I506">
        <v>35.86</v>
      </c>
      <c r="J506">
        <v>473</v>
      </c>
      <c r="K506">
        <v>148</v>
      </c>
      <c r="L506">
        <v>45</v>
      </c>
      <c r="M506">
        <v>126</v>
      </c>
      <c r="N506">
        <v>0</v>
      </c>
      <c r="O506">
        <v>454</v>
      </c>
      <c r="P506">
        <v>0</v>
      </c>
      <c r="Q506">
        <v>-60</v>
      </c>
    </row>
    <row r="507" spans="1:17" x14ac:dyDescent="0.45">
      <c r="A507">
        <v>2573</v>
      </c>
      <c r="B507" t="s">
        <v>576</v>
      </c>
      <c r="C507">
        <v>5224</v>
      </c>
      <c r="D507">
        <v>2</v>
      </c>
      <c r="E507">
        <v>3554.7</v>
      </c>
      <c r="F507">
        <v>1780.4</v>
      </c>
      <c r="G507">
        <v>1891.9</v>
      </c>
      <c r="H507">
        <v>1</v>
      </c>
      <c r="I507">
        <v>19.07</v>
      </c>
      <c r="J507">
        <v>1796</v>
      </c>
      <c r="K507">
        <v>827</v>
      </c>
      <c r="L507">
        <v>68</v>
      </c>
      <c r="M507">
        <v>209</v>
      </c>
      <c r="N507">
        <v>0</v>
      </c>
      <c r="O507">
        <v>1121</v>
      </c>
      <c r="P507">
        <v>0</v>
      </c>
      <c r="Q507">
        <v>-401</v>
      </c>
    </row>
    <row r="508" spans="1:17" x14ac:dyDescent="0.45">
      <c r="A508">
        <v>5855</v>
      </c>
      <c r="B508" t="s">
        <v>577</v>
      </c>
      <c r="C508">
        <v>626</v>
      </c>
      <c r="D508">
        <v>3</v>
      </c>
      <c r="E508">
        <v>972.4</v>
      </c>
      <c r="F508">
        <v>42.1</v>
      </c>
      <c r="G508">
        <v>265.39999999999998</v>
      </c>
      <c r="H508">
        <v>2</v>
      </c>
      <c r="I508">
        <v>26.72</v>
      </c>
      <c r="J508">
        <v>304</v>
      </c>
      <c r="K508">
        <v>69</v>
      </c>
      <c r="L508">
        <v>36</v>
      </c>
      <c r="M508">
        <v>63</v>
      </c>
      <c r="N508">
        <v>0</v>
      </c>
      <c r="O508">
        <v>74</v>
      </c>
      <c r="P508">
        <v>0</v>
      </c>
      <c r="Q508">
        <v>-60</v>
      </c>
    </row>
    <row r="509" spans="1:17" x14ac:dyDescent="0.45">
      <c r="A509">
        <v>214</v>
      </c>
      <c r="B509" t="s">
        <v>517</v>
      </c>
      <c r="C509">
        <v>1092</v>
      </c>
      <c r="D509">
        <v>3</v>
      </c>
      <c r="E509">
        <v>848.7</v>
      </c>
      <c r="F509">
        <v>0</v>
      </c>
      <c r="G509">
        <v>1259.5999999999999</v>
      </c>
      <c r="H509">
        <v>3</v>
      </c>
      <c r="I509">
        <v>25.15</v>
      </c>
      <c r="J509">
        <v>436</v>
      </c>
      <c r="K509">
        <v>160</v>
      </c>
      <c r="L509">
        <v>48</v>
      </c>
      <c r="M509">
        <v>51</v>
      </c>
      <c r="N509">
        <v>0</v>
      </c>
      <c r="O509">
        <v>2233</v>
      </c>
      <c r="P509">
        <v>0</v>
      </c>
      <c r="Q509">
        <v>-361</v>
      </c>
    </row>
    <row r="510" spans="1:17" x14ac:dyDescent="0.45">
      <c r="A510">
        <v>84</v>
      </c>
      <c r="B510" t="s">
        <v>521</v>
      </c>
      <c r="C510">
        <v>4271</v>
      </c>
      <c r="D510">
        <v>3</v>
      </c>
      <c r="E510">
        <v>4174.3999999999996</v>
      </c>
      <c r="F510">
        <v>1311.7</v>
      </c>
      <c r="G510">
        <v>3716.1</v>
      </c>
      <c r="H510">
        <v>1</v>
      </c>
      <c r="I510">
        <v>15.69</v>
      </c>
      <c r="J510">
        <v>1619</v>
      </c>
      <c r="K510">
        <v>771</v>
      </c>
      <c r="L510">
        <v>116</v>
      </c>
      <c r="M510">
        <v>394</v>
      </c>
      <c r="N510">
        <v>0</v>
      </c>
      <c r="O510">
        <v>746</v>
      </c>
      <c r="P510">
        <v>0</v>
      </c>
      <c r="Q510">
        <v>-281</v>
      </c>
    </row>
    <row r="511" spans="1:17" x14ac:dyDescent="0.45">
      <c r="A511">
        <v>2572</v>
      </c>
      <c r="B511" t="s">
        <v>524</v>
      </c>
      <c r="C511">
        <v>2946</v>
      </c>
      <c r="D511">
        <v>2</v>
      </c>
      <c r="E511">
        <v>4631.2</v>
      </c>
      <c r="F511">
        <v>516.79999999999995</v>
      </c>
      <c r="G511">
        <v>2779.9</v>
      </c>
      <c r="H511">
        <v>1</v>
      </c>
      <c r="I511">
        <v>19.07</v>
      </c>
      <c r="J511">
        <v>1331</v>
      </c>
      <c r="K511">
        <v>521</v>
      </c>
      <c r="L511">
        <v>60</v>
      </c>
      <c r="M511">
        <v>179</v>
      </c>
      <c r="N511">
        <v>0</v>
      </c>
      <c r="O511">
        <v>1399</v>
      </c>
      <c r="P511">
        <v>0</v>
      </c>
      <c r="Q511">
        <v>-361</v>
      </c>
    </row>
    <row r="512" spans="1:17" x14ac:dyDescent="0.45">
      <c r="A512">
        <v>85</v>
      </c>
      <c r="B512" t="s">
        <v>525</v>
      </c>
      <c r="C512">
        <v>1865</v>
      </c>
      <c r="D512">
        <v>3</v>
      </c>
      <c r="E512">
        <v>2159.9</v>
      </c>
      <c r="F512">
        <v>12.7</v>
      </c>
      <c r="G512">
        <v>1231</v>
      </c>
      <c r="H512">
        <v>2</v>
      </c>
      <c r="I512">
        <v>24.61</v>
      </c>
      <c r="J512">
        <v>730</v>
      </c>
      <c r="K512">
        <v>269</v>
      </c>
      <c r="L512">
        <v>51</v>
      </c>
      <c r="M512">
        <v>110</v>
      </c>
      <c r="N512">
        <v>0</v>
      </c>
      <c r="O512">
        <v>279</v>
      </c>
      <c r="P512">
        <v>0</v>
      </c>
      <c r="Q512">
        <v>-181</v>
      </c>
    </row>
    <row r="513" spans="1:17" x14ac:dyDescent="0.45">
      <c r="A513">
        <v>575</v>
      </c>
      <c r="B513" t="s">
        <v>527</v>
      </c>
      <c r="C513">
        <v>413</v>
      </c>
      <c r="D513">
        <v>2</v>
      </c>
      <c r="E513">
        <v>467.5</v>
      </c>
      <c r="F513">
        <v>0</v>
      </c>
      <c r="G513">
        <v>262.10000000000002</v>
      </c>
      <c r="H513">
        <v>3</v>
      </c>
      <c r="I513">
        <v>26.41</v>
      </c>
      <c r="J513">
        <v>139</v>
      </c>
      <c r="K513">
        <v>64</v>
      </c>
      <c r="L513">
        <v>3</v>
      </c>
      <c r="M513">
        <v>12</v>
      </c>
      <c r="N513">
        <v>0</v>
      </c>
      <c r="O513">
        <v>354</v>
      </c>
      <c r="P513">
        <v>70.88</v>
      </c>
      <c r="Q513">
        <v>-883</v>
      </c>
    </row>
    <row r="514" spans="1:17" x14ac:dyDescent="0.45">
      <c r="A514">
        <v>761</v>
      </c>
      <c r="B514" t="s">
        <v>528</v>
      </c>
      <c r="C514">
        <v>858</v>
      </c>
      <c r="D514">
        <v>2</v>
      </c>
      <c r="E514">
        <v>669</v>
      </c>
      <c r="F514">
        <v>0.8</v>
      </c>
      <c r="G514">
        <v>804.1</v>
      </c>
      <c r="H514">
        <v>3</v>
      </c>
      <c r="I514">
        <v>26.41</v>
      </c>
      <c r="J514">
        <v>338</v>
      </c>
      <c r="K514">
        <v>244</v>
      </c>
      <c r="L514">
        <v>7</v>
      </c>
      <c r="M514">
        <v>17</v>
      </c>
      <c r="N514">
        <v>0</v>
      </c>
      <c r="O514">
        <v>5115</v>
      </c>
      <c r="P514">
        <v>0</v>
      </c>
      <c r="Q514">
        <v>-2489</v>
      </c>
    </row>
    <row r="515" spans="1:17" x14ac:dyDescent="0.45">
      <c r="A515">
        <v>215</v>
      </c>
      <c r="B515" t="s">
        <v>529</v>
      </c>
      <c r="C515">
        <v>829</v>
      </c>
      <c r="D515">
        <v>3</v>
      </c>
      <c r="E515">
        <v>585</v>
      </c>
      <c r="F515">
        <v>0</v>
      </c>
      <c r="G515">
        <v>806.8</v>
      </c>
      <c r="H515">
        <v>3</v>
      </c>
      <c r="I515">
        <v>25.15</v>
      </c>
      <c r="J515">
        <v>326</v>
      </c>
      <c r="K515">
        <v>127</v>
      </c>
      <c r="L515">
        <v>25</v>
      </c>
      <c r="M515">
        <v>46</v>
      </c>
      <c r="N515">
        <v>0</v>
      </c>
      <c r="O515">
        <v>478</v>
      </c>
      <c r="P515">
        <v>0</v>
      </c>
      <c r="Q515">
        <v>-241</v>
      </c>
    </row>
    <row r="516" spans="1:17" x14ac:dyDescent="0.45">
      <c r="A516">
        <v>5912</v>
      </c>
      <c r="B516" t="s">
        <v>536</v>
      </c>
      <c r="C516">
        <v>167</v>
      </c>
      <c r="D516">
        <v>3</v>
      </c>
      <c r="E516">
        <v>377.3</v>
      </c>
      <c r="F516">
        <v>167.1</v>
      </c>
      <c r="G516">
        <v>358.5</v>
      </c>
      <c r="H516">
        <v>3</v>
      </c>
      <c r="I516">
        <v>35.86</v>
      </c>
      <c r="J516">
        <v>80</v>
      </c>
      <c r="K516">
        <v>34</v>
      </c>
      <c r="L516">
        <v>2</v>
      </c>
      <c r="M516">
        <v>9</v>
      </c>
      <c r="N516">
        <v>0</v>
      </c>
      <c r="O516">
        <v>733</v>
      </c>
      <c r="P516">
        <v>0</v>
      </c>
      <c r="Q516">
        <v>-140</v>
      </c>
    </row>
    <row r="517" spans="1:17" x14ac:dyDescent="0.45">
      <c r="A517">
        <v>2915</v>
      </c>
      <c r="B517" t="s">
        <v>565</v>
      </c>
      <c r="C517">
        <v>1052</v>
      </c>
      <c r="D517">
        <v>3</v>
      </c>
      <c r="E517">
        <v>944.6</v>
      </c>
      <c r="F517">
        <v>11.5</v>
      </c>
      <c r="G517">
        <v>856.1</v>
      </c>
      <c r="H517">
        <v>3</v>
      </c>
      <c r="I517">
        <v>19.850000000000001</v>
      </c>
      <c r="J517">
        <v>409</v>
      </c>
      <c r="K517">
        <v>193</v>
      </c>
      <c r="L517">
        <v>36</v>
      </c>
      <c r="M517">
        <v>59</v>
      </c>
      <c r="N517">
        <v>0</v>
      </c>
      <c r="O517">
        <v>1656</v>
      </c>
      <c r="P517">
        <v>0</v>
      </c>
      <c r="Q517">
        <v>-301</v>
      </c>
    </row>
    <row r="518" spans="1:17" x14ac:dyDescent="0.45">
      <c r="A518">
        <v>4304</v>
      </c>
      <c r="B518" t="s">
        <v>568</v>
      </c>
      <c r="C518">
        <v>4375</v>
      </c>
      <c r="D518">
        <v>3</v>
      </c>
      <c r="E518">
        <v>2122.6</v>
      </c>
      <c r="F518">
        <v>0</v>
      </c>
      <c r="G518">
        <v>1949.2</v>
      </c>
      <c r="H518">
        <v>1</v>
      </c>
      <c r="I518">
        <v>20.87</v>
      </c>
      <c r="J518">
        <v>1581</v>
      </c>
      <c r="K518">
        <v>865</v>
      </c>
      <c r="L518">
        <v>87</v>
      </c>
      <c r="M518">
        <v>257</v>
      </c>
      <c r="N518">
        <v>0</v>
      </c>
      <c r="O518">
        <v>541</v>
      </c>
      <c r="P518">
        <v>0</v>
      </c>
      <c r="Q518">
        <v>-482</v>
      </c>
    </row>
    <row r="519" spans="1:17" x14ac:dyDescent="0.45">
      <c r="A519">
        <v>191</v>
      </c>
      <c r="B519" t="s">
        <v>572</v>
      </c>
      <c r="C519">
        <v>30801</v>
      </c>
      <c r="D519">
        <v>3</v>
      </c>
      <c r="E519">
        <v>19186.3</v>
      </c>
      <c r="F519">
        <v>20707.8</v>
      </c>
      <c r="G519">
        <v>7534.6</v>
      </c>
      <c r="H519">
        <v>1</v>
      </c>
      <c r="I519">
        <v>15.69</v>
      </c>
      <c r="J519">
        <v>9042</v>
      </c>
      <c r="K519">
        <v>3700</v>
      </c>
      <c r="L519">
        <v>760</v>
      </c>
      <c r="M519">
        <v>1723</v>
      </c>
      <c r="N519">
        <v>0</v>
      </c>
      <c r="O519">
        <v>1581</v>
      </c>
      <c r="P519">
        <v>2953.35</v>
      </c>
      <c r="Q519">
        <v>-542</v>
      </c>
    </row>
    <row r="520" spans="1:17" x14ac:dyDescent="0.45">
      <c r="A520">
        <v>2293</v>
      </c>
      <c r="B520" t="s">
        <v>573</v>
      </c>
      <c r="C520">
        <v>8793</v>
      </c>
      <c r="D520">
        <v>3</v>
      </c>
      <c r="E520">
        <v>4437.2</v>
      </c>
      <c r="F520">
        <v>1416.3</v>
      </c>
      <c r="G520">
        <v>9164.7999999999993</v>
      </c>
      <c r="H520">
        <v>2</v>
      </c>
      <c r="I520">
        <v>28.63</v>
      </c>
      <c r="J520">
        <v>3326</v>
      </c>
      <c r="K520">
        <v>1220</v>
      </c>
      <c r="L520">
        <v>219</v>
      </c>
      <c r="M520">
        <v>488</v>
      </c>
      <c r="N520">
        <v>0</v>
      </c>
      <c r="O520">
        <v>10033</v>
      </c>
      <c r="P520">
        <v>0</v>
      </c>
      <c r="Q520">
        <v>-763</v>
      </c>
    </row>
    <row r="521" spans="1:17" x14ac:dyDescent="0.45">
      <c r="A521">
        <v>113</v>
      </c>
      <c r="B521" t="s">
        <v>578</v>
      </c>
      <c r="C521">
        <v>7779</v>
      </c>
      <c r="D521">
        <v>3</v>
      </c>
      <c r="E521">
        <v>5376.7</v>
      </c>
      <c r="F521">
        <v>3572.3</v>
      </c>
      <c r="G521">
        <v>6099.4</v>
      </c>
      <c r="H521">
        <v>1</v>
      </c>
      <c r="I521">
        <v>15.69</v>
      </c>
      <c r="J521">
        <v>2733</v>
      </c>
      <c r="K521">
        <v>1047</v>
      </c>
      <c r="L521">
        <v>216</v>
      </c>
      <c r="M521">
        <v>356</v>
      </c>
      <c r="N521">
        <v>0</v>
      </c>
      <c r="O521">
        <v>3210</v>
      </c>
      <c r="P521">
        <v>310.10000000000002</v>
      </c>
      <c r="Q521">
        <v>-321</v>
      </c>
    </row>
    <row r="522" spans="1:17" x14ac:dyDescent="0.45">
      <c r="A522">
        <v>952</v>
      </c>
      <c r="B522" t="s">
        <v>580</v>
      </c>
      <c r="C522">
        <v>1076</v>
      </c>
      <c r="D522">
        <v>3</v>
      </c>
      <c r="E522">
        <v>903.1</v>
      </c>
      <c r="F522">
        <v>19.600000000000001</v>
      </c>
      <c r="G522">
        <v>2587.1999999999998</v>
      </c>
      <c r="H522">
        <v>3</v>
      </c>
      <c r="I522">
        <v>26.41</v>
      </c>
      <c r="J522">
        <v>395</v>
      </c>
      <c r="K522">
        <v>134</v>
      </c>
      <c r="L522">
        <v>13</v>
      </c>
      <c r="M522">
        <v>24</v>
      </c>
      <c r="N522">
        <v>0</v>
      </c>
      <c r="O522">
        <v>7087</v>
      </c>
      <c r="P522">
        <v>163.91</v>
      </c>
      <c r="Q522">
        <v>-622</v>
      </c>
    </row>
    <row r="523" spans="1:17" x14ac:dyDescent="0.45">
      <c r="A523">
        <v>4134</v>
      </c>
      <c r="B523" t="s">
        <v>579</v>
      </c>
      <c r="C523">
        <v>1348</v>
      </c>
      <c r="D523">
        <v>3</v>
      </c>
      <c r="E523">
        <v>1717.8</v>
      </c>
      <c r="F523">
        <v>0</v>
      </c>
      <c r="G523">
        <v>1855.3</v>
      </c>
      <c r="H523">
        <v>3</v>
      </c>
      <c r="I523">
        <v>23.9</v>
      </c>
      <c r="J523">
        <v>543</v>
      </c>
      <c r="K523">
        <v>307</v>
      </c>
      <c r="L523">
        <v>38</v>
      </c>
      <c r="M523">
        <v>52</v>
      </c>
      <c r="N523">
        <v>0</v>
      </c>
      <c r="O523">
        <v>761</v>
      </c>
      <c r="P523">
        <v>0</v>
      </c>
      <c r="Q523">
        <v>-421</v>
      </c>
    </row>
    <row r="524" spans="1:17" x14ac:dyDescent="0.45">
      <c r="A524">
        <v>1054</v>
      </c>
      <c r="B524" t="s">
        <v>581</v>
      </c>
      <c r="C524">
        <v>14469</v>
      </c>
      <c r="D524">
        <v>2</v>
      </c>
      <c r="E524">
        <v>8397.5</v>
      </c>
      <c r="F524">
        <v>3207.3</v>
      </c>
      <c r="G524">
        <v>10653.4</v>
      </c>
      <c r="H524">
        <v>1</v>
      </c>
      <c r="I524">
        <v>19.39</v>
      </c>
      <c r="J524">
        <v>4035</v>
      </c>
      <c r="K524">
        <v>1936</v>
      </c>
      <c r="L524">
        <v>292</v>
      </c>
      <c r="M524">
        <v>758</v>
      </c>
      <c r="N524">
        <v>0</v>
      </c>
      <c r="O524">
        <v>2129</v>
      </c>
      <c r="P524">
        <v>0</v>
      </c>
      <c r="Q524">
        <v>-462</v>
      </c>
    </row>
    <row r="525" spans="1:17" x14ac:dyDescent="0.45">
      <c r="A525">
        <v>3352</v>
      </c>
      <c r="B525" t="s">
        <v>582</v>
      </c>
      <c r="C525">
        <v>4979</v>
      </c>
      <c r="D525">
        <v>3</v>
      </c>
      <c r="E525">
        <v>2189.5</v>
      </c>
      <c r="F525">
        <v>4255.7</v>
      </c>
      <c r="G525">
        <v>6471.9</v>
      </c>
      <c r="H525">
        <v>2</v>
      </c>
      <c r="I525">
        <v>22.8</v>
      </c>
      <c r="J525">
        <v>1676</v>
      </c>
      <c r="K525">
        <v>822</v>
      </c>
      <c r="L525">
        <v>89</v>
      </c>
      <c r="M525">
        <v>168</v>
      </c>
      <c r="N525">
        <v>0</v>
      </c>
      <c r="O525">
        <v>8672</v>
      </c>
      <c r="P525">
        <v>376.55</v>
      </c>
      <c r="Q525">
        <v>-3392</v>
      </c>
    </row>
    <row r="526" spans="1:17" x14ac:dyDescent="0.45">
      <c r="A526">
        <v>5518</v>
      </c>
      <c r="B526" t="s">
        <v>583</v>
      </c>
      <c r="C526">
        <v>5812</v>
      </c>
      <c r="D526">
        <v>3</v>
      </c>
      <c r="E526">
        <v>3307.4</v>
      </c>
      <c r="F526">
        <v>3831.2</v>
      </c>
      <c r="G526">
        <v>5665.7</v>
      </c>
      <c r="H526">
        <v>2</v>
      </c>
      <c r="I526">
        <v>26.72</v>
      </c>
      <c r="J526">
        <v>2368</v>
      </c>
      <c r="K526">
        <v>712</v>
      </c>
      <c r="L526">
        <v>153</v>
      </c>
      <c r="M526">
        <v>447</v>
      </c>
      <c r="N526">
        <v>0</v>
      </c>
      <c r="O526">
        <v>2950</v>
      </c>
      <c r="P526">
        <v>443</v>
      </c>
      <c r="Q526">
        <v>-181</v>
      </c>
    </row>
    <row r="527" spans="1:17" x14ac:dyDescent="0.45">
      <c r="A527">
        <v>5633</v>
      </c>
      <c r="B527" t="s">
        <v>584</v>
      </c>
      <c r="C527">
        <v>2895</v>
      </c>
      <c r="D527">
        <v>3</v>
      </c>
      <c r="E527">
        <v>2120.3000000000002</v>
      </c>
      <c r="F527">
        <v>1695.1</v>
      </c>
      <c r="G527">
        <v>2784.7</v>
      </c>
      <c r="H527">
        <v>1</v>
      </c>
      <c r="I527">
        <v>19.809999999999999</v>
      </c>
      <c r="J527">
        <v>1131</v>
      </c>
      <c r="K527">
        <v>331</v>
      </c>
      <c r="L527">
        <v>86</v>
      </c>
      <c r="M527">
        <v>219</v>
      </c>
      <c r="N527">
        <v>0</v>
      </c>
      <c r="O527">
        <v>242</v>
      </c>
      <c r="P527">
        <v>0</v>
      </c>
      <c r="Q527">
        <v>-120</v>
      </c>
    </row>
    <row r="528" spans="1:17" x14ac:dyDescent="0.45">
      <c r="A528">
        <v>2131</v>
      </c>
      <c r="B528" t="s">
        <v>585</v>
      </c>
      <c r="C528">
        <v>839</v>
      </c>
      <c r="D528">
        <v>3</v>
      </c>
      <c r="E528">
        <v>779.3</v>
      </c>
      <c r="F528">
        <v>0</v>
      </c>
      <c r="G528">
        <v>1056.4000000000001</v>
      </c>
      <c r="H528">
        <v>1</v>
      </c>
      <c r="I528">
        <v>23.82</v>
      </c>
      <c r="J528">
        <v>349</v>
      </c>
      <c r="K528">
        <v>109</v>
      </c>
      <c r="L528">
        <v>21</v>
      </c>
      <c r="M528">
        <v>59</v>
      </c>
      <c r="N528">
        <v>0</v>
      </c>
      <c r="O528">
        <v>2481</v>
      </c>
      <c r="P528">
        <v>0</v>
      </c>
      <c r="Q528">
        <v>-140</v>
      </c>
    </row>
    <row r="529" spans="1:17" x14ac:dyDescent="0.45">
      <c r="A529">
        <v>5634</v>
      </c>
      <c r="B529" t="s">
        <v>586</v>
      </c>
      <c r="C529">
        <v>3208</v>
      </c>
      <c r="D529">
        <v>3</v>
      </c>
      <c r="E529">
        <v>2998.7</v>
      </c>
      <c r="F529">
        <v>1145.0999999999999</v>
      </c>
      <c r="G529">
        <v>2771.5</v>
      </c>
      <c r="H529">
        <v>2</v>
      </c>
      <c r="I529">
        <v>26.72</v>
      </c>
      <c r="J529">
        <v>1072</v>
      </c>
      <c r="K529">
        <v>323</v>
      </c>
      <c r="L529">
        <v>145</v>
      </c>
      <c r="M529">
        <v>253</v>
      </c>
      <c r="N529">
        <v>0</v>
      </c>
      <c r="O529">
        <v>3793</v>
      </c>
      <c r="P529">
        <v>47.27</v>
      </c>
      <c r="Q529">
        <v>-221</v>
      </c>
    </row>
    <row r="530" spans="1:17" x14ac:dyDescent="0.45">
      <c r="A530">
        <v>5482</v>
      </c>
      <c r="B530" t="s">
        <v>587</v>
      </c>
      <c r="C530">
        <v>1198</v>
      </c>
      <c r="D530">
        <v>3</v>
      </c>
      <c r="E530">
        <v>515</v>
      </c>
      <c r="F530">
        <v>95.9</v>
      </c>
      <c r="G530">
        <v>3931.6</v>
      </c>
      <c r="H530">
        <v>2</v>
      </c>
      <c r="I530">
        <v>26.72</v>
      </c>
      <c r="J530">
        <v>512</v>
      </c>
      <c r="K530">
        <v>210</v>
      </c>
      <c r="L530">
        <v>35</v>
      </c>
      <c r="M530">
        <v>76</v>
      </c>
      <c r="N530">
        <v>243984</v>
      </c>
      <c r="O530">
        <v>2123</v>
      </c>
      <c r="P530">
        <v>70.88</v>
      </c>
      <c r="Q530">
        <v>-281</v>
      </c>
    </row>
    <row r="531" spans="1:17" x14ac:dyDescent="0.45">
      <c r="A531">
        <v>2072</v>
      </c>
      <c r="B531" t="s">
        <v>588</v>
      </c>
      <c r="C531">
        <v>380</v>
      </c>
      <c r="D531">
        <v>3</v>
      </c>
      <c r="E531">
        <v>286.5</v>
      </c>
      <c r="F531">
        <v>40.299999999999997</v>
      </c>
      <c r="G531">
        <v>593.5</v>
      </c>
      <c r="H531">
        <v>3</v>
      </c>
      <c r="I531">
        <v>36.93</v>
      </c>
      <c r="J531">
        <v>160</v>
      </c>
      <c r="K531">
        <v>69</v>
      </c>
      <c r="L531">
        <v>10</v>
      </c>
      <c r="M531">
        <v>30</v>
      </c>
      <c r="N531">
        <v>0</v>
      </c>
      <c r="O531">
        <v>1865</v>
      </c>
      <c r="P531">
        <v>952.45</v>
      </c>
      <c r="Q531">
        <v>-241</v>
      </c>
    </row>
    <row r="532" spans="1:17" x14ac:dyDescent="0.45">
      <c r="A532">
        <v>5635</v>
      </c>
      <c r="B532" t="s">
        <v>589</v>
      </c>
      <c r="C532">
        <v>13118</v>
      </c>
      <c r="D532">
        <v>3</v>
      </c>
      <c r="E532">
        <v>9199.2000000000007</v>
      </c>
      <c r="F532">
        <v>9290.2000000000007</v>
      </c>
      <c r="G532">
        <v>11632.3</v>
      </c>
      <c r="H532">
        <v>1</v>
      </c>
      <c r="I532">
        <v>19.809999999999999</v>
      </c>
      <c r="J532">
        <v>3497</v>
      </c>
      <c r="K532">
        <v>1299</v>
      </c>
      <c r="L532">
        <v>238</v>
      </c>
      <c r="M532">
        <v>781</v>
      </c>
      <c r="N532">
        <v>0</v>
      </c>
      <c r="O532">
        <v>246</v>
      </c>
      <c r="P532">
        <v>0</v>
      </c>
      <c r="Q532">
        <v>-140</v>
      </c>
    </row>
    <row r="533" spans="1:17" x14ac:dyDescent="0.45">
      <c r="A533">
        <v>6713</v>
      </c>
      <c r="B533" t="s">
        <v>590</v>
      </c>
      <c r="C533">
        <v>112</v>
      </c>
      <c r="D533">
        <v>3</v>
      </c>
      <c r="E533">
        <v>272.5</v>
      </c>
      <c r="F533">
        <v>0</v>
      </c>
      <c r="G533">
        <v>122.3</v>
      </c>
      <c r="H533">
        <v>3</v>
      </c>
      <c r="I533">
        <v>27.66</v>
      </c>
      <c r="J533">
        <v>47</v>
      </c>
      <c r="K533">
        <v>23</v>
      </c>
      <c r="L533">
        <v>0</v>
      </c>
      <c r="M533">
        <v>2</v>
      </c>
      <c r="N533">
        <v>0</v>
      </c>
      <c r="O533">
        <v>1317</v>
      </c>
      <c r="P533">
        <v>14.04</v>
      </c>
      <c r="Q533">
        <v>-221</v>
      </c>
    </row>
    <row r="534" spans="1:17" x14ac:dyDescent="0.45">
      <c r="A534">
        <v>2401</v>
      </c>
      <c r="B534" t="s">
        <v>591</v>
      </c>
      <c r="C534">
        <v>4211</v>
      </c>
      <c r="D534">
        <v>2</v>
      </c>
      <c r="E534">
        <v>3033.3</v>
      </c>
      <c r="F534">
        <v>1918.8</v>
      </c>
      <c r="G534">
        <v>2145.6</v>
      </c>
      <c r="H534">
        <v>3</v>
      </c>
      <c r="I534">
        <v>28.59</v>
      </c>
      <c r="J534">
        <v>1503</v>
      </c>
      <c r="K534">
        <v>773</v>
      </c>
      <c r="L534">
        <v>104</v>
      </c>
      <c r="M534">
        <v>261</v>
      </c>
      <c r="N534">
        <v>0</v>
      </c>
      <c r="O534">
        <v>665</v>
      </c>
      <c r="P534">
        <v>0</v>
      </c>
      <c r="Q534">
        <v>-702</v>
      </c>
    </row>
    <row r="535" spans="1:17" x14ac:dyDescent="0.45">
      <c r="A535">
        <v>192</v>
      </c>
      <c r="B535" t="s">
        <v>592</v>
      </c>
      <c r="C535">
        <v>8786</v>
      </c>
      <c r="D535">
        <v>3</v>
      </c>
      <c r="E535">
        <v>8216.1</v>
      </c>
      <c r="F535">
        <v>162.80000000000001</v>
      </c>
      <c r="G535">
        <v>4620.1000000000004</v>
      </c>
      <c r="H535">
        <v>2</v>
      </c>
      <c r="I535">
        <v>24.61</v>
      </c>
      <c r="J535">
        <v>2993</v>
      </c>
      <c r="K535">
        <v>1203</v>
      </c>
      <c r="L535">
        <v>255</v>
      </c>
      <c r="M535">
        <v>508</v>
      </c>
      <c r="N535">
        <v>0</v>
      </c>
      <c r="O535">
        <v>4546</v>
      </c>
      <c r="P535">
        <v>496.16</v>
      </c>
      <c r="Q535">
        <v>-682</v>
      </c>
    </row>
    <row r="536" spans="1:17" x14ac:dyDescent="0.45">
      <c r="A536">
        <v>4066</v>
      </c>
      <c r="B536" t="s">
        <v>593</v>
      </c>
      <c r="C536">
        <v>1038</v>
      </c>
      <c r="D536">
        <v>3</v>
      </c>
      <c r="E536">
        <v>1150.2</v>
      </c>
      <c r="F536">
        <v>0</v>
      </c>
      <c r="G536">
        <v>538.29999999999995</v>
      </c>
      <c r="H536">
        <v>2</v>
      </c>
      <c r="I536">
        <v>23.46</v>
      </c>
      <c r="J536">
        <v>387</v>
      </c>
      <c r="K536">
        <v>153</v>
      </c>
      <c r="L536">
        <v>39</v>
      </c>
      <c r="M536">
        <v>55</v>
      </c>
      <c r="N536">
        <v>0</v>
      </c>
      <c r="O536">
        <v>985</v>
      </c>
      <c r="P536">
        <v>55.38</v>
      </c>
      <c r="Q536">
        <v>-120</v>
      </c>
    </row>
    <row r="537" spans="1:17" x14ac:dyDescent="0.45">
      <c r="A537">
        <v>6004</v>
      </c>
      <c r="B537" t="s">
        <v>594</v>
      </c>
      <c r="C537">
        <v>317</v>
      </c>
      <c r="D537">
        <v>3</v>
      </c>
      <c r="E537">
        <v>465.8</v>
      </c>
      <c r="F537">
        <v>0</v>
      </c>
      <c r="G537">
        <v>332.6</v>
      </c>
      <c r="H537">
        <v>2</v>
      </c>
      <c r="I537">
        <v>30.34</v>
      </c>
      <c r="J537">
        <v>124</v>
      </c>
      <c r="K537">
        <v>58</v>
      </c>
      <c r="L537">
        <v>6</v>
      </c>
      <c r="M537">
        <v>9</v>
      </c>
      <c r="N537">
        <v>0</v>
      </c>
      <c r="O537">
        <v>246</v>
      </c>
      <c r="P537">
        <v>0</v>
      </c>
      <c r="Q537">
        <v>-622</v>
      </c>
    </row>
    <row r="538" spans="1:17" x14ac:dyDescent="0.45">
      <c r="A538">
        <v>3212</v>
      </c>
      <c r="B538" t="s">
        <v>595</v>
      </c>
      <c r="C538">
        <v>2364</v>
      </c>
      <c r="D538">
        <v>3</v>
      </c>
      <c r="E538">
        <v>2105.6</v>
      </c>
      <c r="F538">
        <v>824.6</v>
      </c>
      <c r="G538">
        <v>2522.9</v>
      </c>
      <c r="H538">
        <v>3</v>
      </c>
      <c r="I538">
        <v>30.49</v>
      </c>
      <c r="J538">
        <v>745</v>
      </c>
      <c r="K538">
        <v>377</v>
      </c>
      <c r="L538">
        <v>58</v>
      </c>
      <c r="M538">
        <v>118</v>
      </c>
      <c r="N538">
        <v>0</v>
      </c>
      <c r="O538">
        <v>3540</v>
      </c>
      <c r="P538">
        <v>0</v>
      </c>
      <c r="Q538">
        <v>-562</v>
      </c>
    </row>
    <row r="539" spans="1:17" x14ac:dyDescent="0.45">
      <c r="A539">
        <v>901</v>
      </c>
      <c r="B539" t="s">
        <v>596</v>
      </c>
      <c r="C539">
        <v>2443</v>
      </c>
      <c r="D539">
        <v>3</v>
      </c>
      <c r="E539">
        <v>1355</v>
      </c>
      <c r="F539">
        <v>0</v>
      </c>
      <c r="G539">
        <v>1593</v>
      </c>
      <c r="H539">
        <v>3</v>
      </c>
      <c r="I539">
        <v>26.41</v>
      </c>
      <c r="J539">
        <v>892</v>
      </c>
      <c r="K539">
        <v>584</v>
      </c>
      <c r="L539">
        <v>15</v>
      </c>
      <c r="M539">
        <v>65</v>
      </c>
      <c r="N539">
        <v>0</v>
      </c>
      <c r="O539">
        <v>19199</v>
      </c>
      <c r="P539">
        <v>0</v>
      </c>
      <c r="Q539">
        <v>-4596</v>
      </c>
    </row>
    <row r="540" spans="1:17" x14ac:dyDescent="0.45">
      <c r="A540">
        <v>55</v>
      </c>
      <c r="B540" t="s">
        <v>597</v>
      </c>
      <c r="C540">
        <v>5520</v>
      </c>
      <c r="D540">
        <v>3</v>
      </c>
      <c r="E540">
        <v>4209</v>
      </c>
      <c r="F540">
        <v>48.2</v>
      </c>
      <c r="G540">
        <v>2800.6</v>
      </c>
      <c r="H540">
        <v>2</v>
      </c>
      <c r="I540">
        <v>24.61</v>
      </c>
      <c r="J540">
        <v>1786</v>
      </c>
      <c r="K540">
        <v>749</v>
      </c>
      <c r="L540">
        <v>211</v>
      </c>
      <c r="M540">
        <v>301</v>
      </c>
      <c r="N540">
        <v>0</v>
      </c>
      <c r="O540">
        <v>1483</v>
      </c>
      <c r="P540">
        <v>566.29</v>
      </c>
      <c r="Q540">
        <v>-723</v>
      </c>
    </row>
    <row r="541" spans="1:17" x14ac:dyDescent="0.45">
      <c r="A541">
        <v>4195</v>
      </c>
      <c r="B541" t="s">
        <v>598</v>
      </c>
      <c r="C541">
        <v>1544</v>
      </c>
      <c r="D541">
        <v>3</v>
      </c>
      <c r="E541">
        <v>1197.5999999999999</v>
      </c>
      <c r="F541">
        <v>510.8</v>
      </c>
      <c r="G541">
        <v>1965.7</v>
      </c>
      <c r="H541">
        <v>3</v>
      </c>
      <c r="I541">
        <v>23.9</v>
      </c>
      <c r="J541">
        <v>668</v>
      </c>
      <c r="K541">
        <v>259</v>
      </c>
      <c r="L541">
        <v>37</v>
      </c>
      <c r="M541">
        <v>83</v>
      </c>
      <c r="N541">
        <v>0</v>
      </c>
      <c r="O541">
        <v>1132</v>
      </c>
      <c r="P541">
        <v>0</v>
      </c>
      <c r="Q541">
        <v>-502</v>
      </c>
    </row>
    <row r="542" spans="1:17" x14ac:dyDescent="0.45">
      <c r="A542">
        <v>4411</v>
      </c>
      <c r="B542" t="s">
        <v>599</v>
      </c>
      <c r="C542">
        <v>4897</v>
      </c>
      <c r="D542">
        <v>3</v>
      </c>
      <c r="E542">
        <v>3645.9</v>
      </c>
      <c r="F542">
        <v>2348.4</v>
      </c>
      <c r="G542">
        <v>11738.5</v>
      </c>
      <c r="H542">
        <v>2</v>
      </c>
      <c r="I542">
        <v>21.63</v>
      </c>
      <c r="J542">
        <v>2048</v>
      </c>
      <c r="K542">
        <v>848</v>
      </c>
      <c r="L542">
        <v>117</v>
      </c>
      <c r="M542">
        <v>220</v>
      </c>
      <c r="N542">
        <v>0</v>
      </c>
      <c r="O542">
        <v>8408</v>
      </c>
      <c r="P542">
        <v>0</v>
      </c>
      <c r="Q542">
        <v>-181</v>
      </c>
    </row>
    <row r="543" spans="1:17" x14ac:dyDescent="0.45">
      <c r="A543">
        <v>1127</v>
      </c>
      <c r="B543" t="s">
        <v>600</v>
      </c>
      <c r="C543">
        <v>1624</v>
      </c>
      <c r="D543">
        <v>3</v>
      </c>
      <c r="E543">
        <v>1182.7</v>
      </c>
      <c r="F543">
        <v>14.6</v>
      </c>
      <c r="G543">
        <v>3247.2</v>
      </c>
      <c r="H543">
        <v>3</v>
      </c>
      <c r="I543">
        <v>26.39</v>
      </c>
      <c r="J543">
        <v>625</v>
      </c>
      <c r="K543">
        <v>257</v>
      </c>
      <c r="L543">
        <v>49</v>
      </c>
      <c r="M543">
        <v>74</v>
      </c>
      <c r="N543">
        <v>0</v>
      </c>
      <c r="O543">
        <v>2239</v>
      </c>
      <c r="P543">
        <v>0</v>
      </c>
      <c r="Q543">
        <v>-181</v>
      </c>
    </row>
    <row r="544" spans="1:17" x14ac:dyDescent="0.45">
      <c r="A544">
        <v>4049</v>
      </c>
      <c r="B544" t="s">
        <v>601</v>
      </c>
      <c r="C544">
        <v>4827</v>
      </c>
      <c r="D544">
        <v>3</v>
      </c>
      <c r="E544">
        <v>5566.9</v>
      </c>
      <c r="F544">
        <v>0</v>
      </c>
      <c r="G544">
        <v>2502</v>
      </c>
      <c r="H544">
        <v>2</v>
      </c>
      <c r="I544">
        <v>23.46</v>
      </c>
      <c r="J544">
        <v>1652</v>
      </c>
      <c r="K544">
        <v>619</v>
      </c>
      <c r="L544">
        <v>110</v>
      </c>
      <c r="M544">
        <v>257</v>
      </c>
      <c r="N544">
        <v>0</v>
      </c>
      <c r="O544">
        <v>2750</v>
      </c>
      <c r="P544">
        <v>664.5</v>
      </c>
      <c r="Q544">
        <v>-381</v>
      </c>
    </row>
    <row r="545" spans="1:17" x14ac:dyDescent="0.45">
      <c r="A545">
        <v>1084</v>
      </c>
      <c r="B545" t="s">
        <v>602</v>
      </c>
      <c r="C545">
        <v>1623</v>
      </c>
      <c r="D545">
        <v>2</v>
      </c>
      <c r="E545">
        <v>1179.2</v>
      </c>
      <c r="F545">
        <v>1.2</v>
      </c>
      <c r="G545">
        <v>2668.4</v>
      </c>
      <c r="H545">
        <v>3</v>
      </c>
      <c r="I545">
        <v>26.39</v>
      </c>
      <c r="J545">
        <v>796</v>
      </c>
      <c r="K545">
        <v>255</v>
      </c>
      <c r="L545">
        <v>79</v>
      </c>
      <c r="M545">
        <v>115</v>
      </c>
      <c r="N545">
        <v>0</v>
      </c>
      <c r="O545">
        <v>3113</v>
      </c>
      <c r="P545">
        <v>0</v>
      </c>
      <c r="Q545">
        <v>-221</v>
      </c>
    </row>
    <row r="546" spans="1:17" x14ac:dyDescent="0.45">
      <c r="A546">
        <v>3252</v>
      </c>
      <c r="B546" t="s">
        <v>603</v>
      </c>
      <c r="C546">
        <v>1556</v>
      </c>
      <c r="D546">
        <v>3</v>
      </c>
      <c r="E546">
        <v>1244.5999999999999</v>
      </c>
      <c r="F546">
        <v>418.3</v>
      </c>
      <c r="G546">
        <v>1775.1</v>
      </c>
      <c r="H546">
        <v>3</v>
      </c>
      <c r="I546">
        <v>30.49</v>
      </c>
      <c r="J546">
        <v>457</v>
      </c>
      <c r="K546">
        <v>254</v>
      </c>
      <c r="L546">
        <v>30</v>
      </c>
      <c r="M546">
        <v>39</v>
      </c>
      <c r="N546">
        <v>0</v>
      </c>
      <c r="O546">
        <v>1121</v>
      </c>
      <c r="P546">
        <v>0</v>
      </c>
      <c r="Q546">
        <v>-421</v>
      </c>
    </row>
    <row r="547" spans="1:17" x14ac:dyDescent="0.45">
      <c r="A547">
        <v>4161</v>
      </c>
      <c r="B547" t="s">
        <v>604</v>
      </c>
      <c r="C547">
        <v>2409</v>
      </c>
      <c r="D547">
        <v>3</v>
      </c>
      <c r="E547">
        <v>2529.5</v>
      </c>
      <c r="F547">
        <v>9.6999999999999993</v>
      </c>
      <c r="G547">
        <v>2628.9</v>
      </c>
      <c r="H547">
        <v>2</v>
      </c>
      <c r="I547">
        <v>23.46</v>
      </c>
      <c r="J547">
        <v>1053</v>
      </c>
      <c r="K547">
        <v>438</v>
      </c>
      <c r="L547">
        <v>65</v>
      </c>
      <c r="M547">
        <v>122</v>
      </c>
      <c r="N547">
        <v>28501</v>
      </c>
      <c r="O547">
        <v>1087</v>
      </c>
      <c r="P547">
        <v>0</v>
      </c>
      <c r="Q547">
        <v>-421</v>
      </c>
    </row>
    <row r="548" spans="1:17" x14ac:dyDescent="0.45">
      <c r="A548">
        <v>1301</v>
      </c>
      <c r="B548" t="s">
        <v>605</v>
      </c>
      <c r="C548">
        <v>16310</v>
      </c>
      <c r="D548">
        <v>1</v>
      </c>
      <c r="E548">
        <v>14522.3</v>
      </c>
      <c r="F548">
        <v>6495.5</v>
      </c>
      <c r="G548">
        <v>12850.7</v>
      </c>
      <c r="H548">
        <v>1</v>
      </c>
      <c r="I548">
        <v>35.31</v>
      </c>
      <c r="J548">
        <v>6284</v>
      </c>
      <c r="K548">
        <v>2487</v>
      </c>
      <c r="L548">
        <v>375</v>
      </c>
      <c r="M548">
        <v>814</v>
      </c>
      <c r="N548">
        <v>0</v>
      </c>
      <c r="O548">
        <v>19604</v>
      </c>
      <c r="P548">
        <v>1716.63</v>
      </c>
      <c r="Q548">
        <v>-8409</v>
      </c>
    </row>
    <row r="549" spans="1:17" x14ac:dyDescent="0.45">
      <c r="A549">
        <v>6194</v>
      </c>
      <c r="B549" t="s">
        <v>606</v>
      </c>
      <c r="C549">
        <v>445</v>
      </c>
      <c r="D549">
        <v>3</v>
      </c>
      <c r="E549">
        <v>86.6</v>
      </c>
      <c r="F549">
        <v>9.5</v>
      </c>
      <c r="G549">
        <v>501.1</v>
      </c>
      <c r="H549">
        <v>3</v>
      </c>
      <c r="I549">
        <v>30.8</v>
      </c>
      <c r="J549">
        <v>152</v>
      </c>
      <c r="K549">
        <v>79</v>
      </c>
      <c r="L549">
        <v>18</v>
      </c>
      <c r="M549">
        <v>27</v>
      </c>
      <c r="N549">
        <v>0</v>
      </c>
      <c r="O549">
        <v>744</v>
      </c>
      <c r="P549">
        <v>0</v>
      </c>
      <c r="Q549">
        <v>-1325</v>
      </c>
    </row>
    <row r="550" spans="1:17" x14ac:dyDescent="0.45">
      <c r="A550">
        <v>6282</v>
      </c>
      <c r="B550" t="s">
        <v>607</v>
      </c>
      <c r="C550">
        <v>189</v>
      </c>
      <c r="D550">
        <v>3</v>
      </c>
      <c r="E550">
        <v>114</v>
      </c>
      <c r="F550">
        <v>0</v>
      </c>
      <c r="G550">
        <v>1152</v>
      </c>
      <c r="H550">
        <v>3</v>
      </c>
      <c r="I550">
        <v>30.8</v>
      </c>
      <c r="J550">
        <v>72</v>
      </c>
      <c r="K550">
        <v>24</v>
      </c>
      <c r="L550">
        <v>4</v>
      </c>
      <c r="M550">
        <v>12</v>
      </c>
      <c r="N550">
        <v>0</v>
      </c>
      <c r="O550">
        <v>72</v>
      </c>
      <c r="P550">
        <v>1213.07</v>
      </c>
      <c r="Q550">
        <v>-1746</v>
      </c>
    </row>
    <row r="551" spans="1:17" x14ac:dyDescent="0.45">
      <c r="A551">
        <v>294</v>
      </c>
      <c r="B551" t="s">
        <v>608</v>
      </c>
      <c r="C551">
        <v>5071</v>
      </c>
      <c r="D551">
        <v>3</v>
      </c>
      <c r="E551">
        <v>4129.8</v>
      </c>
      <c r="F551">
        <v>41</v>
      </c>
      <c r="G551">
        <v>3324.4</v>
      </c>
      <c r="H551">
        <v>2</v>
      </c>
      <c r="I551">
        <v>24.61</v>
      </c>
      <c r="J551">
        <v>1746</v>
      </c>
      <c r="K551">
        <v>743</v>
      </c>
      <c r="L551">
        <v>121</v>
      </c>
      <c r="M551">
        <v>230</v>
      </c>
      <c r="N551">
        <v>0</v>
      </c>
      <c r="O551">
        <v>5281</v>
      </c>
      <c r="P551">
        <v>249.54</v>
      </c>
      <c r="Q551">
        <v>-2087</v>
      </c>
    </row>
    <row r="552" spans="1:17" x14ac:dyDescent="0.45">
      <c r="A552">
        <v>218</v>
      </c>
      <c r="B552" t="s">
        <v>609</v>
      </c>
      <c r="C552">
        <v>1035</v>
      </c>
      <c r="D552">
        <v>3</v>
      </c>
      <c r="E552">
        <v>1566.2</v>
      </c>
      <c r="F552">
        <v>5.5</v>
      </c>
      <c r="G552">
        <v>1680.4</v>
      </c>
      <c r="H552">
        <v>3</v>
      </c>
      <c r="I552">
        <v>25.15</v>
      </c>
      <c r="J552">
        <v>417</v>
      </c>
      <c r="K552">
        <v>171</v>
      </c>
      <c r="L552">
        <v>42</v>
      </c>
      <c r="M552">
        <v>71</v>
      </c>
      <c r="N552">
        <v>0</v>
      </c>
      <c r="O552">
        <v>856</v>
      </c>
      <c r="P552">
        <v>398.7</v>
      </c>
      <c r="Q552">
        <v>-201</v>
      </c>
    </row>
    <row r="553" spans="1:17" x14ac:dyDescent="0.45">
      <c r="A553">
        <v>219</v>
      </c>
      <c r="B553" t="s">
        <v>610</v>
      </c>
      <c r="C553">
        <v>3707</v>
      </c>
      <c r="D553">
        <v>3</v>
      </c>
      <c r="E553">
        <v>3350.9</v>
      </c>
      <c r="F553">
        <v>16.2</v>
      </c>
      <c r="G553">
        <v>3025.8</v>
      </c>
      <c r="H553">
        <v>1</v>
      </c>
      <c r="I553">
        <v>15.69</v>
      </c>
      <c r="J553">
        <v>1272</v>
      </c>
      <c r="K553">
        <v>520</v>
      </c>
      <c r="L553">
        <v>84</v>
      </c>
      <c r="M553">
        <v>177</v>
      </c>
      <c r="N553">
        <v>0</v>
      </c>
      <c r="O553">
        <v>1449</v>
      </c>
      <c r="P553">
        <v>203.03</v>
      </c>
      <c r="Q553">
        <v>-381</v>
      </c>
    </row>
    <row r="554" spans="1:17" x14ac:dyDescent="0.45">
      <c r="A554">
        <v>6283</v>
      </c>
      <c r="B554" t="s">
        <v>611</v>
      </c>
      <c r="C554">
        <v>286</v>
      </c>
      <c r="D554">
        <v>3</v>
      </c>
      <c r="E554">
        <v>247</v>
      </c>
      <c r="F554">
        <v>0</v>
      </c>
      <c r="G554">
        <v>98.3</v>
      </c>
      <c r="H554">
        <v>3</v>
      </c>
      <c r="I554">
        <v>30.8</v>
      </c>
      <c r="J554">
        <v>115</v>
      </c>
      <c r="K554">
        <v>38</v>
      </c>
      <c r="L554">
        <v>0</v>
      </c>
      <c r="M554">
        <v>6</v>
      </c>
      <c r="N554">
        <v>0</v>
      </c>
      <c r="O554">
        <v>431</v>
      </c>
      <c r="P554">
        <v>0</v>
      </c>
      <c r="Q554">
        <v>-381</v>
      </c>
    </row>
    <row r="555" spans="1:17" x14ac:dyDescent="0.45">
      <c r="A555">
        <v>56</v>
      </c>
      <c r="B555" t="s">
        <v>612</v>
      </c>
      <c r="C555">
        <v>10005</v>
      </c>
      <c r="D555">
        <v>3</v>
      </c>
      <c r="E555">
        <v>9486</v>
      </c>
      <c r="F555">
        <v>94</v>
      </c>
      <c r="G555">
        <v>5773.9</v>
      </c>
      <c r="H555">
        <v>1</v>
      </c>
      <c r="I555">
        <v>15.69</v>
      </c>
      <c r="J555">
        <v>3147</v>
      </c>
      <c r="K555">
        <v>1520</v>
      </c>
      <c r="L555">
        <v>294</v>
      </c>
      <c r="M555">
        <v>591</v>
      </c>
      <c r="N555">
        <v>0</v>
      </c>
      <c r="O555">
        <v>2284</v>
      </c>
      <c r="P555">
        <v>0</v>
      </c>
      <c r="Q555">
        <v>-1124</v>
      </c>
    </row>
    <row r="556" spans="1:17" x14ac:dyDescent="0.45">
      <c r="A556">
        <v>1024</v>
      </c>
      <c r="B556" t="s">
        <v>613</v>
      </c>
      <c r="C556">
        <v>31573</v>
      </c>
      <c r="D556">
        <v>3</v>
      </c>
      <c r="E556">
        <v>21527.3</v>
      </c>
      <c r="F556">
        <v>5760.2</v>
      </c>
      <c r="G556">
        <v>20710.599999999999</v>
      </c>
      <c r="H556">
        <v>1</v>
      </c>
      <c r="I556">
        <v>19.39</v>
      </c>
      <c r="J556">
        <v>8841</v>
      </c>
      <c r="K556">
        <v>5053</v>
      </c>
      <c r="L556">
        <v>495</v>
      </c>
      <c r="M556">
        <v>1370</v>
      </c>
      <c r="N556">
        <v>0</v>
      </c>
      <c r="O556">
        <v>6934</v>
      </c>
      <c r="P556">
        <v>15505</v>
      </c>
      <c r="Q556">
        <v>-763</v>
      </c>
    </row>
    <row r="557" spans="1:17" x14ac:dyDescent="0.45">
      <c r="A557">
        <v>1504</v>
      </c>
      <c r="B557" t="s">
        <v>614</v>
      </c>
      <c r="C557">
        <v>1624</v>
      </c>
      <c r="D557">
        <v>3</v>
      </c>
      <c r="E557">
        <v>1803.3</v>
      </c>
      <c r="F557">
        <v>40.6</v>
      </c>
      <c r="G557">
        <v>553</v>
      </c>
      <c r="H557">
        <v>3</v>
      </c>
      <c r="I557">
        <v>44.23</v>
      </c>
      <c r="J557">
        <v>636</v>
      </c>
      <c r="K557">
        <v>374</v>
      </c>
      <c r="L557">
        <v>40</v>
      </c>
      <c r="M557">
        <v>85</v>
      </c>
      <c r="N557">
        <v>0</v>
      </c>
      <c r="O557">
        <v>1908</v>
      </c>
      <c r="P557">
        <v>0</v>
      </c>
      <c r="Q557">
        <v>-2268</v>
      </c>
    </row>
    <row r="558" spans="1:17" x14ac:dyDescent="0.45">
      <c r="A558">
        <v>4305</v>
      </c>
      <c r="B558" t="s">
        <v>615</v>
      </c>
      <c r="C558">
        <v>2610</v>
      </c>
      <c r="D558">
        <v>3</v>
      </c>
      <c r="E558">
        <v>1027.3</v>
      </c>
      <c r="F558">
        <v>7.6</v>
      </c>
      <c r="G558">
        <v>2903.6</v>
      </c>
      <c r="H558">
        <v>2</v>
      </c>
      <c r="I558">
        <v>23.46</v>
      </c>
      <c r="J558">
        <v>1015</v>
      </c>
      <c r="K558">
        <v>373</v>
      </c>
      <c r="L558">
        <v>60</v>
      </c>
      <c r="M558">
        <v>139</v>
      </c>
      <c r="N558">
        <v>0</v>
      </c>
      <c r="O558">
        <v>4424</v>
      </c>
      <c r="P558">
        <v>177.2</v>
      </c>
      <c r="Q558">
        <v>-1044</v>
      </c>
    </row>
    <row r="559" spans="1:17" x14ac:dyDescent="0.45">
      <c r="A559">
        <v>1402</v>
      </c>
      <c r="B559" t="s">
        <v>616</v>
      </c>
      <c r="C559">
        <v>4297</v>
      </c>
      <c r="D559">
        <v>3</v>
      </c>
      <c r="E559">
        <v>6869.7</v>
      </c>
      <c r="F559">
        <v>10.5</v>
      </c>
      <c r="G559">
        <v>1688.5</v>
      </c>
      <c r="H559">
        <v>2</v>
      </c>
      <c r="I559">
        <v>17.37</v>
      </c>
      <c r="J559">
        <v>1221</v>
      </c>
      <c r="K559">
        <v>799</v>
      </c>
      <c r="L559">
        <v>72</v>
      </c>
      <c r="M559">
        <v>217</v>
      </c>
      <c r="N559">
        <v>0</v>
      </c>
      <c r="O559">
        <v>4806</v>
      </c>
      <c r="P559">
        <v>1661.25</v>
      </c>
      <c r="Q559">
        <v>-3813</v>
      </c>
    </row>
    <row r="560" spans="1:17" x14ac:dyDescent="0.45">
      <c r="A560">
        <v>6453</v>
      </c>
      <c r="B560" t="s">
        <v>617</v>
      </c>
      <c r="C560">
        <v>270</v>
      </c>
      <c r="D560">
        <v>3</v>
      </c>
      <c r="E560">
        <v>574</v>
      </c>
      <c r="F560">
        <v>0</v>
      </c>
      <c r="G560">
        <v>304.39999999999998</v>
      </c>
      <c r="H560">
        <v>3</v>
      </c>
      <c r="I560">
        <v>36.21</v>
      </c>
      <c r="J560">
        <v>104</v>
      </c>
      <c r="K560">
        <v>37</v>
      </c>
      <c r="L560">
        <v>8</v>
      </c>
      <c r="M560">
        <v>19</v>
      </c>
      <c r="N560">
        <v>0</v>
      </c>
      <c r="O560">
        <v>874</v>
      </c>
      <c r="P560">
        <v>0</v>
      </c>
      <c r="Q560">
        <v>-943</v>
      </c>
    </row>
    <row r="561" spans="1:17" x14ac:dyDescent="0.45">
      <c r="A561">
        <v>4026</v>
      </c>
      <c r="B561" t="s">
        <v>618</v>
      </c>
      <c r="C561">
        <v>3613</v>
      </c>
      <c r="D561">
        <v>3</v>
      </c>
      <c r="E561">
        <v>1537.5</v>
      </c>
      <c r="F561">
        <v>3405.3</v>
      </c>
      <c r="G561">
        <v>1096.8</v>
      </c>
      <c r="H561">
        <v>1</v>
      </c>
      <c r="I561">
        <v>20.87</v>
      </c>
      <c r="J561">
        <v>940</v>
      </c>
      <c r="K561">
        <v>382</v>
      </c>
      <c r="L561">
        <v>98</v>
      </c>
      <c r="M561">
        <v>166</v>
      </c>
      <c r="N561">
        <v>0</v>
      </c>
      <c r="O561">
        <v>20</v>
      </c>
      <c r="P561">
        <v>0</v>
      </c>
      <c r="Q561">
        <v>-181</v>
      </c>
    </row>
    <row r="562" spans="1:17" x14ac:dyDescent="0.45">
      <c r="A562">
        <v>1505</v>
      </c>
      <c r="B562" t="s">
        <v>619</v>
      </c>
      <c r="C562">
        <v>5206</v>
      </c>
      <c r="D562">
        <v>3</v>
      </c>
      <c r="E562">
        <v>5669.6</v>
      </c>
      <c r="F562">
        <v>0.5</v>
      </c>
      <c r="G562">
        <v>2301.1999999999998</v>
      </c>
      <c r="H562">
        <v>3</v>
      </c>
      <c r="I562">
        <v>44.23</v>
      </c>
      <c r="J562">
        <v>1952</v>
      </c>
      <c r="K562">
        <v>800</v>
      </c>
      <c r="L562">
        <v>166</v>
      </c>
      <c r="M562">
        <v>328</v>
      </c>
      <c r="N562">
        <v>0</v>
      </c>
      <c r="O562">
        <v>3781</v>
      </c>
      <c r="P562">
        <v>0</v>
      </c>
      <c r="Q562">
        <v>-582</v>
      </c>
    </row>
    <row r="563" spans="1:17" x14ac:dyDescent="0.45">
      <c r="A563">
        <v>1506</v>
      </c>
      <c r="B563" t="s">
        <v>620</v>
      </c>
      <c r="C563">
        <v>2322</v>
      </c>
      <c r="D563">
        <v>3</v>
      </c>
      <c r="E563">
        <v>1682.7</v>
      </c>
      <c r="F563">
        <v>0</v>
      </c>
      <c r="G563">
        <v>2064.1</v>
      </c>
      <c r="H563">
        <v>3</v>
      </c>
      <c r="I563">
        <v>44.23</v>
      </c>
      <c r="J563">
        <v>874</v>
      </c>
      <c r="K563">
        <v>443</v>
      </c>
      <c r="L563">
        <v>39</v>
      </c>
      <c r="M563">
        <v>106</v>
      </c>
      <c r="N563">
        <v>0</v>
      </c>
      <c r="O563">
        <v>5654</v>
      </c>
      <c r="P563">
        <v>0</v>
      </c>
      <c r="Q563">
        <v>-1184</v>
      </c>
    </row>
    <row r="564" spans="1:17" x14ac:dyDescent="0.45">
      <c r="A564">
        <v>1002</v>
      </c>
      <c r="B564" t="s">
        <v>621</v>
      </c>
      <c r="C564">
        <v>3267</v>
      </c>
      <c r="D564">
        <v>2</v>
      </c>
      <c r="E564">
        <v>2695.8</v>
      </c>
      <c r="F564">
        <v>0</v>
      </c>
      <c r="G564">
        <v>6850.3</v>
      </c>
      <c r="H564">
        <v>3</v>
      </c>
      <c r="I564">
        <v>26.39</v>
      </c>
      <c r="J564">
        <v>1198</v>
      </c>
      <c r="K564">
        <v>702</v>
      </c>
      <c r="L564">
        <v>31</v>
      </c>
      <c r="M564">
        <v>127</v>
      </c>
      <c r="N564">
        <v>0</v>
      </c>
      <c r="O564">
        <v>17983</v>
      </c>
      <c r="P564">
        <v>0</v>
      </c>
      <c r="Q564">
        <v>-4737</v>
      </c>
    </row>
    <row r="565" spans="1:17" x14ac:dyDescent="0.45">
      <c r="A565">
        <v>5584</v>
      </c>
      <c r="B565" t="s">
        <v>622</v>
      </c>
      <c r="C565">
        <v>9822</v>
      </c>
      <c r="D565">
        <v>3</v>
      </c>
      <c r="E565">
        <v>7595.3</v>
      </c>
      <c r="F565">
        <v>4746.8</v>
      </c>
      <c r="G565">
        <v>6383.4</v>
      </c>
      <c r="H565">
        <v>1</v>
      </c>
      <c r="I565">
        <v>19.809999999999999</v>
      </c>
      <c r="J565">
        <v>2850</v>
      </c>
      <c r="K565">
        <v>907</v>
      </c>
      <c r="L565">
        <v>313</v>
      </c>
      <c r="M565">
        <v>674</v>
      </c>
      <c r="N565">
        <v>0</v>
      </c>
      <c r="O565">
        <v>168</v>
      </c>
      <c r="P565">
        <v>0</v>
      </c>
      <c r="Q565">
        <v>-241</v>
      </c>
    </row>
    <row r="566" spans="1:17" x14ac:dyDescent="0.45">
      <c r="A566">
        <v>5914</v>
      </c>
      <c r="B566" t="s">
        <v>623</v>
      </c>
      <c r="C566">
        <v>372</v>
      </c>
      <c r="D566">
        <v>3</v>
      </c>
      <c r="E566">
        <v>398.1</v>
      </c>
      <c r="F566">
        <v>421.5</v>
      </c>
      <c r="G566">
        <v>374.7</v>
      </c>
      <c r="H566">
        <v>3</v>
      </c>
      <c r="I566">
        <v>35.86</v>
      </c>
      <c r="J566">
        <v>146</v>
      </c>
      <c r="K566">
        <v>63</v>
      </c>
      <c r="L566">
        <v>9</v>
      </c>
      <c r="M566">
        <v>34</v>
      </c>
      <c r="N566">
        <v>0</v>
      </c>
      <c r="O566">
        <v>406</v>
      </c>
      <c r="P566">
        <v>67.2</v>
      </c>
      <c r="Q566">
        <v>-120</v>
      </c>
    </row>
    <row r="567" spans="1:17" x14ac:dyDescent="0.45">
      <c r="A567">
        <v>2574</v>
      </c>
      <c r="B567" t="s">
        <v>624</v>
      </c>
      <c r="C567">
        <v>325</v>
      </c>
      <c r="D567">
        <v>2</v>
      </c>
      <c r="E567">
        <v>443.7</v>
      </c>
      <c r="F567">
        <v>0</v>
      </c>
      <c r="G567">
        <v>516.29999999999995</v>
      </c>
      <c r="H567">
        <v>1</v>
      </c>
      <c r="I567">
        <v>19.07</v>
      </c>
      <c r="J567">
        <v>106</v>
      </c>
      <c r="K567">
        <v>57</v>
      </c>
      <c r="L567">
        <v>8</v>
      </c>
      <c r="M567">
        <v>15</v>
      </c>
      <c r="N567">
        <v>0</v>
      </c>
      <c r="O567">
        <v>294</v>
      </c>
      <c r="P567">
        <v>0</v>
      </c>
      <c r="Q567">
        <v>-140</v>
      </c>
    </row>
    <row r="568" spans="1:17" x14ac:dyDescent="0.45">
      <c r="A568">
        <v>735</v>
      </c>
      <c r="B568" t="s">
        <v>625</v>
      </c>
      <c r="C568">
        <v>330</v>
      </c>
      <c r="D568">
        <v>2</v>
      </c>
      <c r="E568">
        <v>418.6</v>
      </c>
      <c r="F568">
        <v>0</v>
      </c>
      <c r="G568">
        <v>312.60000000000002</v>
      </c>
      <c r="H568">
        <v>3</v>
      </c>
      <c r="I568">
        <v>26.41</v>
      </c>
      <c r="J568">
        <v>147</v>
      </c>
      <c r="K568">
        <v>56</v>
      </c>
      <c r="L568">
        <v>2</v>
      </c>
      <c r="M568">
        <v>17</v>
      </c>
      <c r="N568">
        <v>0</v>
      </c>
      <c r="O568">
        <v>651</v>
      </c>
      <c r="P568">
        <v>0</v>
      </c>
      <c r="Q568">
        <v>-100</v>
      </c>
    </row>
    <row r="569" spans="1:17" x14ac:dyDescent="0.45">
      <c r="A569">
        <v>2885</v>
      </c>
      <c r="B569" t="s">
        <v>626</v>
      </c>
      <c r="C569">
        <v>563</v>
      </c>
      <c r="D569">
        <v>1</v>
      </c>
      <c r="E569">
        <v>815.4</v>
      </c>
      <c r="F569">
        <v>0</v>
      </c>
      <c r="G569">
        <v>405.4</v>
      </c>
      <c r="H569">
        <v>3</v>
      </c>
      <c r="I569">
        <v>22.09</v>
      </c>
      <c r="J569">
        <v>261</v>
      </c>
      <c r="K569">
        <v>140</v>
      </c>
      <c r="L569">
        <v>21</v>
      </c>
      <c r="M569">
        <v>37</v>
      </c>
      <c r="N569">
        <v>0</v>
      </c>
      <c r="O569">
        <v>3767</v>
      </c>
      <c r="P569">
        <v>0</v>
      </c>
      <c r="Q569">
        <v>-1004</v>
      </c>
    </row>
    <row r="570" spans="1:17" x14ac:dyDescent="0.45">
      <c r="A570">
        <v>6104</v>
      </c>
      <c r="B570" t="s">
        <v>627</v>
      </c>
      <c r="C570">
        <v>179</v>
      </c>
      <c r="D570">
        <v>3</v>
      </c>
      <c r="E570">
        <v>35.1</v>
      </c>
      <c r="F570">
        <v>8.3000000000000007</v>
      </c>
      <c r="G570">
        <v>178.5</v>
      </c>
      <c r="H570">
        <v>3</v>
      </c>
      <c r="I570">
        <v>30.8</v>
      </c>
      <c r="J570">
        <v>56</v>
      </c>
      <c r="K570">
        <v>60</v>
      </c>
      <c r="L570">
        <v>5</v>
      </c>
      <c r="M570">
        <v>6</v>
      </c>
      <c r="N570">
        <v>0</v>
      </c>
      <c r="O570">
        <v>407</v>
      </c>
      <c r="P570">
        <v>0</v>
      </c>
      <c r="Q570">
        <v>-2308</v>
      </c>
    </row>
    <row r="571" spans="1:17" x14ac:dyDescent="0.45">
      <c r="A571">
        <v>953</v>
      </c>
      <c r="B571" t="s">
        <v>628</v>
      </c>
      <c r="C571">
        <v>1356</v>
      </c>
      <c r="D571">
        <v>2</v>
      </c>
      <c r="E571">
        <v>1278.3</v>
      </c>
      <c r="F571">
        <v>0</v>
      </c>
      <c r="G571">
        <v>1646.3</v>
      </c>
      <c r="H571">
        <v>3</v>
      </c>
      <c r="I571">
        <v>26.41</v>
      </c>
      <c r="J571">
        <v>590</v>
      </c>
      <c r="K571">
        <v>198</v>
      </c>
      <c r="L571">
        <v>22</v>
      </c>
      <c r="M571">
        <v>32</v>
      </c>
      <c r="N571">
        <v>0</v>
      </c>
      <c r="O571">
        <v>5743</v>
      </c>
      <c r="P571">
        <v>0</v>
      </c>
      <c r="Q571">
        <v>-542</v>
      </c>
    </row>
    <row r="572" spans="1:17" x14ac:dyDescent="0.45">
      <c r="A572">
        <v>924</v>
      </c>
      <c r="B572" t="s">
        <v>629</v>
      </c>
      <c r="C572">
        <v>478</v>
      </c>
      <c r="D572">
        <v>3</v>
      </c>
      <c r="E572">
        <v>341.4</v>
      </c>
      <c r="F572">
        <v>0</v>
      </c>
      <c r="G572">
        <v>410.2</v>
      </c>
      <c r="H572">
        <v>3</v>
      </c>
      <c r="I572">
        <v>26.41</v>
      </c>
      <c r="J572">
        <v>199</v>
      </c>
      <c r="K572">
        <v>155</v>
      </c>
      <c r="L572">
        <v>3</v>
      </c>
      <c r="M572">
        <v>10</v>
      </c>
      <c r="N572">
        <v>0</v>
      </c>
      <c r="O572">
        <v>2968</v>
      </c>
      <c r="P572">
        <v>55.38</v>
      </c>
      <c r="Q572">
        <v>-1846</v>
      </c>
    </row>
    <row r="573" spans="1:17" x14ac:dyDescent="0.45">
      <c r="A573">
        <v>492</v>
      </c>
      <c r="B573" t="s">
        <v>630</v>
      </c>
      <c r="C573">
        <v>1376</v>
      </c>
      <c r="D573">
        <v>2</v>
      </c>
      <c r="E573">
        <v>1965.7</v>
      </c>
      <c r="F573">
        <v>2.1</v>
      </c>
      <c r="G573">
        <v>1065.3</v>
      </c>
      <c r="H573">
        <v>2</v>
      </c>
      <c r="I573">
        <v>24.84</v>
      </c>
      <c r="J573">
        <v>534</v>
      </c>
      <c r="K573">
        <v>193</v>
      </c>
      <c r="L573">
        <v>31</v>
      </c>
      <c r="M573">
        <v>59</v>
      </c>
      <c r="N573">
        <v>0</v>
      </c>
      <c r="O573">
        <v>338</v>
      </c>
      <c r="P573">
        <v>177.2</v>
      </c>
      <c r="Q573">
        <v>-201</v>
      </c>
    </row>
    <row r="574" spans="1:17" x14ac:dyDescent="0.45">
      <c r="A574">
        <v>4476</v>
      </c>
      <c r="B574" t="s">
        <v>631</v>
      </c>
      <c r="C574">
        <v>3888</v>
      </c>
      <c r="D574">
        <v>3</v>
      </c>
      <c r="E574">
        <v>3021.8</v>
      </c>
      <c r="F574">
        <v>2226</v>
      </c>
      <c r="G574">
        <v>9185.9</v>
      </c>
      <c r="H574">
        <v>3</v>
      </c>
      <c r="I574">
        <v>26.04</v>
      </c>
      <c r="J574">
        <v>1614</v>
      </c>
      <c r="K574">
        <v>736</v>
      </c>
      <c r="L574">
        <v>82</v>
      </c>
      <c r="M574">
        <v>191</v>
      </c>
      <c r="N574">
        <v>0</v>
      </c>
      <c r="O574">
        <v>5649</v>
      </c>
      <c r="P574">
        <v>0</v>
      </c>
      <c r="Q574">
        <v>-341</v>
      </c>
    </row>
    <row r="575" spans="1:17" x14ac:dyDescent="0.45">
      <c r="A575">
        <v>151</v>
      </c>
      <c r="B575" t="s">
        <v>632</v>
      </c>
      <c r="C575">
        <v>5678</v>
      </c>
      <c r="D575">
        <v>3</v>
      </c>
      <c r="E575">
        <v>5343.4</v>
      </c>
      <c r="F575">
        <v>5216.8</v>
      </c>
      <c r="G575">
        <v>1919.9</v>
      </c>
      <c r="H575">
        <v>1</v>
      </c>
      <c r="I575">
        <v>15.69</v>
      </c>
      <c r="J575">
        <v>1984</v>
      </c>
      <c r="K575">
        <v>584</v>
      </c>
      <c r="L575">
        <v>223</v>
      </c>
      <c r="M575">
        <v>451</v>
      </c>
      <c r="N575">
        <v>0</v>
      </c>
      <c r="O575">
        <v>31</v>
      </c>
      <c r="P575">
        <v>0</v>
      </c>
      <c r="Q575">
        <v>-140</v>
      </c>
    </row>
    <row r="576" spans="1:17" x14ac:dyDescent="0.45">
      <c r="A576">
        <v>763</v>
      </c>
      <c r="B576" t="s">
        <v>633</v>
      </c>
      <c r="C576">
        <v>1744</v>
      </c>
      <c r="D576">
        <v>3</v>
      </c>
      <c r="E576">
        <v>1443.6</v>
      </c>
      <c r="F576">
        <v>0</v>
      </c>
      <c r="G576">
        <v>3098.5</v>
      </c>
      <c r="H576">
        <v>3</v>
      </c>
      <c r="I576">
        <v>26.41</v>
      </c>
      <c r="J576">
        <v>677</v>
      </c>
      <c r="K576">
        <v>387</v>
      </c>
      <c r="L576">
        <v>30</v>
      </c>
      <c r="M576">
        <v>56</v>
      </c>
      <c r="N576">
        <v>0</v>
      </c>
      <c r="O576">
        <v>4911</v>
      </c>
      <c r="P576">
        <v>0</v>
      </c>
      <c r="Q576">
        <v>-2569</v>
      </c>
    </row>
    <row r="577" spans="1:17" x14ac:dyDescent="0.45">
      <c r="A577">
        <v>4005</v>
      </c>
      <c r="B577" t="s">
        <v>634</v>
      </c>
      <c r="C577">
        <v>4473</v>
      </c>
      <c r="D577">
        <v>3</v>
      </c>
      <c r="E577">
        <v>3501.1</v>
      </c>
      <c r="F577">
        <v>1061.9000000000001</v>
      </c>
      <c r="G577">
        <v>2782.6</v>
      </c>
      <c r="H577">
        <v>1</v>
      </c>
      <c r="I577">
        <v>20.87</v>
      </c>
      <c r="J577">
        <v>1627</v>
      </c>
      <c r="K577">
        <v>687</v>
      </c>
      <c r="L577">
        <v>115</v>
      </c>
      <c r="M577">
        <v>281</v>
      </c>
      <c r="N577">
        <v>0</v>
      </c>
      <c r="O577">
        <v>1898</v>
      </c>
      <c r="P577">
        <v>0</v>
      </c>
      <c r="Q577">
        <v>-1044</v>
      </c>
    </row>
    <row r="578" spans="1:17" x14ac:dyDescent="0.45">
      <c r="A578">
        <v>2503</v>
      </c>
      <c r="B578" t="s">
        <v>635</v>
      </c>
      <c r="C578">
        <v>3634</v>
      </c>
      <c r="D578">
        <v>3</v>
      </c>
      <c r="E578">
        <v>2685.7</v>
      </c>
      <c r="F578">
        <v>353.3</v>
      </c>
      <c r="G578">
        <v>1927.2</v>
      </c>
      <c r="H578">
        <v>1</v>
      </c>
      <c r="I578">
        <v>19.07</v>
      </c>
      <c r="J578">
        <v>1227</v>
      </c>
      <c r="K578">
        <v>429</v>
      </c>
      <c r="L578">
        <v>73</v>
      </c>
      <c r="M578">
        <v>190</v>
      </c>
      <c r="N578">
        <v>0</v>
      </c>
      <c r="O578">
        <v>1951</v>
      </c>
      <c r="P578">
        <v>0</v>
      </c>
      <c r="Q578">
        <v>-702</v>
      </c>
    </row>
    <row r="579" spans="1:17" x14ac:dyDescent="0.45">
      <c r="A579">
        <v>4646</v>
      </c>
      <c r="B579" t="s">
        <v>636</v>
      </c>
      <c r="C579">
        <v>3770</v>
      </c>
      <c r="D579">
        <v>3</v>
      </c>
      <c r="E579">
        <v>2445</v>
      </c>
      <c r="F579">
        <v>3045.3</v>
      </c>
      <c r="G579">
        <v>5674.5</v>
      </c>
      <c r="H579">
        <v>3</v>
      </c>
      <c r="I579">
        <v>26.04</v>
      </c>
      <c r="J579">
        <v>1591</v>
      </c>
      <c r="K579">
        <v>603</v>
      </c>
      <c r="L579">
        <v>152</v>
      </c>
      <c r="M579">
        <v>175</v>
      </c>
      <c r="N579">
        <v>0</v>
      </c>
      <c r="O579">
        <v>972</v>
      </c>
      <c r="P579">
        <v>0</v>
      </c>
      <c r="Q579">
        <v>-863</v>
      </c>
    </row>
    <row r="580" spans="1:17" x14ac:dyDescent="0.45">
      <c r="A580">
        <v>1025</v>
      </c>
      <c r="B580" t="s">
        <v>637</v>
      </c>
      <c r="C580">
        <v>1012</v>
      </c>
      <c r="D580">
        <v>2</v>
      </c>
      <c r="E580">
        <v>610.4</v>
      </c>
      <c r="F580">
        <v>22.1</v>
      </c>
      <c r="G580">
        <v>1794.5</v>
      </c>
      <c r="H580">
        <v>2</v>
      </c>
      <c r="I580">
        <v>28.41</v>
      </c>
      <c r="J580">
        <v>380</v>
      </c>
      <c r="K580">
        <v>180</v>
      </c>
      <c r="L580">
        <v>38</v>
      </c>
      <c r="M580">
        <v>53</v>
      </c>
      <c r="N580">
        <v>0</v>
      </c>
      <c r="O580">
        <v>1810</v>
      </c>
      <c r="P580">
        <v>0</v>
      </c>
      <c r="Q580">
        <v>-401</v>
      </c>
    </row>
    <row r="581" spans="1:17" x14ac:dyDescent="0.45">
      <c r="A581">
        <v>6056</v>
      </c>
      <c r="B581" t="s">
        <v>638</v>
      </c>
      <c r="C581">
        <v>528</v>
      </c>
      <c r="D581">
        <v>3</v>
      </c>
      <c r="E581">
        <v>458.8</v>
      </c>
      <c r="F581">
        <v>1</v>
      </c>
      <c r="G581">
        <v>398.9</v>
      </c>
      <c r="H581">
        <v>3</v>
      </c>
      <c r="I581">
        <v>30.8</v>
      </c>
      <c r="J581">
        <v>181</v>
      </c>
      <c r="K581">
        <v>125</v>
      </c>
      <c r="L581">
        <v>13</v>
      </c>
      <c r="M581">
        <v>20</v>
      </c>
      <c r="N581">
        <v>0</v>
      </c>
      <c r="O581">
        <v>1217</v>
      </c>
      <c r="P581">
        <v>0</v>
      </c>
      <c r="Q581">
        <v>-2709</v>
      </c>
    </row>
    <row r="582" spans="1:17" x14ac:dyDescent="0.45">
      <c r="A582">
        <v>2615</v>
      </c>
      <c r="B582" t="s">
        <v>639</v>
      </c>
      <c r="C582">
        <v>943</v>
      </c>
      <c r="D582">
        <v>2</v>
      </c>
      <c r="E582">
        <v>1044.3</v>
      </c>
      <c r="F582">
        <v>0</v>
      </c>
      <c r="G582">
        <v>768.5</v>
      </c>
      <c r="H582">
        <v>3</v>
      </c>
      <c r="I582">
        <v>28.59</v>
      </c>
      <c r="J582">
        <v>369</v>
      </c>
      <c r="K582">
        <v>146</v>
      </c>
      <c r="L582">
        <v>21</v>
      </c>
      <c r="M582">
        <v>37</v>
      </c>
      <c r="N582">
        <v>0</v>
      </c>
      <c r="O582">
        <v>1452</v>
      </c>
      <c r="P582">
        <v>0</v>
      </c>
      <c r="Q582">
        <v>-823</v>
      </c>
    </row>
    <row r="583" spans="1:17" x14ac:dyDescent="0.45">
      <c r="A583">
        <v>405</v>
      </c>
      <c r="B583" t="s">
        <v>640</v>
      </c>
      <c r="C583">
        <v>2020</v>
      </c>
      <c r="D583">
        <v>2</v>
      </c>
      <c r="E583">
        <v>1856.6</v>
      </c>
      <c r="F583">
        <v>290.10000000000002</v>
      </c>
      <c r="G583">
        <v>2409.1</v>
      </c>
      <c r="H583">
        <v>1</v>
      </c>
      <c r="I583">
        <v>16.760000000000002</v>
      </c>
      <c r="J583">
        <v>776</v>
      </c>
      <c r="K583">
        <v>362</v>
      </c>
      <c r="L583">
        <v>42</v>
      </c>
      <c r="M583">
        <v>74</v>
      </c>
      <c r="N583">
        <v>0</v>
      </c>
      <c r="O583">
        <v>5050</v>
      </c>
      <c r="P583">
        <v>0</v>
      </c>
      <c r="Q583">
        <v>-943</v>
      </c>
    </row>
    <row r="584" spans="1:17" x14ac:dyDescent="0.45">
      <c r="A584">
        <v>1206</v>
      </c>
      <c r="B584" t="s">
        <v>641</v>
      </c>
      <c r="C584">
        <v>3866</v>
      </c>
      <c r="D584">
        <v>3</v>
      </c>
      <c r="E584">
        <v>2724</v>
      </c>
      <c r="F584">
        <v>0</v>
      </c>
      <c r="G584">
        <v>3596.4</v>
      </c>
      <c r="H584">
        <v>2</v>
      </c>
      <c r="I584">
        <v>29.33</v>
      </c>
      <c r="J584">
        <v>1193</v>
      </c>
      <c r="K584">
        <v>642</v>
      </c>
      <c r="L584">
        <v>38</v>
      </c>
      <c r="M584">
        <v>106</v>
      </c>
      <c r="N584">
        <v>0</v>
      </c>
      <c r="O584">
        <v>2789</v>
      </c>
      <c r="P584">
        <v>553.75</v>
      </c>
      <c r="Q584">
        <v>-3633</v>
      </c>
    </row>
    <row r="585" spans="1:17" x14ac:dyDescent="0.45">
      <c r="A585">
        <v>1026</v>
      </c>
      <c r="B585" t="s">
        <v>642</v>
      </c>
      <c r="C585">
        <v>3777</v>
      </c>
      <c r="D585">
        <v>2</v>
      </c>
      <c r="E585">
        <v>2457.1999999999998</v>
      </c>
      <c r="F585">
        <v>48</v>
      </c>
      <c r="G585">
        <v>5256.4</v>
      </c>
      <c r="H585">
        <v>2</v>
      </c>
      <c r="I585">
        <v>28.41</v>
      </c>
      <c r="J585">
        <v>1346</v>
      </c>
      <c r="K585">
        <v>578</v>
      </c>
      <c r="L585">
        <v>86</v>
      </c>
      <c r="M585">
        <v>206</v>
      </c>
      <c r="N585">
        <v>0</v>
      </c>
      <c r="O585">
        <v>8881</v>
      </c>
      <c r="P585">
        <v>0</v>
      </c>
      <c r="Q585">
        <v>-381</v>
      </c>
    </row>
    <row r="586" spans="1:17" x14ac:dyDescent="0.45">
      <c r="A586">
        <v>3342</v>
      </c>
      <c r="B586" t="s">
        <v>643</v>
      </c>
      <c r="C586">
        <v>9996</v>
      </c>
      <c r="D586">
        <v>3</v>
      </c>
      <c r="E586">
        <v>6865.1</v>
      </c>
      <c r="F586">
        <v>2087.5</v>
      </c>
      <c r="G586">
        <v>13749</v>
      </c>
      <c r="H586">
        <v>2</v>
      </c>
      <c r="I586">
        <v>22.8</v>
      </c>
      <c r="J586">
        <v>3736</v>
      </c>
      <c r="K586">
        <v>1749</v>
      </c>
      <c r="L586">
        <v>272</v>
      </c>
      <c r="M586">
        <v>412</v>
      </c>
      <c r="N586">
        <v>0</v>
      </c>
      <c r="O586">
        <v>18490</v>
      </c>
      <c r="P586">
        <v>615.02</v>
      </c>
      <c r="Q586">
        <v>-3653</v>
      </c>
    </row>
    <row r="587" spans="1:17" x14ac:dyDescent="0.45">
      <c r="A587">
        <v>4806</v>
      </c>
      <c r="B587" t="s">
        <v>644</v>
      </c>
      <c r="C587">
        <v>1882</v>
      </c>
      <c r="D587">
        <v>3</v>
      </c>
      <c r="E587">
        <v>1044.4000000000001</v>
      </c>
      <c r="F587">
        <v>1469.2</v>
      </c>
      <c r="G587">
        <v>2521.5</v>
      </c>
      <c r="H587">
        <v>2</v>
      </c>
      <c r="I587">
        <v>21.63</v>
      </c>
      <c r="J587">
        <v>777</v>
      </c>
      <c r="K587">
        <v>346</v>
      </c>
      <c r="L587">
        <v>54</v>
      </c>
      <c r="M587">
        <v>76</v>
      </c>
      <c r="N587">
        <v>0</v>
      </c>
      <c r="O587">
        <v>4075</v>
      </c>
      <c r="P587">
        <v>0</v>
      </c>
      <c r="Q587">
        <v>-843</v>
      </c>
    </row>
    <row r="588" spans="1:17" x14ac:dyDescent="0.45">
      <c r="A588">
        <v>692</v>
      </c>
      <c r="B588" t="s">
        <v>645</v>
      </c>
      <c r="C588">
        <v>384</v>
      </c>
      <c r="D588">
        <v>1</v>
      </c>
      <c r="E588">
        <v>761.8</v>
      </c>
      <c r="F588">
        <v>0</v>
      </c>
      <c r="G588">
        <v>350.2</v>
      </c>
      <c r="H588">
        <v>2</v>
      </c>
      <c r="I588">
        <v>24.84</v>
      </c>
      <c r="J588">
        <v>180</v>
      </c>
      <c r="K588">
        <v>55</v>
      </c>
      <c r="L588">
        <v>6</v>
      </c>
      <c r="M588">
        <v>20</v>
      </c>
      <c r="N588">
        <v>0</v>
      </c>
      <c r="O588">
        <v>940</v>
      </c>
      <c r="P588">
        <v>0</v>
      </c>
      <c r="Q588">
        <v>-662</v>
      </c>
    </row>
    <row r="589" spans="1:17" x14ac:dyDescent="0.45">
      <c r="A589">
        <v>4724</v>
      </c>
      <c r="B589" t="s">
        <v>646</v>
      </c>
      <c r="C589">
        <v>4847</v>
      </c>
      <c r="D589">
        <v>3</v>
      </c>
      <c r="E589">
        <v>3081.1</v>
      </c>
      <c r="F589">
        <v>3440.6</v>
      </c>
      <c r="G589">
        <v>5927.7</v>
      </c>
      <c r="H589">
        <v>2</v>
      </c>
      <c r="I589">
        <v>21.63</v>
      </c>
      <c r="J589">
        <v>1939</v>
      </c>
      <c r="K589">
        <v>827</v>
      </c>
      <c r="L589">
        <v>158</v>
      </c>
      <c r="M589">
        <v>312</v>
      </c>
      <c r="N589">
        <v>0</v>
      </c>
      <c r="O589">
        <v>1836</v>
      </c>
      <c r="P589">
        <v>0</v>
      </c>
      <c r="Q589">
        <v>-221</v>
      </c>
    </row>
    <row r="590" spans="1:17" x14ac:dyDescent="0.45">
      <c r="A590">
        <v>1010</v>
      </c>
      <c r="B590" t="s">
        <v>647</v>
      </c>
      <c r="C590">
        <v>4405</v>
      </c>
      <c r="D590">
        <v>2</v>
      </c>
      <c r="E590">
        <v>2330.8000000000002</v>
      </c>
      <c r="F590">
        <v>26.7</v>
      </c>
      <c r="G590">
        <v>10112.700000000001</v>
      </c>
      <c r="H590">
        <v>3</v>
      </c>
      <c r="I590">
        <v>26.39</v>
      </c>
      <c r="J590">
        <v>1707</v>
      </c>
      <c r="K590">
        <v>796</v>
      </c>
      <c r="L590">
        <v>46</v>
      </c>
      <c r="M590">
        <v>126</v>
      </c>
      <c r="N590">
        <v>0</v>
      </c>
      <c r="O590">
        <v>28748</v>
      </c>
      <c r="P590">
        <v>0</v>
      </c>
      <c r="Q590">
        <v>-9232</v>
      </c>
    </row>
    <row r="591" spans="1:17" x14ac:dyDescent="0.45">
      <c r="A591">
        <v>5856</v>
      </c>
      <c r="B591" t="s">
        <v>648</v>
      </c>
      <c r="C591">
        <v>743</v>
      </c>
      <c r="D591">
        <v>3</v>
      </c>
      <c r="E591">
        <v>951.7</v>
      </c>
      <c r="F591">
        <v>123.1</v>
      </c>
      <c r="G591">
        <v>542</v>
      </c>
      <c r="H591">
        <v>3</v>
      </c>
      <c r="I591">
        <v>35.86</v>
      </c>
      <c r="J591">
        <v>176</v>
      </c>
      <c r="K591">
        <v>103</v>
      </c>
      <c r="L591">
        <v>16</v>
      </c>
      <c r="M591">
        <v>35</v>
      </c>
      <c r="N591">
        <v>0</v>
      </c>
      <c r="O591">
        <v>1438</v>
      </c>
      <c r="P591">
        <v>0</v>
      </c>
      <c r="Q591">
        <v>-281</v>
      </c>
    </row>
    <row r="592" spans="1:17" x14ac:dyDescent="0.45">
      <c r="A592">
        <v>5520</v>
      </c>
      <c r="B592" t="s">
        <v>649</v>
      </c>
      <c r="C592">
        <v>1081</v>
      </c>
      <c r="D592">
        <v>3</v>
      </c>
      <c r="E592">
        <v>1541.4</v>
      </c>
      <c r="F592">
        <v>62.5</v>
      </c>
      <c r="G592">
        <v>2945.1</v>
      </c>
      <c r="H592">
        <v>3</v>
      </c>
      <c r="I592">
        <v>35.86</v>
      </c>
      <c r="J592">
        <v>480</v>
      </c>
      <c r="K592">
        <v>134</v>
      </c>
      <c r="L592">
        <v>50</v>
      </c>
      <c r="M592">
        <v>62</v>
      </c>
      <c r="N592">
        <v>0</v>
      </c>
      <c r="O592">
        <v>3357</v>
      </c>
      <c r="P592">
        <v>59.81</v>
      </c>
      <c r="Q592">
        <v>-502</v>
      </c>
    </row>
    <row r="593" spans="1:17" x14ac:dyDescent="0.45">
      <c r="A593">
        <v>2054</v>
      </c>
      <c r="B593" t="s">
        <v>650</v>
      </c>
      <c r="C593">
        <v>10133</v>
      </c>
      <c r="D593">
        <v>3</v>
      </c>
      <c r="E593">
        <v>7442.9</v>
      </c>
      <c r="F593">
        <v>2636.4</v>
      </c>
      <c r="G593">
        <v>13764.1</v>
      </c>
      <c r="H593">
        <v>2</v>
      </c>
      <c r="I593">
        <v>28.63</v>
      </c>
      <c r="J593">
        <v>4216</v>
      </c>
      <c r="K593">
        <v>1354</v>
      </c>
      <c r="L593">
        <v>285</v>
      </c>
      <c r="M593">
        <v>711</v>
      </c>
      <c r="N593">
        <v>3196</v>
      </c>
      <c r="O593">
        <v>8880</v>
      </c>
      <c r="P593">
        <v>4136.87</v>
      </c>
      <c r="Q593">
        <v>-1365</v>
      </c>
    </row>
    <row r="594" spans="1:17" x14ac:dyDescent="0.45">
      <c r="A594">
        <v>5521</v>
      </c>
      <c r="B594" t="s">
        <v>651</v>
      </c>
      <c r="C594">
        <v>1147</v>
      </c>
      <c r="D594">
        <v>3</v>
      </c>
      <c r="E594">
        <v>709.1</v>
      </c>
      <c r="F594">
        <v>932.9</v>
      </c>
      <c r="G594">
        <v>1675.7</v>
      </c>
      <c r="H594">
        <v>2</v>
      </c>
      <c r="I594">
        <v>26.72</v>
      </c>
      <c r="J594">
        <v>500</v>
      </c>
      <c r="K594">
        <v>141</v>
      </c>
      <c r="L594">
        <v>39</v>
      </c>
      <c r="M594">
        <v>98</v>
      </c>
      <c r="N594">
        <v>0</v>
      </c>
      <c r="O594">
        <v>2276</v>
      </c>
      <c r="P594">
        <v>0</v>
      </c>
      <c r="Q594">
        <v>-120</v>
      </c>
    </row>
    <row r="595" spans="1:17" x14ac:dyDescent="0.45">
      <c r="A595">
        <v>5636</v>
      </c>
      <c r="B595" t="s">
        <v>652</v>
      </c>
      <c r="C595">
        <v>2931</v>
      </c>
      <c r="D595">
        <v>3</v>
      </c>
      <c r="E595">
        <v>1337.6</v>
      </c>
      <c r="F595">
        <v>2763.4</v>
      </c>
      <c r="G595">
        <v>5980</v>
      </c>
      <c r="H595">
        <v>2</v>
      </c>
      <c r="I595">
        <v>26.72</v>
      </c>
      <c r="J595">
        <v>1220</v>
      </c>
      <c r="K595">
        <v>439</v>
      </c>
      <c r="L595">
        <v>116</v>
      </c>
      <c r="M595">
        <v>230</v>
      </c>
      <c r="N595">
        <v>0</v>
      </c>
      <c r="O595">
        <v>372</v>
      </c>
      <c r="P595">
        <v>0</v>
      </c>
      <c r="Q595">
        <v>-60</v>
      </c>
    </row>
    <row r="596" spans="1:17" x14ac:dyDescent="0.45">
      <c r="A596">
        <v>2768</v>
      </c>
      <c r="B596" t="s">
        <v>653</v>
      </c>
      <c r="C596">
        <v>5587</v>
      </c>
      <c r="D596">
        <v>1</v>
      </c>
      <c r="E596">
        <v>3018.5</v>
      </c>
      <c r="F596">
        <v>4279.8</v>
      </c>
      <c r="G596">
        <v>3871.4</v>
      </c>
      <c r="H596">
        <v>2</v>
      </c>
      <c r="I596">
        <v>20.72</v>
      </c>
      <c r="J596">
        <v>1897</v>
      </c>
      <c r="K596">
        <v>540</v>
      </c>
      <c r="L596">
        <v>90</v>
      </c>
      <c r="M596">
        <v>229</v>
      </c>
      <c r="N596">
        <v>0</v>
      </c>
      <c r="O596">
        <v>931</v>
      </c>
      <c r="P596">
        <v>0</v>
      </c>
      <c r="Q596">
        <v>-622</v>
      </c>
    </row>
    <row r="597" spans="1:17" x14ac:dyDescent="0.45">
      <c r="A597">
        <v>1128</v>
      </c>
      <c r="B597" t="s">
        <v>654</v>
      </c>
      <c r="C597">
        <v>2853</v>
      </c>
      <c r="D597">
        <v>1</v>
      </c>
      <c r="E597">
        <v>2380.3000000000002</v>
      </c>
      <c r="F597">
        <v>6</v>
      </c>
      <c r="G597">
        <v>5348</v>
      </c>
      <c r="H597">
        <v>3</v>
      </c>
      <c r="I597">
        <v>26.39</v>
      </c>
      <c r="J597">
        <v>1100</v>
      </c>
      <c r="K597">
        <v>454</v>
      </c>
      <c r="L597">
        <v>58</v>
      </c>
      <c r="M597">
        <v>105</v>
      </c>
      <c r="N597">
        <v>0</v>
      </c>
      <c r="O597">
        <v>8241</v>
      </c>
      <c r="P597">
        <v>0</v>
      </c>
      <c r="Q597">
        <v>-421</v>
      </c>
    </row>
    <row r="598" spans="1:17" x14ac:dyDescent="0.45">
      <c r="A598">
        <v>2518</v>
      </c>
      <c r="B598" t="s">
        <v>655</v>
      </c>
      <c r="C598">
        <v>1055</v>
      </c>
      <c r="D598">
        <v>2</v>
      </c>
      <c r="E598">
        <v>914.7</v>
      </c>
      <c r="F598">
        <v>419.6</v>
      </c>
      <c r="G598">
        <v>1452.7</v>
      </c>
      <c r="H598">
        <v>2</v>
      </c>
      <c r="I598">
        <v>26.37</v>
      </c>
      <c r="J598">
        <v>435</v>
      </c>
      <c r="K598">
        <v>167</v>
      </c>
      <c r="L598">
        <v>28</v>
      </c>
      <c r="M598">
        <v>51</v>
      </c>
      <c r="N598">
        <v>0</v>
      </c>
      <c r="O598">
        <v>1343</v>
      </c>
      <c r="P598">
        <v>0</v>
      </c>
      <c r="Q598">
        <v>-201</v>
      </c>
    </row>
    <row r="599" spans="1:17" x14ac:dyDescent="0.45">
      <c r="A599">
        <v>372</v>
      </c>
      <c r="B599" t="s">
        <v>656</v>
      </c>
      <c r="C599">
        <v>2704</v>
      </c>
      <c r="D599">
        <v>2</v>
      </c>
      <c r="E599">
        <v>2140.6999999999998</v>
      </c>
      <c r="F599">
        <v>2700.6</v>
      </c>
      <c r="G599">
        <v>1900.4</v>
      </c>
      <c r="H599">
        <v>1</v>
      </c>
      <c r="I599">
        <v>16.760000000000002</v>
      </c>
      <c r="J599">
        <v>746</v>
      </c>
      <c r="K599">
        <v>342</v>
      </c>
      <c r="L599">
        <v>84</v>
      </c>
      <c r="M599">
        <v>110</v>
      </c>
      <c r="N599">
        <v>0</v>
      </c>
      <c r="O599">
        <v>535</v>
      </c>
      <c r="P599">
        <v>0</v>
      </c>
      <c r="Q599">
        <v>-301</v>
      </c>
    </row>
    <row r="600" spans="1:17" x14ac:dyDescent="0.45">
      <c r="A600">
        <v>6213</v>
      </c>
      <c r="B600" t="s">
        <v>657</v>
      </c>
      <c r="C600">
        <v>1416</v>
      </c>
      <c r="D600">
        <v>3</v>
      </c>
      <c r="E600">
        <v>1401.5</v>
      </c>
      <c r="F600">
        <v>88.1</v>
      </c>
      <c r="G600">
        <v>3810.2</v>
      </c>
      <c r="H600">
        <v>3</v>
      </c>
      <c r="I600">
        <v>30.8</v>
      </c>
      <c r="J600">
        <v>869</v>
      </c>
      <c r="K600">
        <v>297</v>
      </c>
      <c r="L600">
        <v>30</v>
      </c>
      <c r="M600">
        <v>76</v>
      </c>
      <c r="N600">
        <v>5517</v>
      </c>
      <c r="O600">
        <v>474</v>
      </c>
      <c r="P600">
        <v>2503.6999999999998</v>
      </c>
      <c r="Q600">
        <v>-1826</v>
      </c>
    </row>
    <row r="601" spans="1:17" x14ac:dyDescent="0.45">
      <c r="A601">
        <v>6083</v>
      </c>
      <c r="B601" t="s">
        <v>658</v>
      </c>
      <c r="C601">
        <v>1655</v>
      </c>
      <c r="D601">
        <v>3</v>
      </c>
      <c r="E601">
        <v>3959.1</v>
      </c>
      <c r="F601">
        <v>39.4</v>
      </c>
      <c r="G601">
        <v>541</v>
      </c>
      <c r="H601">
        <v>3</v>
      </c>
      <c r="I601">
        <v>30.8</v>
      </c>
      <c r="J601">
        <v>815</v>
      </c>
      <c r="K601">
        <v>288</v>
      </c>
      <c r="L601">
        <v>34</v>
      </c>
      <c r="M601">
        <v>58</v>
      </c>
      <c r="N601">
        <v>0</v>
      </c>
      <c r="O601">
        <v>4388</v>
      </c>
      <c r="P601">
        <v>0</v>
      </c>
      <c r="Q601">
        <v>-4757</v>
      </c>
    </row>
    <row r="602" spans="1:17" x14ac:dyDescent="0.45">
      <c r="A602">
        <v>5716</v>
      </c>
      <c r="B602" t="s">
        <v>659</v>
      </c>
      <c r="C602">
        <v>1775</v>
      </c>
      <c r="D602">
        <v>3</v>
      </c>
      <c r="E602">
        <v>1093.4000000000001</v>
      </c>
      <c r="F602">
        <v>345.5</v>
      </c>
      <c r="G602">
        <v>1137.0999999999999</v>
      </c>
      <c r="H602">
        <v>1</v>
      </c>
      <c r="I602">
        <v>19.809999999999999</v>
      </c>
      <c r="J602">
        <v>654</v>
      </c>
      <c r="K602">
        <v>191</v>
      </c>
      <c r="L602">
        <v>72</v>
      </c>
      <c r="M602">
        <v>164</v>
      </c>
      <c r="N602">
        <v>0</v>
      </c>
      <c r="O602">
        <v>448</v>
      </c>
      <c r="P602">
        <v>0</v>
      </c>
      <c r="Q602">
        <v>-40</v>
      </c>
    </row>
    <row r="603" spans="1:17" x14ac:dyDescent="0.45">
      <c r="A603">
        <v>925</v>
      </c>
      <c r="B603" t="s">
        <v>660</v>
      </c>
      <c r="C603">
        <v>813</v>
      </c>
      <c r="D603">
        <v>3</v>
      </c>
      <c r="E603">
        <v>628</v>
      </c>
      <c r="F603">
        <v>14.4</v>
      </c>
      <c r="G603">
        <v>978</v>
      </c>
      <c r="H603">
        <v>3</v>
      </c>
      <c r="I603">
        <v>26.41</v>
      </c>
      <c r="J603">
        <v>345</v>
      </c>
      <c r="K603">
        <v>156</v>
      </c>
      <c r="L603">
        <v>16</v>
      </c>
      <c r="M603">
        <v>35</v>
      </c>
      <c r="N603">
        <v>0</v>
      </c>
      <c r="O603">
        <v>3707</v>
      </c>
      <c r="P603">
        <v>0</v>
      </c>
      <c r="Q603">
        <v>-321</v>
      </c>
    </row>
    <row r="604" spans="1:17" x14ac:dyDescent="0.45">
      <c r="A604">
        <v>4196</v>
      </c>
      <c r="B604" t="s">
        <v>661</v>
      </c>
      <c r="C604">
        <v>2456</v>
      </c>
      <c r="D604">
        <v>3</v>
      </c>
      <c r="E604">
        <v>2376.9</v>
      </c>
      <c r="F604">
        <v>0</v>
      </c>
      <c r="G604">
        <v>1783.3</v>
      </c>
      <c r="H604">
        <v>3</v>
      </c>
      <c r="I604">
        <v>23.9</v>
      </c>
      <c r="J604">
        <v>965</v>
      </c>
      <c r="K604">
        <v>433</v>
      </c>
      <c r="L604">
        <v>54</v>
      </c>
      <c r="M604">
        <v>133</v>
      </c>
      <c r="N604">
        <v>0</v>
      </c>
      <c r="O604">
        <v>1155</v>
      </c>
      <c r="P604">
        <v>0</v>
      </c>
      <c r="Q604">
        <v>-201</v>
      </c>
    </row>
    <row r="605" spans="1:17" x14ac:dyDescent="0.45">
      <c r="A605">
        <v>6789</v>
      </c>
      <c r="B605" t="s">
        <v>662</v>
      </c>
      <c r="C605">
        <v>333</v>
      </c>
      <c r="D605">
        <v>3</v>
      </c>
      <c r="E605">
        <v>1178.9000000000001</v>
      </c>
      <c r="F605">
        <v>0</v>
      </c>
      <c r="G605">
        <v>440</v>
      </c>
      <c r="H605">
        <v>3</v>
      </c>
      <c r="I605">
        <v>27.66</v>
      </c>
      <c r="J605">
        <v>179</v>
      </c>
      <c r="K605">
        <v>62</v>
      </c>
      <c r="L605">
        <v>3</v>
      </c>
      <c r="M605">
        <v>15</v>
      </c>
      <c r="N605">
        <v>0</v>
      </c>
      <c r="O605">
        <v>3280</v>
      </c>
      <c r="P605">
        <v>25.12</v>
      </c>
      <c r="Q605">
        <v>-401</v>
      </c>
    </row>
    <row r="606" spans="1:17" x14ac:dyDescent="0.45">
      <c r="A606">
        <v>5072</v>
      </c>
      <c r="B606" t="s">
        <v>663</v>
      </c>
      <c r="C606">
        <v>2782</v>
      </c>
      <c r="D606">
        <v>3</v>
      </c>
      <c r="E606">
        <v>3705.5</v>
      </c>
      <c r="F606">
        <v>257.7</v>
      </c>
      <c r="G606">
        <v>2077.1999999999998</v>
      </c>
      <c r="H606">
        <v>3</v>
      </c>
      <c r="I606">
        <v>25.45</v>
      </c>
      <c r="J606">
        <v>1013</v>
      </c>
      <c r="K606">
        <v>561</v>
      </c>
      <c r="L606">
        <v>42</v>
      </c>
      <c r="M606">
        <v>153</v>
      </c>
      <c r="N606">
        <v>0</v>
      </c>
      <c r="O606">
        <v>2539</v>
      </c>
      <c r="P606">
        <v>83.42</v>
      </c>
      <c r="Q606">
        <v>-13668</v>
      </c>
    </row>
    <row r="607" spans="1:17" x14ac:dyDescent="0.45">
      <c r="A607">
        <v>3572</v>
      </c>
      <c r="B607" t="s">
        <v>664</v>
      </c>
      <c r="C607">
        <v>637</v>
      </c>
      <c r="D607">
        <v>3</v>
      </c>
      <c r="E607">
        <v>2538.4</v>
      </c>
      <c r="F607">
        <v>0</v>
      </c>
      <c r="G607">
        <v>795.2</v>
      </c>
      <c r="H607">
        <v>3</v>
      </c>
      <c r="I607">
        <v>29.04</v>
      </c>
      <c r="J607">
        <v>172</v>
      </c>
      <c r="K607">
        <v>141</v>
      </c>
      <c r="L607">
        <v>15</v>
      </c>
      <c r="M607">
        <v>25</v>
      </c>
      <c r="N607">
        <v>0</v>
      </c>
      <c r="O607">
        <v>2551</v>
      </c>
      <c r="P607">
        <v>0</v>
      </c>
      <c r="Q607">
        <v>-843</v>
      </c>
    </row>
    <row r="608" spans="1:17" x14ac:dyDescent="0.45">
      <c r="A608">
        <v>5458</v>
      </c>
      <c r="B608" t="s">
        <v>666</v>
      </c>
      <c r="C608">
        <v>907</v>
      </c>
      <c r="D608">
        <v>3</v>
      </c>
      <c r="E608">
        <v>1020</v>
      </c>
      <c r="F608">
        <v>180.8</v>
      </c>
      <c r="G608">
        <v>1608.9</v>
      </c>
      <c r="H608">
        <v>3</v>
      </c>
      <c r="I608">
        <v>35.86</v>
      </c>
      <c r="J608">
        <v>335</v>
      </c>
      <c r="K608">
        <v>128</v>
      </c>
      <c r="L608">
        <v>27</v>
      </c>
      <c r="M608">
        <v>62</v>
      </c>
      <c r="N608">
        <v>0</v>
      </c>
      <c r="O608">
        <v>930</v>
      </c>
      <c r="P608">
        <v>44.3</v>
      </c>
      <c r="Q608">
        <v>-181</v>
      </c>
    </row>
    <row r="609" spans="1:17" x14ac:dyDescent="0.45">
      <c r="A609">
        <v>975</v>
      </c>
      <c r="B609" t="s">
        <v>667</v>
      </c>
      <c r="C609">
        <v>228</v>
      </c>
      <c r="D609">
        <v>3</v>
      </c>
      <c r="E609">
        <v>441.1</v>
      </c>
      <c r="F609">
        <v>0</v>
      </c>
      <c r="G609">
        <v>369.2</v>
      </c>
      <c r="H609">
        <v>3</v>
      </c>
      <c r="I609">
        <v>26.41</v>
      </c>
      <c r="J609">
        <v>78</v>
      </c>
      <c r="K609">
        <v>52</v>
      </c>
      <c r="L609">
        <v>3</v>
      </c>
      <c r="M609">
        <v>12</v>
      </c>
      <c r="N609">
        <v>0</v>
      </c>
      <c r="O609">
        <v>1161</v>
      </c>
      <c r="P609">
        <v>0</v>
      </c>
      <c r="Q609">
        <v>-201</v>
      </c>
    </row>
    <row r="610" spans="1:17" x14ac:dyDescent="0.45">
      <c r="A610">
        <v>172</v>
      </c>
      <c r="B610" t="s">
        <v>669</v>
      </c>
      <c r="C610">
        <v>6791</v>
      </c>
      <c r="D610">
        <v>3</v>
      </c>
      <c r="E610">
        <v>6004.7</v>
      </c>
      <c r="F610">
        <v>1222.2</v>
      </c>
      <c r="G610">
        <v>5740.5</v>
      </c>
      <c r="H610">
        <v>2</v>
      </c>
      <c r="I610">
        <v>24.61</v>
      </c>
      <c r="J610">
        <v>2333</v>
      </c>
      <c r="K610">
        <v>1042</v>
      </c>
      <c r="L610">
        <v>212</v>
      </c>
      <c r="M610">
        <v>377</v>
      </c>
      <c r="N610">
        <v>0</v>
      </c>
      <c r="O610">
        <v>3434</v>
      </c>
      <c r="P610">
        <v>664.5</v>
      </c>
      <c r="Q610">
        <v>-502</v>
      </c>
    </row>
    <row r="611" spans="1:17" x14ac:dyDescent="0.45">
      <c r="A611">
        <v>2616</v>
      </c>
      <c r="B611" t="s">
        <v>670</v>
      </c>
      <c r="C611">
        <v>602</v>
      </c>
      <c r="D611">
        <v>2</v>
      </c>
      <c r="E611">
        <v>616.9</v>
      </c>
      <c r="F611">
        <v>5.5</v>
      </c>
      <c r="G611">
        <v>761.5</v>
      </c>
      <c r="H611">
        <v>3</v>
      </c>
      <c r="I611">
        <v>28.59</v>
      </c>
      <c r="J611">
        <v>268</v>
      </c>
      <c r="K611">
        <v>83</v>
      </c>
      <c r="L611">
        <v>16</v>
      </c>
      <c r="M611">
        <v>20</v>
      </c>
      <c r="N611">
        <v>0</v>
      </c>
      <c r="O611">
        <v>589</v>
      </c>
      <c r="P611">
        <v>0</v>
      </c>
      <c r="Q611">
        <v>-80</v>
      </c>
    </row>
    <row r="612" spans="1:17" x14ac:dyDescent="0.45">
      <c r="A612">
        <v>4561</v>
      </c>
      <c r="B612" t="s">
        <v>671</v>
      </c>
      <c r="C612">
        <v>3199</v>
      </c>
      <c r="D612">
        <v>3</v>
      </c>
      <c r="E612">
        <v>2982.8</v>
      </c>
      <c r="F612">
        <v>350.2</v>
      </c>
      <c r="G612">
        <v>4267.1000000000004</v>
      </c>
      <c r="H612">
        <v>2</v>
      </c>
      <c r="I612">
        <v>21.63</v>
      </c>
      <c r="J612">
        <v>1198</v>
      </c>
      <c r="K612">
        <v>533</v>
      </c>
      <c r="L612">
        <v>80</v>
      </c>
      <c r="M612">
        <v>206</v>
      </c>
      <c r="N612">
        <v>0</v>
      </c>
      <c r="O612">
        <v>1630</v>
      </c>
      <c r="P612">
        <v>0</v>
      </c>
      <c r="Q612">
        <v>-381</v>
      </c>
    </row>
    <row r="613" spans="1:17" x14ac:dyDescent="0.45">
      <c r="A613">
        <v>2544</v>
      </c>
      <c r="B613" t="s">
        <v>672</v>
      </c>
      <c r="C613">
        <v>1027</v>
      </c>
      <c r="D613">
        <v>2</v>
      </c>
      <c r="E613">
        <v>824.7</v>
      </c>
      <c r="F613">
        <v>908.4</v>
      </c>
      <c r="G613">
        <v>522.20000000000005</v>
      </c>
      <c r="H613">
        <v>1</v>
      </c>
      <c r="I613">
        <v>19.07</v>
      </c>
      <c r="J613">
        <v>510</v>
      </c>
      <c r="K613">
        <v>146</v>
      </c>
      <c r="L613">
        <v>44</v>
      </c>
      <c r="M613">
        <v>77</v>
      </c>
      <c r="N613">
        <v>0</v>
      </c>
      <c r="O613">
        <v>332</v>
      </c>
      <c r="P613">
        <v>72.34</v>
      </c>
      <c r="Q613">
        <v>-221</v>
      </c>
    </row>
    <row r="614" spans="1:17" x14ac:dyDescent="0.45">
      <c r="A614">
        <v>3731</v>
      </c>
      <c r="B614" t="s">
        <v>673</v>
      </c>
      <c r="C614">
        <v>2781</v>
      </c>
      <c r="D614">
        <v>3</v>
      </c>
      <c r="E614">
        <v>2717.6</v>
      </c>
      <c r="F614">
        <v>0</v>
      </c>
      <c r="G614">
        <v>4451.6000000000004</v>
      </c>
      <c r="H614">
        <v>2</v>
      </c>
      <c r="I614">
        <v>21.73</v>
      </c>
      <c r="J614">
        <v>796</v>
      </c>
      <c r="K614">
        <v>484</v>
      </c>
      <c r="L614">
        <v>60</v>
      </c>
      <c r="M614">
        <v>111</v>
      </c>
      <c r="N614">
        <v>0</v>
      </c>
      <c r="O614">
        <v>861</v>
      </c>
      <c r="P614">
        <v>0</v>
      </c>
      <c r="Q614">
        <v>-1144</v>
      </c>
    </row>
    <row r="615" spans="1:17" x14ac:dyDescent="0.45">
      <c r="A615">
        <v>6195</v>
      </c>
      <c r="B615" t="s">
        <v>674</v>
      </c>
      <c r="C615">
        <v>251</v>
      </c>
      <c r="D615">
        <v>2</v>
      </c>
      <c r="E615">
        <v>489.3</v>
      </c>
      <c r="F615">
        <v>3.7</v>
      </c>
      <c r="G615">
        <v>99.4</v>
      </c>
      <c r="H615">
        <v>3</v>
      </c>
      <c r="I615">
        <v>30.8</v>
      </c>
      <c r="J615">
        <v>84</v>
      </c>
      <c r="K615">
        <v>43</v>
      </c>
      <c r="L615">
        <v>2</v>
      </c>
      <c r="M615">
        <v>6</v>
      </c>
      <c r="N615">
        <v>0</v>
      </c>
      <c r="O615">
        <v>433</v>
      </c>
      <c r="P615">
        <v>0</v>
      </c>
      <c r="Q615">
        <v>-963</v>
      </c>
    </row>
    <row r="616" spans="1:17" x14ac:dyDescent="0.45">
      <c r="A616">
        <v>662</v>
      </c>
      <c r="B616" t="s">
        <v>675</v>
      </c>
      <c r="C616">
        <v>1223</v>
      </c>
      <c r="D616">
        <v>2</v>
      </c>
      <c r="E616">
        <v>1545.7</v>
      </c>
      <c r="F616">
        <v>0</v>
      </c>
      <c r="G616">
        <v>1985.4</v>
      </c>
      <c r="H616">
        <v>3</v>
      </c>
      <c r="I616">
        <v>26.41</v>
      </c>
      <c r="J616">
        <v>438</v>
      </c>
      <c r="K616">
        <v>157</v>
      </c>
      <c r="L616">
        <v>22</v>
      </c>
      <c r="M616">
        <v>46</v>
      </c>
      <c r="N616">
        <v>0</v>
      </c>
      <c r="O616">
        <v>3231</v>
      </c>
      <c r="P616">
        <v>0</v>
      </c>
      <c r="Q616">
        <v>-341</v>
      </c>
    </row>
    <row r="617" spans="1:17" x14ac:dyDescent="0.45">
      <c r="A617">
        <v>2194</v>
      </c>
      <c r="B617" t="s">
        <v>676</v>
      </c>
      <c r="C617">
        <v>263</v>
      </c>
      <c r="D617">
        <v>3</v>
      </c>
      <c r="E617">
        <v>231.7</v>
      </c>
      <c r="F617">
        <v>13.5</v>
      </c>
      <c r="G617">
        <v>234.9</v>
      </c>
      <c r="H617">
        <v>2</v>
      </c>
      <c r="I617">
        <v>28.63</v>
      </c>
      <c r="J617">
        <v>130</v>
      </c>
      <c r="K617">
        <v>28</v>
      </c>
      <c r="L617">
        <v>11</v>
      </c>
      <c r="M617">
        <v>33</v>
      </c>
      <c r="N617">
        <v>0</v>
      </c>
      <c r="O617">
        <v>190</v>
      </c>
      <c r="P617">
        <v>0</v>
      </c>
      <c r="Q617">
        <v>-40</v>
      </c>
    </row>
    <row r="618" spans="1:17" x14ac:dyDescent="0.45">
      <c r="A618">
        <v>3713</v>
      </c>
      <c r="B618" t="s">
        <v>677</v>
      </c>
      <c r="C618">
        <v>73</v>
      </c>
      <c r="D618">
        <v>3</v>
      </c>
      <c r="E618">
        <v>91.4</v>
      </c>
      <c r="F618">
        <v>0.7</v>
      </c>
      <c r="G618">
        <v>343.2</v>
      </c>
      <c r="H618">
        <v>3</v>
      </c>
      <c r="I618">
        <v>29.04</v>
      </c>
      <c r="J618">
        <v>22</v>
      </c>
      <c r="K618">
        <v>15</v>
      </c>
      <c r="L618">
        <v>2</v>
      </c>
      <c r="M618">
        <v>2</v>
      </c>
      <c r="N618">
        <v>0</v>
      </c>
      <c r="O618">
        <v>50</v>
      </c>
      <c r="P618">
        <v>0</v>
      </c>
      <c r="Q618">
        <v>-2408</v>
      </c>
    </row>
    <row r="619" spans="1:17" x14ac:dyDescent="0.45">
      <c r="A619">
        <v>5483</v>
      </c>
      <c r="B619" t="s">
        <v>678</v>
      </c>
      <c r="C619">
        <v>308</v>
      </c>
      <c r="D619">
        <v>3</v>
      </c>
      <c r="E619">
        <v>11</v>
      </c>
      <c r="F619">
        <v>365.7</v>
      </c>
      <c r="G619">
        <v>239.3</v>
      </c>
      <c r="H619">
        <v>3</v>
      </c>
      <c r="I619">
        <v>35.86</v>
      </c>
      <c r="J619">
        <v>117</v>
      </c>
      <c r="K619">
        <v>30</v>
      </c>
      <c r="L619">
        <v>11</v>
      </c>
      <c r="M619">
        <v>23</v>
      </c>
      <c r="N619">
        <v>0</v>
      </c>
      <c r="O619">
        <v>1154</v>
      </c>
      <c r="P619">
        <v>0</v>
      </c>
      <c r="Q619">
        <v>-241</v>
      </c>
    </row>
    <row r="620" spans="1:17" x14ac:dyDescent="0.45">
      <c r="A620">
        <v>27</v>
      </c>
      <c r="B620" t="s">
        <v>680</v>
      </c>
      <c r="C620">
        <v>3771</v>
      </c>
      <c r="D620">
        <v>3</v>
      </c>
      <c r="E620">
        <v>2101.8000000000002</v>
      </c>
      <c r="F620">
        <v>3332</v>
      </c>
      <c r="G620">
        <v>2287</v>
      </c>
      <c r="H620">
        <v>1</v>
      </c>
      <c r="I620">
        <v>15.69</v>
      </c>
      <c r="J620">
        <v>1198</v>
      </c>
      <c r="K620">
        <v>501</v>
      </c>
      <c r="L620">
        <v>94</v>
      </c>
      <c r="M620">
        <v>145</v>
      </c>
      <c r="N620">
        <v>0</v>
      </c>
      <c r="O620">
        <v>0</v>
      </c>
      <c r="P620">
        <v>0</v>
      </c>
      <c r="Q620">
        <v>-201</v>
      </c>
    </row>
    <row r="621" spans="1:17" x14ac:dyDescent="0.45">
      <c r="A621">
        <v>1321</v>
      </c>
      <c r="B621" t="s">
        <v>681</v>
      </c>
      <c r="C621">
        <v>5468</v>
      </c>
      <c r="D621">
        <v>3</v>
      </c>
      <c r="E621">
        <v>4992.7</v>
      </c>
      <c r="F621">
        <v>2619.1999999999998</v>
      </c>
      <c r="G621">
        <v>4368.3</v>
      </c>
      <c r="H621">
        <v>2</v>
      </c>
      <c r="I621">
        <v>15.72</v>
      </c>
      <c r="J621">
        <v>2927</v>
      </c>
      <c r="K621">
        <v>1259</v>
      </c>
      <c r="L621">
        <v>294</v>
      </c>
      <c r="M621">
        <v>610</v>
      </c>
      <c r="N621">
        <v>0</v>
      </c>
      <c r="O621">
        <v>6913</v>
      </c>
      <c r="P621">
        <v>0</v>
      </c>
      <c r="Q621">
        <v>-1325</v>
      </c>
    </row>
    <row r="622" spans="1:17" x14ac:dyDescent="0.45">
      <c r="A622">
        <v>5522</v>
      </c>
      <c r="B622" t="s">
        <v>682</v>
      </c>
      <c r="C622">
        <v>737</v>
      </c>
      <c r="D622">
        <v>3</v>
      </c>
      <c r="E622">
        <v>557.29999999999995</v>
      </c>
      <c r="F622">
        <v>198.2</v>
      </c>
      <c r="G622">
        <v>669.6</v>
      </c>
      <c r="H622">
        <v>3</v>
      </c>
      <c r="I622">
        <v>35.86</v>
      </c>
      <c r="J622">
        <v>319</v>
      </c>
      <c r="K622">
        <v>93</v>
      </c>
      <c r="L622">
        <v>22</v>
      </c>
      <c r="M622">
        <v>58</v>
      </c>
      <c r="N622">
        <v>0</v>
      </c>
      <c r="O622">
        <v>888</v>
      </c>
      <c r="P622">
        <v>18.47</v>
      </c>
      <c r="Q622">
        <v>-381</v>
      </c>
    </row>
    <row r="623" spans="1:17" x14ac:dyDescent="0.45">
      <c r="A623">
        <v>3861</v>
      </c>
      <c r="B623" t="s">
        <v>683</v>
      </c>
      <c r="C623">
        <v>613</v>
      </c>
      <c r="D623">
        <v>3</v>
      </c>
      <c r="E623">
        <v>738.2</v>
      </c>
      <c r="F623">
        <v>23.7</v>
      </c>
      <c r="G623">
        <v>682.4</v>
      </c>
      <c r="H623">
        <v>3</v>
      </c>
      <c r="I623">
        <v>29.04</v>
      </c>
      <c r="J623">
        <v>163</v>
      </c>
      <c r="K623">
        <v>179</v>
      </c>
      <c r="L623">
        <v>10</v>
      </c>
      <c r="M623">
        <v>30</v>
      </c>
      <c r="N623">
        <v>0</v>
      </c>
      <c r="O623">
        <v>2011</v>
      </c>
      <c r="P623">
        <v>0</v>
      </c>
      <c r="Q623">
        <v>-1445</v>
      </c>
    </row>
    <row r="624" spans="1:17" x14ac:dyDescent="0.45">
      <c r="A624">
        <v>6057</v>
      </c>
      <c r="B624" t="s">
        <v>684</v>
      </c>
      <c r="C624">
        <v>925</v>
      </c>
      <c r="D624">
        <v>3</v>
      </c>
      <c r="E624">
        <v>2687.7</v>
      </c>
      <c r="F624">
        <v>31</v>
      </c>
      <c r="G624">
        <v>1093.0999999999999</v>
      </c>
      <c r="H624">
        <v>3</v>
      </c>
      <c r="I624">
        <v>30.8</v>
      </c>
      <c r="J624">
        <v>246</v>
      </c>
      <c r="K624">
        <v>220</v>
      </c>
      <c r="L624">
        <v>20</v>
      </c>
      <c r="M624">
        <v>29</v>
      </c>
      <c r="N624">
        <v>0</v>
      </c>
      <c r="O624">
        <v>254</v>
      </c>
      <c r="P624">
        <v>1602.2</v>
      </c>
      <c r="Q624">
        <v>-883</v>
      </c>
    </row>
    <row r="625" spans="1:17" x14ac:dyDescent="0.45">
      <c r="A625">
        <v>6058</v>
      </c>
      <c r="B625" t="s">
        <v>685</v>
      </c>
      <c r="C625">
        <v>351</v>
      </c>
      <c r="D625">
        <v>3</v>
      </c>
      <c r="E625">
        <v>456.6</v>
      </c>
      <c r="F625">
        <v>9.6</v>
      </c>
      <c r="G625">
        <v>459.6</v>
      </c>
      <c r="H625">
        <v>3</v>
      </c>
      <c r="I625">
        <v>30.8</v>
      </c>
      <c r="J625">
        <v>85</v>
      </c>
      <c r="K625">
        <v>80</v>
      </c>
      <c r="L625">
        <v>12</v>
      </c>
      <c r="M625">
        <v>11</v>
      </c>
      <c r="N625">
        <v>0</v>
      </c>
      <c r="O625">
        <v>703</v>
      </c>
      <c r="P625">
        <v>0</v>
      </c>
      <c r="Q625">
        <v>-763</v>
      </c>
    </row>
    <row r="626" spans="1:17" x14ac:dyDescent="0.45">
      <c r="A626">
        <v>5556</v>
      </c>
      <c r="B626" t="s">
        <v>686</v>
      </c>
      <c r="C626">
        <v>437</v>
      </c>
      <c r="D626">
        <v>3</v>
      </c>
      <c r="E626">
        <v>551.79999999999995</v>
      </c>
      <c r="F626">
        <v>0</v>
      </c>
      <c r="G626">
        <v>568.1</v>
      </c>
      <c r="H626">
        <v>3</v>
      </c>
      <c r="I626">
        <v>35.86</v>
      </c>
      <c r="J626">
        <v>185</v>
      </c>
      <c r="K626">
        <v>53</v>
      </c>
      <c r="L626">
        <v>20</v>
      </c>
      <c r="M626">
        <v>25</v>
      </c>
      <c r="N626">
        <v>0</v>
      </c>
      <c r="O626">
        <v>805</v>
      </c>
      <c r="P626">
        <v>44.3</v>
      </c>
      <c r="Q626">
        <v>-381</v>
      </c>
    </row>
    <row r="627" spans="1:17" x14ac:dyDescent="0.45">
      <c r="A627">
        <v>6214</v>
      </c>
      <c r="B627" t="s">
        <v>687</v>
      </c>
      <c r="C627">
        <v>363</v>
      </c>
      <c r="D627">
        <v>3</v>
      </c>
      <c r="E627">
        <v>876</v>
      </c>
      <c r="F627">
        <v>7.5</v>
      </c>
      <c r="G627">
        <v>28.5</v>
      </c>
      <c r="H627">
        <v>3</v>
      </c>
      <c r="I627">
        <v>30.8</v>
      </c>
      <c r="J627">
        <v>119</v>
      </c>
      <c r="K627">
        <v>84</v>
      </c>
      <c r="L627">
        <v>3</v>
      </c>
      <c r="M627">
        <v>18</v>
      </c>
      <c r="N627">
        <v>0</v>
      </c>
      <c r="O627">
        <v>181</v>
      </c>
      <c r="P627">
        <v>0</v>
      </c>
      <c r="Q627">
        <v>-1305</v>
      </c>
    </row>
    <row r="628" spans="1:17" x14ac:dyDescent="0.45">
      <c r="A628">
        <v>493</v>
      </c>
      <c r="B628" t="s">
        <v>688</v>
      </c>
      <c r="C628">
        <v>573</v>
      </c>
      <c r="D628">
        <v>2</v>
      </c>
      <c r="E628">
        <v>1100.9000000000001</v>
      </c>
      <c r="F628">
        <v>0</v>
      </c>
      <c r="G628">
        <v>488</v>
      </c>
      <c r="H628">
        <v>3</v>
      </c>
      <c r="I628">
        <v>26.41</v>
      </c>
      <c r="J628">
        <v>218</v>
      </c>
      <c r="K628">
        <v>91</v>
      </c>
      <c r="L628">
        <v>10</v>
      </c>
      <c r="M628">
        <v>28</v>
      </c>
      <c r="N628">
        <v>0</v>
      </c>
      <c r="O628">
        <v>330</v>
      </c>
      <c r="P628">
        <v>0</v>
      </c>
      <c r="Q628">
        <v>-100</v>
      </c>
    </row>
    <row r="629" spans="1:17" x14ac:dyDescent="0.45">
      <c r="A629">
        <v>1129</v>
      </c>
      <c r="B629" t="s">
        <v>689</v>
      </c>
      <c r="C629">
        <v>702</v>
      </c>
      <c r="D629">
        <v>3</v>
      </c>
      <c r="E629">
        <v>689</v>
      </c>
      <c r="F629">
        <v>2.1</v>
      </c>
      <c r="G629">
        <v>1050.2</v>
      </c>
      <c r="H629">
        <v>3</v>
      </c>
      <c r="I629">
        <v>26.39</v>
      </c>
      <c r="J629">
        <v>320</v>
      </c>
      <c r="K629">
        <v>113</v>
      </c>
      <c r="L629">
        <v>10</v>
      </c>
      <c r="M629">
        <v>17</v>
      </c>
      <c r="N629">
        <v>0</v>
      </c>
      <c r="O629">
        <v>5703</v>
      </c>
      <c r="P629">
        <v>0</v>
      </c>
      <c r="Q629">
        <v>-201</v>
      </c>
    </row>
    <row r="630" spans="1:17" x14ac:dyDescent="0.45">
      <c r="A630">
        <v>4067</v>
      </c>
      <c r="B630" t="s">
        <v>690</v>
      </c>
      <c r="C630">
        <v>1714</v>
      </c>
      <c r="D630">
        <v>3</v>
      </c>
      <c r="E630">
        <v>1901.6</v>
      </c>
      <c r="F630">
        <v>0</v>
      </c>
      <c r="G630">
        <v>1509.5</v>
      </c>
      <c r="H630">
        <v>2</v>
      </c>
      <c r="I630">
        <v>23.46</v>
      </c>
      <c r="J630">
        <v>715</v>
      </c>
      <c r="K630">
        <v>281</v>
      </c>
      <c r="L630">
        <v>60</v>
      </c>
      <c r="M630">
        <v>86</v>
      </c>
      <c r="N630">
        <v>0</v>
      </c>
      <c r="O630">
        <v>798</v>
      </c>
      <c r="P630">
        <v>254.73</v>
      </c>
      <c r="Q630">
        <v>-120</v>
      </c>
    </row>
    <row r="631" spans="1:17" x14ac:dyDescent="0.45">
      <c r="A631">
        <v>114</v>
      </c>
      <c r="B631" t="s">
        <v>691</v>
      </c>
      <c r="C631">
        <v>2606</v>
      </c>
      <c r="D631">
        <v>3</v>
      </c>
      <c r="E631">
        <v>2075.3000000000002</v>
      </c>
      <c r="F631">
        <v>21.7</v>
      </c>
      <c r="G631">
        <v>1887</v>
      </c>
      <c r="H631">
        <v>3</v>
      </c>
      <c r="I631">
        <v>25.15</v>
      </c>
      <c r="J631">
        <v>1033</v>
      </c>
      <c r="K631">
        <v>556</v>
      </c>
      <c r="L631">
        <v>60</v>
      </c>
      <c r="M631">
        <v>108</v>
      </c>
      <c r="N631">
        <v>0</v>
      </c>
      <c r="O631">
        <v>5448</v>
      </c>
      <c r="P631">
        <v>0</v>
      </c>
      <c r="Q631">
        <v>-3552</v>
      </c>
    </row>
    <row r="632" spans="1:17" x14ac:dyDescent="0.45">
      <c r="A632">
        <v>4726</v>
      </c>
      <c r="B632" t="s">
        <v>692</v>
      </c>
      <c r="C632">
        <v>2933</v>
      </c>
      <c r="D632">
        <v>3</v>
      </c>
      <c r="E632">
        <v>3326.3</v>
      </c>
      <c r="F632">
        <v>130.6</v>
      </c>
      <c r="G632">
        <v>5138.2</v>
      </c>
      <c r="H632">
        <v>3</v>
      </c>
      <c r="I632">
        <v>26.04</v>
      </c>
      <c r="J632">
        <v>1243</v>
      </c>
      <c r="K632">
        <v>501</v>
      </c>
      <c r="L632">
        <v>61</v>
      </c>
      <c r="M632">
        <v>106</v>
      </c>
      <c r="N632">
        <v>0</v>
      </c>
      <c r="O632">
        <v>10673</v>
      </c>
      <c r="P632">
        <v>0</v>
      </c>
      <c r="Q632">
        <v>-2689</v>
      </c>
    </row>
    <row r="633" spans="1:17" x14ac:dyDescent="0.45">
      <c r="A633">
        <v>4306</v>
      </c>
      <c r="B633" t="s">
        <v>693</v>
      </c>
      <c r="C633">
        <v>582</v>
      </c>
      <c r="D633">
        <v>3</v>
      </c>
      <c r="E633">
        <v>586.29999999999995</v>
      </c>
      <c r="F633">
        <v>89.7</v>
      </c>
      <c r="G633">
        <v>656.4</v>
      </c>
      <c r="H633">
        <v>2</v>
      </c>
      <c r="I633">
        <v>23.46</v>
      </c>
      <c r="J633">
        <v>208</v>
      </c>
      <c r="K633">
        <v>124</v>
      </c>
      <c r="L633">
        <v>21</v>
      </c>
      <c r="M633">
        <v>31</v>
      </c>
      <c r="N633">
        <v>0</v>
      </c>
      <c r="O633">
        <v>1199</v>
      </c>
      <c r="P633">
        <v>28.04</v>
      </c>
      <c r="Q633">
        <v>-542</v>
      </c>
    </row>
    <row r="634" spans="1:17" x14ac:dyDescent="0.45">
      <c r="A634">
        <v>4027</v>
      </c>
      <c r="B634" t="s">
        <v>694</v>
      </c>
      <c r="C634">
        <v>5984</v>
      </c>
      <c r="D634">
        <v>3</v>
      </c>
      <c r="E634">
        <v>4945.7</v>
      </c>
      <c r="F634">
        <v>1829.6</v>
      </c>
      <c r="G634">
        <v>3384.6</v>
      </c>
      <c r="H634">
        <v>1</v>
      </c>
      <c r="I634">
        <v>20.87</v>
      </c>
      <c r="J634">
        <v>2055</v>
      </c>
      <c r="K634">
        <v>830</v>
      </c>
      <c r="L634">
        <v>131</v>
      </c>
      <c r="M634">
        <v>275</v>
      </c>
      <c r="N634">
        <v>0</v>
      </c>
      <c r="O634">
        <v>460</v>
      </c>
      <c r="P634">
        <v>0</v>
      </c>
      <c r="Q634">
        <v>-301</v>
      </c>
    </row>
    <row r="635" spans="1:17" x14ac:dyDescent="0.45">
      <c r="A635">
        <v>28</v>
      </c>
      <c r="B635" t="s">
        <v>695</v>
      </c>
      <c r="C635">
        <v>1474</v>
      </c>
      <c r="D635">
        <v>3</v>
      </c>
      <c r="E635">
        <v>1519.9</v>
      </c>
      <c r="F635">
        <v>0</v>
      </c>
      <c r="G635">
        <v>1047.5999999999999</v>
      </c>
      <c r="H635">
        <v>2</v>
      </c>
      <c r="I635">
        <v>24.61</v>
      </c>
      <c r="J635">
        <v>580</v>
      </c>
      <c r="K635">
        <v>273</v>
      </c>
      <c r="L635">
        <v>58</v>
      </c>
      <c r="M635">
        <v>90</v>
      </c>
      <c r="N635">
        <v>0</v>
      </c>
      <c r="O635">
        <v>2056</v>
      </c>
      <c r="P635">
        <v>155.05000000000001</v>
      </c>
      <c r="Q635">
        <v>-642</v>
      </c>
    </row>
    <row r="636" spans="1:17" x14ac:dyDescent="0.45">
      <c r="A636">
        <v>3402</v>
      </c>
      <c r="B636" t="s">
        <v>697</v>
      </c>
      <c r="C636">
        <v>10446</v>
      </c>
      <c r="D636">
        <v>3</v>
      </c>
      <c r="E636">
        <v>5908.7</v>
      </c>
      <c r="F636">
        <v>9089.2999999999993</v>
      </c>
      <c r="G636">
        <v>10202.5</v>
      </c>
      <c r="H636">
        <v>2</v>
      </c>
      <c r="I636">
        <v>22.8</v>
      </c>
      <c r="J636">
        <v>3412</v>
      </c>
      <c r="K636">
        <v>1523</v>
      </c>
      <c r="L636">
        <v>199</v>
      </c>
      <c r="M636">
        <v>399</v>
      </c>
      <c r="N636">
        <v>0</v>
      </c>
      <c r="O636">
        <v>3723</v>
      </c>
      <c r="P636">
        <v>1077.95</v>
      </c>
      <c r="Q636">
        <v>-502</v>
      </c>
    </row>
    <row r="637" spans="1:17" x14ac:dyDescent="0.45">
      <c r="A637">
        <v>3662</v>
      </c>
      <c r="B637" t="s">
        <v>698</v>
      </c>
      <c r="C637">
        <v>251</v>
      </c>
      <c r="D637">
        <v>3</v>
      </c>
      <c r="E637">
        <v>167.6</v>
      </c>
      <c r="F637">
        <v>0</v>
      </c>
      <c r="G637">
        <v>305.89999999999998</v>
      </c>
      <c r="H637">
        <v>3</v>
      </c>
      <c r="I637">
        <v>29.04</v>
      </c>
      <c r="J637">
        <v>79</v>
      </c>
      <c r="K637">
        <v>64</v>
      </c>
      <c r="L637">
        <v>8</v>
      </c>
      <c r="M637">
        <v>10</v>
      </c>
      <c r="N637">
        <v>0</v>
      </c>
      <c r="O637">
        <v>2044</v>
      </c>
      <c r="P637">
        <v>0</v>
      </c>
      <c r="Q637">
        <v>-361</v>
      </c>
    </row>
    <row r="638" spans="1:17" x14ac:dyDescent="0.45">
      <c r="A638">
        <v>3732</v>
      </c>
      <c r="B638" t="s">
        <v>699</v>
      </c>
      <c r="C638">
        <v>2917</v>
      </c>
      <c r="D638">
        <v>3</v>
      </c>
      <c r="E638">
        <v>9871.4</v>
      </c>
      <c r="F638">
        <v>371.9</v>
      </c>
      <c r="G638">
        <v>1645.5</v>
      </c>
      <c r="H638">
        <v>2</v>
      </c>
      <c r="I638">
        <v>21.73</v>
      </c>
      <c r="J638">
        <v>816</v>
      </c>
      <c r="K638">
        <v>656</v>
      </c>
      <c r="L638">
        <v>90</v>
      </c>
      <c r="M638">
        <v>142</v>
      </c>
      <c r="N638">
        <v>0</v>
      </c>
      <c r="O638">
        <v>2631</v>
      </c>
      <c r="P638">
        <v>1384.38</v>
      </c>
      <c r="Q638">
        <v>-2930</v>
      </c>
    </row>
    <row r="639" spans="1:17" x14ac:dyDescent="0.45">
      <c r="A639">
        <v>2545</v>
      </c>
      <c r="B639" t="s">
        <v>702</v>
      </c>
      <c r="C639">
        <v>1026</v>
      </c>
      <c r="D639">
        <v>2</v>
      </c>
      <c r="E639">
        <v>1342.1</v>
      </c>
      <c r="F639">
        <v>0</v>
      </c>
      <c r="G639">
        <v>1144.4000000000001</v>
      </c>
      <c r="H639">
        <v>2</v>
      </c>
      <c r="I639">
        <v>26.37</v>
      </c>
      <c r="J639">
        <v>488</v>
      </c>
      <c r="K639">
        <v>173</v>
      </c>
      <c r="L639">
        <v>15</v>
      </c>
      <c r="M639">
        <v>49</v>
      </c>
      <c r="N639">
        <v>0</v>
      </c>
      <c r="O639">
        <v>559</v>
      </c>
      <c r="P639">
        <v>553.75</v>
      </c>
      <c r="Q639">
        <v>-140</v>
      </c>
    </row>
    <row r="640" spans="1:17" x14ac:dyDescent="0.45">
      <c r="A640">
        <v>3292</v>
      </c>
      <c r="B640" t="s">
        <v>703</v>
      </c>
      <c r="C640">
        <v>5211</v>
      </c>
      <c r="D640">
        <v>3</v>
      </c>
      <c r="E640">
        <v>8422.7999999999993</v>
      </c>
      <c r="F640">
        <v>171.7</v>
      </c>
      <c r="G640">
        <v>4600.5</v>
      </c>
      <c r="H640">
        <v>2</v>
      </c>
      <c r="I640">
        <v>22.8</v>
      </c>
      <c r="J640">
        <v>1729</v>
      </c>
      <c r="K640">
        <v>1230</v>
      </c>
      <c r="L640">
        <v>96</v>
      </c>
      <c r="M640">
        <v>179</v>
      </c>
      <c r="N640">
        <v>4139</v>
      </c>
      <c r="O640">
        <v>10142</v>
      </c>
      <c r="P640">
        <v>1292.0999999999999</v>
      </c>
      <c r="Q640">
        <v>-4375</v>
      </c>
    </row>
    <row r="641" spans="1:17" x14ac:dyDescent="0.45">
      <c r="A641">
        <v>29</v>
      </c>
      <c r="B641" t="s">
        <v>704</v>
      </c>
      <c r="C641">
        <v>1513</v>
      </c>
      <c r="D641">
        <v>3</v>
      </c>
      <c r="E641">
        <v>1384.9</v>
      </c>
      <c r="F641">
        <v>951.2</v>
      </c>
      <c r="G641">
        <v>718.2</v>
      </c>
      <c r="H641">
        <v>1</v>
      </c>
      <c r="I641">
        <v>15.69</v>
      </c>
      <c r="J641">
        <v>452</v>
      </c>
      <c r="K641">
        <v>190</v>
      </c>
      <c r="L641">
        <v>46</v>
      </c>
      <c r="M641">
        <v>73</v>
      </c>
      <c r="N641">
        <v>0</v>
      </c>
      <c r="O641">
        <v>0</v>
      </c>
      <c r="P641">
        <v>0</v>
      </c>
      <c r="Q641">
        <v>-261</v>
      </c>
    </row>
    <row r="642" spans="1:17" x14ac:dyDescent="0.45">
      <c r="A642">
        <v>3951</v>
      </c>
      <c r="B642" t="s">
        <v>696</v>
      </c>
      <c r="C642">
        <v>855</v>
      </c>
      <c r="D642">
        <v>3</v>
      </c>
      <c r="E642">
        <v>789.3</v>
      </c>
      <c r="F642">
        <v>9.6</v>
      </c>
      <c r="G642">
        <v>805.1</v>
      </c>
      <c r="H642">
        <v>3</v>
      </c>
      <c r="I642">
        <v>29.04</v>
      </c>
      <c r="J642">
        <v>317</v>
      </c>
      <c r="K642">
        <v>194</v>
      </c>
      <c r="L642">
        <v>28</v>
      </c>
      <c r="M642">
        <v>47</v>
      </c>
      <c r="N642">
        <v>0</v>
      </c>
      <c r="O642">
        <v>1371</v>
      </c>
      <c r="P642">
        <v>0</v>
      </c>
      <c r="Q642">
        <v>-1626</v>
      </c>
    </row>
    <row r="643" spans="1:17" x14ac:dyDescent="0.45">
      <c r="A643">
        <v>1207</v>
      </c>
      <c r="B643" t="s">
        <v>700</v>
      </c>
      <c r="C643">
        <v>2020</v>
      </c>
      <c r="D643">
        <v>3</v>
      </c>
      <c r="E643">
        <v>2573.1999999999998</v>
      </c>
      <c r="F643">
        <v>0</v>
      </c>
      <c r="G643">
        <v>1861.1</v>
      </c>
      <c r="H643">
        <v>1</v>
      </c>
      <c r="I643">
        <v>26.15</v>
      </c>
      <c r="J643">
        <v>682</v>
      </c>
      <c r="K643">
        <v>330</v>
      </c>
      <c r="L643">
        <v>41</v>
      </c>
      <c r="M643">
        <v>72</v>
      </c>
      <c r="N643">
        <v>0</v>
      </c>
      <c r="O643">
        <v>1219</v>
      </c>
      <c r="P643">
        <v>0</v>
      </c>
      <c r="Q643">
        <v>-1365</v>
      </c>
    </row>
    <row r="644" spans="1:17" x14ac:dyDescent="0.45">
      <c r="A644">
        <v>1004</v>
      </c>
      <c r="B644" t="s">
        <v>701</v>
      </c>
      <c r="C644">
        <v>1785</v>
      </c>
      <c r="D644">
        <v>3</v>
      </c>
      <c r="E644">
        <v>3268.3</v>
      </c>
      <c r="F644">
        <v>5.3</v>
      </c>
      <c r="G644">
        <v>3938.9</v>
      </c>
      <c r="H644">
        <v>3</v>
      </c>
      <c r="I644">
        <v>26.39</v>
      </c>
      <c r="J644">
        <v>597</v>
      </c>
      <c r="K644">
        <v>395</v>
      </c>
      <c r="L644">
        <v>22</v>
      </c>
      <c r="M644">
        <v>73</v>
      </c>
      <c r="N644">
        <v>0</v>
      </c>
      <c r="O644">
        <v>11455</v>
      </c>
      <c r="P644">
        <v>575.9</v>
      </c>
      <c r="Q644">
        <v>-7526</v>
      </c>
    </row>
    <row r="645" spans="1:17" x14ac:dyDescent="0.45">
      <c r="A645">
        <v>5557</v>
      </c>
      <c r="B645" t="s">
        <v>705</v>
      </c>
      <c r="C645">
        <v>214</v>
      </c>
      <c r="D645">
        <v>3</v>
      </c>
      <c r="E645">
        <v>374.1</v>
      </c>
      <c r="F645">
        <v>62</v>
      </c>
      <c r="G645">
        <v>109.2</v>
      </c>
      <c r="H645">
        <v>3</v>
      </c>
      <c r="I645">
        <v>35.86</v>
      </c>
      <c r="J645">
        <v>80</v>
      </c>
      <c r="K645">
        <v>37</v>
      </c>
      <c r="L645">
        <v>7</v>
      </c>
      <c r="M645">
        <v>16</v>
      </c>
      <c r="N645">
        <v>0</v>
      </c>
      <c r="O645">
        <v>832</v>
      </c>
      <c r="P645">
        <v>0</v>
      </c>
      <c r="Q645">
        <v>-723</v>
      </c>
    </row>
    <row r="646" spans="1:17" x14ac:dyDescent="0.45">
      <c r="A646">
        <v>6790</v>
      </c>
      <c r="B646" t="s">
        <v>706</v>
      </c>
      <c r="C646">
        <v>1674</v>
      </c>
      <c r="D646">
        <v>3</v>
      </c>
      <c r="E646">
        <v>2594.1</v>
      </c>
      <c r="F646">
        <v>7.6</v>
      </c>
      <c r="G646">
        <v>1822.6</v>
      </c>
      <c r="H646">
        <v>1</v>
      </c>
      <c r="I646">
        <v>20.95</v>
      </c>
      <c r="J646">
        <v>744</v>
      </c>
      <c r="K646">
        <v>147</v>
      </c>
      <c r="L646">
        <v>36</v>
      </c>
      <c r="M646">
        <v>95</v>
      </c>
      <c r="N646">
        <v>0</v>
      </c>
      <c r="O646">
        <v>6092</v>
      </c>
      <c r="P646">
        <v>0</v>
      </c>
      <c r="Q646">
        <v>-1887</v>
      </c>
    </row>
    <row r="647" spans="1:17" x14ac:dyDescent="0.45">
      <c r="A647">
        <v>5604</v>
      </c>
      <c r="B647" t="s">
        <v>707</v>
      </c>
      <c r="C647">
        <v>2064</v>
      </c>
      <c r="D647">
        <v>3</v>
      </c>
      <c r="E647">
        <v>2752.8</v>
      </c>
      <c r="F647">
        <v>981.9</v>
      </c>
      <c r="G647">
        <v>3421.2</v>
      </c>
      <c r="H647">
        <v>3</v>
      </c>
      <c r="I647">
        <v>35.86</v>
      </c>
      <c r="J647">
        <v>979</v>
      </c>
      <c r="K647">
        <v>279</v>
      </c>
      <c r="L647">
        <v>68</v>
      </c>
      <c r="M647">
        <v>212</v>
      </c>
      <c r="N647">
        <v>0</v>
      </c>
      <c r="O647">
        <v>6396</v>
      </c>
      <c r="P647">
        <v>141.76</v>
      </c>
      <c r="Q647">
        <v>-1024</v>
      </c>
    </row>
    <row r="648" spans="1:17" x14ac:dyDescent="0.45">
      <c r="A648">
        <v>948</v>
      </c>
      <c r="B648" t="s">
        <v>708</v>
      </c>
      <c r="C648">
        <v>766</v>
      </c>
      <c r="D648">
        <v>3</v>
      </c>
      <c r="E648">
        <v>594.29999999999995</v>
      </c>
      <c r="F648">
        <v>108.6</v>
      </c>
      <c r="G648">
        <v>1125.2</v>
      </c>
      <c r="H648">
        <v>2</v>
      </c>
      <c r="I648">
        <v>24.84</v>
      </c>
      <c r="J648">
        <v>323</v>
      </c>
      <c r="K648">
        <v>131</v>
      </c>
      <c r="L648">
        <v>12</v>
      </c>
      <c r="M648">
        <v>18</v>
      </c>
      <c r="N648">
        <v>0</v>
      </c>
      <c r="O648">
        <v>3763</v>
      </c>
      <c r="P648">
        <v>0</v>
      </c>
      <c r="Q648">
        <v>-181</v>
      </c>
    </row>
    <row r="649" spans="1:17" x14ac:dyDescent="0.45">
      <c r="A649">
        <v>5717</v>
      </c>
      <c r="B649" t="s">
        <v>709</v>
      </c>
      <c r="C649">
        <v>3775</v>
      </c>
      <c r="D649">
        <v>3</v>
      </c>
      <c r="E649">
        <v>3926.1</v>
      </c>
      <c r="F649">
        <v>239.4</v>
      </c>
      <c r="G649">
        <v>2560</v>
      </c>
      <c r="H649">
        <v>1</v>
      </c>
      <c r="I649">
        <v>19.809999999999999</v>
      </c>
      <c r="J649">
        <v>1387</v>
      </c>
      <c r="K649">
        <v>402</v>
      </c>
      <c r="L649">
        <v>151</v>
      </c>
      <c r="M649">
        <v>318</v>
      </c>
      <c r="N649">
        <v>0</v>
      </c>
      <c r="O649">
        <v>642</v>
      </c>
      <c r="P649">
        <v>132.9</v>
      </c>
      <c r="Q649">
        <v>-20</v>
      </c>
    </row>
    <row r="650" spans="1:17" x14ac:dyDescent="0.45">
      <c r="A650">
        <v>538</v>
      </c>
      <c r="B650" t="s">
        <v>711</v>
      </c>
      <c r="C650">
        <v>5399</v>
      </c>
      <c r="D650">
        <v>3</v>
      </c>
      <c r="E650">
        <v>4970.1000000000004</v>
      </c>
      <c r="F650">
        <v>79.7</v>
      </c>
      <c r="G650">
        <v>7621.1</v>
      </c>
      <c r="H650">
        <v>2</v>
      </c>
      <c r="I650">
        <v>24.84</v>
      </c>
      <c r="J650">
        <v>1984</v>
      </c>
      <c r="K650">
        <v>797</v>
      </c>
      <c r="L650">
        <v>115</v>
      </c>
      <c r="M650">
        <v>214</v>
      </c>
      <c r="N650">
        <v>0</v>
      </c>
      <c r="O650">
        <v>9327</v>
      </c>
      <c r="P650">
        <v>0</v>
      </c>
      <c r="Q650">
        <v>-1826</v>
      </c>
    </row>
    <row r="651" spans="1:17" x14ac:dyDescent="0.45">
      <c r="A651">
        <v>4566</v>
      </c>
      <c r="B651" t="s">
        <v>712</v>
      </c>
      <c r="C651">
        <v>26093</v>
      </c>
      <c r="D651">
        <v>3</v>
      </c>
      <c r="E651">
        <v>17537.900000000001</v>
      </c>
      <c r="F651">
        <v>23986.6</v>
      </c>
      <c r="G651">
        <v>27393.4</v>
      </c>
      <c r="H651">
        <v>1</v>
      </c>
      <c r="I651">
        <v>21</v>
      </c>
      <c r="J651">
        <v>9699</v>
      </c>
      <c r="K651">
        <v>4181</v>
      </c>
      <c r="L651">
        <v>757</v>
      </c>
      <c r="M651">
        <v>1489</v>
      </c>
      <c r="N651">
        <v>0</v>
      </c>
      <c r="O651">
        <v>3808</v>
      </c>
      <c r="P651">
        <v>4430</v>
      </c>
      <c r="Q651">
        <v>-1305</v>
      </c>
    </row>
    <row r="652" spans="1:17" x14ac:dyDescent="0.45">
      <c r="A652">
        <v>663</v>
      </c>
      <c r="B652" t="s">
        <v>713</v>
      </c>
      <c r="C652">
        <v>1430</v>
      </c>
      <c r="D652">
        <v>2</v>
      </c>
      <c r="E652">
        <v>1527.8</v>
      </c>
      <c r="F652">
        <v>3.6</v>
      </c>
      <c r="G652">
        <v>1073.9000000000001</v>
      </c>
      <c r="H652">
        <v>2</v>
      </c>
      <c r="I652">
        <v>24.84</v>
      </c>
      <c r="J652">
        <v>520</v>
      </c>
      <c r="K652">
        <v>219</v>
      </c>
      <c r="L652">
        <v>52</v>
      </c>
      <c r="M652">
        <v>86</v>
      </c>
      <c r="N652">
        <v>0</v>
      </c>
      <c r="O652">
        <v>1486</v>
      </c>
      <c r="P652">
        <v>0</v>
      </c>
      <c r="Q652">
        <v>-763</v>
      </c>
    </row>
    <row r="653" spans="1:17" x14ac:dyDescent="0.45">
      <c r="A653">
        <v>1322</v>
      </c>
      <c r="B653" t="s">
        <v>714</v>
      </c>
      <c r="C653">
        <v>16711</v>
      </c>
      <c r="D653">
        <v>2</v>
      </c>
      <c r="E653">
        <v>11801.2</v>
      </c>
      <c r="F653">
        <v>11766</v>
      </c>
      <c r="G653">
        <v>5969.6</v>
      </c>
      <c r="H653">
        <v>1</v>
      </c>
      <c r="I653">
        <v>35.31</v>
      </c>
      <c r="J653">
        <v>7877</v>
      </c>
      <c r="K653">
        <v>3143</v>
      </c>
      <c r="L653">
        <v>774</v>
      </c>
      <c r="M653">
        <v>1532</v>
      </c>
      <c r="N653">
        <v>0</v>
      </c>
      <c r="O653">
        <v>3038</v>
      </c>
      <c r="P653">
        <v>4430</v>
      </c>
      <c r="Q653">
        <v>-622</v>
      </c>
    </row>
    <row r="654" spans="1:17" x14ac:dyDescent="0.45">
      <c r="A654">
        <v>57</v>
      </c>
      <c r="B654" t="s">
        <v>715</v>
      </c>
      <c r="C654">
        <v>2394</v>
      </c>
      <c r="D654">
        <v>3</v>
      </c>
      <c r="E654">
        <v>2379.8000000000002</v>
      </c>
      <c r="F654">
        <v>10</v>
      </c>
      <c r="G654">
        <v>1112.9000000000001</v>
      </c>
      <c r="H654">
        <v>1</v>
      </c>
      <c r="I654">
        <v>15.69</v>
      </c>
      <c r="J654">
        <v>897</v>
      </c>
      <c r="K654">
        <v>338</v>
      </c>
      <c r="L654">
        <v>85</v>
      </c>
      <c r="M654">
        <v>135</v>
      </c>
      <c r="N654">
        <v>0</v>
      </c>
      <c r="O654">
        <v>2149</v>
      </c>
      <c r="P654">
        <v>0</v>
      </c>
      <c r="Q654">
        <v>-823</v>
      </c>
    </row>
    <row r="655" spans="1:17" x14ac:dyDescent="0.45">
      <c r="A655">
        <v>4028</v>
      </c>
      <c r="B655" t="s">
        <v>716</v>
      </c>
      <c r="C655">
        <v>1102</v>
      </c>
      <c r="D655">
        <v>3</v>
      </c>
      <c r="E655">
        <v>944.1</v>
      </c>
      <c r="F655">
        <v>12.7</v>
      </c>
      <c r="G655">
        <v>508.4</v>
      </c>
      <c r="H655">
        <v>3</v>
      </c>
      <c r="I655">
        <v>23.9</v>
      </c>
      <c r="J655">
        <v>381</v>
      </c>
      <c r="K655">
        <v>170</v>
      </c>
      <c r="L655">
        <v>29</v>
      </c>
      <c r="M655">
        <v>58</v>
      </c>
      <c r="N655">
        <v>0</v>
      </c>
      <c r="O655">
        <v>850</v>
      </c>
      <c r="P655">
        <v>0</v>
      </c>
      <c r="Q655">
        <v>-301</v>
      </c>
    </row>
    <row r="656" spans="1:17" x14ac:dyDescent="0.45">
      <c r="A656">
        <v>607</v>
      </c>
      <c r="B656" t="s">
        <v>717</v>
      </c>
      <c r="C656">
        <v>464</v>
      </c>
      <c r="D656">
        <v>2</v>
      </c>
      <c r="E656">
        <v>326.60000000000002</v>
      </c>
      <c r="F656">
        <v>6.9</v>
      </c>
      <c r="G656">
        <v>924.7</v>
      </c>
      <c r="H656">
        <v>2</v>
      </c>
      <c r="I656">
        <v>24.84</v>
      </c>
      <c r="J656">
        <v>162</v>
      </c>
      <c r="K656">
        <v>89</v>
      </c>
      <c r="L656">
        <v>9</v>
      </c>
      <c r="M656">
        <v>24</v>
      </c>
      <c r="N656">
        <v>0</v>
      </c>
      <c r="O656">
        <v>842</v>
      </c>
      <c r="P656">
        <v>1417.6</v>
      </c>
      <c r="Q656">
        <v>-181</v>
      </c>
    </row>
    <row r="657" spans="1:17" x14ac:dyDescent="0.45">
      <c r="A657">
        <v>2824</v>
      </c>
      <c r="B657" t="s">
        <v>718</v>
      </c>
      <c r="C657">
        <v>6507</v>
      </c>
      <c r="D657">
        <v>1</v>
      </c>
      <c r="E657">
        <v>3177.3</v>
      </c>
      <c r="F657">
        <v>5306.5</v>
      </c>
      <c r="G657">
        <v>3337.9</v>
      </c>
      <c r="H657">
        <v>1</v>
      </c>
      <c r="I657">
        <v>14.25</v>
      </c>
      <c r="J657">
        <v>2043</v>
      </c>
      <c r="K657">
        <v>851</v>
      </c>
      <c r="L657">
        <v>140</v>
      </c>
      <c r="M657">
        <v>371</v>
      </c>
      <c r="N657">
        <v>0</v>
      </c>
      <c r="O657">
        <v>190</v>
      </c>
      <c r="P657">
        <v>0</v>
      </c>
      <c r="Q657">
        <v>-381</v>
      </c>
    </row>
    <row r="658" spans="1:17" x14ac:dyDescent="0.45">
      <c r="A658">
        <v>2196</v>
      </c>
      <c r="B658" t="s">
        <v>719</v>
      </c>
      <c r="C658">
        <v>37653</v>
      </c>
      <c r="D658">
        <v>2</v>
      </c>
      <c r="E658">
        <v>20043.400000000001</v>
      </c>
      <c r="F658">
        <v>30610.6</v>
      </c>
      <c r="G658">
        <v>7685.7</v>
      </c>
      <c r="H658">
        <v>1</v>
      </c>
      <c r="I658">
        <v>23.82</v>
      </c>
      <c r="J658">
        <v>9217</v>
      </c>
      <c r="K658">
        <v>3281</v>
      </c>
      <c r="L658">
        <v>360</v>
      </c>
      <c r="M658">
        <v>1501</v>
      </c>
      <c r="N658">
        <v>0</v>
      </c>
      <c r="O658">
        <v>65</v>
      </c>
      <c r="P658">
        <v>8343.15</v>
      </c>
      <c r="Q658">
        <v>-321</v>
      </c>
    </row>
    <row r="659" spans="1:17" x14ac:dyDescent="0.45">
      <c r="A659">
        <v>4163</v>
      </c>
      <c r="B659" t="s">
        <v>720</v>
      </c>
      <c r="C659">
        <v>5718</v>
      </c>
      <c r="D659">
        <v>3</v>
      </c>
      <c r="E659">
        <v>4894.7</v>
      </c>
      <c r="F659">
        <v>1370.5</v>
      </c>
      <c r="G659">
        <v>6880.3</v>
      </c>
      <c r="H659">
        <v>1</v>
      </c>
      <c r="I659">
        <v>20.87</v>
      </c>
      <c r="J659">
        <v>1997</v>
      </c>
      <c r="K659">
        <v>952</v>
      </c>
      <c r="L659">
        <v>184</v>
      </c>
      <c r="M659">
        <v>328</v>
      </c>
      <c r="N659">
        <v>1490</v>
      </c>
      <c r="O659">
        <v>1549</v>
      </c>
      <c r="P659">
        <v>0</v>
      </c>
      <c r="Q659">
        <v>-562</v>
      </c>
    </row>
    <row r="660" spans="1:17" x14ac:dyDescent="0.45">
      <c r="A660">
        <v>5523</v>
      </c>
      <c r="B660" t="s">
        <v>721</v>
      </c>
      <c r="C660">
        <v>2722</v>
      </c>
      <c r="D660">
        <v>3</v>
      </c>
      <c r="E660">
        <v>696.4</v>
      </c>
      <c r="F660">
        <v>1765</v>
      </c>
      <c r="G660">
        <v>2461.9</v>
      </c>
      <c r="H660">
        <v>2</v>
      </c>
      <c r="I660">
        <v>26.72</v>
      </c>
      <c r="J660">
        <v>1010</v>
      </c>
      <c r="K660">
        <v>245</v>
      </c>
      <c r="L660">
        <v>77</v>
      </c>
      <c r="M660">
        <v>246</v>
      </c>
      <c r="N660">
        <v>0</v>
      </c>
      <c r="O660">
        <v>1858</v>
      </c>
      <c r="P660">
        <v>0</v>
      </c>
      <c r="Q660">
        <v>-743</v>
      </c>
    </row>
    <row r="661" spans="1:17" x14ac:dyDescent="0.45">
      <c r="A661">
        <v>563</v>
      </c>
      <c r="B661" t="s">
        <v>722</v>
      </c>
      <c r="C661">
        <v>7014</v>
      </c>
      <c r="D661">
        <v>3</v>
      </c>
      <c r="E661">
        <v>7817.8</v>
      </c>
      <c r="F661">
        <v>0</v>
      </c>
      <c r="G661">
        <v>5832.6</v>
      </c>
      <c r="H661">
        <v>2</v>
      </c>
      <c r="I661">
        <v>24.84</v>
      </c>
      <c r="J661">
        <v>2320</v>
      </c>
      <c r="K661">
        <v>1275</v>
      </c>
      <c r="L661">
        <v>122</v>
      </c>
      <c r="M661">
        <v>178</v>
      </c>
      <c r="N661">
        <v>0</v>
      </c>
      <c r="O661">
        <v>18442</v>
      </c>
      <c r="P661">
        <v>509.45</v>
      </c>
      <c r="Q661">
        <v>-3613</v>
      </c>
    </row>
    <row r="662" spans="1:17" x14ac:dyDescent="0.45">
      <c r="A662">
        <v>2258</v>
      </c>
      <c r="B662" t="s">
        <v>710</v>
      </c>
      <c r="C662">
        <v>442</v>
      </c>
      <c r="D662">
        <v>3</v>
      </c>
      <c r="E662">
        <v>536.5</v>
      </c>
      <c r="F662">
        <v>0</v>
      </c>
      <c r="G662">
        <v>837.3</v>
      </c>
      <c r="H662">
        <v>3</v>
      </c>
      <c r="I662">
        <v>36.93</v>
      </c>
      <c r="J662">
        <v>166</v>
      </c>
      <c r="K662">
        <v>91</v>
      </c>
      <c r="L662">
        <v>11</v>
      </c>
      <c r="M662">
        <v>27</v>
      </c>
      <c r="N662">
        <v>0</v>
      </c>
      <c r="O662">
        <v>595</v>
      </c>
      <c r="P662">
        <v>0</v>
      </c>
      <c r="Q662">
        <v>-100</v>
      </c>
    </row>
    <row r="663" spans="1:17" x14ac:dyDescent="0.45">
      <c r="A663">
        <v>2575</v>
      </c>
      <c r="B663" t="s">
        <v>723</v>
      </c>
      <c r="C663">
        <v>1798</v>
      </c>
      <c r="D663">
        <v>3</v>
      </c>
      <c r="E663">
        <v>2185.1999999999998</v>
      </c>
      <c r="F663">
        <v>182.2</v>
      </c>
      <c r="G663">
        <v>3371.1</v>
      </c>
      <c r="H663">
        <v>3</v>
      </c>
      <c r="I663">
        <v>28.59</v>
      </c>
      <c r="J663">
        <v>753</v>
      </c>
      <c r="K663">
        <v>269</v>
      </c>
      <c r="L663">
        <v>48</v>
      </c>
      <c r="M663">
        <v>106</v>
      </c>
      <c r="N663">
        <v>0</v>
      </c>
      <c r="O663">
        <v>1816</v>
      </c>
      <c r="P663">
        <v>316.75</v>
      </c>
      <c r="Q663">
        <v>-261</v>
      </c>
    </row>
    <row r="664" spans="1:17" x14ac:dyDescent="0.45">
      <c r="A664">
        <v>4307</v>
      </c>
      <c r="B664" t="s">
        <v>725</v>
      </c>
      <c r="C664">
        <v>958</v>
      </c>
      <c r="D664">
        <v>3</v>
      </c>
      <c r="E664">
        <v>928.7</v>
      </c>
      <c r="F664">
        <v>2.7</v>
      </c>
      <c r="G664">
        <v>1116.5</v>
      </c>
      <c r="H664">
        <v>3</v>
      </c>
      <c r="I664">
        <v>23.9</v>
      </c>
      <c r="J664">
        <v>414</v>
      </c>
      <c r="K664">
        <v>181</v>
      </c>
      <c r="L664">
        <v>24</v>
      </c>
      <c r="M664">
        <v>32</v>
      </c>
      <c r="N664">
        <v>0</v>
      </c>
      <c r="O664">
        <v>1082</v>
      </c>
      <c r="P664">
        <v>66.45</v>
      </c>
      <c r="Q664">
        <v>-201</v>
      </c>
    </row>
    <row r="665" spans="1:17" x14ac:dyDescent="0.45">
      <c r="A665">
        <v>6133</v>
      </c>
      <c r="B665" t="s">
        <v>726</v>
      </c>
      <c r="C665">
        <v>9049</v>
      </c>
      <c r="D665">
        <v>3</v>
      </c>
      <c r="E665">
        <v>4934.6000000000004</v>
      </c>
      <c r="F665">
        <v>57.7</v>
      </c>
      <c r="G665">
        <v>7342.9</v>
      </c>
      <c r="H665">
        <v>2</v>
      </c>
      <c r="I665">
        <v>30.34</v>
      </c>
      <c r="J665">
        <v>4061</v>
      </c>
      <c r="K665">
        <v>1537</v>
      </c>
      <c r="L665">
        <v>212</v>
      </c>
      <c r="M665">
        <v>469</v>
      </c>
      <c r="N665">
        <v>0</v>
      </c>
      <c r="O665">
        <v>1626</v>
      </c>
      <c r="P665">
        <v>0</v>
      </c>
      <c r="Q665">
        <v>-2147</v>
      </c>
    </row>
    <row r="666" spans="1:17" x14ac:dyDescent="0.45">
      <c r="A666">
        <v>3862</v>
      </c>
      <c r="B666" t="s">
        <v>727</v>
      </c>
      <c r="C666">
        <v>205</v>
      </c>
      <c r="D666">
        <v>3</v>
      </c>
      <c r="E666">
        <v>198.8</v>
      </c>
      <c r="F666">
        <v>0</v>
      </c>
      <c r="G666">
        <v>196.4</v>
      </c>
      <c r="H666">
        <v>3</v>
      </c>
      <c r="I666">
        <v>29.04</v>
      </c>
      <c r="J666">
        <v>56</v>
      </c>
      <c r="K666">
        <v>49</v>
      </c>
      <c r="L666">
        <v>0</v>
      </c>
      <c r="M666">
        <v>7</v>
      </c>
      <c r="N666">
        <v>0</v>
      </c>
      <c r="O666">
        <v>2029</v>
      </c>
      <c r="P666">
        <v>0</v>
      </c>
      <c r="Q666">
        <v>-2509</v>
      </c>
    </row>
    <row r="667" spans="1:17" x14ac:dyDescent="0.45">
      <c r="A667">
        <v>193</v>
      </c>
      <c r="B667" t="s">
        <v>665</v>
      </c>
      <c r="C667">
        <v>9461</v>
      </c>
      <c r="D667">
        <v>3</v>
      </c>
      <c r="E667">
        <v>4984.1000000000004</v>
      </c>
      <c r="F667">
        <v>6254.3</v>
      </c>
      <c r="G667">
        <v>4018.1</v>
      </c>
      <c r="H667">
        <v>1</v>
      </c>
      <c r="I667">
        <v>15.69</v>
      </c>
      <c r="J667">
        <v>2948</v>
      </c>
      <c r="K667">
        <v>1105</v>
      </c>
      <c r="L667">
        <v>286</v>
      </c>
      <c r="M667">
        <v>572</v>
      </c>
      <c r="N667">
        <v>0</v>
      </c>
      <c r="O667">
        <v>379</v>
      </c>
      <c r="P667">
        <v>2370.0500000000002</v>
      </c>
      <c r="Q667">
        <v>-361</v>
      </c>
    </row>
    <row r="668" spans="1:17" x14ac:dyDescent="0.45">
      <c r="A668">
        <v>5427</v>
      </c>
      <c r="B668" t="s">
        <v>668</v>
      </c>
      <c r="C668">
        <v>888</v>
      </c>
      <c r="D668">
        <v>3</v>
      </c>
      <c r="E668">
        <v>686.2</v>
      </c>
      <c r="F668">
        <v>1102.8</v>
      </c>
      <c r="G668">
        <v>636.70000000000005</v>
      </c>
      <c r="H668">
        <v>3</v>
      </c>
      <c r="I668">
        <v>35.86</v>
      </c>
      <c r="J668">
        <v>367</v>
      </c>
      <c r="K668">
        <v>113</v>
      </c>
      <c r="L668">
        <v>37</v>
      </c>
      <c r="M668">
        <v>69</v>
      </c>
      <c r="N668">
        <v>0</v>
      </c>
      <c r="O668">
        <v>461</v>
      </c>
      <c r="P668">
        <v>0</v>
      </c>
      <c r="Q668">
        <v>-40</v>
      </c>
    </row>
    <row r="669" spans="1:17" x14ac:dyDescent="0.45">
      <c r="A669">
        <v>2016</v>
      </c>
      <c r="B669" t="s">
        <v>679</v>
      </c>
      <c r="C669">
        <v>1180</v>
      </c>
      <c r="D669">
        <v>3</v>
      </c>
      <c r="E669">
        <v>942.1</v>
      </c>
      <c r="F669">
        <v>217.7</v>
      </c>
      <c r="G669">
        <v>1732.7</v>
      </c>
      <c r="H669">
        <v>3</v>
      </c>
      <c r="I669">
        <v>36.93</v>
      </c>
      <c r="J669">
        <v>538</v>
      </c>
      <c r="K669">
        <v>172</v>
      </c>
      <c r="L669">
        <v>35</v>
      </c>
      <c r="M669">
        <v>77</v>
      </c>
      <c r="N669">
        <v>0</v>
      </c>
      <c r="O669">
        <v>1071</v>
      </c>
      <c r="P669">
        <v>0</v>
      </c>
      <c r="Q669">
        <v>-80</v>
      </c>
    </row>
    <row r="670" spans="1:17" x14ac:dyDescent="0.45">
      <c r="A670">
        <v>2825</v>
      </c>
      <c r="B670" t="s">
        <v>724</v>
      </c>
      <c r="C670">
        <v>4646</v>
      </c>
      <c r="D670">
        <v>1</v>
      </c>
      <c r="E670">
        <v>2746</v>
      </c>
      <c r="F670">
        <v>4847.2</v>
      </c>
      <c r="G670">
        <v>3521</v>
      </c>
      <c r="H670">
        <v>1</v>
      </c>
      <c r="I670">
        <v>14.25</v>
      </c>
      <c r="J670">
        <v>1577</v>
      </c>
      <c r="K670">
        <v>693</v>
      </c>
      <c r="L670">
        <v>132</v>
      </c>
      <c r="M670">
        <v>285</v>
      </c>
      <c r="N670">
        <v>0</v>
      </c>
      <c r="O670">
        <v>599</v>
      </c>
      <c r="P670">
        <v>3197</v>
      </c>
      <c r="Q670">
        <v>-281</v>
      </c>
    </row>
    <row r="671" spans="1:17" x14ac:dyDescent="0.45">
      <c r="A671">
        <v>3633</v>
      </c>
      <c r="B671" t="s">
        <v>728</v>
      </c>
      <c r="C671">
        <v>351</v>
      </c>
      <c r="D671">
        <v>3</v>
      </c>
      <c r="E671">
        <v>348.2</v>
      </c>
      <c r="F671">
        <v>0</v>
      </c>
      <c r="G671">
        <v>417.1</v>
      </c>
      <c r="H671">
        <v>3</v>
      </c>
      <c r="I671">
        <v>29.04</v>
      </c>
      <c r="J671">
        <v>137</v>
      </c>
      <c r="K671">
        <v>72</v>
      </c>
      <c r="L671">
        <v>6</v>
      </c>
      <c r="M671">
        <v>12</v>
      </c>
      <c r="N671">
        <v>0</v>
      </c>
      <c r="O671">
        <v>804</v>
      </c>
      <c r="P671">
        <v>0</v>
      </c>
      <c r="Q671">
        <v>-80</v>
      </c>
    </row>
    <row r="672" spans="1:17" x14ac:dyDescent="0.45">
      <c r="A672">
        <v>4571</v>
      </c>
      <c r="B672" t="s">
        <v>730</v>
      </c>
      <c r="C672">
        <v>4564</v>
      </c>
      <c r="D672">
        <v>3</v>
      </c>
      <c r="E672">
        <v>2801.8</v>
      </c>
      <c r="F672">
        <v>2476.1</v>
      </c>
      <c r="G672">
        <v>5544.2</v>
      </c>
      <c r="H672">
        <v>2</v>
      </c>
      <c r="I672">
        <v>21.63</v>
      </c>
      <c r="J672">
        <v>1284</v>
      </c>
      <c r="K672">
        <v>499</v>
      </c>
      <c r="L672">
        <v>130</v>
      </c>
      <c r="M672">
        <v>242</v>
      </c>
      <c r="N672">
        <v>0</v>
      </c>
      <c r="O672">
        <v>4011</v>
      </c>
      <c r="P672">
        <v>0</v>
      </c>
      <c r="Q672">
        <v>-321</v>
      </c>
    </row>
    <row r="673" spans="1:17" x14ac:dyDescent="0.45">
      <c r="A673">
        <v>3022</v>
      </c>
      <c r="B673" t="s">
        <v>731</v>
      </c>
      <c r="C673">
        <v>3116</v>
      </c>
      <c r="D673">
        <v>3</v>
      </c>
      <c r="E673">
        <v>3931.1</v>
      </c>
      <c r="F673">
        <v>333.3</v>
      </c>
      <c r="G673">
        <v>4502.6000000000004</v>
      </c>
      <c r="H673">
        <v>2</v>
      </c>
      <c r="I673">
        <v>17.79</v>
      </c>
      <c r="J673">
        <v>960</v>
      </c>
      <c r="K673">
        <v>540</v>
      </c>
      <c r="L673">
        <v>74</v>
      </c>
      <c r="M673">
        <v>134</v>
      </c>
      <c r="N673">
        <v>0</v>
      </c>
      <c r="O673">
        <v>6238</v>
      </c>
      <c r="P673">
        <v>0</v>
      </c>
      <c r="Q673">
        <v>-1806</v>
      </c>
    </row>
    <row r="674" spans="1:17" x14ac:dyDescent="0.45">
      <c r="A674">
        <v>3442</v>
      </c>
      <c r="B674" t="s">
        <v>732</v>
      </c>
      <c r="C674">
        <v>8523</v>
      </c>
      <c r="D674">
        <v>3</v>
      </c>
      <c r="E674">
        <v>7598.2</v>
      </c>
      <c r="F674">
        <v>2453.3000000000002</v>
      </c>
      <c r="G674">
        <v>8609.4</v>
      </c>
      <c r="H674">
        <v>1</v>
      </c>
      <c r="I674">
        <v>22.7</v>
      </c>
      <c r="J674">
        <v>2776</v>
      </c>
      <c r="K674">
        <v>1125</v>
      </c>
      <c r="L674">
        <v>208</v>
      </c>
      <c r="M674">
        <v>407</v>
      </c>
      <c r="N674">
        <v>0</v>
      </c>
      <c r="O674">
        <v>4342</v>
      </c>
      <c r="P674">
        <v>0</v>
      </c>
      <c r="Q674">
        <v>-702</v>
      </c>
    </row>
    <row r="675" spans="1:17" x14ac:dyDescent="0.45">
      <c r="A675">
        <v>1342</v>
      </c>
      <c r="B675" t="s">
        <v>733</v>
      </c>
      <c r="C675">
        <v>5342</v>
      </c>
      <c r="D675">
        <v>3</v>
      </c>
      <c r="E675">
        <v>4962.8999999999996</v>
      </c>
      <c r="F675">
        <v>757.6</v>
      </c>
      <c r="G675">
        <v>3960</v>
      </c>
      <c r="H675">
        <v>2</v>
      </c>
      <c r="I675">
        <v>15.72</v>
      </c>
      <c r="J675">
        <v>1381</v>
      </c>
      <c r="K675">
        <v>557</v>
      </c>
      <c r="L675">
        <v>99</v>
      </c>
      <c r="M675">
        <v>172</v>
      </c>
      <c r="N675">
        <v>0</v>
      </c>
      <c r="O675">
        <v>3624</v>
      </c>
      <c r="P675">
        <v>0</v>
      </c>
      <c r="Q675">
        <v>-963</v>
      </c>
    </row>
    <row r="676" spans="1:17" x14ac:dyDescent="0.45">
      <c r="A676">
        <v>494</v>
      </c>
      <c r="B676" t="s">
        <v>734</v>
      </c>
      <c r="C676">
        <v>851</v>
      </c>
      <c r="D676">
        <v>2</v>
      </c>
      <c r="E676">
        <v>1130.4000000000001</v>
      </c>
      <c r="F676">
        <v>0</v>
      </c>
      <c r="G676">
        <v>2106.1</v>
      </c>
      <c r="H676">
        <v>2</v>
      </c>
      <c r="I676">
        <v>24.84</v>
      </c>
      <c r="J676">
        <v>355</v>
      </c>
      <c r="K676">
        <v>133</v>
      </c>
      <c r="L676">
        <v>23</v>
      </c>
      <c r="M676">
        <v>30</v>
      </c>
      <c r="N676">
        <v>0</v>
      </c>
      <c r="O676">
        <v>1842</v>
      </c>
      <c r="P676">
        <v>0</v>
      </c>
      <c r="Q676">
        <v>-522</v>
      </c>
    </row>
    <row r="677" spans="1:17" x14ac:dyDescent="0.45">
      <c r="A677">
        <v>5398</v>
      </c>
      <c r="B677" t="s">
        <v>735</v>
      </c>
      <c r="C677">
        <v>5076</v>
      </c>
      <c r="D677">
        <v>3</v>
      </c>
      <c r="E677">
        <v>9772.1</v>
      </c>
      <c r="F677">
        <v>511.9</v>
      </c>
      <c r="G677">
        <v>9080.4</v>
      </c>
      <c r="H677">
        <v>2</v>
      </c>
      <c r="I677">
        <v>22.12</v>
      </c>
      <c r="J677">
        <v>2203</v>
      </c>
      <c r="K677">
        <v>783</v>
      </c>
      <c r="L677">
        <v>136</v>
      </c>
      <c r="M677">
        <v>358</v>
      </c>
      <c r="N677">
        <v>0</v>
      </c>
      <c r="O677">
        <v>393</v>
      </c>
      <c r="P677">
        <v>0</v>
      </c>
      <c r="Q677">
        <v>-7747</v>
      </c>
    </row>
    <row r="678" spans="1:17" x14ac:dyDescent="0.45">
      <c r="A678">
        <v>6118</v>
      </c>
      <c r="B678" t="s">
        <v>736</v>
      </c>
      <c r="C678">
        <v>2116</v>
      </c>
      <c r="D678">
        <v>3</v>
      </c>
      <c r="E678">
        <v>3057.2</v>
      </c>
      <c r="F678">
        <v>182.9</v>
      </c>
      <c r="G678">
        <v>2059.1</v>
      </c>
      <c r="H678">
        <v>2</v>
      </c>
      <c r="I678">
        <v>30.34</v>
      </c>
      <c r="J678">
        <v>776</v>
      </c>
      <c r="K678">
        <v>485</v>
      </c>
      <c r="L678">
        <v>47</v>
      </c>
      <c r="M678">
        <v>84</v>
      </c>
      <c r="N678">
        <v>0</v>
      </c>
      <c r="O678">
        <v>1225</v>
      </c>
      <c r="P678">
        <v>0</v>
      </c>
      <c r="Q678">
        <v>-1806</v>
      </c>
    </row>
    <row r="679" spans="1:17" x14ac:dyDescent="0.45">
      <c r="A679">
        <v>495</v>
      </c>
      <c r="B679" t="s">
        <v>737</v>
      </c>
      <c r="C679">
        <v>1002</v>
      </c>
      <c r="D679">
        <v>2</v>
      </c>
      <c r="E679">
        <v>1423.2</v>
      </c>
      <c r="F679">
        <v>39.799999999999997</v>
      </c>
      <c r="G679">
        <v>1454.1</v>
      </c>
      <c r="H679">
        <v>2</v>
      </c>
      <c r="I679">
        <v>24.84</v>
      </c>
      <c r="J679">
        <v>428</v>
      </c>
      <c r="K679">
        <v>190</v>
      </c>
      <c r="L679">
        <v>25</v>
      </c>
      <c r="M679">
        <v>48</v>
      </c>
      <c r="N679">
        <v>0</v>
      </c>
      <c r="O679">
        <v>1296</v>
      </c>
      <c r="P679">
        <v>38.409999999999997</v>
      </c>
      <c r="Q679">
        <v>-522</v>
      </c>
    </row>
    <row r="680" spans="1:17" x14ac:dyDescent="0.45">
      <c r="A680">
        <v>3272</v>
      </c>
      <c r="B680" t="s">
        <v>738</v>
      </c>
      <c r="C680">
        <v>3606</v>
      </c>
      <c r="D680">
        <v>3</v>
      </c>
      <c r="E680">
        <v>2018</v>
      </c>
      <c r="F680">
        <v>633.20000000000005</v>
      </c>
      <c r="G680">
        <v>6157.8</v>
      </c>
      <c r="H680">
        <v>2</v>
      </c>
      <c r="I680">
        <v>22.8</v>
      </c>
      <c r="J680">
        <v>1262</v>
      </c>
      <c r="K680">
        <v>655</v>
      </c>
      <c r="L680">
        <v>102</v>
      </c>
      <c r="M680">
        <v>137</v>
      </c>
      <c r="N680">
        <v>0</v>
      </c>
      <c r="O680">
        <v>8338</v>
      </c>
      <c r="P680">
        <v>238.47</v>
      </c>
      <c r="Q680">
        <v>-1224</v>
      </c>
    </row>
    <row r="681" spans="1:17" x14ac:dyDescent="0.45">
      <c r="A681">
        <v>4164</v>
      </c>
      <c r="B681" t="s">
        <v>739</v>
      </c>
      <c r="C681">
        <v>1079</v>
      </c>
      <c r="D681">
        <v>3</v>
      </c>
      <c r="E681">
        <v>1256.0999999999999</v>
      </c>
      <c r="F681">
        <v>27.7</v>
      </c>
      <c r="G681">
        <v>1101.4000000000001</v>
      </c>
      <c r="H681">
        <v>3</v>
      </c>
      <c r="I681">
        <v>23.9</v>
      </c>
      <c r="J681">
        <v>462</v>
      </c>
      <c r="K681">
        <v>183</v>
      </c>
      <c r="L681">
        <v>33</v>
      </c>
      <c r="M681">
        <v>41</v>
      </c>
      <c r="N681">
        <v>0</v>
      </c>
      <c r="O681">
        <v>2411</v>
      </c>
      <c r="P681">
        <v>0</v>
      </c>
      <c r="Q681">
        <v>-642</v>
      </c>
    </row>
    <row r="682" spans="1:17" x14ac:dyDescent="0.45">
      <c r="A682">
        <v>4029</v>
      </c>
      <c r="B682" t="s">
        <v>740</v>
      </c>
      <c r="C682">
        <v>5665</v>
      </c>
      <c r="D682">
        <v>3</v>
      </c>
      <c r="E682">
        <v>3292.5</v>
      </c>
      <c r="F682">
        <v>3533.7</v>
      </c>
      <c r="G682">
        <v>2713</v>
      </c>
      <c r="H682">
        <v>1</v>
      </c>
      <c r="I682">
        <v>20.87</v>
      </c>
      <c r="J682">
        <v>1947</v>
      </c>
      <c r="K682">
        <v>800</v>
      </c>
      <c r="L682">
        <v>159</v>
      </c>
      <c r="M682">
        <v>347</v>
      </c>
      <c r="N682">
        <v>0</v>
      </c>
      <c r="O682">
        <v>759</v>
      </c>
      <c r="P682">
        <v>0</v>
      </c>
      <c r="Q682">
        <v>-442</v>
      </c>
    </row>
    <row r="683" spans="1:17" x14ac:dyDescent="0.45">
      <c r="A683">
        <v>2846</v>
      </c>
      <c r="B683" t="s">
        <v>741</v>
      </c>
      <c r="C683">
        <v>6217</v>
      </c>
      <c r="D683">
        <v>1</v>
      </c>
      <c r="E683">
        <v>6824.8</v>
      </c>
      <c r="F683">
        <v>87.9</v>
      </c>
      <c r="G683">
        <v>4206.6000000000004</v>
      </c>
      <c r="H683">
        <v>2</v>
      </c>
      <c r="I683">
        <v>20.72</v>
      </c>
      <c r="J683">
        <v>2064</v>
      </c>
      <c r="K683">
        <v>771</v>
      </c>
      <c r="L683">
        <v>155</v>
      </c>
      <c r="M683">
        <v>283</v>
      </c>
      <c r="N683">
        <v>0</v>
      </c>
      <c r="O683">
        <v>1206</v>
      </c>
      <c r="P683">
        <v>0</v>
      </c>
      <c r="Q683">
        <v>-903</v>
      </c>
    </row>
    <row r="684" spans="1:17" x14ac:dyDescent="0.45">
      <c r="A684">
        <v>4232</v>
      </c>
      <c r="B684" t="s">
        <v>742</v>
      </c>
      <c r="C684">
        <v>225</v>
      </c>
      <c r="D684">
        <v>3</v>
      </c>
      <c r="E684">
        <v>229.2</v>
      </c>
      <c r="F684">
        <v>0</v>
      </c>
      <c r="G684">
        <v>1102</v>
      </c>
      <c r="H684">
        <v>3</v>
      </c>
      <c r="I684">
        <v>23.9</v>
      </c>
      <c r="J684">
        <v>99</v>
      </c>
      <c r="K684">
        <v>45</v>
      </c>
      <c r="L684">
        <v>14</v>
      </c>
      <c r="M684">
        <v>11</v>
      </c>
      <c r="N684">
        <v>0</v>
      </c>
      <c r="O684">
        <v>1330</v>
      </c>
      <c r="P684">
        <v>0</v>
      </c>
      <c r="Q684">
        <v>-80</v>
      </c>
    </row>
    <row r="685" spans="1:17" x14ac:dyDescent="0.45">
      <c r="A685">
        <v>2474</v>
      </c>
      <c r="B685" t="s">
        <v>743</v>
      </c>
      <c r="C685">
        <v>923</v>
      </c>
      <c r="D685">
        <v>3</v>
      </c>
      <c r="E685">
        <v>1245.5</v>
      </c>
      <c r="F685">
        <v>4.5999999999999996</v>
      </c>
      <c r="G685">
        <v>811.6</v>
      </c>
      <c r="H685">
        <v>3</v>
      </c>
      <c r="I685">
        <v>28.59</v>
      </c>
      <c r="J685">
        <v>363</v>
      </c>
      <c r="K685">
        <v>165</v>
      </c>
      <c r="L685">
        <v>29</v>
      </c>
      <c r="M685">
        <v>37</v>
      </c>
      <c r="N685">
        <v>0</v>
      </c>
      <c r="O685">
        <v>2139</v>
      </c>
      <c r="P685">
        <v>0</v>
      </c>
      <c r="Q685">
        <v>-462</v>
      </c>
    </row>
    <row r="686" spans="1:17" x14ac:dyDescent="0.45">
      <c r="A686">
        <v>5718</v>
      </c>
      <c r="B686" t="s">
        <v>745</v>
      </c>
      <c r="C686">
        <v>2020</v>
      </c>
      <c r="D686">
        <v>3</v>
      </c>
      <c r="E686">
        <v>1945.6</v>
      </c>
      <c r="F686">
        <v>89.6</v>
      </c>
      <c r="G686">
        <v>1527</v>
      </c>
      <c r="H686">
        <v>2</v>
      </c>
      <c r="I686">
        <v>26.72</v>
      </c>
      <c r="J686">
        <v>852</v>
      </c>
      <c r="K686">
        <v>262</v>
      </c>
      <c r="L686">
        <v>121</v>
      </c>
      <c r="M686">
        <v>176</v>
      </c>
      <c r="N686">
        <v>0</v>
      </c>
      <c r="O686">
        <v>1516</v>
      </c>
      <c r="P686">
        <v>0</v>
      </c>
      <c r="Q686">
        <v>-321</v>
      </c>
    </row>
    <row r="687" spans="1:17" x14ac:dyDescent="0.45">
      <c r="A687">
        <v>6622</v>
      </c>
      <c r="B687" t="s">
        <v>746</v>
      </c>
      <c r="C687">
        <v>2884</v>
      </c>
      <c r="D687">
        <v>3</v>
      </c>
      <c r="E687">
        <v>1300.2</v>
      </c>
      <c r="F687">
        <v>2435.4</v>
      </c>
      <c r="G687">
        <v>2415</v>
      </c>
      <c r="H687">
        <v>1</v>
      </c>
      <c r="I687">
        <v>10.3</v>
      </c>
      <c r="J687">
        <v>929</v>
      </c>
      <c r="K687">
        <v>244</v>
      </c>
      <c r="L687">
        <v>82</v>
      </c>
      <c r="M687">
        <v>225</v>
      </c>
      <c r="N687">
        <v>0</v>
      </c>
      <c r="O687">
        <v>967</v>
      </c>
      <c r="P687">
        <v>0</v>
      </c>
      <c r="Q687">
        <v>-40</v>
      </c>
    </row>
    <row r="688" spans="1:17" x14ac:dyDescent="0.45">
      <c r="A688">
        <v>6621</v>
      </c>
      <c r="B688" t="s">
        <v>744</v>
      </c>
      <c r="C688">
        <v>203840</v>
      </c>
      <c r="D688">
        <v>3</v>
      </c>
      <c r="E688">
        <v>98100.3</v>
      </c>
      <c r="F688">
        <v>160787.1</v>
      </c>
      <c r="G688">
        <v>11848.6</v>
      </c>
      <c r="H688">
        <v>1</v>
      </c>
      <c r="I688">
        <v>10.3</v>
      </c>
      <c r="J688">
        <v>44402</v>
      </c>
      <c r="K688">
        <v>13221</v>
      </c>
      <c r="L688">
        <v>1713</v>
      </c>
      <c r="M688">
        <v>8553</v>
      </c>
      <c r="N688">
        <v>0</v>
      </c>
      <c r="O688">
        <v>33</v>
      </c>
      <c r="P688">
        <v>0</v>
      </c>
      <c r="Q688">
        <v>-140</v>
      </c>
    </row>
    <row r="689" spans="1:17" x14ac:dyDescent="0.45">
      <c r="A689">
        <v>2519</v>
      </c>
      <c r="B689" t="s">
        <v>747</v>
      </c>
      <c r="C689">
        <v>5696</v>
      </c>
      <c r="D689">
        <v>1</v>
      </c>
      <c r="E689">
        <v>2770.8</v>
      </c>
      <c r="F689">
        <v>3639.7</v>
      </c>
      <c r="G689">
        <v>1577.1</v>
      </c>
      <c r="H689">
        <v>1</v>
      </c>
      <c r="I689">
        <v>19.07</v>
      </c>
      <c r="J689">
        <v>1958</v>
      </c>
      <c r="K689">
        <v>1105</v>
      </c>
      <c r="L689">
        <v>79</v>
      </c>
      <c r="M689">
        <v>230</v>
      </c>
      <c r="N689">
        <v>72691</v>
      </c>
      <c r="O689">
        <v>0</v>
      </c>
      <c r="P689">
        <v>0</v>
      </c>
      <c r="Q689">
        <v>-40</v>
      </c>
    </row>
    <row r="690" spans="1:17" x14ac:dyDescent="0.45">
      <c r="A690">
        <v>244</v>
      </c>
      <c r="B690" t="s">
        <v>748</v>
      </c>
      <c r="C690">
        <v>5262</v>
      </c>
      <c r="D690">
        <v>3</v>
      </c>
      <c r="E690">
        <v>4884.8</v>
      </c>
      <c r="F690">
        <v>1436.4</v>
      </c>
      <c r="G690">
        <v>1953.3</v>
      </c>
      <c r="H690">
        <v>1</v>
      </c>
      <c r="I690">
        <v>15.69</v>
      </c>
      <c r="J690">
        <v>1651</v>
      </c>
      <c r="K690">
        <v>590</v>
      </c>
      <c r="L690">
        <v>137</v>
      </c>
      <c r="M690">
        <v>312</v>
      </c>
      <c r="N690">
        <v>0</v>
      </c>
      <c r="O690">
        <v>1</v>
      </c>
      <c r="P690">
        <v>0</v>
      </c>
      <c r="Q690">
        <v>-100</v>
      </c>
    </row>
    <row r="691" spans="1:17" x14ac:dyDescent="0.45">
      <c r="A691">
        <v>1311</v>
      </c>
      <c r="B691" t="s">
        <v>749</v>
      </c>
      <c r="C691">
        <v>2384</v>
      </c>
      <c r="D691">
        <v>3</v>
      </c>
      <c r="E691">
        <v>2835.5</v>
      </c>
      <c r="F691">
        <v>22.2</v>
      </c>
      <c r="G691">
        <v>1467.6</v>
      </c>
      <c r="H691">
        <v>3</v>
      </c>
      <c r="I691">
        <v>30.7</v>
      </c>
      <c r="J691">
        <v>925</v>
      </c>
      <c r="K691">
        <v>335</v>
      </c>
      <c r="L691">
        <v>63</v>
      </c>
      <c r="M691">
        <v>147</v>
      </c>
      <c r="N691">
        <v>0</v>
      </c>
      <c r="O691">
        <v>2494</v>
      </c>
      <c r="P691">
        <v>443</v>
      </c>
      <c r="Q691">
        <v>-1425</v>
      </c>
    </row>
    <row r="692" spans="1:17" x14ac:dyDescent="0.45">
      <c r="A692">
        <v>866</v>
      </c>
      <c r="B692" t="s">
        <v>750</v>
      </c>
      <c r="C692">
        <v>1266</v>
      </c>
      <c r="D692">
        <v>3</v>
      </c>
      <c r="E692">
        <v>1496.2</v>
      </c>
      <c r="F692">
        <v>103.5</v>
      </c>
      <c r="G692">
        <v>1293.5999999999999</v>
      </c>
      <c r="H692">
        <v>3</v>
      </c>
      <c r="I692">
        <v>26.41</v>
      </c>
      <c r="J692">
        <v>514</v>
      </c>
      <c r="K692">
        <v>212</v>
      </c>
      <c r="L692">
        <v>38</v>
      </c>
      <c r="M692">
        <v>46</v>
      </c>
      <c r="N692">
        <v>0</v>
      </c>
      <c r="O692">
        <v>3393</v>
      </c>
      <c r="P692">
        <v>0</v>
      </c>
      <c r="Q692">
        <v>-301</v>
      </c>
    </row>
    <row r="693" spans="1:17" x14ac:dyDescent="0.45">
      <c r="A693">
        <v>1085</v>
      </c>
      <c r="B693" t="s">
        <v>751</v>
      </c>
      <c r="C693">
        <v>2878</v>
      </c>
      <c r="D693">
        <v>2</v>
      </c>
      <c r="E693">
        <v>2084.1999999999998</v>
      </c>
      <c r="F693">
        <v>6</v>
      </c>
      <c r="G693">
        <v>2722.7</v>
      </c>
      <c r="H693">
        <v>3</v>
      </c>
      <c r="I693">
        <v>26.39</v>
      </c>
      <c r="J693">
        <v>1000</v>
      </c>
      <c r="K693">
        <v>494</v>
      </c>
      <c r="L693">
        <v>66</v>
      </c>
      <c r="M693">
        <v>167</v>
      </c>
      <c r="N693">
        <v>0</v>
      </c>
      <c r="O693">
        <v>3301</v>
      </c>
      <c r="P693">
        <v>0</v>
      </c>
      <c r="Q693">
        <v>-201</v>
      </c>
    </row>
    <row r="694" spans="1:17" x14ac:dyDescent="0.45">
      <c r="A694">
        <v>2236</v>
      </c>
      <c r="B694" t="s">
        <v>752</v>
      </c>
      <c r="C694">
        <v>7934</v>
      </c>
      <c r="D694">
        <v>3</v>
      </c>
      <c r="E694">
        <v>6041.1</v>
      </c>
      <c r="F694">
        <v>355.7</v>
      </c>
      <c r="G694">
        <v>17137.3</v>
      </c>
      <c r="H694">
        <v>2</v>
      </c>
      <c r="I694">
        <v>28.63</v>
      </c>
      <c r="J694">
        <v>3696</v>
      </c>
      <c r="K694">
        <v>1079</v>
      </c>
      <c r="L694">
        <v>278</v>
      </c>
      <c r="M694">
        <v>610</v>
      </c>
      <c r="N694">
        <v>0</v>
      </c>
      <c r="O694">
        <v>16252</v>
      </c>
      <c r="P694">
        <v>62.77</v>
      </c>
      <c r="Q694">
        <v>-1686</v>
      </c>
    </row>
    <row r="695" spans="1:17" x14ac:dyDescent="0.45">
      <c r="A695">
        <v>2826</v>
      </c>
      <c r="B695" t="s">
        <v>753</v>
      </c>
      <c r="C695">
        <v>1120</v>
      </c>
      <c r="D695">
        <v>1</v>
      </c>
      <c r="E695">
        <v>1031</v>
      </c>
      <c r="F695">
        <v>0</v>
      </c>
      <c r="G695">
        <v>792.3</v>
      </c>
      <c r="H695">
        <v>3</v>
      </c>
      <c r="I695">
        <v>22.09</v>
      </c>
      <c r="J695">
        <v>447</v>
      </c>
      <c r="K695">
        <v>196</v>
      </c>
      <c r="L695">
        <v>49</v>
      </c>
      <c r="M695">
        <v>63</v>
      </c>
      <c r="N695">
        <v>0</v>
      </c>
      <c r="O695">
        <v>58</v>
      </c>
      <c r="P695">
        <v>0</v>
      </c>
      <c r="Q695">
        <v>-60</v>
      </c>
    </row>
    <row r="696" spans="1:17" x14ac:dyDescent="0.45">
      <c r="A696">
        <v>5559</v>
      </c>
      <c r="B696" t="s">
        <v>754</v>
      </c>
      <c r="C696">
        <v>448</v>
      </c>
      <c r="D696">
        <v>3</v>
      </c>
      <c r="E696">
        <v>627.9</v>
      </c>
      <c r="F696">
        <v>27.3</v>
      </c>
      <c r="G696">
        <v>783.2</v>
      </c>
      <c r="H696">
        <v>3</v>
      </c>
      <c r="I696">
        <v>35.86</v>
      </c>
      <c r="J696">
        <v>206</v>
      </c>
      <c r="K696">
        <v>57</v>
      </c>
      <c r="L696">
        <v>10</v>
      </c>
      <c r="M696">
        <v>29</v>
      </c>
      <c r="N696">
        <v>0</v>
      </c>
      <c r="O696">
        <v>814</v>
      </c>
      <c r="P696">
        <v>0</v>
      </c>
      <c r="Q696">
        <v>-321</v>
      </c>
    </row>
    <row r="697" spans="1:17" x14ac:dyDescent="0.45">
      <c r="A697">
        <v>2294</v>
      </c>
      <c r="B697" t="s">
        <v>755</v>
      </c>
      <c r="C697">
        <v>1710</v>
      </c>
      <c r="D697">
        <v>3</v>
      </c>
      <c r="E697">
        <v>1351.5</v>
      </c>
      <c r="F697">
        <v>0</v>
      </c>
      <c r="G697">
        <v>1216.5</v>
      </c>
      <c r="H697">
        <v>2</v>
      </c>
      <c r="I697">
        <v>28.63</v>
      </c>
      <c r="J697">
        <v>745</v>
      </c>
      <c r="K697">
        <v>252</v>
      </c>
      <c r="L697">
        <v>39</v>
      </c>
      <c r="M697">
        <v>81</v>
      </c>
      <c r="N697">
        <v>0</v>
      </c>
      <c r="O697">
        <v>2480</v>
      </c>
      <c r="P697">
        <v>0</v>
      </c>
      <c r="Q697">
        <v>-201</v>
      </c>
    </row>
    <row r="698" spans="1:17" x14ac:dyDescent="0.45">
      <c r="A698">
        <v>5857</v>
      </c>
      <c r="B698" t="s">
        <v>756</v>
      </c>
      <c r="C698">
        <v>1446</v>
      </c>
      <c r="D698">
        <v>3</v>
      </c>
      <c r="E698">
        <v>1318.6</v>
      </c>
      <c r="F698">
        <v>1379</v>
      </c>
      <c r="G698">
        <v>1113.3</v>
      </c>
      <c r="H698">
        <v>2</v>
      </c>
      <c r="I698">
        <v>26.72</v>
      </c>
      <c r="J698">
        <v>533</v>
      </c>
      <c r="K698">
        <v>187</v>
      </c>
      <c r="L698">
        <v>59</v>
      </c>
      <c r="M698">
        <v>111</v>
      </c>
      <c r="N698">
        <v>0</v>
      </c>
      <c r="O698">
        <v>964</v>
      </c>
      <c r="P698">
        <v>45.76</v>
      </c>
      <c r="Q698">
        <v>-522</v>
      </c>
    </row>
    <row r="699" spans="1:17" x14ac:dyDescent="0.45">
      <c r="A699">
        <v>5428</v>
      </c>
      <c r="B699" t="s">
        <v>757</v>
      </c>
      <c r="C699">
        <v>2418</v>
      </c>
      <c r="D699">
        <v>3</v>
      </c>
      <c r="E699">
        <v>1289.8</v>
      </c>
      <c r="F699">
        <v>1679</v>
      </c>
      <c r="G699">
        <v>1179.5999999999999</v>
      </c>
      <c r="H699">
        <v>2</v>
      </c>
      <c r="I699">
        <v>26.72</v>
      </c>
      <c r="J699">
        <v>863</v>
      </c>
      <c r="K699">
        <v>366</v>
      </c>
      <c r="L699">
        <v>56</v>
      </c>
      <c r="M699">
        <v>143</v>
      </c>
      <c r="N699">
        <v>0</v>
      </c>
      <c r="O699">
        <v>4064</v>
      </c>
      <c r="P699">
        <v>110.75</v>
      </c>
      <c r="Q699">
        <v>-2308</v>
      </c>
    </row>
    <row r="700" spans="1:17" x14ac:dyDescent="0.45">
      <c r="A700">
        <v>5719</v>
      </c>
      <c r="B700" t="s">
        <v>758</v>
      </c>
      <c r="C700">
        <v>1266</v>
      </c>
      <c r="D700">
        <v>3</v>
      </c>
      <c r="E700">
        <v>1293.3</v>
      </c>
      <c r="F700">
        <v>92.3</v>
      </c>
      <c r="G700">
        <v>931.4</v>
      </c>
      <c r="H700">
        <v>2</v>
      </c>
      <c r="I700">
        <v>26.72</v>
      </c>
      <c r="J700">
        <v>553</v>
      </c>
      <c r="K700">
        <v>165</v>
      </c>
      <c r="L700">
        <v>60</v>
      </c>
      <c r="M700">
        <v>117</v>
      </c>
      <c r="N700">
        <v>0</v>
      </c>
      <c r="O700">
        <v>1083</v>
      </c>
      <c r="P700">
        <v>53.16</v>
      </c>
      <c r="Q700">
        <v>-1385</v>
      </c>
    </row>
    <row r="701" spans="1:17" x14ac:dyDescent="0.45">
      <c r="A701">
        <v>5073</v>
      </c>
      <c r="B701" t="s">
        <v>759</v>
      </c>
      <c r="C701">
        <v>790</v>
      </c>
      <c r="D701">
        <v>3</v>
      </c>
      <c r="E701">
        <v>961.8</v>
      </c>
      <c r="F701">
        <v>15.8</v>
      </c>
      <c r="G701">
        <v>3532.9</v>
      </c>
      <c r="H701">
        <v>3</v>
      </c>
      <c r="I701">
        <v>25.45</v>
      </c>
      <c r="J701">
        <v>293</v>
      </c>
      <c r="K701">
        <v>170</v>
      </c>
      <c r="L701">
        <v>11</v>
      </c>
      <c r="M701">
        <v>37</v>
      </c>
      <c r="N701">
        <v>0</v>
      </c>
      <c r="O701">
        <v>221</v>
      </c>
      <c r="P701">
        <v>0</v>
      </c>
      <c r="Q701">
        <v>-2489</v>
      </c>
    </row>
    <row r="702" spans="1:17" x14ac:dyDescent="0.45">
      <c r="A702">
        <v>4165</v>
      </c>
      <c r="B702" t="s">
        <v>760</v>
      </c>
      <c r="C702">
        <v>3802</v>
      </c>
      <c r="D702">
        <v>3</v>
      </c>
      <c r="E702">
        <v>2592.5</v>
      </c>
      <c r="F702">
        <v>462.5</v>
      </c>
      <c r="G702">
        <v>3476.6</v>
      </c>
      <c r="H702">
        <v>1</v>
      </c>
      <c r="I702">
        <v>20.87</v>
      </c>
      <c r="J702">
        <v>1360</v>
      </c>
      <c r="K702">
        <v>582</v>
      </c>
      <c r="L702">
        <v>125</v>
      </c>
      <c r="M702">
        <v>188</v>
      </c>
      <c r="N702">
        <v>0</v>
      </c>
      <c r="O702">
        <v>4205</v>
      </c>
      <c r="P702">
        <v>0</v>
      </c>
      <c r="Q702">
        <v>-823</v>
      </c>
    </row>
    <row r="703" spans="1:17" x14ac:dyDescent="0.45">
      <c r="A703">
        <v>1055</v>
      </c>
      <c r="B703" t="s">
        <v>761</v>
      </c>
      <c r="C703">
        <v>1460</v>
      </c>
      <c r="D703">
        <v>2</v>
      </c>
      <c r="E703">
        <v>1364.3</v>
      </c>
      <c r="F703">
        <v>0</v>
      </c>
      <c r="G703">
        <v>826.2</v>
      </c>
      <c r="H703">
        <v>2</v>
      </c>
      <c r="I703">
        <v>28.41</v>
      </c>
      <c r="J703">
        <v>514</v>
      </c>
      <c r="K703">
        <v>331</v>
      </c>
      <c r="L703">
        <v>53</v>
      </c>
      <c r="M703">
        <v>98</v>
      </c>
      <c r="N703">
        <v>0</v>
      </c>
      <c r="O703">
        <v>435</v>
      </c>
      <c r="P703">
        <v>0</v>
      </c>
      <c r="Q703">
        <v>-40</v>
      </c>
    </row>
    <row r="704" spans="1:17" x14ac:dyDescent="0.45">
      <c r="A704">
        <v>1403</v>
      </c>
      <c r="B704" t="s">
        <v>762</v>
      </c>
      <c r="C704">
        <v>3806</v>
      </c>
      <c r="D704">
        <v>3</v>
      </c>
      <c r="E704">
        <v>2413.1</v>
      </c>
      <c r="F704">
        <v>55.9</v>
      </c>
      <c r="G704">
        <v>4283.2</v>
      </c>
      <c r="H704">
        <v>3</v>
      </c>
      <c r="I704">
        <v>27.84</v>
      </c>
      <c r="J704">
        <v>1474</v>
      </c>
      <c r="K704">
        <v>793</v>
      </c>
      <c r="L704">
        <v>55</v>
      </c>
      <c r="M704">
        <v>195</v>
      </c>
      <c r="N704">
        <v>0</v>
      </c>
      <c r="O704">
        <v>8931</v>
      </c>
      <c r="P704">
        <v>0</v>
      </c>
      <c r="Q704">
        <v>-8751</v>
      </c>
    </row>
    <row r="705" spans="1:17" x14ac:dyDescent="0.45">
      <c r="A705">
        <v>2197</v>
      </c>
      <c r="B705" t="s">
        <v>763</v>
      </c>
      <c r="C705">
        <v>3183</v>
      </c>
      <c r="D705">
        <v>3</v>
      </c>
      <c r="E705">
        <v>1195.5</v>
      </c>
      <c r="F705">
        <v>2608.6</v>
      </c>
      <c r="G705">
        <v>7562.5</v>
      </c>
      <c r="H705">
        <v>1</v>
      </c>
      <c r="I705">
        <v>23.82</v>
      </c>
      <c r="J705">
        <v>1195</v>
      </c>
      <c r="K705">
        <v>626</v>
      </c>
      <c r="L705">
        <v>74</v>
      </c>
      <c r="M705">
        <v>303</v>
      </c>
      <c r="N705">
        <v>0</v>
      </c>
      <c r="O705">
        <v>219</v>
      </c>
      <c r="P705">
        <v>0</v>
      </c>
      <c r="Q705">
        <v>-161</v>
      </c>
    </row>
    <row r="706" spans="1:17" x14ac:dyDescent="0.45">
      <c r="A706">
        <v>5720</v>
      </c>
      <c r="B706" t="s">
        <v>764</v>
      </c>
      <c r="C706">
        <v>1021</v>
      </c>
      <c r="D706">
        <v>3</v>
      </c>
      <c r="E706">
        <v>1308.7</v>
      </c>
      <c r="F706">
        <v>39.700000000000003</v>
      </c>
      <c r="G706">
        <v>1606.3</v>
      </c>
      <c r="H706">
        <v>2</v>
      </c>
      <c r="I706">
        <v>26.72</v>
      </c>
      <c r="J706">
        <v>441</v>
      </c>
      <c r="K706">
        <v>118</v>
      </c>
      <c r="L706">
        <v>35</v>
      </c>
      <c r="M706">
        <v>105</v>
      </c>
      <c r="N706">
        <v>0</v>
      </c>
      <c r="O706">
        <v>1535</v>
      </c>
      <c r="P706">
        <v>0</v>
      </c>
      <c r="Q706">
        <v>-321</v>
      </c>
    </row>
    <row r="707" spans="1:17" x14ac:dyDescent="0.45">
      <c r="A707">
        <v>5721</v>
      </c>
      <c r="B707" t="s">
        <v>765</v>
      </c>
      <c r="C707">
        <v>13664</v>
      </c>
      <c r="D707">
        <v>3</v>
      </c>
      <c r="E707">
        <v>5166.7</v>
      </c>
      <c r="F707">
        <v>7843.7</v>
      </c>
      <c r="G707">
        <v>7236.9</v>
      </c>
      <c r="H707">
        <v>1</v>
      </c>
      <c r="I707">
        <v>19.809999999999999</v>
      </c>
      <c r="J707">
        <v>4858</v>
      </c>
      <c r="K707">
        <v>1593</v>
      </c>
      <c r="L707">
        <v>351</v>
      </c>
      <c r="M707">
        <v>1061</v>
      </c>
      <c r="N707">
        <v>0</v>
      </c>
      <c r="O707">
        <v>1087</v>
      </c>
      <c r="P707">
        <v>775.25</v>
      </c>
      <c r="Q707">
        <v>-261</v>
      </c>
    </row>
    <row r="708" spans="1:17" x14ac:dyDescent="0.45">
      <c r="A708">
        <v>1632</v>
      </c>
      <c r="B708" t="s">
        <v>766</v>
      </c>
      <c r="C708">
        <v>12515</v>
      </c>
      <c r="D708">
        <v>3</v>
      </c>
      <c r="E708">
        <v>13242.6</v>
      </c>
      <c r="F708">
        <v>9214.1</v>
      </c>
      <c r="G708">
        <v>8169.5</v>
      </c>
      <c r="H708">
        <v>1</v>
      </c>
      <c r="I708">
        <v>18.829999999999998</v>
      </c>
      <c r="J708">
        <v>4198</v>
      </c>
      <c r="K708">
        <v>2251</v>
      </c>
      <c r="L708">
        <v>233</v>
      </c>
      <c r="M708">
        <v>577</v>
      </c>
      <c r="N708">
        <v>0</v>
      </c>
      <c r="O708">
        <v>7164</v>
      </c>
      <c r="P708">
        <v>0</v>
      </c>
      <c r="Q708">
        <v>-6322</v>
      </c>
    </row>
    <row r="709" spans="1:17" x14ac:dyDescent="0.45">
      <c r="A709">
        <v>1630</v>
      </c>
      <c r="B709" t="s">
        <v>767</v>
      </c>
      <c r="C709">
        <v>19428</v>
      </c>
      <c r="D709">
        <v>3</v>
      </c>
      <c r="E709">
        <v>22841.8</v>
      </c>
      <c r="F709">
        <v>6104.3</v>
      </c>
      <c r="G709">
        <v>18923.8</v>
      </c>
      <c r="H709">
        <v>1</v>
      </c>
      <c r="I709">
        <v>18.829999999999998</v>
      </c>
      <c r="J709">
        <v>6813</v>
      </c>
      <c r="K709">
        <v>3774</v>
      </c>
      <c r="L709">
        <v>393</v>
      </c>
      <c r="M709">
        <v>999</v>
      </c>
      <c r="N709">
        <v>0</v>
      </c>
      <c r="O709">
        <v>18575</v>
      </c>
      <c r="P709">
        <v>64075.65</v>
      </c>
      <c r="Q709">
        <v>-10858</v>
      </c>
    </row>
    <row r="710" spans="1:17" x14ac:dyDescent="0.45">
      <c r="A710">
        <v>1631</v>
      </c>
      <c r="B710" t="s">
        <v>768</v>
      </c>
      <c r="C710">
        <v>9528</v>
      </c>
      <c r="D710">
        <v>3</v>
      </c>
      <c r="E710">
        <v>13078</v>
      </c>
      <c r="F710">
        <v>415.7</v>
      </c>
      <c r="G710">
        <v>8136.2</v>
      </c>
      <c r="H710">
        <v>3</v>
      </c>
      <c r="I710">
        <v>23.54</v>
      </c>
      <c r="J710">
        <v>3226</v>
      </c>
      <c r="K710">
        <v>1705</v>
      </c>
      <c r="L710">
        <v>177</v>
      </c>
      <c r="M710">
        <v>406</v>
      </c>
      <c r="N710">
        <v>0</v>
      </c>
      <c r="O710">
        <v>16500</v>
      </c>
      <c r="P710">
        <v>332.25</v>
      </c>
      <c r="Q710">
        <v>-22117</v>
      </c>
    </row>
    <row r="711" spans="1:17" x14ac:dyDescent="0.45">
      <c r="A711">
        <v>58</v>
      </c>
      <c r="B711" t="s">
        <v>769</v>
      </c>
      <c r="C711">
        <v>5258</v>
      </c>
      <c r="D711">
        <v>3</v>
      </c>
      <c r="E711">
        <v>5242</v>
      </c>
      <c r="F711">
        <v>0</v>
      </c>
      <c r="G711">
        <v>1976.9</v>
      </c>
      <c r="H711">
        <v>2</v>
      </c>
      <c r="I711">
        <v>24.61</v>
      </c>
      <c r="J711">
        <v>1983</v>
      </c>
      <c r="K711">
        <v>726</v>
      </c>
      <c r="L711">
        <v>194</v>
      </c>
      <c r="M711">
        <v>345</v>
      </c>
      <c r="N711">
        <v>0</v>
      </c>
      <c r="O711">
        <v>2506</v>
      </c>
      <c r="P711">
        <v>193.46</v>
      </c>
      <c r="Q711">
        <v>-763</v>
      </c>
    </row>
    <row r="712" spans="1:17" x14ac:dyDescent="0.45">
      <c r="A712">
        <v>2022</v>
      </c>
      <c r="B712" t="s">
        <v>770</v>
      </c>
      <c r="C712">
        <v>1118</v>
      </c>
      <c r="D712">
        <v>3</v>
      </c>
      <c r="E712">
        <v>601.6</v>
      </c>
      <c r="F712">
        <v>9.6</v>
      </c>
      <c r="G712">
        <v>1311.7</v>
      </c>
      <c r="H712">
        <v>3</v>
      </c>
      <c r="I712">
        <v>36.93</v>
      </c>
      <c r="J712">
        <v>436</v>
      </c>
      <c r="K712">
        <v>165</v>
      </c>
      <c r="L712">
        <v>44</v>
      </c>
      <c r="M712">
        <v>113</v>
      </c>
      <c r="N712">
        <v>0</v>
      </c>
      <c r="O712">
        <v>912</v>
      </c>
      <c r="P712">
        <v>0</v>
      </c>
      <c r="Q712">
        <v>-100</v>
      </c>
    </row>
    <row r="713" spans="1:17" x14ac:dyDescent="0.45">
      <c r="A713">
        <v>3213</v>
      </c>
      <c r="B713" t="s">
        <v>771</v>
      </c>
      <c r="C713">
        <v>9562</v>
      </c>
      <c r="D713">
        <v>3</v>
      </c>
      <c r="E713">
        <v>7279.6</v>
      </c>
      <c r="F713">
        <v>4946.2</v>
      </c>
      <c r="G713">
        <v>12928.5</v>
      </c>
      <c r="H713">
        <v>1</v>
      </c>
      <c r="I713">
        <v>22.7</v>
      </c>
      <c r="J713">
        <v>3287</v>
      </c>
      <c r="K713">
        <v>1453</v>
      </c>
      <c r="L713">
        <v>230</v>
      </c>
      <c r="M713">
        <v>451</v>
      </c>
      <c r="N713">
        <v>0</v>
      </c>
      <c r="O713">
        <v>935</v>
      </c>
      <c r="P713">
        <v>0</v>
      </c>
      <c r="Q713">
        <v>-120</v>
      </c>
    </row>
    <row r="714" spans="1:17" x14ac:dyDescent="0.45">
      <c r="A714">
        <v>5484</v>
      </c>
      <c r="B714" t="s">
        <v>772</v>
      </c>
      <c r="C714">
        <v>1030</v>
      </c>
      <c r="D714">
        <v>3</v>
      </c>
      <c r="E714">
        <v>462.5</v>
      </c>
      <c r="F714">
        <v>783.4</v>
      </c>
      <c r="G714">
        <v>1027.2</v>
      </c>
      <c r="H714">
        <v>3</v>
      </c>
      <c r="I714">
        <v>35.86</v>
      </c>
      <c r="J714">
        <v>400</v>
      </c>
      <c r="K714">
        <v>126</v>
      </c>
      <c r="L714">
        <v>42</v>
      </c>
      <c r="M714">
        <v>89</v>
      </c>
      <c r="N714">
        <v>0</v>
      </c>
      <c r="O714">
        <v>2077</v>
      </c>
      <c r="P714">
        <v>0</v>
      </c>
      <c r="Q714">
        <v>-140</v>
      </c>
    </row>
    <row r="715" spans="1:17" x14ac:dyDescent="0.45">
      <c r="A715">
        <v>3341</v>
      </c>
      <c r="B715" t="s">
        <v>773</v>
      </c>
      <c r="C715">
        <v>5564</v>
      </c>
      <c r="D715">
        <v>3</v>
      </c>
      <c r="E715">
        <v>4955.8999999999996</v>
      </c>
      <c r="F715">
        <v>17.8</v>
      </c>
      <c r="G715">
        <v>7875.5</v>
      </c>
      <c r="H715">
        <v>3</v>
      </c>
      <c r="I715">
        <v>30.49</v>
      </c>
      <c r="J715">
        <v>2228</v>
      </c>
      <c r="K715">
        <v>1156</v>
      </c>
      <c r="L715">
        <v>151</v>
      </c>
      <c r="M715">
        <v>281</v>
      </c>
      <c r="N715">
        <v>0</v>
      </c>
      <c r="O715">
        <v>11131</v>
      </c>
      <c r="P715">
        <v>0</v>
      </c>
      <c r="Q715">
        <v>-2750</v>
      </c>
    </row>
    <row r="716" spans="1:17" x14ac:dyDescent="0.45">
      <c r="A716">
        <v>6077</v>
      </c>
      <c r="B716" t="s">
        <v>774</v>
      </c>
      <c r="C716">
        <v>1142</v>
      </c>
      <c r="D716">
        <v>3</v>
      </c>
      <c r="E716">
        <v>3773.4</v>
      </c>
      <c r="F716">
        <v>7.8</v>
      </c>
      <c r="G716">
        <v>522.9</v>
      </c>
      <c r="H716">
        <v>3</v>
      </c>
      <c r="I716">
        <v>30.8</v>
      </c>
      <c r="J716">
        <v>411</v>
      </c>
      <c r="K716">
        <v>241</v>
      </c>
      <c r="L716">
        <v>16</v>
      </c>
      <c r="M716">
        <v>48</v>
      </c>
      <c r="N716">
        <v>0</v>
      </c>
      <c r="O716">
        <v>3583</v>
      </c>
      <c r="P716">
        <v>0</v>
      </c>
      <c r="Q716">
        <v>-6041</v>
      </c>
    </row>
    <row r="717" spans="1:17" x14ac:dyDescent="0.45">
      <c r="A717">
        <v>326</v>
      </c>
      <c r="B717" t="s">
        <v>775</v>
      </c>
      <c r="C717">
        <v>738</v>
      </c>
      <c r="D717">
        <v>3</v>
      </c>
      <c r="E717">
        <v>693.1</v>
      </c>
      <c r="F717">
        <v>0</v>
      </c>
      <c r="G717">
        <v>1225.8</v>
      </c>
      <c r="H717">
        <v>3</v>
      </c>
      <c r="I717">
        <v>26.41</v>
      </c>
      <c r="J717">
        <v>344</v>
      </c>
      <c r="K717">
        <v>110</v>
      </c>
      <c r="L717">
        <v>11</v>
      </c>
      <c r="M717">
        <v>27</v>
      </c>
      <c r="N717">
        <v>0</v>
      </c>
      <c r="O717">
        <v>4938</v>
      </c>
      <c r="P717">
        <v>0</v>
      </c>
      <c r="Q717">
        <v>-442</v>
      </c>
    </row>
    <row r="718" spans="1:17" x14ac:dyDescent="0.45">
      <c r="A718">
        <v>3102</v>
      </c>
      <c r="B718" t="s">
        <v>776</v>
      </c>
      <c r="C718">
        <v>1466</v>
      </c>
      <c r="D718">
        <v>3</v>
      </c>
      <c r="E718">
        <v>1184.2</v>
      </c>
      <c r="F718">
        <v>0</v>
      </c>
      <c r="G718">
        <v>3326.9</v>
      </c>
      <c r="H718">
        <v>3</v>
      </c>
      <c r="I718">
        <v>25.09</v>
      </c>
      <c r="J718">
        <v>402</v>
      </c>
      <c r="K718">
        <v>302</v>
      </c>
      <c r="L718">
        <v>21</v>
      </c>
      <c r="M718">
        <v>48</v>
      </c>
      <c r="N718">
        <v>0</v>
      </c>
      <c r="O718">
        <v>11232</v>
      </c>
      <c r="P718">
        <v>66.45</v>
      </c>
      <c r="Q718">
        <v>-1485</v>
      </c>
    </row>
    <row r="719" spans="1:17" x14ac:dyDescent="0.45">
      <c r="A719">
        <v>4135</v>
      </c>
      <c r="B719" t="s">
        <v>777</v>
      </c>
      <c r="C719">
        <v>2124</v>
      </c>
      <c r="D719">
        <v>3</v>
      </c>
      <c r="E719">
        <v>3136.4</v>
      </c>
      <c r="F719">
        <v>0</v>
      </c>
      <c r="G719">
        <v>2915.4</v>
      </c>
      <c r="H719">
        <v>3</v>
      </c>
      <c r="I719">
        <v>23.9</v>
      </c>
      <c r="J719">
        <v>996</v>
      </c>
      <c r="K719">
        <v>405</v>
      </c>
      <c r="L719">
        <v>53</v>
      </c>
      <c r="M719">
        <v>72</v>
      </c>
      <c r="N719">
        <v>0</v>
      </c>
      <c r="O719">
        <v>2893</v>
      </c>
      <c r="P719">
        <v>254.73</v>
      </c>
      <c r="Q719">
        <v>-502</v>
      </c>
    </row>
    <row r="720" spans="1:17" x14ac:dyDescent="0.45">
      <c r="A720">
        <v>5108</v>
      </c>
      <c r="B720" t="s">
        <v>778</v>
      </c>
      <c r="C720">
        <v>4820</v>
      </c>
      <c r="D720">
        <v>3</v>
      </c>
      <c r="E720">
        <v>5919</v>
      </c>
      <c r="F720">
        <v>106.2</v>
      </c>
      <c r="G720">
        <v>3505.9</v>
      </c>
      <c r="H720">
        <v>1</v>
      </c>
      <c r="I720">
        <v>18.600000000000001</v>
      </c>
      <c r="J720">
        <v>2002</v>
      </c>
      <c r="K720">
        <v>612</v>
      </c>
      <c r="L720">
        <v>137</v>
      </c>
      <c r="M720">
        <v>349</v>
      </c>
      <c r="N720">
        <v>0</v>
      </c>
      <c r="O720">
        <v>93</v>
      </c>
      <c r="P720">
        <v>0</v>
      </c>
      <c r="Q720">
        <v>-863</v>
      </c>
    </row>
    <row r="721" spans="1:17" x14ac:dyDescent="0.45">
      <c r="A721">
        <v>3443</v>
      </c>
      <c r="B721" t="s">
        <v>780</v>
      </c>
      <c r="C721">
        <v>18226</v>
      </c>
      <c r="D721">
        <v>3</v>
      </c>
      <c r="E721">
        <v>10717.3</v>
      </c>
      <c r="F721">
        <v>12676.5</v>
      </c>
      <c r="G721">
        <v>30020.799999999999</v>
      </c>
      <c r="H721">
        <v>1</v>
      </c>
      <c r="I721">
        <v>22.7</v>
      </c>
      <c r="J721">
        <v>6183</v>
      </c>
      <c r="K721">
        <v>2924</v>
      </c>
      <c r="L721">
        <v>425</v>
      </c>
      <c r="M721">
        <v>810</v>
      </c>
      <c r="N721">
        <v>0</v>
      </c>
      <c r="O721">
        <v>14884</v>
      </c>
      <c r="P721">
        <v>0</v>
      </c>
      <c r="Q721">
        <v>-843</v>
      </c>
    </row>
    <row r="722" spans="1:17" x14ac:dyDescent="0.45">
      <c r="A722">
        <v>115</v>
      </c>
      <c r="B722" t="s">
        <v>781</v>
      </c>
      <c r="C722">
        <v>10336</v>
      </c>
      <c r="D722">
        <v>3</v>
      </c>
      <c r="E722">
        <v>10203.700000000001</v>
      </c>
      <c r="F722">
        <v>1716.2</v>
      </c>
      <c r="G722">
        <v>6359.3</v>
      </c>
      <c r="H722">
        <v>2</v>
      </c>
      <c r="I722">
        <v>24.61</v>
      </c>
      <c r="J722">
        <v>3994</v>
      </c>
      <c r="K722">
        <v>1319</v>
      </c>
      <c r="L722">
        <v>266</v>
      </c>
      <c r="M722">
        <v>509</v>
      </c>
      <c r="N722">
        <v>0</v>
      </c>
      <c r="O722">
        <v>6008</v>
      </c>
      <c r="P722">
        <v>664.5</v>
      </c>
      <c r="Q722">
        <v>-502</v>
      </c>
    </row>
    <row r="723" spans="1:17" x14ac:dyDescent="0.45">
      <c r="A723">
        <v>4651</v>
      </c>
      <c r="B723" t="s">
        <v>782</v>
      </c>
      <c r="C723">
        <v>345</v>
      </c>
      <c r="D723">
        <v>3</v>
      </c>
      <c r="E723">
        <v>220.9</v>
      </c>
      <c r="F723">
        <v>838</v>
      </c>
      <c r="G723">
        <v>164</v>
      </c>
      <c r="H723">
        <v>2</v>
      </c>
      <c r="I723">
        <v>21.63</v>
      </c>
      <c r="J723">
        <v>140</v>
      </c>
      <c r="K723">
        <v>56</v>
      </c>
      <c r="L723">
        <v>6</v>
      </c>
      <c r="M723">
        <v>19</v>
      </c>
      <c r="N723">
        <v>0</v>
      </c>
      <c r="O723">
        <v>0</v>
      </c>
      <c r="P723">
        <v>0</v>
      </c>
      <c r="Q723">
        <v>0</v>
      </c>
    </row>
    <row r="724" spans="1:17" x14ac:dyDescent="0.45">
      <c r="A724">
        <v>5541</v>
      </c>
      <c r="B724" t="s">
        <v>783</v>
      </c>
      <c r="C724">
        <v>1171</v>
      </c>
      <c r="D724">
        <v>3</v>
      </c>
      <c r="E724">
        <v>1055.3</v>
      </c>
      <c r="F724">
        <v>1056.3</v>
      </c>
      <c r="G724">
        <v>1223.9000000000001</v>
      </c>
      <c r="H724">
        <v>3</v>
      </c>
      <c r="I724">
        <v>35.86</v>
      </c>
      <c r="J724">
        <v>415</v>
      </c>
      <c r="K724">
        <v>148</v>
      </c>
      <c r="L724">
        <v>34</v>
      </c>
      <c r="M724">
        <v>99</v>
      </c>
      <c r="N724">
        <v>0</v>
      </c>
      <c r="O724">
        <v>1293</v>
      </c>
      <c r="P724">
        <v>83.42</v>
      </c>
      <c r="Q724">
        <v>-442</v>
      </c>
    </row>
    <row r="725" spans="1:17" x14ac:dyDescent="0.45">
      <c r="A725">
        <v>976</v>
      </c>
      <c r="B725" t="s">
        <v>784</v>
      </c>
      <c r="C725">
        <v>334</v>
      </c>
      <c r="D725">
        <v>3</v>
      </c>
      <c r="E725">
        <v>192.7</v>
      </c>
      <c r="F725">
        <v>0</v>
      </c>
      <c r="G725">
        <v>570.5</v>
      </c>
      <c r="H725">
        <v>3</v>
      </c>
      <c r="I725">
        <v>26.41</v>
      </c>
      <c r="J725">
        <v>137</v>
      </c>
      <c r="K725">
        <v>52</v>
      </c>
      <c r="L725">
        <v>12</v>
      </c>
      <c r="M725">
        <v>16</v>
      </c>
      <c r="N725">
        <v>0</v>
      </c>
      <c r="O725">
        <v>1383</v>
      </c>
      <c r="P725">
        <v>0</v>
      </c>
      <c r="Q725">
        <v>-221</v>
      </c>
    </row>
    <row r="726" spans="1:17" x14ac:dyDescent="0.45">
      <c r="A726">
        <v>3273</v>
      </c>
      <c r="B726" t="s">
        <v>785</v>
      </c>
      <c r="C726">
        <v>7302</v>
      </c>
      <c r="D726">
        <v>1</v>
      </c>
      <c r="E726">
        <v>3033.8</v>
      </c>
      <c r="F726">
        <v>1082.8</v>
      </c>
      <c r="G726">
        <v>8097.8</v>
      </c>
      <c r="H726">
        <v>1</v>
      </c>
      <c r="I726">
        <v>22.7</v>
      </c>
      <c r="J726">
        <v>2523</v>
      </c>
      <c r="K726">
        <v>1296</v>
      </c>
      <c r="L726">
        <v>181</v>
      </c>
      <c r="M726">
        <v>325</v>
      </c>
      <c r="N726">
        <v>0</v>
      </c>
      <c r="O726">
        <v>10458</v>
      </c>
      <c r="P726">
        <v>0</v>
      </c>
      <c r="Q726">
        <v>-3372</v>
      </c>
    </row>
    <row r="727" spans="1:17" x14ac:dyDescent="0.45">
      <c r="A727">
        <v>5186</v>
      </c>
      <c r="B727" t="s">
        <v>787</v>
      </c>
      <c r="C727">
        <v>473</v>
      </c>
      <c r="D727">
        <v>3</v>
      </c>
      <c r="E727">
        <v>325.10000000000002</v>
      </c>
      <c r="F727">
        <v>240.8</v>
      </c>
      <c r="G727">
        <v>1399.5</v>
      </c>
      <c r="H727">
        <v>1</v>
      </c>
      <c r="I727">
        <v>18.600000000000001</v>
      </c>
      <c r="J727">
        <v>243</v>
      </c>
      <c r="K727">
        <v>88</v>
      </c>
      <c r="L727">
        <v>6</v>
      </c>
      <c r="M727">
        <v>61</v>
      </c>
      <c r="N727">
        <v>0</v>
      </c>
      <c r="O727">
        <v>0</v>
      </c>
      <c r="P727">
        <v>0</v>
      </c>
      <c r="Q727">
        <v>-40</v>
      </c>
    </row>
    <row r="728" spans="1:17" x14ac:dyDescent="0.45">
      <c r="A728">
        <v>5485</v>
      </c>
      <c r="B728" t="s">
        <v>788</v>
      </c>
      <c r="C728">
        <v>489</v>
      </c>
      <c r="D728">
        <v>3</v>
      </c>
      <c r="E728">
        <v>416</v>
      </c>
      <c r="F728">
        <v>508.2</v>
      </c>
      <c r="G728">
        <v>503.7</v>
      </c>
      <c r="H728">
        <v>3</v>
      </c>
      <c r="I728">
        <v>35.86</v>
      </c>
      <c r="J728">
        <v>229</v>
      </c>
      <c r="K728">
        <v>76</v>
      </c>
      <c r="L728">
        <v>11</v>
      </c>
      <c r="M728">
        <v>32</v>
      </c>
      <c r="N728">
        <v>0</v>
      </c>
      <c r="O728">
        <v>1912</v>
      </c>
      <c r="P728">
        <v>0</v>
      </c>
      <c r="Q728">
        <v>-301</v>
      </c>
    </row>
    <row r="729" spans="1:17" x14ac:dyDescent="0.45">
      <c r="A729">
        <v>5817</v>
      </c>
      <c r="B729" t="s">
        <v>789</v>
      </c>
      <c r="C729">
        <v>1000</v>
      </c>
      <c r="D729">
        <v>3</v>
      </c>
      <c r="E729">
        <v>1546.2</v>
      </c>
      <c r="F729">
        <v>99.6</v>
      </c>
      <c r="G729">
        <v>1179.5999999999999</v>
      </c>
      <c r="H729">
        <v>3</v>
      </c>
      <c r="I729">
        <v>35.86</v>
      </c>
      <c r="J729">
        <v>398</v>
      </c>
      <c r="K729">
        <v>124</v>
      </c>
      <c r="L729">
        <v>19</v>
      </c>
      <c r="M729">
        <v>72</v>
      </c>
      <c r="N729">
        <v>0</v>
      </c>
      <c r="O729">
        <v>3314</v>
      </c>
      <c r="P729">
        <v>110.75</v>
      </c>
      <c r="Q729">
        <v>-281</v>
      </c>
    </row>
    <row r="730" spans="1:17" x14ac:dyDescent="0.45">
      <c r="A730">
        <v>5560</v>
      </c>
      <c r="B730" t="s">
        <v>790</v>
      </c>
      <c r="C730">
        <v>237</v>
      </c>
      <c r="D730">
        <v>3</v>
      </c>
      <c r="E730">
        <v>227.7</v>
      </c>
      <c r="F730">
        <v>14.1</v>
      </c>
      <c r="G730">
        <v>375.2</v>
      </c>
      <c r="H730">
        <v>3</v>
      </c>
      <c r="I730">
        <v>35.86</v>
      </c>
      <c r="J730">
        <v>89</v>
      </c>
      <c r="K730">
        <v>40</v>
      </c>
      <c r="L730">
        <v>10</v>
      </c>
      <c r="M730">
        <v>26</v>
      </c>
      <c r="N730">
        <v>0</v>
      </c>
      <c r="O730">
        <v>363</v>
      </c>
      <c r="P730">
        <v>0</v>
      </c>
      <c r="Q730">
        <v>-301</v>
      </c>
    </row>
    <row r="731" spans="1:17" x14ac:dyDescent="0.45">
      <c r="A731">
        <v>6792</v>
      </c>
      <c r="B731" t="s">
        <v>791</v>
      </c>
      <c r="C731">
        <v>391</v>
      </c>
      <c r="D731">
        <v>3</v>
      </c>
      <c r="E731">
        <v>708.2</v>
      </c>
      <c r="F731">
        <v>0</v>
      </c>
      <c r="G731">
        <v>987</v>
      </c>
      <c r="H731">
        <v>3</v>
      </c>
      <c r="I731">
        <v>27.66</v>
      </c>
      <c r="J731">
        <v>178</v>
      </c>
      <c r="K731">
        <v>72</v>
      </c>
      <c r="L731">
        <v>5</v>
      </c>
      <c r="M731">
        <v>7</v>
      </c>
      <c r="N731">
        <v>0</v>
      </c>
      <c r="O731">
        <v>3913</v>
      </c>
      <c r="P731">
        <v>0</v>
      </c>
      <c r="Q731">
        <v>-462</v>
      </c>
    </row>
    <row r="732" spans="1:17" x14ac:dyDescent="0.45">
      <c r="A732">
        <v>5561</v>
      </c>
      <c r="B732" t="s">
        <v>792</v>
      </c>
      <c r="C732">
        <v>3360</v>
      </c>
      <c r="D732">
        <v>3</v>
      </c>
      <c r="E732">
        <v>1816.8</v>
      </c>
      <c r="F732">
        <v>3538.1</v>
      </c>
      <c r="G732">
        <v>4437.8</v>
      </c>
      <c r="H732">
        <v>2</v>
      </c>
      <c r="I732">
        <v>26.72</v>
      </c>
      <c r="J732">
        <v>1304</v>
      </c>
      <c r="K732">
        <v>367</v>
      </c>
      <c r="L732">
        <v>102</v>
      </c>
      <c r="M732">
        <v>209</v>
      </c>
      <c r="N732">
        <v>0</v>
      </c>
      <c r="O732">
        <v>1682</v>
      </c>
      <c r="P732">
        <v>304.92</v>
      </c>
      <c r="Q732">
        <v>-120</v>
      </c>
    </row>
    <row r="733" spans="1:17" x14ac:dyDescent="0.45">
      <c r="A733">
        <v>694</v>
      </c>
      <c r="B733" t="s">
        <v>793</v>
      </c>
      <c r="C733">
        <v>399</v>
      </c>
      <c r="D733">
        <v>2</v>
      </c>
      <c r="E733">
        <v>670.4</v>
      </c>
      <c r="F733">
        <v>3.2</v>
      </c>
      <c r="G733">
        <v>354.4</v>
      </c>
      <c r="H733">
        <v>3</v>
      </c>
      <c r="I733">
        <v>26.41</v>
      </c>
      <c r="J733">
        <v>179</v>
      </c>
      <c r="K733">
        <v>48</v>
      </c>
      <c r="L733">
        <v>6</v>
      </c>
      <c r="M733">
        <v>26</v>
      </c>
      <c r="N733">
        <v>0</v>
      </c>
      <c r="O733">
        <v>1662</v>
      </c>
      <c r="P733">
        <v>0</v>
      </c>
      <c r="Q733">
        <v>-763</v>
      </c>
    </row>
    <row r="734" spans="1:17" x14ac:dyDescent="0.45">
      <c r="A734">
        <v>2134</v>
      </c>
      <c r="B734" t="s">
        <v>794</v>
      </c>
      <c r="C734">
        <v>871</v>
      </c>
      <c r="D734">
        <v>3</v>
      </c>
      <c r="E734">
        <v>613.79999999999995</v>
      </c>
      <c r="F734">
        <v>71.099999999999994</v>
      </c>
      <c r="G734">
        <v>1080.8</v>
      </c>
      <c r="H734">
        <v>3</v>
      </c>
      <c r="I734">
        <v>36.93</v>
      </c>
      <c r="J734">
        <v>347</v>
      </c>
      <c r="K734">
        <v>92</v>
      </c>
      <c r="L734">
        <v>15</v>
      </c>
      <c r="M734">
        <v>49</v>
      </c>
      <c r="N734">
        <v>0</v>
      </c>
      <c r="O734">
        <v>2786</v>
      </c>
      <c r="P734">
        <v>0</v>
      </c>
      <c r="Q734">
        <v>-1325</v>
      </c>
    </row>
    <row r="735" spans="1:17" x14ac:dyDescent="0.45">
      <c r="A735">
        <v>2328</v>
      </c>
      <c r="B735" t="s">
        <v>795</v>
      </c>
      <c r="C735">
        <v>922</v>
      </c>
      <c r="D735">
        <v>3</v>
      </c>
      <c r="E735">
        <v>680.4</v>
      </c>
      <c r="F735">
        <v>62.1</v>
      </c>
      <c r="G735">
        <v>3081.9</v>
      </c>
      <c r="H735">
        <v>3</v>
      </c>
      <c r="I735">
        <v>36.93</v>
      </c>
      <c r="J735">
        <v>374</v>
      </c>
      <c r="K735">
        <v>122</v>
      </c>
      <c r="L735">
        <v>30</v>
      </c>
      <c r="M735">
        <v>73</v>
      </c>
      <c r="N735">
        <v>0</v>
      </c>
      <c r="O735">
        <v>1409</v>
      </c>
      <c r="P735">
        <v>0</v>
      </c>
      <c r="Q735">
        <v>-161</v>
      </c>
    </row>
    <row r="736" spans="1:17" x14ac:dyDescent="0.45">
      <c r="A736">
        <v>2198</v>
      </c>
      <c r="B736" t="s">
        <v>796</v>
      </c>
      <c r="C736">
        <v>3853</v>
      </c>
      <c r="D736">
        <v>3</v>
      </c>
      <c r="E736">
        <v>1516.5</v>
      </c>
      <c r="F736">
        <v>1502.2</v>
      </c>
      <c r="G736">
        <v>2938</v>
      </c>
      <c r="H736">
        <v>1</v>
      </c>
      <c r="I736">
        <v>23.82</v>
      </c>
      <c r="J736">
        <v>1423</v>
      </c>
      <c r="K736">
        <v>667</v>
      </c>
      <c r="L736">
        <v>142</v>
      </c>
      <c r="M736">
        <v>294</v>
      </c>
      <c r="N736">
        <v>0</v>
      </c>
      <c r="O736">
        <v>1528</v>
      </c>
      <c r="P736">
        <v>0</v>
      </c>
      <c r="Q736">
        <v>-120</v>
      </c>
    </row>
    <row r="737" spans="1:17" x14ac:dyDescent="0.45">
      <c r="A737">
        <v>2079</v>
      </c>
      <c r="B737" t="s">
        <v>797</v>
      </c>
      <c r="C737">
        <v>213</v>
      </c>
      <c r="D737">
        <v>3</v>
      </c>
      <c r="E737">
        <v>199.6</v>
      </c>
      <c r="F737">
        <v>0</v>
      </c>
      <c r="G737">
        <v>305.89999999999998</v>
      </c>
      <c r="H737">
        <v>3</v>
      </c>
      <c r="I737">
        <v>36.93</v>
      </c>
      <c r="J737">
        <v>68</v>
      </c>
      <c r="K737">
        <v>31</v>
      </c>
      <c r="L737">
        <v>7</v>
      </c>
      <c r="M737">
        <v>18</v>
      </c>
      <c r="N737">
        <v>0</v>
      </c>
      <c r="O737">
        <v>1737</v>
      </c>
      <c r="P737">
        <v>0</v>
      </c>
      <c r="Q737">
        <v>-161</v>
      </c>
    </row>
    <row r="738" spans="1:17" x14ac:dyDescent="0.45">
      <c r="A738">
        <v>5187</v>
      </c>
      <c r="B738" t="s">
        <v>799</v>
      </c>
      <c r="C738">
        <v>1367</v>
      </c>
      <c r="D738">
        <v>3</v>
      </c>
      <c r="E738">
        <v>1054.5999999999999</v>
      </c>
      <c r="F738">
        <v>462.1</v>
      </c>
      <c r="G738">
        <v>801</v>
      </c>
      <c r="H738">
        <v>1</v>
      </c>
      <c r="I738">
        <v>18.600000000000001</v>
      </c>
      <c r="J738">
        <v>647</v>
      </c>
      <c r="K738">
        <v>208</v>
      </c>
      <c r="L738">
        <v>33</v>
      </c>
      <c r="M738">
        <v>123</v>
      </c>
      <c r="N738">
        <v>0</v>
      </c>
      <c r="O738">
        <v>0</v>
      </c>
      <c r="P738">
        <v>0</v>
      </c>
      <c r="Q738">
        <v>-40</v>
      </c>
    </row>
    <row r="739" spans="1:17" x14ac:dyDescent="0.45">
      <c r="A739">
        <v>194</v>
      </c>
      <c r="B739" t="s">
        <v>800</v>
      </c>
      <c r="C739">
        <v>5329</v>
      </c>
      <c r="D739">
        <v>3</v>
      </c>
      <c r="E739">
        <v>2533.1</v>
      </c>
      <c r="F739">
        <v>986.8</v>
      </c>
      <c r="G739">
        <v>1695.7</v>
      </c>
      <c r="H739">
        <v>1</v>
      </c>
      <c r="I739">
        <v>15.69</v>
      </c>
      <c r="J739">
        <v>1488</v>
      </c>
      <c r="K739">
        <v>549</v>
      </c>
      <c r="L739">
        <v>94</v>
      </c>
      <c r="M739">
        <v>251</v>
      </c>
      <c r="N739">
        <v>0</v>
      </c>
      <c r="O739">
        <v>417</v>
      </c>
      <c r="P739">
        <v>0</v>
      </c>
      <c r="Q739">
        <v>-60</v>
      </c>
    </row>
    <row r="740" spans="1:17" x14ac:dyDescent="0.45">
      <c r="A740">
        <v>2786</v>
      </c>
      <c r="B740" t="s">
        <v>801</v>
      </c>
      <c r="C740">
        <v>1926</v>
      </c>
      <c r="D740">
        <v>1</v>
      </c>
      <c r="E740">
        <v>2745.6</v>
      </c>
      <c r="F740">
        <v>1.5</v>
      </c>
      <c r="G740">
        <v>843.7</v>
      </c>
      <c r="H740">
        <v>2</v>
      </c>
      <c r="I740">
        <v>20.72</v>
      </c>
      <c r="J740">
        <v>682</v>
      </c>
      <c r="K740">
        <v>275</v>
      </c>
      <c r="L740">
        <v>46</v>
      </c>
      <c r="M740">
        <v>108</v>
      </c>
      <c r="N740">
        <v>0</v>
      </c>
      <c r="O740">
        <v>58</v>
      </c>
      <c r="P740">
        <v>0</v>
      </c>
      <c r="Q740">
        <v>-361</v>
      </c>
    </row>
    <row r="741" spans="1:17" x14ac:dyDescent="0.45">
      <c r="A741">
        <v>2546</v>
      </c>
      <c r="B741" t="s">
        <v>802</v>
      </c>
      <c r="C741">
        <v>17939</v>
      </c>
      <c r="D741">
        <v>1</v>
      </c>
      <c r="E741">
        <v>11904.7</v>
      </c>
      <c r="F741">
        <v>18844.3</v>
      </c>
      <c r="G741">
        <v>10055.799999999999</v>
      </c>
      <c r="H741">
        <v>1</v>
      </c>
      <c r="I741">
        <v>19.07</v>
      </c>
      <c r="J741">
        <v>6347</v>
      </c>
      <c r="K741">
        <v>2848</v>
      </c>
      <c r="L741">
        <v>231</v>
      </c>
      <c r="M741">
        <v>699</v>
      </c>
      <c r="N741">
        <v>0</v>
      </c>
      <c r="O741">
        <v>2092</v>
      </c>
      <c r="P741">
        <v>4153.13</v>
      </c>
      <c r="Q741">
        <v>-2047</v>
      </c>
    </row>
    <row r="742" spans="1:17" x14ac:dyDescent="0.45">
      <c r="A742">
        <v>2261</v>
      </c>
      <c r="B742" t="s">
        <v>803</v>
      </c>
      <c r="C742">
        <v>170</v>
      </c>
      <c r="D742">
        <v>3</v>
      </c>
      <c r="E742">
        <v>303.89999999999998</v>
      </c>
      <c r="F742">
        <v>0</v>
      </c>
      <c r="G742">
        <v>70.400000000000006</v>
      </c>
      <c r="H742">
        <v>3</v>
      </c>
      <c r="I742">
        <v>36.93</v>
      </c>
      <c r="J742">
        <v>94</v>
      </c>
      <c r="K742">
        <v>28</v>
      </c>
      <c r="L742">
        <v>12</v>
      </c>
      <c r="M742">
        <v>15</v>
      </c>
      <c r="N742">
        <v>0</v>
      </c>
      <c r="O742">
        <v>809</v>
      </c>
      <c r="P742">
        <v>0</v>
      </c>
      <c r="Q742">
        <v>-20</v>
      </c>
    </row>
    <row r="743" spans="1:17" x14ac:dyDescent="0.45">
      <c r="A743">
        <v>6177</v>
      </c>
      <c r="B743" t="s">
        <v>804</v>
      </c>
      <c r="C743">
        <v>419</v>
      </c>
      <c r="D743">
        <v>3</v>
      </c>
      <c r="E743">
        <v>565</v>
      </c>
      <c r="F743">
        <v>12.7</v>
      </c>
      <c r="G743">
        <v>315.8</v>
      </c>
      <c r="H743">
        <v>3</v>
      </c>
      <c r="I743">
        <v>30.8</v>
      </c>
      <c r="J743">
        <v>139</v>
      </c>
      <c r="K743">
        <v>89</v>
      </c>
      <c r="L743">
        <v>7</v>
      </c>
      <c r="M743">
        <v>4</v>
      </c>
      <c r="N743">
        <v>0</v>
      </c>
      <c r="O743">
        <v>1942</v>
      </c>
      <c r="P743">
        <v>0</v>
      </c>
      <c r="Q743">
        <v>-3251</v>
      </c>
    </row>
    <row r="744" spans="1:17" x14ac:dyDescent="0.45">
      <c r="A744">
        <v>5722</v>
      </c>
      <c r="B744" t="s">
        <v>805</v>
      </c>
      <c r="C744">
        <v>399</v>
      </c>
      <c r="D744">
        <v>3</v>
      </c>
      <c r="E744">
        <v>634.20000000000005</v>
      </c>
      <c r="F744">
        <v>59.7</v>
      </c>
      <c r="G744">
        <v>341.6</v>
      </c>
      <c r="H744">
        <v>2</v>
      </c>
      <c r="I744">
        <v>26.72</v>
      </c>
      <c r="J744">
        <v>154</v>
      </c>
      <c r="K744">
        <v>48</v>
      </c>
      <c r="L744">
        <v>15</v>
      </c>
      <c r="M744">
        <v>31</v>
      </c>
      <c r="N744">
        <v>0</v>
      </c>
      <c r="O744">
        <v>1580</v>
      </c>
      <c r="P744">
        <v>0</v>
      </c>
      <c r="Q744">
        <v>-20</v>
      </c>
    </row>
    <row r="745" spans="1:17" x14ac:dyDescent="0.45">
      <c r="A745">
        <v>1056</v>
      </c>
      <c r="B745" t="s">
        <v>806</v>
      </c>
      <c r="C745">
        <v>1196</v>
      </c>
      <c r="D745">
        <v>1</v>
      </c>
      <c r="E745">
        <v>384.6</v>
      </c>
      <c r="F745">
        <v>0</v>
      </c>
      <c r="G745">
        <v>1054.4000000000001</v>
      </c>
      <c r="H745">
        <v>2</v>
      </c>
      <c r="I745">
        <v>28.41</v>
      </c>
      <c r="J745">
        <v>416</v>
      </c>
      <c r="K745">
        <v>169</v>
      </c>
      <c r="L745">
        <v>31</v>
      </c>
      <c r="M745">
        <v>77</v>
      </c>
      <c r="N745">
        <v>0</v>
      </c>
      <c r="O745">
        <v>1425</v>
      </c>
      <c r="P745">
        <v>0</v>
      </c>
      <c r="Q745">
        <v>-221</v>
      </c>
    </row>
    <row r="746" spans="1:17" x14ac:dyDescent="0.45">
      <c r="A746">
        <v>2576</v>
      </c>
      <c r="B746" t="s">
        <v>807</v>
      </c>
      <c r="C746">
        <v>2759</v>
      </c>
      <c r="D746">
        <v>3</v>
      </c>
      <c r="E746">
        <v>2601.5</v>
      </c>
      <c r="F746">
        <v>195.2</v>
      </c>
      <c r="G746">
        <v>2491.3000000000002</v>
      </c>
      <c r="H746">
        <v>1</v>
      </c>
      <c r="I746">
        <v>19.07</v>
      </c>
      <c r="J746">
        <v>1174</v>
      </c>
      <c r="K746">
        <v>450</v>
      </c>
      <c r="L746">
        <v>65</v>
      </c>
      <c r="M746">
        <v>125</v>
      </c>
      <c r="N746">
        <v>0</v>
      </c>
      <c r="O746">
        <v>885</v>
      </c>
      <c r="P746">
        <v>0</v>
      </c>
      <c r="Q746">
        <v>-401</v>
      </c>
    </row>
    <row r="747" spans="1:17" x14ac:dyDescent="0.45">
      <c r="A747">
        <v>6263</v>
      </c>
      <c r="B747" t="s">
        <v>808</v>
      </c>
      <c r="C747">
        <v>3774</v>
      </c>
      <c r="D747">
        <v>3</v>
      </c>
      <c r="E747">
        <v>2595.4</v>
      </c>
      <c r="F747">
        <v>90.2</v>
      </c>
      <c r="G747">
        <v>4580.3999999999996</v>
      </c>
      <c r="H747">
        <v>1</v>
      </c>
      <c r="I747">
        <v>24.74</v>
      </c>
      <c r="J747">
        <v>1593</v>
      </c>
      <c r="K747">
        <v>529</v>
      </c>
      <c r="L747">
        <v>128</v>
      </c>
      <c r="M747">
        <v>198</v>
      </c>
      <c r="N747">
        <v>0</v>
      </c>
      <c r="O747">
        <v>510</v>
      </c>
      <c r="P747">
        <v>0</v>
      </c>
      <c r="Q747">
        <v>-161</v>
      </c>
    </row>
    <row r="748" spans="1:17" x14ac:dyDescent="0.45">
      <c r="A748">
        <v>2617</v>
      </c>
      <c r="B748" t="s">
        <v>809</v>
      </c>
      <c r="C748">
        <v>503</v>
      </c>
      <c r="D748">
        <v>2</v>
      </c>
      <c r="E748">
        <v>618.4</v>
      </c>
      <c r="F748">
        <v>0</v>
      </c>
      <c r="G748">
        <v>346.5</v>
      </c>
      <c r="H748">
        <v>3</v>
      </c>
      <c r="I748">
        <v>28.59</v>
      </c>
      <c r="J748">
        <v>177</v>
      </c>
      <c r="K748">
        <v>87</v>
      </c>
      <c r="L748">
        <v>13</v>
      </c>
      <c r="M748">
        <v>19</v>
      </c>
      <c r="N748">
        <v>0</v>
      </c>
      <c r="O748">
        <v>1081</v>
      </c>
      <c r="P748">
        <v>0</v>
      </c>
      <c r="Q748">
        <v>-261</v>
      </c>
    </row>
    <row r="749" spans="1:17" x14ac:dyDescent="0.45">
      <c r="A749">
        <v>576</v>
      </c>
      <c r="B749" t="s">
        <v>810</v>
      </c>
      <c r="C749">
        <v>3756</v>
      </c>
      <c r="D749">
        <v>2</v>
      </c>
      <c r="E749">
        <v>9961.6</v>
      </c>
      <c r="F749">
        <v>5.0999999999999996</v>
      </c>
      <c r="G749">
        <v>2398</v>
      </c>
      <c r="H749">
        <v>2</v>
      </c>
      <c r="I749">
        <v>24.84</v>
      </c>
      <c r="J749">
        <v>1109</v>
      </c>
      <c r="K749">
        <v>824</v>
      </c>
      <c r="L749">
        <v>36</v>
      </c>
      <c r="M749">
        <v>122</v>
      </c>
      <c r="N749">
        <v>0</v>
      </c>
      <c r="O749">
        <v>7237</v>
      </c>
      <c r="P749">
        <v>886</v>
      </c>
      <c r="Q749">
        <v>-5198</v>
      </c>
    </row>
    <row r="750" spans="1:17" x14ac:dyDescent="0.45">
      <c r="A750">
        <v>2200</v>
      </c>
      <c r="B750" t="s">
        <v>811</v>
      </c>
      <c r="C750">
        <v>2093</v>
      </c>
      <c r="D750">
        <v>3</v>
      </c>
      <c r="E750">
        <v>1510.2</v>
      </c>
      <c r="F750">
        <v>66.3</v>
      </c>
      <c r="G750">
        <v>2088.9</v>
      </c>
      <c r="H750">
        <v>2</v>
      </c>
      <c r="I750">
        <v>28.63</v>
      </c>
      <c r="J750">
        <v>890</v>
      </c>
      <c r="K750">
        <v>247</v>
      </c>
      <c r="L750">
        <v>37</v>
      </c>
      <c r="M750">
        <v>166</v>
      </c>
      <c r="N750">
        <v>0</v>
      </c>
      <c r="O750">
        <v>1622</v>
      </c>
      <c r="P750">
        <v>129.22</v>
      </c>
      <c r="Q750">
        <v>-181</v>
      </c>
    </row>
    <row r="751" spans="1:17" x14ac:dyDescent="0.45">
      <c r="A751">
        <v>3832</v>
      </c>
      <c r="B751" t="s">
        <v>813</v>
      </c>
      <c r="C751">
        <v>1513</v>
      </c>
      <c r="D751">
        <v>3</v>
      </c>
      <c r="E751">
        <v>1176.7</v>
      </c>
      <c r="F751">
        <v>17.3</v>
      </c>
      <c r="G751">
        <v>1511.6</v>
      </c>
      <c r="H751">
        <v>3</v>
      </c>
      <c r="I751">
        <v>29.04</v>
      </c>
      <c r="J751">
        <v>707</v>
      </c>
      <c r="K751">
        <v>316</v>
      </c>
      <c r="L751">
        <v>36</v>
      </c>
      <c r="M751">
        <v>136</v>
      </c>
      <c r="N751">
        <v>0</v>
      </c>
      <c r="O751">
        <v>394</v>
      </c>
      <c r="P751">
        <v>0</v>
      </c>
      <c r="Q751">
        <v>-4295</v>
      </c>
    </row>
    <row r="752" spans="1:17" x14ac:dyDescent="0.45">
      <c r="A752">
        <v>303</v>
      </c>
      <c r="B752" t="s">
        <v>814</v>
      </c>
      <c r="C752">
        <v>3064</v>
      </c>
      <c r="D752">
        <v>2</v>
      </c>
      <c r="E752">
        <v>3765.4</v>
      </c>
      <c r="F752">
        <v>10.7</v>
      </c>
      <c r="G752">
        <v>3633</v>
      </c>
      <c r="H752">
        <v>2</v>
      </c>
      <c r="I752">
        <v>24.84</v>
      </c>
      <c r="J752">
        <v>1259</v>
      </c>
      <c r="K752">
        <v>469</v>
      </c>
      <c r="L752">
        <v>62</v>
      </c>
      <c r="M752">
        <v>120</v>
      </c>
      <c r="N752">
        <v>0</v>
      </c>
      <c r="O752">
        <v>3589</v>
      </c>
      <c r="P752">
        <v>0</v>
      </c>
      <c r="Q752">
        <v>-783</v>
      </c>
    </row>
    <row r="753" spans="1:17" x14ac:dyDescent="0.45">
      <c r="A753">
        <v>1131</v>
      </c>
      <c r="B753" t="s">
        <v>815</v>
      </c>
      <c r="C753">
        <v>876</v>
      </c>
      <c r="D753">
        <v>3</v>
      </c>
      <c r="E753">
        <v>881.6</v>
      </c>
      <c r="F753">
        <v>3.6</v>
      </c>
      <c r="G753">
        <v>2511.5</v>
      </c>
      <c r="H753">
        <v>3</v>
      </c>
      <c r="I753">
        <v>26.39</v>
      </c>
      <c r="J753">
        <v>321</v>
      </c>
      <c r="K753">
        <v>150</v>
      </c>
      <c r="L753">
        <v>25</v>
      </c>
      <c r="M753">
        <v>22</v>
      </c>
      <c r="N753">
        <v>0</v>
      </c>
      <c r="O753">
        <v>7384</v>
      </c>
      <c r="P753">
        <v>0</v>
      </c>
      <c r="Q753">
        <v>-421</v>
      </c>
    </row>
    <row r="754" spans="1:17" x14ac:dyDescent="0.45">
      <c r="A754">
        <v>608</v>
      </c>
      <c r="B754" t="s">
        <v>816</v>
      </c>
      <c r="C754">
        <v>4130</v>
      </c>
      <c r="D754">
        <v>2</v>
      </c>
      <c r="E754">
        <v>4635.3999999999996</v>
      </c>
      <c r="F754">
        <v>41.6</v>
      </c>
      <c r="G754">
        <v>2759.1</v>
      </c>
      <c r="H754">
        <v>2</v>
      </c>
      <c r="I754">
        <v>24.84</v>
      </c>
      <c r="J754">
        <v>1661</v>
      </c>
      <c r="K754">
        <v>715</v>
      </c>
      <c r="L754">
        <v>74</v>
      </c>
      <c r="M754">
        <v>180</v>
      </c>
      <c r="N754">
        <v>0</v>
      </c>
      <c r="O754">
        <v>3015</v>
      </c>
      <c r="P754">
        <v>1306.8499999999999</v>
      </c>
      <c r="Q754">
        <v>-261</v>
      </c>
    </row>
    <row r="755" spans="1:17" x14ac:dyDescent="0.45">
      <c r="A755">
        <v>1086</v>
      </c>
      <c r="B755" t="s">
        <v>817</v>
      </c>
      <c r="C755">
        <v>3221</v>
      </c>
      <c r="D755">
        <v>3</v>
      </c>
      <c r="E755">
        <v>2431.6</v>
      </c>
      <c r="F755">
        <v>0</v>
      </c>
      <c r="G755">
        <v>9355.9</v>
      </c>
      <c r="H755">
        <v>2</v>
      </c>
      <c r="I755">
        <v>28.41</v>
      </c>
      <c r="J755">
        <v>1394</v>
      </c>
      <c r="K755">
        <v>600</v>
      </c>
      <c r="L755">
        <v>85</v>
      </c>
      <c r="M755">
        <v>102</v>
      </c>
      <c r="N755">
        <v>0</v>
      </c>
      <c r="O755">
        <v>15061</v>
      </c>
      <c r="P755">
        <v>0</v>
      </c>
      <c r="Q755">
        <v>-582</v>
      </c>
    </row>
    <row r="756" spans="1:17" x14ac:dyDescent="0.45">
      <c r="A756">
        <v>3031</v>
      </c>
      <c r="B756" t="s">
        <v>818</v>
      </c>
      <c r="C756">
        <v>984</v>
      </c>
      <c r="D756">
        <v>3</v>
      </c>
      <c r="E756">
        <v>1410.2</v>
      </c>
      <c r="F756">
        <v>372.1</v>
      </c>
      <c r="G756">
        <v>1167.4000000000001</v>
      </c>
      <c r="H756">
        <v>2</v>
      </c>
      <c r="I756">
        <v>17.79</v>
      </c>
      <c r="J756">
        <v>346</v>
      </c>
      <c r="K756">
        <v>162</v>
      </c>
      <c r="L756">
        <v>13</v>
      </c>
      <c r="M756">
        <v>38</v>
      </c>
      <c r="N756">
        <v>0</v>
      </c>
      <c r="O756">
        <v>1615</v>
      </c>
      <c r="P756">
        <v>0</v>
      </c>
      <c r="Q756">
        <v>-261</v>
      </c>
    </row>
    <row r="757" spans="1:17" x14ac:dyDescent="0.45">
      <c r="A757">
        <v>2135</v>
      </c>
      <c r="B757" t="s">
        <v>821</v>
      </c>
      <c r="C757">
        <v>2282</v>
      </c>
      <c r="D757">
        <v>3</v>
      </c>
      <c r="E757">
        <v>1850.8</v>
      </c>
      <c r="F757">
        <v>231</v>
      </c>
      <c r="G757">
        <v>3141.2</v>
      </c>
      <c r="H757">
        <v>2</v>
      </c>
      <c r="I757">
        <v>28.63</v>
      </c>
      <c r="J757">
        <v>916</v>
      </c>
      <c r="K757">
        <v>299</v>
      </c>
      <c r="L757">
        <v>53</v>
      </c>
      <c r="M757">
        <v>184</v>
      </c>
      <c r="N757">
        <v>0</v>
      </c>
      <c r="O757">
        <v>4039</v>
      </c>
      <c r="P757">
        <v>0</v>
      </c>
      <c r="Q757">
        <v>-2770</v>
      </c>
    </row>
    <row r="758" spans="1:17" x14ac:dyDescent="0.45">
      <c r="A758">
        <v>5405</v>
      </c>
      <c r="B758" t="s">
        <v>822</v>
      </c>
      <c r="C758">
        <v>1387</v>
      </c>
      <c r="D758">
        <v>3</v>
      </c>
      <c r="E758">
        <v>4093.4</v>
      </c>
      <c r="F758">
        <v>1230.9000000000001</v>
      </c>
      <c r="G758">
        <v>2261.1999999999998</v>
      </c>
      <c r="H758">
        <v>3</v>
      </c>
      <c r="I758">
        <v>35.86</v>
      </c>
      <c r="J758">
        <v>515</v>
      </c>
      <c r="K758">
        <v>226</v>
      </c>
      <c r="L758">
        <v>35</v>
      </c>
      <c r="M758">
        <v>103</v>
      </c>
      <c r="N758">
        <v>0</v>
      </c>
      <c r="O758">
        <v>166</v>
      </c>
      <c r="P758">
        <v>276.88</v>
      </c>
      <c r="Q758">
        <v>-1565</v>
      </c>
    </row>
    <row r="759" spans="1:17" x14ac:dyDescent="0.45">
      <c r="A759">
        <v>6285</v>
      </c>
      <c r="B759" t="s">
        <v>786</v>
      </c>
      <c r="C759">
        <v>1271</v>
      </c>
      <c r="D759">
        <v>3</v>
      </c>
      <c r="E759">
        <v>5089.7</v>
      </c>
      <c r="F759">
        <v>24.7</v>
      </c>
      <c r="G759">
        <v>762.5</v>
      </c>
      <c r="H759">
        <v>3</v>
      </c>
      <c r="I759">
        <v>30.8</v>
      </c>
      <c r="J759">
        <v>362</v>
      </c>
      <c r="K759">
        <v>274</v>
      </c>
      <c r="L759">
        <v>23</v>
      </c>
      <c r="M759">
        <v>47</v>
      </c>
      <c r="N759">
        <v>0</v>
      </c>
      <c r="O759">
        <v>660</v>
      </c>
      <c r="P759">
        <v>523.49</v>
      </c>
      <c r="Q759">
        <v>-1405</v>
      </c>
    </row>
    <row r="760" spans="1:17" x14ac:dyDescent="0.45">
      <c r="A760">
        <v>4006</v>
      </c>
      <c r="B760" t="s">
        <v>798</v>
      </c>
      <c r="C760">
        <v>8432</v>
      </c>
      <c r="D760">
        <v>3</v>
      </c>
      <c r="E760">
        <v>7808.7</v>
      </c>
      <c r="F760">
        <v>1339.1</v>
      </c>
      <c r="G760">
        <v>4471.8</v>
      </c>
      <c r="H760">
        <v>1</v>
      </c>
      <c r="I760">
        <v>20.87</v>
      </c>
      <c r="J760">
        <v>3062</v>
      </c>
      <c r="K760">
        <v>1194</v>
      </c>
      <c r="L760">
        <v>152</v>
      </c>
      <c r="M760">
        <v>373</v>
      </c>
      <c r="N760">
        <v>0</v>
      </c>
      <c r="O760">
        <v>1764</v>
      </c>
      <c r="P760">
        <v>448.89</v>
      </c>
      <c r="Q760">
        <v>-1927</v>
      </c>
    </row>
    <row r="761" spans="1:17" x14ac:dyDescent="0.45">
      <c r="A761">
        <v>6238</v>
      </c>
      <c r="B761" t="s">
        <v>812</v>
      </c>
      <c r="C761">
        <v>2545</v>
      </c>
      <c r="D761">
        <v>3</v>
      </c>
      <c r="E761">
        <v>1907.7</v>
      </c>
      <c r="F761">
        <v>1233.5999999999999</v>
      </c>
      <c r="G761">
        <v>2981.4</v>
      </c>
      <c r="H761">
        <v>2</v>
      </c>
      <c r="I761">
        <v>30.34</v>
      </c>
      <c r="J761">
        <v>1211</v>
      </c>
      <c r="K761">
        <v>440</v>
      </c>
      <c r="L761">
        <v>46</v>
      </c>
      <c r="M761">
        <v>96</v>
      </c>
      <c r="N761">
        <v>0</v>
      </c>
      <c r="O761">
        <v>432</v>
      </c>
      <c r="P761">
        <v>0</v>
      </c>
      <c r="Q761">
        <v>-2609</v>
      </c>
    </row>
    <row r="762" spans="1:17" x14ac:dyDescent="0.45">
      <c r="A762">
        <v>116</v>
      </c>
      <c r="B762" t="s">
        <v>819</v>
      </c>
      <c r="C762">
        <v>3845</v>
      </c>
      <c r="D762">
        <v>3</v>
      </c>
      <c r="E762">
        <v>4275.5</v>
      </c>
      <c r="F762">
        <v>11.6</v>
      </c>
      <c r="G762">
        <v>2482.4</v>
      </c>
      <c r="H762">
        <v>2</v>
      </c>
      <c r="I762">
        <v>24.61</v>
      </c>
      <c r="J762">
        <v>1542</v>
      </c>
      <c r="K762">
        <v>569</v>
      </c>
      <c r="L762">
        <v>131</v>
      </c>
      <c r="M762">
        <v>210</v>
      </c>
      <c r="N762">
        <v>0</v>
      </c>
      <c r="O762">
        <v>3074</v>
      </c>
      <c r="P762">
        <v>0</v>
      </c>
      <c r="Q762">
        <v>-341</v>
      </c>
    </row>
    <row r="763" spans="1:17" x14ac:dyDescent="0.45">
      <c r="A763">
        <v>3961</v>
      </c>
      <c r="B763" t="s">
        <v>820</v>
      </c>
      <c r="C763">
        <v>2153</v>
      </c>
      <c r="D763">
        <v>3</v>
      </c>
      <c r="E763">
        <v>2284.6999999999998</v>
      </c>
      <c r="F763">
        <v>7.6</v>
      </c>
      <c r="G763">
        <v>3563.5</v>
      </c>
      <c r="H763">
        <v>3</v>
      </c>
      <c r="I763">
        <v>29.04</v>
      </c>
      <c r="J763">
        <v>663</v>
      </c>
      <c r="K763">
        <v>536</v>
      </c>
      <c r="L763">
        <v>60</v>
      </c>
      <c r="M763">
        <v>108</v>
      </c>
      <c r="N763">
        <v>0</v>
      </c>
      <c r="O763">
        <v>6196</v>
      </c>
      <c r="P763">
        <v>0</v>
      </c>
      <c r="Q763">
        <v>-3853</v>
      </c>
    </row>
    <row r="764" spans="1:17" x14ac:dyDescent="0.45">
      <c r="A764">
        <v>841</v>
      </c>
      <c r="B764" t="s">
        <v>823</v>
      </c>
      <c r="C764">
        <v>1003</v>
      </c>
      <c r="D764">
        <v>2</v>
      </c>
      <c r="E764">
        <v>1578.4</v>
      </c>
      <c r="F764">
        <v>187</v>
      </c>
      <c r="G764">
        <v>791.2</v>
      </c>
      <c r="H764">
        <v>3</v>
      </c>
      <c r="I764">
        <v>26.41</v>
      </c>
      <c r="J764">
        <v>493</v>
      </c>
      <c r="K764">
        <v>256</v>
      </c>
      <c r="L764">
        <v>21</v>
      </c>
      <c r="M764">
        <v>60</v>
      </c>
      <c r="N764">
        <v>0</v>
      </c>
      <c r="O764">
        <v>4515</v>
      </c>
      <c r="P764">
        <v>0</v>
      </c>
      <c r="Q764">
        <v>-3994</v>
      </c>
    </row>
    <row r="765" spans="1:17" x14ac:dyDescent="0.45">
      <c r="A765">
        <v>577</v>
      </c>
      <c r="B765" t="s">
        <v>824</v>
      </c>
      <c r="C765">
        <v>426</v>
      </c>
      <c r="D765">
        <v>3</v>
      </c>
      <c r="E765">
        <v>513.6</v>
      </c>
      <c r="F765">
        <v>4.4000000000000004</v>
      </c>
      <c r="G765">
        <v>248.5</v>
      </c>
      <c r="H765">
        <v>3</v>
      </c>
      <c r="I765">
        <v>26.41</v>
      </c>
      <c r="J765">
        <v>146</v>
      </c>
      <c r="K765">
        <v>82</v>
      </c>
      <c r="L765">
        <v>6</v>
      </c>
      <c r="M765">
        <v>10</v>
      </c>
      <c r="N765">
        <v>0</v>
      </c>
      <c r="O765">
        <v>484</v>
      </c>
      <c r="P765">
        <v>0</v>
      </c>
      <c r="Q765">
        <v>-843</v>
      </c>
    </row>
    <row r="766" spans="1:17" x14ac:dyDescent="0.45">
      <c r="A766">
        <v>852</v>
      </c>
      <c r="B766" t="s">
        <v>825</v>
      </c>
      <c r="C766">
        <v>1478</v>
      </c>
      <c r="D766">
        <v>3</v>
      </c>
      <c r="E766">
        <v>1490.1</v>
      </c>
      <c r="F766">
        <v>41.7</v>
      </c>
      <c r="G766">
        <v>883.2</v>
      </c>
      <c r="H766">
        <v>3</v>
      </c>
      <c r="I766">
        <v>26.41</v>
      </c>
      <c r="J766">
        <v>622</v>
      </c>
      <c r="K766">
        <v>264</v>
      </c>
      <c r="L766">
        <v>13</v>
      </c>
      <c r="M766">
        <v>50</v>
      </c>
      <c r="N766">
        <v>0</v>
      </c>
      <c r="O766">
        <v>12975</v>
      </c>
      <c r="P766">
        <v>33.979999999999997</v>
      </c>
      <c r="Q766">
        <v>-4134</v>
      </c>
    </row>
    <row r="767" spans="1:17" x14ac:dyDescent="0.45">
      <c r="A767">
        <v>2578</v>
      </c>
      <c r="B767" t="s">
        <v>828</v>
      </c>
      <c r="C767">
        <v>1714</v>
      </c>
      <c r="D767">
        <v>3</v>
      </c>
      <c r="E767">
        <v>2327.8000000000002</v>
      </c>
      <c r="F767">
        <v>23.1</v>
      </c>
      <c r="G767">
        <v>1875.3</v>
      </c>
      <c r="H767">
        <v>3</v>
      </c>
      <c r="I767">
        <v>28.59</v>
      </c>
      <c r="J767">
        <v>740</v>
      </c>
      <c r="K767">
        <v>261</v>
      </c>
      <c r="L767">
        <v>40</v>
      </c>
      <c r="M767">
        <v>114</v>
      </c>
      <c r="N767">
        <v>0</v>
      </c>
      <c r="O767">
        <v>1362</v>
      </c>
      <c r="P767">
        <v>1495.13</v>
      </c>
      <c r="Q767">
        <v>-181</v>
      </c>
    </row>
    <row r="768" spans="1:17" x14ac:dyDescent="0.45">
      <c r="A768">
        <v>665</v>
      </c>
      <c r="B768" t="s">
        <v>829</v>
      </c>
      <c r="C768">
        <v>247</v>
      </c>
      <c r="D768">
        <v>3</v>
      </c>
      <c r="E768">
        <v>351.3</v>
      </c>
      <c r="F768">
        <v>0</v>
      </c>
      <c r="G768">
        <v>244.3</v>
      </c>
      <c r="H768">
        <v>3</v>
      </c>
      <c r="I768">
        <v>26.41</v>
      </c>
      <c r="J768">
        <v>106</v>
      </c>
      <c r="K768">
        <v>55</v>
      </c>
      <c r="L768">
        <v>5</v>
      </c>
      <c r="M768">
        <v>2</v>
      </c>
      <c r="N768">
        <v>0</v>
      </c>
      <c r="O768">
        <v>759</v>
      </c>
      <c r="P768">
        <v>0</v>
      </c>
      <c r="Q768">
        <v>-40</v>
      </c>
    </row>
    <row r="769" spans="1:17" x14ac:dyDescent="0.45">
      <c r="A769">
        <v>2262</v>
      </c>
      <c r="B769" t="s">
        <v>830</v>
      </c>
      <c r="C769">
        <v>4524</v>
      </c>
      <c r="D769">
        <v>3</v>
      </c>
      <c r="E769">
        <v>3234</v>
      </c>
      <c r="F769">
        <v>0</v>
      </c>
      <c r="G769">
        <v>5180.3</v>
      </c>
      <c r="H769">
        <v>3</v>
      </c>
      <c r="I769">
        <v>36.93</v>
      </c>
      <c r="J769">
        <v>1880</v>
      </c>
      <c r="K769">
        <v>680</v>
      </c>
      <c r="L769">
        <v>114</v>
      </c>
      <c r="M769">
        <v>268</v>
      </c>
      <c r="N769">
        <v>0</v>
      </c>
      <c r="O769">
        <v>6497</v>
      </c>
      <c r="P769">
        <v>0</v>
      </c>
      <c r="Q769">
        <v>-682</v>
      </c>
    </row>
    <row r="770" spans="1:17" x14ac:dyDescent="0.45">
      <c r="A770">
        <v>1209</v>
      </c>
      <c r="B770" t="s">
        <v>831</v>
      </c>
      <c r="C770">
        <v>496</v>
      </c>
      <c r="D770">
        <v>3</v>
      </c>
      <c r="E770">
        <v>397.5</v>
      </c>
      <c r="F770">
        <v>0</v>
      </c>
      <c r="G770">
        <v>162.1</v>
      </c>
      <c r="H770">
        <v>3</v>
      </c>
      <c r="I770">
        <v>24.76</v>
      </c>
      <c r="J770">
        <v>174</v>
      </c>
      <c r="K770">
        <v>101</v>
      </c>
      <c r="L770">
        <v>1</v>
      </c>
      <c r="M770">
        <v>17</v>
      </c>
      <c r="N770">
        <v>0</v>
      </c>
      <c r="O770">
        <v>1433</v>
      </c>
      <c r="P770">
        <v>0</v>
      </c>
      <c r="Q770">
        <v>-4837</v>
      </c>
    </row>
    <row r="771" spans="1:17" x14ac:dyDescent="0.45">
      <c r="A771">
        <v>867</v>
      </c>
      <c r="B771" t="s">
        <v>832</v>
      </c>
      <c r="C771">
        <v>889</v>
      </c>
      <c r="D771">
        <v>2</v>
      </c>
      <c r="E771">
        <v>1034</v>
      </c>
      <c r="F771">
        <v>14.3</v>
      </c>
      <c r="G771">
        <v>932.3</v>
      </c>
      <c r="H771">
        <v>2</v>
      </c>
      <c r="I771">
        <v>24.84</v>
      </c>
      <c r="J771">
        <v>353</v>
      </c>
      <c r="K771">
        <v>141</v>
      </c>
      <c r="L771">
        <v>19</v>
      </c>
      <c r="M771">
        <v>28</v>
      </c>
      <c r="N771">
        <v>0</v>
      </c>
      <c r="O771">
        <v>3200</v>
      </c>
      <c r="P771">
        <v>0</v>
      </c>
      <c r="Q771">
        <v>-120</v>
      </c>
    </row>
    <row r="772" spans="1:17" x14ac:dyDescent="0.45">
      <c r="A772">
        <v>782</v>
      </c>
      <c r="B772" t="s">
        <v>833</v>
      </c>
      <c r="C772">
        <v>246</v>
      </c>
      <c r="D772">
        <v>3</v>
      </c>
      <c r="E772">
        <v>314.2</v>
      </c>
      <c r="F772">
        <v>0</v>
      </c>
      <c r="G772">
        <v>624.4</v>
      </c>
      <c r="H772">
        <v>3</v>
      </c>
      <c r="I772">
        <v>26.41</v>
      </c>
      <c r="J772">
        <v>86</v>
      </c>
      <c r="K772">
        <v>44</v>
      </c>
      <c r="L772">
        <v>1</v>
      </c>
      <c r="M772">
        <v>4</v>
      </c>
      <c r="N772">
        <v>0</v>
      </c>
      <c r="O772">
        <v>578</v>
      </c>
      <c r="P772">
        <v>38.409999999999997</v>
      </c>
      <c r="Q772">
        <v>-3793</v>
      </c>
    </row>
    <row r="773" spans="1:17" x14ac:dyDescent="0.45">
      <c r="A773">
        <v>6117</v>
      </c>
      <c r="B773" t="s">
        <v>834</v>
      </c>
      <c r="C773">
        <v>437</v>
      </c>
      <c r="D773">
        <v>3</v>
      </c>
      <c r="E773">
        <v>929.4</v>
      </c>
      <c r="F773">
        <v>7.2</v>
      </c>
      <c r="G773">
        <v>583.4</v>
      </c>
      <c r="H773">
        <v>3</v>
      </c>
      <c r="I773">
        <v>30.8</v>
      </c>
      <c r="J773">
        <v>141</v>
      </c>
      <c r="K773">
        <v>120</v>
      </c>
      <c r="L773">
        <v>9</v>
      </c>
      <c r="M773">
        <v>22</v>
      </c>
      <c r="N773">
        <v>0</v>
      </c>
      <c r="O773">
        <v>264</v>
      </c>
      <c r="P773">
        <v>0</v>
      </c>
      <c r="Q773">
        <v>-542</v>
      </c>
    </row>
    <row r="774" spans="1:17" x14ac:dyDescent="0.45">
      <c r="A774">
        <v>6624</v>
      </c>
      <c r="B774" t="s">
        <v>836</v>
      </c>
      <c r="C774">
        <v>499</v>
      </c>
      <c r="D774">
        <v>3</v>
      </c>
      <c r="E774">
        <v>587.4</v>
      </c>
      <c r="F774">
        <v>155.1</v>
      </c>
      <c r="G774">
        <v>367.4</v>
      </c>
      <c r="H774">
        <v>2</v>
      </c>
      <c r="I774">
        <v>18.96</v>
      </c>
      <c r="J774">
        <v>217</v>
      </c>
      <c r="K774">
        <v>48</v>
      </c>
      <c r="L774">
        <v>8</v>
      </c>
      <c r="M774">
        <v>35</v>
      </c>
      <c r="N774">
        <v>0</v>
      </c>
      <c r="O774">
        <v>734</v>
      </c>
      <c r="P774">
        <v>0</v>
      </c>
      <c r="Q774">
        <v>-201</v>
      </c>
    </row>
    <row r="775" spans="1:17" x14ac:dyDescent="0.45">
      <c r="A775">
        <v>2901</v>
      </c>
      <c r="B775" t="s">
        <v>729</v>
      </c>
      <c r="C775">
        <v>929</v>
      </c>
      <c r="D775">
        <v>3</v>
      </c>
      <c r="E775">
        <v>942.4</v>
      </c>
      <c r="F775">
        <v>4.4000000000000004</v>
      </c>
      <c r="G775">
        <v>732</v>
      </c>
      <c r="H775">
        <v>3</v>
      </c>
      <c r="I775">
        <v>19.850000000000001</v>
      </c>
      <c r="J775">
        <v>399</v>
      </c>
      <c r="K775">
        <v>164</v>
      </c>
      <c r="L775">
        <v>21</v>
      </c>
      <c r="M775">
        <v>30</v>
      </c>
      <c r="N775">
        <v>0</v>
      </c>
      <c r="O775">
        <v>3597</v>
      </c>
      <c r="P775">
        <v>0</v>
      </c>
      <c r="Q775">
        <v>-241</v>
      </c>
    </row>
    <row r="776" spans="1:17" x14ac:dyDescent="0.45">
      <c r="A776">
        <v>1208</v>
      </c>
      <c r="B776" t="s">
        <v>779</v>
      </c>
      <c r="C776">
        <v>445</v>
      </c>
      <c r="D776">
        <v>3</v>
      </c>
      <c r="E776">
        <v>822.5</v>
      </c>
      <c r="F776">
        <v>0</v>
      </c>
      <c r="G776">
        <v>63.7</v>
      </c>
      <c r="H776">
        <v>3</v>
      </c>
      <c r="I776">
        <v>24.76</v>
      </c>
      <c r="J776">
        <v>120</v>
      </c>
      <c r="K776">
        <v>104</v>
      </c>
      <c r="L776">
        <v>4</v>
      </c>
      <c r="M776">
        <v>15</v>
      </c>
      <c r="N776">
        <v>0</v>
      </c>
      <c r="O776">
        <v>390</v>
      </c>
      <c r="P776">
        <v>66.45</v>
      </c>
      <c r="Q776">
        <v>-2830</v>
      </c>
    </row>
    <row r="777" spans="1:17" x14ac:dyDescent="0.45">
      <c r="A777">
        <v>578</v>
      </c>
      <c r="B777" t="s">
        <v>826</v>
      </c>
      <c r="C777">
        <v>351</v>
      </c>
      <c r="D777">
        <v>3</v>
      </c>
      <c r="E777">
        <v>341.9</v>
      </c>
      <c r="F777">
        <v>0</v>
      </c>
      <c r="G777">
        <v>60.9</v>
      </c>
      <c r="H777">
        <v>3</v>
      </c>
      <c r="I777">
        <v>26.41</v>
      </c>
      <c r="J777">
        <v>102</v>
      </c>
      <c r="K777">
        <v>52</v>
      </c>
      <c r="L777">
        <v>3</v>
      </c>
      <c r="M777">
        <v>17</v>
      </c>
      <c r="N777">
        <v>0</v>
      </c>
      <c r="O777">
        <v>110</v>
      </c>
      <c r="P777">
        <v>0</v>
      </c>
      <c r="Q777">
        <v>-1264</v>
      </c>
    </row>
    <row r="778" spans="1:17" x14ac:dyDescent="0.45">
      <c r="A778">
        <v>2547</v>
      </c>
      <c r="B778" t="s">
        <v>827</v>
      </c>
      <c r="C778">
        <v>1191</v>
      </c>
      <c r="D778">
        <v>2</v>
      </c>
      <c r="E778">
        <v>1345.4</v>
      </c>
      <c r="F778">
        <v>29.2</v>
      </c>
      <c r="G778">
        <v>1009.2</v>
      </c>
      <c r="H778">
        <v>3</v>
      </c>
      <c r="I778">
        <v>28.59</v>
      </c>
      <c r="J778">
        <v>528</v>
      </c>
      <c r="K778">
        <v>212</v>
      </c>
      <c r="L778">
        <v>32</v>
      </c>
      <c r="M778">
        <v>55</v>
      </c>
      <c r="N778">
        <v>0</v>
      </c>
      <c r="O778">
        <v>670</v>
      </c>
      <c r="P778">
        <v>0</v>
      </c>
      <c r="Q778">
        <v>-401</v>
      </c>
    </row>
    <row r="779" spans="1:17" x14ac:dyDescent="0.45">
      <c r="A779">
        <v>4656</v>
      </c>
      <c r="B779" t="s">
        <v>835</v>
      </c>
      <c r="C779">
        <v>1716</v>
      </c>
      <c r="D779">
        <v>3</v>
      </c>
      <c r="E779">
        <v>1690</v>
      </c>
      <c r="F779">
        <v>1154.5999999999999</v>
      </c>
      <c r="G779">
        <v>4396.3999999999996</v>
      </c>
      <c r="H779">
        <v>2</v>
      </c>
      <c r="I779">
        <v>21.63</v>
      </c>
      <c r="J779">
        <v>675</v>
      </c>
      <c r="K779">
        <v>302</v>
      </c>
      <c r="L779">
        <v>68</v>
      </c>
      <c r="M779">
        <v>67</v>
      </c>
      <c r="N779">
        <v>0</v>
      </c>
      <c r="O779">
        <v>4380</v>
      </c>
      <c r="P779">
        <v>0</v>
      </c>
      <c r="Q779">
        <v>-542</v>
      </c>
    </row>
    <row r="780" spans="1:17" x14ac:dyDescent="0.45">
      <c r="A780">
        <v>579</v>
      </c>
      <c r="B780" t="s">
        <v>837</v>
      </c>
      <c r="C780">
        <v>622</v>
      </c>
      <c r="D780">
        <v>3</v>
      </c>
      <c r="E780">
        <v>631.1</v>
      </c>
      <c r="F780">
        <v>2.2999999999999998</v>
      </c>
      <c r="G780">
        <v>291.5</v>
      </c>
      <c r="H780">
        <v>3</v>
      </c>
      <c r="I780">
        <v>26.41</v>
      </c>
      <c r="J780">
        <v>219</v>
      </c>
      <c r="K780">
        <v>141</v>
      </c>
      <c r="L780">
        <v>1</v>
      </c>
      <c r="M780">
        <v>13</v>
      </c>
      <c r="N780">
        <v>0</v>
      </c>
      <c r="O780">
        <v>4267</v>
      </c>
      <c r="P780">
        <v>0</v>
      </c>
      <c r="Q780">
        <v>-4556</v>
      </c>
    </row>
    <row r="781" spans="1:17" x14ac:dyDescent="0.45">
      <c r="A781">
        <v>4099</v>
      </c>
      <c r="B781" t="s">
        <v>838</v>
      </c>
      <c r="C781">
        <v>427</v>
      </c>
      <c r="D781">
        <v>3</v>
      </c>
      <c r="E781">
        <v>512.4</v>
      </c>
      <c r="F781">
        <v>0</v>
      </c>
      <c r="G781">
        <v>465.8</v>
      </c>
      <c r="H781">
        <v>2</v>
      </c>
      <c r="I781">
        <v>23.46</v>
      </c>
      <c r="J781">
        <v>180</v>
      </c>
      <c r="K781">
        <v>63</v>
      </c>
      <c r="L781">
        <v>18</v>
      </c>
      <c r="M781">
        <v>31</v>
      </c>
      <c r="N781">
        <v>0</v>
      </c>
      <c r="O781">
        <v>555</v>
      </c>
      <c r="P781">
        <v>0</v>
      </c>
      <c r="Q781">
        <v>-261</v>
      </c>
    </row>
    <row r="782" spans="1:17" x14ac:dyDescent="0.45">
      <c r="A782">
        <v>220</v>
      </c>
      <c r="B782" t="s">
        <v>840</v>
      </c>
      <c r="C782">
        <v>1148</v>
      </c>
      <c r="D782">
        <v>3</v>
      </c>
      <c r="E782">
        <v>1153.8</v>
      </c>
      <c r="F782">
        <v>0</v>
      </c>
      <c r="G782">
        <v>1187.7</v>
      </c>
      <c r="H782">
        <v>3</v>
      </c>
      <c r="I782">
        <v>25.15</v>
      </c>
      <c r="J782">
        <v>450</v>
      </c>
      <c r="K782">
        <v>164</v>
      </c>
      <c r="L782">
        <v>24</v>
      </c>
      <c r="M782">
        <v>50</v>
      </c>
      <c r="N782">
        <v>0</v>
      </c>
      <c r="O782">
        <v>2893</v>
      </c>
      <c r="P782">
        <v>0</v>
      </c>
      <c r="Q782">
        <v>-442</v>
      </c>
    </row>
    <row r="783" spans="1:17" x14ac:dyDescent="0.45">
      <c r="A783">
        <v>736</v>
      </c>
      <c r="B783" t="s">
        <v>844</v>
      </c>
      <c r="C783">
        <v>420</v>
      </c>
      <c r="D783">
        <v>3</v>
      </c>
      <c r="E783">
        <v>661.1</v>
      </c>
      <c r="F783">
        <v>0</v>
      </c>
      <c r="G783">
        <v>393</v>
      </c>
      <c r="H783">
        <v>2</v>
      </c>
      <c r="I783">
        <v>24.84</v>
      </c>
      <c r="J783">
        <v>169</v>
      </c>
      <c r="K783">
        <v>79</v>
      </c>
      <c r="L783">
        <v>11</v>
      </c>
      <c r="M783">
        <v>20</v>
      </c>
      <c r="N783">
        <v>0</v>
      </c>
      <c r="O783">
        <v>342</v>
      </c>
      <c r="P783">
        <v>0</v>
      </c>
      <c r="Q783">
        <v>-40</v>
      </c>
    </row>
    <row r="784" spans="1:17" x14ac:dyDescent="0.45">
      <c r="A784">
        <v>2971</v>
      </c>
      <c r="B784" t="s">
        <v>845</v>
      </c>
      <c r="C784">
        <v>2335</v>
      </c>
      <c r="D784">
        <v>3</v>
      </c>
      <c r="E784">
        <v>2942.1</v>
      </c>
      <c r="F784">
        <v>20.100000000000001</v>
      </c>
      <c r="G784">
        <v>4328.2</v>
      </c>
      <c r="H784">
        <v>2</v>
      </c>
      <c r="I784">
        <v>20.54</v>
      </c>
      <c r="J784">
        <v>966</v>
      </c>
      <c r="K784">
        <v>450</v>
      </c>
      <c r="L784">
        <v>66</v>
      </c>
      <c r="M784">
        <v>86</v>
      </c>
      <c r="N784">
        <v>0</v>
      </c>
      <c r="O784">
        <v>3090</v>
      </c>
      <c r="P784">
        <v>1085.3499999999999</v>
      </c>
      <c r="Q784">
        <v>-1224</v>
      </c>
    </row>
    <row r="785" spans="1:17" x14ac:dyDescent="0.45">
      <c r="A785">
        <v>4197</v>
      </c>
      <c r="B785" t="s">
        <v>846</v>
      </c>
      <c r="C785">
        <v>1003</v>
      </c>
      <c r="D785">
        <v>3</v>
      </c>
      <c r="E785">
        <v>1029.7</v>
      </c>
      <c r="F785">
        <v>163.6</v>
      </c>
      <c r="G785">
        <v>1899.1</v>
      </c>
      <c r="H785">
        <v>3</v>
      </c>
      <c r="I785">
        <v>23.9</v>
      </c>
      <c r="J785">
        <v>475</v>
      </c>
      <c r="K785">
        <v>161</v>
      </c>
      <c r="L785">
        <v>15</v>
      </c>
      <c r="M785">
        <v>36</v>
      </c>
      <c r="N785">
        <v>0</v>
      </c>
      <c r="O785">
        <v>500</v>
      </c>
      <c r="P785">
        <v>0</v>
      </c>
      <c r="Q785">
        <v>-40</v>
      </c>
    </row>
    <row r="786" spans="1:17" x14ac:dyDescent="0.45">
      <c r="A786">
        <v>2520</v>
      </c>
      <c r="B786" t="s">
        <v>847</v>
      </c>
      <c r="C786">
        <v>851</v>
      </c>
      <c r="D786">
        <v>2</v>
      </c>
      <c r="E786">
        <v>1009</v>
      </c>
      <c r="F786">
        <v>55.9</v>
      </c>
      <c r="G786">
        <v>693</v>
      </c>
      <c r="H786">
        <v>2</v>
      </c>
      <c r="I786">
        <v>26.37</v>
      </c>
      <c r="J786">
        <v>355</v>
      </c>
      <c r="K786">
        <v>117</v>
      </c>
      <c r="L786">
        <v>30</v>
      </c>
      <c r="M786">
        <v>36</v>
      </c>
      <c r="N786">
        <v>0</v>
      </c>
      <c r="O786">
        <v>857</v>
      </c>
      <c r="P786">
        <v>0</v>
      </c>
      <c r="Q786">
        <v>-80</v>
      </c>
    </row>
    <row r="787" spans="1:17" x14ac:dyDescent="0.45">
      <c r="A787">
        <v>1005</v>
      </c>
      <c r="B787" t="s">
        <v>849</v>
      </c>
      <c r="C787">
        <v>1730</v>
      </c>
      <c r="D787">
        <v>2</v>
      </c>
      <c r="E787">
        <v>911.7</v>
      </c>
      <c r="F787">
        <v>0</v>
      </c>
      <c r="G787">
        <v>4672.7</v>
      </c>
      <c r="H787">
        <v>3</v>
      </c>
      <c r="I787">
        <v>26.39</v>
      </c>
      <c r="J787">
        <v>717</v>
      </c>
      <c r="K787">
        <v>403</v>
      </c>
      <c r="L787">
        <v>14</v>
      </c>
      <c r="M787">
        <v>45</v>
      </c>
      <c r="N787">
        <v>0</v>
      </c>
      <c r="O787">
        <v>9550</v>
      </c>
      <c r="P787">
        <v>0</v>
      </c>
      <c r="Q787">
        <v>-3051</v>
      </c>
    </row>
    <row r="788" spans="1:17" x14ac:dyDescent="0.45">
      <c r="A788">
        <v>406</v>
      </c>
      <c r="B788" t="s">
        <v>850</v>
      </c>
      <c r="C788">
        <v>3377</v>
      </c>
      <c r="D788">
        <v>3</v>
      </c>
      <c r="E788">
        <v>2499.6</v>
      </c>
      <c r="F788">
        <v>22.3</v>
      </c>
      <c r="G788">
        <v>5549.5</v>
      </c>
      <c r="H788">
        <v>2</v>
      </c>
      <c r="I788">
        <v>24.84</v>
      </c>
      <c r="J788">
        <v>1001</v>
      </c>
      <c r="K788">
        <v>355</v>
      </c>
      <c r="L788">
        <v>43</v>
      </c>
      <c r="M788">
        <v>88</v>
      </c>
      <c r="N788">
        <v>0</v>
      </c>
      <c r="O788">
        <v>9847</v>
      </c>
      <c r="P788">
        <v>0</v>
      </c>
      <c r="Q788">
        <v>-1385</v>
      </c>
    </row>
    <row r="789" spans="1:17" x14ac:dyDescent="0.45">
      <c r="A789">
        <v>783</v>
      </c>
      <c r="B789" t="s">
        <v>851</v>
      </c>
      <c r="C789">
        <v>1101</v>
      </c>
      <c r="D789">
        <v>3</v>
      </c>
      <c r="E789">
        <v>3303.3</v>
      </c>
      <c r="F789">
        <v>0</v>
      </c>
      <c r="G789">
        <v>1234.7</v>
      </c>
      <c r="H789">
        <v>3</v>
      </c>
      <c r="I789">
        <v>26.41</v>
      </c>
      <c r="J789">
        <v>293</v>
      </c>
      <c r="K789">
        <v>267</v>
      </c>
      <c r="L789">
        <v>17</v>
      </c>
      <c r="M789">
        <v>32</v>
      </c>
      <c r="N789">
        <v>0</v>
      </c>
      <c r="O789">
        <v>4501</v>
      </c>
      <c r="P789">
        <v>0</v>
      </c>
      <c r="Q789">
        <v>-2509</v>
      </c>
    </row>
    <row r="790" spans="1:17" x14ac:dyDescent="0.45">
      <c r="A790">
        <v>2491</v>
      </c>
      <c r="B790" t="s">
        <v>852</v>
      </c>
      <c r="C790">
        <v>313</v>
      </c>
      <c r="D790">
        <v>2</v>
      </c>
      <c r="E790">
        <v>309.8</v>
      </c>
      <c r="F790">
        <v>0</v>
      </c>
      <c r="G790">
        <v>765.6</v>
      </c>
      <c r="H790">
        <v>3</v>
      </c>
      <c r="I790">
        <v>28.59</v>
      </c>
      <c r="J790">
        <v>128</v>
      </c>
      <c r="K790">
        <v>41</v>
      </c>
      <c r="L790">
        <v>17</v>
      </c>
      <c r="M790">
        <v>16</v>
      </c>
      <c r="N790">
        <v>0</v>
      </c>
      <c r="O790">
        <v>1506</v>
      </c>
      <c r="P790">
        <v>0</v>
      </c>
      <c r="Q790">
        <v>-421</v>
      </c>
    </row>
    <row r="791" spans="1:17" x14ac:dyDescent="0.45">
      <c r="A791">
        <v>4486</v>
      </c>
      <c r="B791" t="s">
        <v>853</v>
      </c>
      <c r="C791">
        <v>2040</v>
      </c>
      <c r="D791">
        <v>3</v>
      </c>
      <c r="E791">
        <v>2214.1</v>
      </c>
      <c r="F791">
        <v>909.9</v>
      </c>
      <c r="G791">
        <v>4664</v>
      </c>
      <c r="H791">
        <v>3</v>
      </c>
      <c r="I791">
        <v>26.04</v>
      </c>
      <c r="J791">
        <v>810</v>
      </c>
      <c r="K791">
        <v>368</v>
      </c>
      <c r="L791">
        <v>58</v>
      </c>
      <c r="M791">
        <v>89</v>
      </c>
      <c r="N791">
        <v>0</v>
      </c>
      <c r="O791">
        <v>6021</v>
      </c>
      <c r="P791">
        <v>0</v>
      </c>
      <c r="Q791">
        <v>-442</v>
      </c>
    </row>
    <row r="792" spans="1:17" x14ac:dyDescent="0.45">
      <c r="A792">
        <v>4100</v>
      </c>
      <c r="B792" t="s">
        <v>854</v>
      </c>
      <c r="C792">
        <v>3810</v>
      </c>
      <c r="D792">
        <v>3</v>
      </c>
      <c r="E792">
        <v>1819</v>
      </c>
      <c r="F792">
        <v>3104</v>
      </c>
      <c r="G792">
        <v>1444.9</v>
      </c>
      <c r="H792">
        <v>1</v>
      </c>
      <c r="I792">
        <v>20.87</v>
      </c>
      <c r="J792">
        <v>1390</v>
      </c>
      <c r="K792">
        <v>580</v>
      </c>
      <c r="L792">
        <v>100</v>
      </c>
      <c r="M792">
        <v>218</v>
      </c>
      <c r="N792">
        <v>0</v>
      </c>
      <c r="O792">
        <v>152</v>
      </c>
      <c r="P792">
        <v>0</v>
      </c>
      <c r="Q792">
        <v>-321</v>
      </c>
    </row>
    <row r="793" spans="1:17" x14ac:dyDescent="0.45">
      <c r="A793">
        <v>4</v>
      </c>
      <c r="B793" t="s">
        <v>855</v>
      </c>
      <c r="C793">
        <v>3879</v>
      </c>
      <c r="D793">
        <v>3</v>
      </c>
      <c r="E793">
        <v>2526</v>
      </c>
      <c r="F793">
        <v>32.700000000000003</v>
      </c>
      <c r="G793">
        <v>3451.3</v>
      </c>
      <c r="H793">
        <v>2</v>
      </c>
      <c r="I793">
        <v>24.61</v>
      </c>
      <c r="J793">
        <v>1341</v>
      </c>
      <c r="K793">
        <v>585</v>
      </c>
      <c r="L793">
        <v>171</v>
      </c>
      <c r="M793">
        <v>257</v>
      </c>
      <c r="N793">
        <v>0</v>
      </c>
      <c r="O793">
        <v>5177</v>
      </c>
      <c r="P793">
        <v>166.13</v>
      </c>
      <c r="Q793">
        <v>-783</v>
      </c>
    </row>
    <row r="794" spans="1:17" x14ac:dyDescent="0.45">
      <c r="A794">
        <v>2121</v>
      </c>
      <c r="B794" t="s">
        <v>862</v>
      </c>
      <c r="C794">
        <v>1664</v>
      </c>
      <c r="D794">
        <v>3</v>
      </c>
      <c r="E794">
        <v>1757.8</v>
      </c>
      <c r="F794">
        <v>3.6</v>
      </c>
      <c r="G794">
        <v>1211.4000000000001</v>
      </c>
      <c r="H794">
        <v>3</v>
      </c>
      <c r="I794">
        <v>36.93</v>
      </c>
      <c r="J794">
        <v>641</v>
      </c>
      <c r="K794">
        <v>270</v>
      </c>
      <c r="L794">
        <v>36</v>
      </c>
      <c r="M794">
        <v>68</v>
      </c>
      <c r="N794">
        <v>0</v>
      </c>
      <c r="O794">
        <v>4157</v>
      </c>
      <c r="P794">
        <v>0</v>
      </c>
      <c r="Q794">
        <v>-4175</v>
      </c>
    </row>
    <row r="795" spans="1:17" x14ac:dyDescent="0.45">
      <c r="A795">
        <v>6809</v>
      </c>
      <c r="B795" t="s">
        <v>856</v>
      </c>
      <c r="C795">
        <v>1052</v>
      </c>
      <c r="D795">
        <v>3</v>
      </c>
      <c r="E795">
        <v>2660.9</v>
      </c>
      <c r="F795">
        <v>4.2</v>
      </c>
      <c r="G795">
        <v>2087.1999999999998</v>
      </c>
      <c r="H795">
        <v>3</v>
      </c>
      <c r="I795">
        <v>27.66</v>
      </c>
      <c r="J795">
        <v>522</v>
      </c>
      <c r="K795">
        <v>148</v>
      </c>
      <c r="L795">
        <v>11</v>
      </c>
      <c r="M795">
        <v>52</v>
      </c>
      <c r="N795">
        <v>0</v>
      </c>
      <c r="O795">
        <v>12477</v>
      </c>
      <c r="P795">
        <v>0</v>
      </c>
      <c r="Q795">
        <v>-2990</v>
      </c>
    </row>
    <row r="796" spans="1:17" x14ac:dyDescent="0.45">
      <c r="A796">
        <v>6729</v>
      </c>
      <c r="B796" t="s">
        <v>860</v>
      </c>
      <c r="C796">
        <v>7319</v>
      </c>
      <c r="D796">
        <v>3</v>
      </c>
      <c r="E796">
        <v>11096.7</v>
      </c>
      <c r="F796">
        <v>43.5</v>
      </c>
      <c r="G796">
        <v>9274.7000000000007</v>
      </c>
      <c r="H796">
        <v>2</v>
      </c>
      <c r="I796">
        <v>31.97</v>
      </c>
      <c r="J796">
        <v>3084</v>
      </c>
      <c r="K796">
        <v>913</v>
      </c>
      <c r="L796">
        <v>148</v>
      </c>
      <c r="M796">
        <v>370</v>
      </c>
      <c r="N796">
        <v>0</v>
      </c>
      <c r="O796">
        <v>10557</v>
      </c>
      <c r="P796">
        <v>16.97</v>
      </c>
      <c r="Q796">
        <v>-7707</v>
      </c>
    </row>
    <row r="797" spans="1:17" x14ac:dyDescent="0.45">
      <c r="A797">
        <v>5656</v>
      </c>
      <c r="B797" t="s">
        <v>857</v>
      </c>
      <c r="C797">
        <v>4256</v>
      </c>
      <c r="D797">
        <v>3</v>
      </c>
      <c r="E797">
        <v>2199</v>
      </c>
      <c r="F797">
        <v>4874.3</v>
      </c>
      <c r="G797">
        <v>5854</v>
      </c>
      <c r="H797">
        <v>3</v>
      </c>
      <c r="I797">
        <v>35.86</v>
      </c>
      <c r="J797">
        <v>1698</v>
      </c>
      <c r="K797">
        <v>524</v>
      </c>
      <c r="L797">
        <v>167</v>
      </c>
      <c r="M797">
        <v>287</v>
      </c>
      <c r="N797">
        <v>0</v>
      </c>
      <c r="O797">
        <v>11000</v>
      </c>
      <c r="P797">
        <v>309.35000000000002</v>
      </c>
      <c r="Q797">
        <v>-2188</v>
      </c>
    </row>
    <row r="798" spans="1:17" x14ac:dyDescent="0.45">
      <c r="A798">
        <v>2233</v>
      </c>
      <c r="B798" t="s">
        <v>858</v>
      </c>
      <c r="C798">
        <v>2668</v>
      </c>
      <c r="D798">
        <v>3</v>
      </c>
      <c r="E798">
        <v>1737.8</v>
      </c>
      <c r="F798">
        <v>285.7</v>
      </c>
      <c r="G798">
        <v>4289.2</v>
      </c>
      <c r="H798">
        <v>2</v>
      </c>
      <c r="I798">
        <v>28.63</v>
      </c>
      <c r="J798">
        <v>1091</v>
      </c>
      <c r="K798">
        <v>317</v>
      </c>
      <c r="L798">
        <v>61</v>
      </c>
      <c r="M798">
        <v>182</v>
      </c>
      <c r="N798">
        <v>0</v>
      </c>
      <c r="O798">
        <v>5105</v>
      </c>
      <c r="P798">
        <v>53309.02</v>
      </c>
      <c r="Q798">
        <v>-702</v>
      </c>
    </row>
    <row r="799" spans="1:17" x14ac:dyDescent="0.45">
      <c r="A799">
        <v>6454</v>
      </c>
      <c r="B799" t="s">
        <v>859</v>
      </c>
      <c r="C799">
        <v>2692</v>
      </c>
      <c r="D799">
        <v>2</v>
      </c>
      <c r="E799">
        <v>2725.5</v>
      </c>
      <c r="F799">
        <v>2066.5</v>
      </c>
      <c r="G799">
        <v>949.4</v>
      </c>
      <c r="H799">
        <v>1</v>
      </c>
      <c r="I799">
        <v>20.88</v>
      </c>
      <c r="J799">
        <v>950</v>
      </c>
      <c r="K799">
        <v>273</v>
      </c>
      <c r="L799">
        <v>40</v>
      </c>
      <c r="M799">
        <v>160</v>
      </c>
      <c r="N799">
        <v>0</v>
      </c>
      <c r="O799">
        <v>26</v>
      </c>
      <c r="P799">
        <v>0</v>
      </c>
      <c r="Q799">
        <v>-261</v>
      </c>
    </row>
    <row r="800" spans="1:17" x14ac:dyDescent="0.45">
      <c r="A800">
        <v>2137</v>
      </c>
      <c r="B800" t="s">
        <v>861</v>
      </c>
      <c r="C800">
        <v>702</v>
      </c>
      <c r="D800">
        <v>3</v>
      </c>
      <c r="E800">
        <v>558.29999999999995</v>
      </c>
      <c r="F800">
        <v>102.2</v>
      </c>
      <c r="G800">
        <v>713.5</v>
      </c>
      <c r="H800">
        <v>3</v>
      </c>
      <c r="I800">
        <v>36.93</v>
      </c>
      <c r="J800">
        <v>274</v>
      </c>
      <c r="K800">
        <v>93</v>
      </c>
      <c r="L800">
        <v>20</v>
      </c>
      <c r="M800">
        <v>56</v>
      </c>
      <c r="N800">
        <v>0</v>
      </c>
      <c r="O800">
        <v>1193</v>
      </c>
      <c r="P800">
        <v>0</v>
      </c>
      <c r="Q800">
        <v>-883</v>
      </c>
    </row>
    <row r="801" spans="1:17" x14ac:dyDescent="0.45">
      <c r="A801">
        <v>5</v>
      </c>
      <c r="B801" t="s">
        <v>864</v>
      </c>
      <c r="C801">
        <v>3871</v>
      </c>
      <c r="D801">
        <v>3</v>
      </c>
      <c r="E801">
        <v>2957.2</v>
      </c>
      <c r="F801">
        <v>19.8</v>
      </c>
      <c r="G801">
        <v>3670.5</v>
      </c>
      <c r="H801">
        <v>1</v>
      </c>
      <c r="I801">
        <v>15.69</v>
      </c>
      <c r="J801">
        <v>1168</v>
      </c>
      <c r="K801">
        <v>528</v>
      </c>
      <c r="L801">
        <v>137</v>
      </c>
      <c r="M801">
        <v>206</v>
      </c>
      <c r="N801">
        <v>3673</v>
      </c>
      <c r="O801">
        <v>1721</v>
      </c>
      <c r="P801">
        <v>0</v>
      </c>
      <c r="Q801">
        <v>-421</v>
      </c>
    </row>
    <row r="802" spans="1:17" x14ac:dyDescent="0.45">
      <c r="A802">
        <v>4416</v>
      </c>
      <c r="B802" t="s">
        <v>865</v>
      </c>
      <c r="C802">
        <v>1309</v>
      </c>
      <c r="D802">
        <v>3</v>
      </c>
      <c r="E802">
        <v>995.6</v>
      </c>
      <c r="F802">
        <v>922.6</v>
      </c>
      <c r="G802">
        <v>3923.9</v>
      </c>
      <c r="H802">
        <v>2</v>
      </c>
      <c r="I802">
        <v>21.63</v>
      </c>
      <c r="J802">
        <v>641</v>
      </c>
      <c r="K802">
        <v>311</v>
      </c>
      <c r="L802">
        <v>32</v>
      </c>
      <c r="M802">
        <v>75</v>
      </c>
      <c r="N802">
        <v>0</v>
      </c>
      <c r="O802">
        <v>2084</v>
      </c>
      <c r="P802">
        <v>1550.5</v>
      </c>
      <c r="Q802">
        <v>-221</v>
      </c>
    </row>
    <row r="803" spans="1:17" x14ac:dyDescent="0.45">
      <c r="A803">
        <v>3032</v>
      </c>
      <c r="B803" t="s">
        <v>866</v>
      </c>
      <c r="C803">
        <v>4225</v>
      </c>
      <c r="D803">
        <v>3</v>
      </c>
      <c r="E803">
        <v>3452.5</v>
      </c>
      <c r="F803">
        <v>3432.3</v>
      </c>
      <c r="G803">
        <v>4375.8</v>
      </c>
      <c r="H803">
        <v>2</v>
      </c>
      <c r="I803">
        <v>17.79</v>
      </c>
      <c r="J803">
        <v>1381</v>
      </c>
      <c r="K803">
        <v>719</v>
      </c>
      <c r="L803">
        <v>104</v>
      </c>
      <c r="M803">
        <v>155</v>
      </c>
      <c r="N803">
        <v>0</v>
      </c>
      <c r="O803">
        <v>2293</v>
      </c>
      <c r="P803">
        <v>0</v>
      </c>
      <c r="Q803">
        <v>-421</v>
      </c>
    </row>
    <row r="804" spans="1:17" x14ac:dyDescent="0.45">
      <c r="A804">
        <v>927</v>
      </c>
      <c r="B804" t="s">
        <v>867</v>
      </c>
      <c r="C804">
        <v>756</v>
      </c>
      <c r="D804">
        <v>3</v>
      </c>
      <c r="E804">
        <v>739.5</v>
      </c>
      <c r="F804">
        <v>4.3</v>
      </c>
      <c r="G804">
        <v>439.3</v>
      </c>
      <c r="H804">
        <v>3</v>
      </c>
      <c r="I804">
        <v>26.41</v>
      </c>
      <c r="J804">
        <v>234</v>
      </c>
      <c r="K804">
        <v>130</v>
      </c>
      <c r="L804">
        <v>9</v>
      </c>
      <c r="M804">
        <v>23</v>
      </c>
      <c r="N804">
        <v>0</v>
      </c>
      <c r="O804">
        <v>1635</v>
      </c>
      <c r="P804">
        <v>0</v>
      </c>
      <c r="Q804">
        <v>-482</v>
      </c>
    </row>
    <row r="805" spans="1:17" x14ac:dyDescent="0.45">
      <c r="A805">
        <v>928</v>
      </c>
      <c r="B805" t="s">
        <v>868</v>
      </c>
      <c r="C805">
        <v>7020</v>
      </c>
      <c r="D805">
        <v>3</v>
      </c>
      <c r="E805">
        <v>6434.6</v>
      </c>
      <c r="F805">
        <v>664.1</v>
      </c>
      <c r="G805">
        <v>3453.6</v>
      </c>
      <c r="H805">
        <v>1</v>
      </c>
      <c r="I805">
        <v>16.760000000000002</v>
      </c>
      <c r="J805">
        <v>2310</v>
      </c>
      <c r="K805">
        <v>916</v>
      </c>
      <c r="L805">
        <v>112</v>
      </c>
      <c r="M805">
        <v>275</v>
      </c>
      <c r="N805">
        <v>0</v>
      </c>
      <c r="O805">
        <v>1206</v>
      </c>
      <c r="P805">
        <v>0</v>
      </c>
      <c r="Q805">
        <v>-401</v>
      </c>
    </row>
    <row r="806" spans="1:17" x14ac:dyDescent="0.45">
      <c r="A806">
        <v>977</v>
      </c>
      <c r="B806" t="s">
        <v>869</v>
      </c>
      <c r="C806">
        <v>1178</v>
      </c>
      <c r="D806">
        <v>3</v>
      </c>
      <c r="E806">
        <v>1092.9000000000001</v>
      </c>
      <c r="F806">
        <v>90.3</v>
      </c>
      <c r="G806">
        <v>1775</v>
      </c>
      <c r="H806">
        <v>3</v>
      </c>
      <c r="I806">
        <v>26.41</v>
      </c>
      <c r="J806">
        <v>529</v>
      </c>
      <c r="K806">
        <v>184</v>
      </c>
      <c r="L806">
        <v>31</v>
      </c>
      <c r="M806">
        <v>51</v>
      </c>
      <c r="N806">
        <v>0</v>
      </c>
      <c r="O806">
        <v>1409</v>
      </c>
      <c r="P806">
        <v>996.75</v>
      </c>
      <c r="Q806">
        <v>-421</v>
      </c>
    </row>
    <row r="807" spans="1:17" x14ac:dyDescent="0.45">
      <c r="A807">
        <v>407</v>
      </c>
      <c r="B807" t="s">
        <v>870</v>
      </c>
      <c r="C807">
        <v>1613</v>
      </c>
      <c r="D807">
        <v>3</v>
      </c>
      <c r="E807">
        <v>936.7</v>
      </c>
      <c r="F807">
        <v>5.7</v>
      </c>
      <c r="G807">
        <v>2183.3000000000002</v>
      </c>
      <c r="H807">
        <v>3</v>
      </c>
      <c r="I807">
        <v>26.41</v>
      </c>
      <c r="J807">
        <v>625</v>
      </c>
      <c r="K807">
        <v>228</v>
      </c>
      <c r="L807">
        <v>16</v>
      </c>
      <c r="M807">
        <v>50</v>
      </c>
      <c r="N807">
        <v>0</v>
      </c>
      <c r="O807">
        <v>10196</v>
      </c>
      <c r="P807">
        <v>0</v>
      </c>
      <c r="Q807">
        <v>-1565</v>
      </c>
    </row>
    <row r="808" spans="1:17" x14ac:dyDescent="0.45">
      <c r="A808">
        <v>2296</v>
      </c>
      <c r="B808" t="s">
        <v>871</v>
      </c>
      <c r="C808">
        <v>1419</v>
      </c>
      <c r="D808">
        <v>3</v>
      </c>
      <c r="E808">
        <v>580.20000000000005</v>
      </c>
      <c r="F808">
        <v>0</v>
      </c>
      <c r="G808">
        <v>1951.5</v>
      </c>
      <c r="H808">
        <v>3</v>
      </c>
      <c r="I808">
        <v>36.93</v>
      </c>
      <c r="J808">
        <v>816</v>
      </c>
      <c r="K808">
        <v>263</v>
      </c>
      <c r="L808">
        <v>45</v>
      </c>
      <c r="M808">
        <v>77</v>
      </c>
      <c r="N808">
        <v>0</v>
      </c>
      <c r="O808">
        <v>4629</v>
      </c>
      <c r="P808">
        <v>0</v>
      </c>
      <c r="Q808">
        <v>-341</v>
      </c>
    </row>
    <row r="809" spans="1:17" x14ac:dyDescent="0.45">
      <c r="A809">
        <v>4251</v>
      </c>
      <c r="B809" t="s">
        <v>872</v>
      </c>
      <c r="C809">
        <v>817</v>
      </c>
      <c r="D809">
        <v>3</v>
      </c>
      <c r="E809">
        <v>723.8</v>
      </c>
      <c r="F809">
        <v>0</v>
      </c>
      <c r="G809">
        <v>753.3</v>
      </c>
      <c r="H809">
        <v>3</v>
      </c>
      <c r="I809">
        <v>23.9</v>
      </c>
      <c r="J809">
        <v>399</v>
      </c>
      <c r="K809">
        <v>142</v>
      </c>
      <c r="L809">
        <v>11</v>
      </c>
      <c r="M809">
        <v>24</v>
      </c>
      <c r="N809">
        <v>0</v>
      </c>
      <c r="O809">
        <v>2292</v>
      </c>
      <c r="P809">
        <v>138.79</v>
      </c>
      <c r="Q809">
        <v>-442</v>
      </c>
    </row>
    <row r="810" spans="1:17" x14ac:dyDescent="0.45">
      <c r="A810">
        <v>408</v>
      </c>
      <c r="B810" t="s">
        <v>873</v>
      </c>
      <c r="C810">
        <v>203</v>
      </c>
      <c r="D810">
        <v>3</v>
      </c>
      <c r="E810">
        <v>247.6</v>
      </c>
      <c r="F810">
        <v>0</v>
      </c>
      <c r="G810">
        <v>510.6</v>
      </c>
      <c r="H810">
        <v>3</v>
      </c>
      <c r="I810">
        <v>26.41</v>
      </c>
      <c r="J810">
        <v>102</v>
      </c>
      <c r="K810">
        <v>39</v>
      </c>
      <c r="L810">
        <v>7</v>
      </c>
      <c r="M810">
        <v>14</v>
      </c>
      <c r="N810">
        <v>0</v>
      </c>
      <c r="O810">
        <v>960</v>
      </c>
      <c r="P810">
        <v>0</v>
      </c>
      <c r="Q810">
        <v>-60</v>
      </c>
    </row>
    <row r="811" spans="1:17" x14ac:dyDescent="0.45">
      <c r="A811">
        <v>2962</v>
      </c>
      <c r="B811" t="s">
        <v>874</v>
      </c>
      <c r="C811">
        <v>478</v>
      </c>
      <c r="D811">
        <v>3</v>
      </c>
      <c r="E811">
        <v>421.2</v>
      </c>
      <c r="F811">
        <v>7.8</v>
      </c>
      <c r="G811">
        <v>1360.3</v>
      </c>
      <c r="H811">
        <v>3</v>
      </c>
      <c r="I811">
        <v>19.850000000000001</v>
      </c>
      <c r="J811">
        <v>205</v>
      </c>
      <c r="K811">
        <v>130</v>
      </c>
      <c r="L811">
        <v>18</v>
      </c>
      <c r="M811">
        <v>22</v>
      </c>
      <c r="N811">
        <v>0</v>
      </c>
      <c r="O811">
        <v>1226</v>
      </c>
      <c r="P811">
        <v>0</v>
      </c>
      <c r="Q811">
        <v>-843</v>
      </c>
    </row>
    <row r="812" spans="1:17" x14ac:dyDescent="0.45">
      <c r="A812">
        <v>2848</v>
      </c>
      <c r="B812" t="s">
        <v>875</v>
      </c>
      <c r="C812">
        <v>264</v>
      </c>
      <c r="D812">
        <v>1</v>
      </c>
      <c r="E812">
        <v>412.9</v>
      </c>
      <c r="F812">
        <v>0</v>
      </c>
      <c r="G812">
        <v>211.9</v>
      </c>
      <c r="H812">
        <v>3</v>
      </c>
      <c r="I812">
        <v>22.09</v>
      </c>
      <c r="J812">
        <v>119</v>
      </c>
      <c r="K812">
        <v>34</v>
      </c>
      <c r="L812">
        <v>2</v>
      </c>
      <c r="M812">
        <v>3</v>
      </c>
      <c r="N812">
        <v>0</v>
      </c>
      <c r="O812">
        <v>1755</v>
      </c>
      <c r="P812">
        <v>14.04</v>
      </c>
      <c r="Q812">
        <v>-161</v>
      </c>
    </row>
    <row r="813" spans="1:17" x14ac:dyDescent="0.45">
      <c r="A813">
        <v>4198</v>
      </c>
      <c r="B813" t="s">
        <v>876</v>
      </c>
      <c r="C813">
        <v>1334</v>
      </c>
      <c r="D813">
        <v>3</v>
      </c>
      <c r="E813">
        <v>1301.9000000000001</v>
      </c>
      <c r="F813">
        <v>6.5</v>
      </c>
      <c r="G813">
        <v>1404.3</v>
      </c>
      <c r="H813">
        <v>2</v>
      </c>
      <c r="I813">
        <v>23.46</v>
      </c>
      <c r="J813">
        <v>542</v>
      </c>
      <c r="K813">
        <v>257</v>
      </c>
      <c r="L813">
        <v>35</v>
      </c>
      <c r="M813">
        <v>66</v>
      </c>
      <c r="N813">
        <v>0</v>
      </c>
      <c r="O813">
        <v>1144</v>
      </c>
      <c r="P813">
        <v>369.15</v>
      </c>
      <c r="Q813">
        <v>-161</v>
      </c>
    </row>
    <row r="814" spans="1:17" x14ac:dyDescent="0.45">
      <c r="A814">
        <v>31</v>
      </c>
      <c r="B814" t="s">
        <v>877</v>
      </c>
      <c r="C814">
        <v>2257</v>
      </c>
      <c r="D814">
        <v>3</v>
      </c>
      <c r="E814">
        <v>2752.1</v>
      </c>
      <c r="F814">
        <v>0</v>
      </c>
      <c r="G814">
        <v>1977</v>
      </c>
      <c r="H814">
        <v>2</v>
      </c>
      <c r="I814">
        <v>24.61</v>
      </c>
      <c r="J814">
        <v>778</v>
      </c>
      <c r="K814">
        <v>321</v>
      </c>
      <c r="L814">
        <v>68</v>
      </c>
      <c r="M814">
        <v>91</v>
      </c>
      <c r="N814">
        <v>0</v>
      </c>
      <c r="O814">
        <v>388</v>
      </c>
      <c r="P814">
        <v>0</v>
      </c>
      <c r="Q814">
        <v>-100</v>
      </c>
    </row>
    <row r="815" spans="1:17" x14ac:dyDescent="0.45">
      <c r="A815">
        <v>5819</v>
      </c>
      <c r="B815" t="s">
        <v>878</v>
      </c>
      <c r="C815">
        <v>412</v>
      </c>
      <c r="D815">
        <v>3</v>
      </c>
      <c r="E815">
        <v>239.7</v>
      </c>
      <c r="F815">
        <v>545.20000000000005</v>
      </c>
      <c r="G815">
        <v>667.2</v>
      </c>
      <c r="H815">
        <v>3</v>
      </c>
      <c r="I815">
        <v>35.86</v>
      </c>
      <c r="J815">
        <v>150</v>
      </c>
      <c r="K815">
        <v>63</v>
      </c>
      <c r="L815">
        <v>16</v>
      </c>
      <c r="M815">
        <v>26</v>
      </c>
      <c r="N815">
        <v>0</v>
      </c>
      <c r="O815">
        <v>590</v>
      </c>
      <c r="P815">
        <v>181.63</v>
      </c>
      <c r="Q815">
        <v>-120</v>
      </c>
    </row>
    <row r="816" spans="1:17" x14ac:dyDescent="0.45">
      <c r="A816">
        <v>2424</v>
      </c>
      <c r="B816" t="s">
        <v>879</v>
      </c>
      <c r="C816">
        <v>587</v>
      </c>
      <c r="D816">
        <v>3</v>
      </c>
      <c r="E816">
        <v>626</v>
      </c>
      <c r="F816">
        <v>0</v>
      </c>
      <c r="G816">
        <v>646.9</v>
      </c>
      <c r="H816">
        <v>3</v>
      </c>
      <c r="I816">
        <v>28.59</v>
      </c>
      <c r="J816">
        <v>224</v>
      </c>
      <c r="K816">
        <v>109</v>
      </c>
      <c r="L816">
        <v>10</v>
      </c>
      <c r="M816">
        <v>18</v>
      </c>
      <c r="N816">
        <v>0</v>
      </c>
      <c r="O816">
        <v>1937</v>
      </c>
      <c r="P816">
        <v>0</v>
      </c>
      <c r="Q816">
        <v>-1907</v>
      </c>
    </row>
    <row r="817" spans="1:17" x14ac:dyDescent="0.45">
      <c r="A817">
        <v>610</v>
      </c>
      <c r="B817" t="s">
        <v>880</v>
      </c>
      <c r="C817">
        <v>609</v>
      </c>
      <c r="D817">
        <v>2</v>
      </c>
      <c r="E817">
        <v>511.7</v>
      </c>
      <c r="F817">
        <v>0</v>
      </c>
      <c r="G817">
        <v>535.4</v>
      </c>
      <c r="H817">
        <v>3</v>
      </c>
      <c r="I817">
        <v>26.41</v>
      </c>
      <c r="J817">
        <v>216</v>
      </c>
      <c r="K817">
        <v>103</v>
      </c>
      <c r="L817">
        <v>10</v>
      </c>
      <c r="M817">
        <v>18</v>
      </c>
      <c r="N817">
        <v>0</v>
      </c>
      <c r="O817">
        <v>1168</v>
      </c>
      <c r="P817">
        <v>0</v>
      </c>
      <c r="Q817">
        <v>-221</v>
      </c>
    </row>
    <row r="818" spans="1:17" x14ac:dyDescent="0.45">
      <c r="A818">
        <v>4811</v>
      </c>
      <c r="B818" t="s">
        <v>881</v>
      </c>
      <c r="C818">
        <v>1136</v>
      </c>
      <c r="D818">
        <v>3</v>
      </c>
      <c r="E818">
        <v>952.6</v>
      </c>
      <c r="F818">
        <v>0</v>
      </c>
      <c r="G818">
        <v>2411.6999999999998</v>
      </c>
      <c r="H818">
        <v>3</v>
      </c>
      <c r="I818">
        <v>26.04</v>
      </c>
      <c r="J818">
        <v>443</v>
      </c>
      <c r="K818">
        <v>202</v>
      </c>
      <c r="L818">
        <v>52</v>
      </c>
      <c r="M818">
        <v>60</v>
      </c>
      <c r="N818">
        <v>0</v>
      </c>
      <c r="O818">
        <v>3956</v>
      </c>
      <c r="P818">
        <v>137.33000000000001</v>
      </c>
      <c r="Q818">
        <v>-743</v>
      </c>
    </row>
    <row r="819" spans="1:17" x14ac:dyDescent="0.45">
      <c r="A819">
        <v>1507</v>
      </c>
      <c r="B819" t="s">
        <v>883</v>
      </c>
      <c r="C819">
        <v>6022</v>
      </c>
      <c r="D819">
        <v>3</v>
      </c>
      <c r="E819">
        <v>8730.7000000000007</v>
      </c>
      <c r="F819">
        <v>24.8</v>
      </c>
      <c r="G819">
        <v>2587.6</v>
      </c>
      <c r="H819">
        <v>2</v>
      </c>
      <c r="I819">
        <v>23.14</v>
      </c>
      <c r="J819">
        <v>2528</v>
      </c>
      <c r="K819">
        <v>1110</v>
      </c>
      <c r="L819">
        <v>243</v>
      </c>
      <c r="M819">
        <v>516</v>
      </c>
      <c r="N819">
        <v>0</v>
      </c>
      <c r="O819">
        <v>1341</v>
      </c>
      <c r="P819">
        <v>382.44</v>
      </c>
      <c r="Q819">
        <v>-1305</v>
      </c>
    </row>
    <row r="820" spans="1:17" x14ac:dyDescent="0.45">
      <c r="A820">
        <v>1132</v>
      </c>
      <c r="B820" t="s">
        <v>884</v>
      </c>
      <c r="C820">
        <v>1910</v>
      </c>
      <c r="D820">
        <v>3</v>
      </c>
      <c r="E820">
        <v>773.7</v>
      </c>
      <c r="F820">
        <v>0</v>
      </c>
      <c r="G820">
        <v>4085.3</v>
      </c>
      <c r="H820">
        <v>3</v>
      </c>
      <c r="I820">
        <v>26.39</v>
      </c>
      <c r="J820">
        <v>791</v>
      </c>
      <c r="K820">
        <v>285</v>
      </c>
      <c r="L820">
        <v>18</v>
      </c>
      <c r="M820">
        <v>37</v>
      </c>
      <c r="N820">
        <v>0</v>
      </c>
      <c r="O820">
        <v>14496</v>
      </c>
      <c r="P820">
        <v>0</v>
      </c>
      <c r="Q820">
        <v>-2087</v>
      </c>
    </row>
    <row r="821" spans="1:17" x14ac:dyDescent="0.45">
      <c r="A821">
        <v>3001</v>
      </c>
      <c r="B821" t="s">
        <v>885</v>
      </c>
      <c r="C821">
        <v>15744</v>
      </c>
      <c r="D821">
        <v>3</v>
      </c>
      <c r="E821">
        <v>12054.1</v>
      </c>
      <c r="F821">
        <v>12957.1</v>
      </c>
      <c r="G821">
        <v>11358.2</v>
      </c>
      <c r="H821">
        <v>1</v>
      </c>
      <c r="I821">
        <v>12.52</v>
      </c>
      <c r="J821">
        <v>5195</v>
      </c>
      <c r="K821">
        <v>2415</v>
      </c>
      <c r="L821">
        <v>272</v>
      </c>
      <c r="M821">
        <v>750</v>
      </c>
      <c r="N821">
        <v>0</v>
      </c>
      <c r="O821">
        <v>8729</v>
      </c>
      <c r="P821">
        <v>1501.77</v>
      </c>
      <c r="Q821">
        <v>-1284</v>
      </c>
    </row>
    <row r="822" spans="1:17" x14ac:dyDescent="0.45">
      <c r="A822">
        <v>6625</v>
      </c>
      <c r="B822" t="s">
        <v>886</v>
      </c>
      <c r="C822">
        <v>1189</v>
      </c>
      <c r="D822">
        <v>3</v>
      </c>
      <c r="E822">
        <v>376.1</v>
      </c>
      <c r="F822">
        <v>1150.7</v>
      </c>
      <c r="G822">
        <v>234.9</v>
      </c>
      <c r="H822">
        <v>2</v>
      </c>
      <c r="I822">
        <v>18.96</v>
      </c>
      <c r="J822">
        <v>415</v>
      </c>
      <c r="K822">
        <v>117</v>
      </c>
      <c r="L822">
        <v>37</v>
      </c>
      <c r="M822">
        <v>76</v>
      </c>
      <c r="N822">
        <v>0</v>
      </c>
      <c r="O822">
        <v>122</v>
      </c>
      <c r="P822">
        <v>0</v>
      </c>
      <c r="Q822">
        <v>-40</v>
      </c>
    </row>
    <row r="823" spans="1:17" x14ac:dyDescent="0.45">
      <c r="A823">
        <v>5673</v>
      </c>
      <c r="B823" t="s">
        <v>887</v>
      </c>
      <c r="C823">
        <v>371</v>
      </c>
      <c r="D823">
        <v>3</v>
      </c>
      <c r="E823">
        <v>617.79999999999995</v>
      </c>
      <c r="F823">
        <v>90</v>
      </c>
      <c r="G823">
        <v>467.6</v>
      </c>
      <c r="H823">
        <v>3</v>
      </c>
      <c r="I823">
        <v>35.86</v>
      </c>
      <c r="J823">
        <v>182</v>
      </c>
      <c r="K823">
        <v>47</v>
      </c>
      <c r="L823">
        <v>9</v>
      </c>
      <c r="M823">
        <v>20</v>
      </c>
      <c r="N823">
        <v>0</v>
      </c>
      <c r="O823">
        <v>948</v>
      </c>
      <c r="P823">
        <v>11.83</v>
      </c>
      <c r="Q823">
        <v>-261</v>
      </c>
    </row>
    <row r="824" spans="1:17" x14ac:dyDescent="0.45">
      <c r="A824">
        <v>737</v>
      </c>
      <c r="B824" t="s">
        <v>888</v>
      </c>
      <c r="C824">
        <v>318</v>
      </c>
      <c r="D824">
        <v>2</v>
      </c>
      <c r="E824">
        <v>377</v>
      </c>
      <c r="F824">
        <v>0</v>
      </c>
      <c r="G824">
        <v>336.8</v>
      </c>
      <c r="H824">
        <v>3</v>
      </c>
      <c r="I824">
        <v>26.41</v>
      </c>
      <c r="J824">
        <v>129</v>
      </c>
      <c r="K824">
        <v>50</v>
      </c>
      <c r="L824">
        <v>7</v>
      </c>
      <c r="M824">
        <v>16</v>
      </c>
      <c r="N824">
        <v>0</v>
      </c>
      <c r="O824">
        <v>703</v>
      </c>
      <c r="P824">
        <v>0</v>
      </c>
      <c r="Q824">
        <v>-281</v>
      </c>
    </row>
    <row r="825" spans="1:17" x14ac:dyDescent="0.45">
      <c r="A825">
        <v>152</v>
      </c>
      <c r="B825" t="s">
        <v>889</v>
      </c>
      <c r="C825">
        <v>6749</v>
      </c>
      <c r="D825">
        <v>3</v>
      </c>
      <c r="E825">
        <v>6288.6</v>
      </c>
      <c r="F825">
        <v>4533.5</v>
      </c>
      <c r="G825">
        <v>3543.3</v>
      </c>
      <c r="H825">
        <v>1</v>
      </c>
      <c r="I825">
        <v>15.69</v>
      </c>
      <c r="J825">
        <v>2656</v>
      </c>
      <c r="K825">
        <v>783</v>
      </c>
      <c r="L825">
        <v>293</v>
      </c>
      <c r="M825">
        <v>486</v>
      </c>
      <c r="N825">
        <v>0</v>
      </c>
      <c r="O825">
        <v>2313</v>
      </c>
      <c r="P825">
        <v>0</v>
      </c>
      <c r="Q825">
        <v>-401</v>
      </c>
    </row>
    <row r="826" spans="1:17" x14ac:dyDescent="0.45">
      <c r="A826">
        <v>2827</v>
      </c>
      <c r="B826" t="s">
        <v>890</v>
      </c>
      <c r="C826">
        <v>362</v>
      </c>
      <c r="D826">
        <v>1</v>
      </c>
      <c r="E826">
        <v>339.6</v>
      </c>
      <c r="F826">
        <v>0</v>
      </c>
      <c r="G826">
        <v>367.8</v>
      </c>
      <c r="H826">
        <v>3</v>
      </c>
      <c r="I826">
        <v>22.09</v>
      </c>
      <c r="J826">
        <v>183</v>
      </c>
      <c r="K826">
        <v>54</v>
      </c>
      <c r="L826">
        <v>22</v>
      </c>
      <c r="M826">
        <v>23</v>
      </c>
      <c r="N826">
        <v>0</v>
      </c>
      <c r="O826">
        <v>356</v>
      </c>
      <c r="P826">
        <v>14.75</v>
      </c>
      <c r="Q826">
        <v>-161</v>
      </c>
    </row>
    <row r="827" spans="1:17" x14ac:dyDescent="0.45">
      <c r="A827">
        <v>4186</v>
      </c>
      <c r="B827" t="s">
        <v>891</v>
      </c>
      <c r="C827">
        <v>2563</v>
      </c>
      <c r="D827">
        <v>3</v>
      </c>
      <c r="E827">
        <v>1957.7</v>
      </c>
      <c r="F827">
        <v>11.4</v>
      </c>
      <c r="G827">
        <v>2204.1999999999998</v>
      </c>
      <c r="H827">
        <v>2</v>
      </c>
      <c r="I827">
        <v>23.46</v>
      </c>
      <c r="J827">
        <v>946</v>
      </c>
      <c r="K827">
        <v>501</v>
      </c>
      <c r="L827">
        <v>74</v>
      </c>
      <c r="M827">
        <v>109</v>
      </c>
      <c r="N827">
        <v>0</v>
      </c>
      <c r="O827">
        <v>4681</v>
      </c>
      <c r="P827">
        <v>0</v>
      </c>
      <c r="Q827">
        <v>-682</v>
      </c>
    </row>
    <row r="828" spans="1:17" x14ac:dyDescent="0.45">
      <c r="A828">
        <v>979</v>
      </c>
      <c r="B828" t="s">
        <v>892</v>
      </c>
      <c r="C828">
        <v>7291</v>
      </c>
      <c r="D828">
        <v>1</v>
      </c>
      <c r="E828">
        <v>4068.4</v>
      </c>
      <c r="F828">
        <v>5415.3</v>
      </c>
      <c r="G828">
        <v>8131.5</v>
      </c>
      <c r="H828">
        <v>1</v>
      </c>
      <c r="I828">
        <v>16.760000000000002</v>
      </c>
      <c r="J828">
        <v>2644</v>
      </c>
      <c r="K828">
        <v>1038</v>
      </c>
      <c r="L828">
        <v>142</v>
      </c>
      <c r="M828">
        <v>272</v>
      </c>
      <c r="N828">
        <v>0</v>
      </c>
      <c r="O828">
        <v>1129</v>
      </c>
      <c r="P828">
        <v>0</v>
      </c>
      <c r="Q828">
        <v>-702</v>
      </c>
    </row>
    <row r="829" spans="1:17" x14ac:dyDescent="0.45">
      <c r="A829">
        <v>221</v>
      </c>
      <c r="B829" t="s">
        <v>893</v>
      </c>
      <c r="C829">
        <v>3118</v>
      </c>
      <c r="D829">
        <v>3</v>
      </c>
      <c r="E829">
        <v>2514.8000000000002</v>
      </c>
      <c r="F829">
        <v>0</v>
      </c>
      <c r="G829">
        <v>2846</v>
      </c>
      <c r="H829">
        <v>2</v>
      </c>
      <c r="I829">
        <v>24.61</v>
      </c>
      <c r="J829">
        <v>1070</v>
      </c>
      <c r="K829">
        <v>432</v>
      </c>
      <c r="L829">
        <v>136</v>
      </c>
      <c r="M829">
        <v>165</v>
      </c>
      <c r="N829">
        <v>0</v>
      </c>
      <c r="O829">
        <v>1162</v>
      </c>
      <c r="P829">
        <v>0</v>
      </c>
      <c r="Q829">
        <v>-261</v>
      </c>
    </row>
    <row r="830" spans="1:17" x14ac:dyDescent="0.45">
      <c r="A830">
        <v>1088</v>
      </c>
      <c r="B830" t="s">
        <v>894</v>
      </c>
      <c r="C830">
        <v>2445</v>
      </c>
      <c r="D830">
        <v>3</v>
      </c>
      <c r="E830">
        <v>1665.7</v>
      </c>
      <c r="F830">
        <v>0</v>
      </c>
      <c r="G830">
        <v>4217.3999999999996</v>
      </c>
      <c r="H830">
        <v>3</v>
      </c>
      <c r="I830">
        <v>26.39</v>
      </c>
      <c r="J830">
        <v>864</v>
      </c>
      <c r="K830">
        <v>369</v>
      </c>
      <c r="L830">
        <v>88</v>
      </c>
      <c r="M830">
        <v>202</v>
      </c>
      <c r="N830">
        <v>0</v>
      </c>
      <c r="O830">
        <v>4683</v>
      </c>
      <c r="P830">
        <v>0</v>
      </c>
      <c r="Q830">
        <v>-161</v>
      </c>
    </row>
    <row r="831" spans="1:17" x14ac:dyDescent="0.45">
      <c r="A831">
        <v>929</v>
      </c>
      <c r="B831" t="s">
        <v>895</v>
      </c>
      <c r="C831">
        <v>4056</v>
      </c>
      <c r="D831">
        <v>3</v>
      </c>
      <c r="E831">
        <v>4016.3</v>
      </c>
      <c r="F831">
        <v>2559.6999999999998</v>
      </c>
      <c r="G831">
        <v>2727.8</v>
      </c>
      <c r="H831">
        <v>1</v>
      </c>
      <c r="I831">
        <v>16.760000000000002</v>
      </c>
      <c r="J831">
        <v>1401</v>
      </c>
      <c r="K831">
        <v>521</v>
      </c>
      <c r="L831">
        <v>93</v>
      </c>
      <c r="M831">
        <v>163</v>
      </c>
      <c r="N831">
        <v>0</v>
      </c>
      <c r="O831">
        <v>19</v>
      </c>
      <c r="P831">
        <v>0</v>
      </c>
      <c r="Q831">
        <v>-281</v>
      </c>
    </row>
    <row r="832" spans="1:17" x14ac:dyDescent="0.45">
      <c r="A832">
        <v>2618</v>
      </c>
      <c r="B832" t="s">
        <v>896</v>
      </c>
      <c r="C832">
        <v>956</v>
      </c>
      <c r="D832">
        <v>2</v>
      </c>
      <c r="E832">
        <v>1513.6</v>
      </c>
      <c r="F832">
        <v>21.7</v>
      </c>
      <c r="G832">
        <v>731.8</v>
      </c>
      <c r="H832">
        <v>3</v>
      </c>
      <c r="I832">
        <v>28.59</v>
      </c>
      <c r="J832">
        <v>405</v>
      </c>
      <c r="K832">
        <v>135</v>
      </c>
      <c r="L832">
        <v>28</v>
      </c>
      <c r="M832">
        <v>45</v>
      </c>
      <c r="N832">
        <v>0</v>
      </c>
      <c r="O832">
        <v>1300</v>
      </c>
      <c r="P832">
        <v>52.45</v>
      </c>
      <c r="Q832">
        <v>-682</v>
      </c>
    </row>
    <row r="833" spans="1:17" x14ac:dyDescent="0.45">
      <c r="A833">
        <v>409</v>
      </c>
      <c r="B833" t="s">
        <v>897</v>
      </c>
      <c r="C833">
        <v>2806</v>
      </c>
      <c r="D833">
        <v>3</v>
      </c>
      <c r="E833">
        <v>2612.6</v>
      </c>
      <c r="F833">
        <v>63.1</v>
      </c>
      <c r="G833">
        <v>3695.9</v>
      </c>
      <c r="H833">
        <v>2</v>
      </c>
      <c r="I833">
        <v>24.84</v>
      </c>
      <c r="J833">
        <v>938</v>
      </c>
      <c r="K833">
        <v>328</v>
      </c>
      <c r="L833">
        <v>54</v>
      </c>
      <c r="M833">
        <v>121</v>
      </c>
      <c r="N833">
        <v>0</v>
      </c>
      <c r="O833">
        <v>2485</v>
      </c>
      <c r="P833">
        <v>0</v>
      </c>
      <c r="Q833">
        <v>-462</v>
      </c>
    </row>
    <row r="834" spans="1:17" x14ac:dyDescent="0.45">
      <c r="A834">
        <v>117</v>
      </c>
      <c r="B834" t="s">
        <v>898</v>
      </c>
      <c r="C834">
        <v>11576</v>
      </c>
      <c r="D834">
        <v>3</v>
      </c>
      <c r="E834">
        <v>10758.9</v>
      </c>
      <c r="F834">
        <v>2863.7</v>
      </c>
      <c r="G834">
        <v>11034.5</v>
      </c>
      <c r="H834">
        <v>2</v>
      </c>
      <c r="I834">
        <v>24.61</v>
      </c>
      <c r="J834">
        <v>4571</v>
      </c>
      <c r="K834">
        <v>1700</v>
      </c>
      <c r="L834">
        <v>338</v>
      </c>
      <c r="M834">
        <v>631</v>
      </c>
      <c r="N834">
        <v>0</v>
      </c>
      <c r="O834">
        <v>7708</v>
      </c>
      <c r="P834">
        <v>93738</v>
      </c>
      <c r="Q834">
        <v>-1164</v>
      </c>
    </row>
    <row r="835" spans="1:17" x14ac:dyDescent="0.45">
      <c r="A835">
        <v>4007</v>
      </c>
      <c r="B835" t="s">
        <v>899</v>
      </c>
      <c r="C835">
        <v>1685</v>
      </c>
      <c r="D835">
        <v>3</v>
      </c>
      <c r="E835">
        <v>1655.3</v>
      </c>
      <c r="F835">
        <v>0</v>
      </c>
      <c r="G835">
        <v>2677.2</v>
      </c>
      <c r="H835">
        <v>1</v>
      </c>
      <c r="I835">
        <v>20.87</v>
      </c>
      <c r="J835">
        <v>792</v>
      </c>
      <c r="K835">
        <v>295</v>
      </c>
      <c r="L835">
        <v>81</v>
      </c>
      <c r="M835">
        <v>111</v>
      </c>
      <c r="N835">
        <v>0</v>
      </c>
      <c r="O835">
        <v>456</v>
      </c>
      <c r="P835">
        <v>0</v>
      </c>
      <c r="Q835">
        <v>-341</v>
      </c>
    </row>
    <row r="836" spans="1:17" x14ac:dyDescent="0.45">
      <c r="A836">
        <v>173</v>
      </c>
      <c r="B836" t="s">
        <v>900</v>
      </c>
      <c r="C836">
        <v>3756</v>
      </c>
      <c r="D836">
        <v>3</v>
      </c>
      <c r="E836">
        <v>3416.1</v>
      </c>
      <c r="F836">
        <v>61.5</v>
      </c>
      <c r="G836">
        <v>3939.8</v>
      </c>
      <c r="H836">
        <v>2</v>
      </c>
      <c r="I836">
        <v>24.61</v>
      </c>
      <c r="J836">
        <v>1531</v>
      </c>
      <c r="K836">
        <v>552</v>
      </c>
      <c r="L836">
        <v>117</v>
      </c>
      <c r="M836">
        <v>205</v>
      </c>
      <c r="N836">
        <v>0</v>
      </c>
      <c r="O836">
        <v>3884</v>
      </c>
      <c r="P836">
        <v>210.43</v>
      </c>
      <c r="Q836">
        <v>-943</v>
      </c>
    </row>
    <row r="837" spans="1:17" x14ac:dyDescent="0.45">
      <c r="A837">
        <v>1030</v>
      </c>
      <c r="B837" t="s">
        <v>901</v>
      </c>
      <c r="C837">
        <v>5975</v>
      </c>
      <c r="D837">
        <v>2</v>
      </c>
      <c r="E837">
        <v>3322.4</v>
      </c>
      <c r="F837">
        <v>157.69999999999999</v>
      </c>
      <c r="G837">
        <v>9480.2000000000007</v>
      </c>
      <c r="H837">
        <v>2</v>
      </c>
      <c r="I837">
        <v>28.41</v>
      </c>
      <c r="J837">
        <v>2245</v>
      </c>
      <c r="K837">
        <v>1096</v>
      </c>
      <c r="L837">
        <v>140</v>
      </c>
      <c r="M837">
        <v>258</v>
      </c>
      <c r="N837">
        <v>0</v>
      </c>
      <c r="O837">
        <v>13968</v>
      </c>
      <c r="P837">
        <v>720.63</v>
      </c>
      <c r="Q837">
        <v>-1284</v>
      </c>
    </row>
    <row r="838" spans="1:17" x14ac:dyDescent="0.45">
      <c r="A838">
        <v>1031</v>
      </c>
      <c r="B838" t="s">
        <v>902</v>
      </c>
      <c r="C838">
        <v>9911</v>
      </c>
      <c r="D838">
        <v>2</v>
      </c>
      <c r="E838">
        <v>7886.7</v>
      </c>
      <c r="F838">
        <v>512.29999999999995</v>
      </c>
      <c r="G838">
        <v>12923.8</v>
      </c>
      <c r="H838">
        <v>1</v>
      </c>
      <c r="I838">
        <v>19.39</v>
      </c>
      <c r="J838">
        <v>3414</v>
      </c>
      <c r="K838">
        <v>1606</v>
      </c>
      <c r="L838">
        <v>258</v>
      </c>
      <c r="M838">
        <v>443</v>
      </c>
      <c r="N838">
        <v>0</v>
      </c>
      <c r="O838">
        <v>4772</v>
      </c>
      <c r="P838">
        <v>2215</v>
      </c>
      <c r="Q838">
        <v>-181</v>
      </c>
    </row>
    <row r="839" spans="1:17" x14ac:dyDescent="0.45">
      <c r="A839">
        <v>59</v>
      </c>
      <c r="B839" t="s">
        <v>903</v>
      </c>
      <c r="C839">
        <v>1989</v>
      </c>
      <c r="D839">
        <v>3</v>
      </c>
      <c r="E839">
        <v>1831.6</v>
      </c>
      <c r="F839">
        <v>283.2</v>
      </c>
      <c r="G839">
        <v>1105.5</v>
      </c>
      <c r="H839">
        <v>2</v>
      </c>
      <c r="I839">
        <v>24.61</v>
      </c>
      <c r="J839">
        <v>735</v>
      </c>
      <c r="K839">
        <v>327</v>
      </c>
      <c r="L839">
        <v>45</v>
      </c>
      <c r="M839">
        <v>113</v>
      </c>
      <c r="N839">
        <v>0</v>
      </c>
      <c r="O839">
        <v>1825</v>
      </c>
      <c r="P839">
        <v>0</v>
      </c>
      <c r="Q839">
        <v>-542</v>
      </c>
    </row>
    <row r="840" spans="1:17" x14ac:dyDescent="0.45">
      <c r="A840">
        <v>2475</v>
      </c>
      <c r="B840" t="s">
        <v>905</v>
      </c>
      <c r="C840">
        <v>1273</v>
      </c>
      <c r="D840">
        <v>3</v>
      </c>
      <c r="E840">
        <v>1907.1</v>
      </c>
      <c r="F840">
        <v>0</v>
      </c>
      <c r="G840">
        <v>2245</v>
      </c>
      <c r="H840">
        <v>3</v>
      </c>
      <c r="I840">
        <v>28.59</v>
      </c>
      <c r="J840">
        <v>551</v>
      </c>
      <c r="K840">
        <v>219</v>
      </c>
      <c r="L840">
        <v>53</v>
      </c>
      <c r="M840">
        <v>53</v>
      </c>
      <c r="N840">
        <v>0</v>
      </c>
      <c r="O840">
        <v>1701</v>
      </c>
      <c r="P840">
        <v>0</v>
      </c>
      <c r="Q840">
        <v>-743</v>
      </c>
    </row>
    <row r="841" spans="1:17" x14ac:dyDescent="0.45">
      <c r="A841">
        <v>580</v>
      </c>
      <c r="B841" t="s">
        <v>906</v>
      </c>
      <c r="C841">
        <v>543</v>
      </c>
      <c r="D841">
        <v>2</v>
      </c>
      <c r="E841">
        <v>826.5</v>
      </c>
      <c r="F841">
        <v>3.1</v>
      </c>
      <c r="G841">
        <v>989.1</v>
      </c>
      <c r="H841">
        <v>3</v>
      </c>
      <c r="I841">
        <v>26.41</v>
      </c>
      <c r="J841">
        <v>202</v>
      </c>
      <c r="K841">
        <v>114</v>
      </c>
      <c r="L841">
        <v>7</v>
      </c>
      <c r="M841">
        <v>27</v>
      </c>
      <c r="N841">
        <v>0</v>
      </c>
      <c r="O841">
        <v>1176</v>
      </c>
      <c r="P841">
        <v>0</v>
      </c>
      <c r="Q841">
        <v>-682</v>
      </c>
    </row>
    <row r="842" spans="1:17" x14ac:dyDescent="0.45">
      <c r="A842">
        <v>2476</v>
      </c>
      <c r="B842" t="s">
        <v>907</v>
      </c>
      <c r="C842">
        <v>3353</v>
      </c>
      <c r="D842">
        <v>2</v>
      </c>
      <c r="E842">
        <v>4768.6000000000004</v>
      </c>
      <c r="F842">
        <v>5.0999999999999996</v>
      </c>
      <c r="G842">
        <v>2713.8</v>
      </c>
      <c r="H842">
        <v>2</v>
      </c>
      <c r="I842">
        <v>26.37</v>
      </c>
      <c r="J842">
        <v>1262</v>
      </c>
      <c r="K842">
        <v>423</v>
      </c>
      <c r="L842">
        <v>103</v>
      </c>
      <c r="M842">
        <v>174</v>
      </c>
      <c r="N842">
        <v>0</v>
      </c>
      <c r="O842">
        <v>551</v>
      </c>
      <c r="P842">
        <v>0</v>
      </c>
      <c r="Q842">
        <v>-662</v>
      </c>
    </row>
    <row r="843" spans="1:17" x14ac:dyDescent="0.45">
      <c r="A843">
        <v>1032</v>
      </c>
      <c r="B843" t="s">
        <v>908</v>
      </c>
      <c r="C843">
        <v>2435</v>
      </c>
      <c r="D843">
        <v>3</v>
      </c>
      <c r="E843">
        <v>1637.7</v>
      </c>
      <c r="F843">
        <v>0</v>
      </c>
      <c r="G843">
        <v>7124.4</v>
      </c>
      <c r="H843">
        <v>3</v>
      </c>
      <c r="I843">
        <v>26.39</v>
      </c>
      <c r="J843">
        <v>761</v>
      </c>
      <c r="K843">
        <v>323</v>
      </c>
      <c r="L843">
        <v>51</v>
      </c>
      <c r="M843">
        <v>85</v>
      </c>
      <c r="N843">
        <v>0</v>
      </c>
      <c r="O843">
        <v>16424</v>
      </c>
      <c r="P843">
        <v>0</v>
      </c>
      <c r="Q843">
        <v>-803</v>
      </c>
    </row>
    <row r="844" spans="1:17" x14ac:dyDescent="0.45">
      <c r="A844">
        <v>4495</v>
      </c>
      <c r="B844" t="s">
        <v>909</v>
      </c>
      <c r="C844">
        <v>661</v>
      </c>
      <c r="D844">
        <v>3</v>
      </c>
      <c r="E844">
        <v>708.9</v>
      </c>
      <c r="F844">
        <v>39.1</v>
      </c>
      <c r="G844">
        <v>1736.2</v>
      </c>
      <c r="H844">
        <v>3</v>
      </c>
      <c r="I844">
        <v>26.04</v>
      </c>
      <c r="J844">
        <v>324</v>
      </c>
      <c r="K844">
        <v>135</v>
      </c>
      <c r="L844">
        <v>14</v>
      </c>
      <c r="M844">
        <v>32</v>
      </c>
      <c r="N844">
        <v>0</v>
      </c>
      <c r="O844">
        <v>4616</v>
      </c>
      <c r="P844">
        <v>0</v>
      </c>
      <c r="Q844">
        <v>-261</v>
      </c>
    </row>
    <row r="845" spans="1:17" x14ac:dyDescent="0.45">
      <c r="A845">
        <v>4199</v>
      </c>
      <c r="B845" t="s">
        <v>910</v>
      </c>
      <c r="C845">
        <v>1487</v>
      </c>
      <c r="D845">
        <v>3</v>
      </c>
      <c r="E845">
        <v>1047.5999999999999</v>
      </c>
      <c r="F845">
        <v>692.4</v>
      </c>
      <c r="G845">
        <v>674.8</v>
      </c>
      <c r="H845">
        <v>1</v>
      </c>
      <c r="I845">
        <v>20.87</v>
      </c>
      <c r="J845">
        <v>632</v>
      </c>
      <c r="K845">
        <v>364</v>
      </c>
      <c r="L845">
        <v>41</v>
      </c>
      <c r="M845">
        <v>86</v>
      </c>
      <c r="N845">
        <v>0</v>
      </c>
      <c r="O845">
        <v>193</v>
      </c>
      <c r="P845">
        <v>0</v>
      </c>
      <c r="Q845">
        <v>-181</v>
      </c>
    </row>
    <row r="846" spans="1:17" x14ac:dyDescent="0.45">
      <c r="A846">
        <v>2425</v>
      </c>
      <c r="B846" t="s">
        <v>911</v>
      </c>
      <c r="C846">
        <v>732</v>
      </c>
      <c r="D846">
        <v>2</v>
      </c>
      <c r="E846">
        <v>1229.5</v>
      </c>
      <c r="F846">
        <v>6.4</v>
      </c>
      <c r="G846">
        <v>675.1</v>
      </c>
      <c r="H846">
        <v>3</v>
      </c>
      <c r="I846">
        <v>28.59</v>
      </c>
      <c r="J846">
        <v>331</v>
      </c>
      <c r="K846">
        <v>144</v>
      </c>
      <c r="L846">
        <v>11</v>
      </c>
      <c r="M846">
        <v>32</v>
      </c>
      <c r="N846">
        <v>0</v>
      </c>
      <c r="O846">
        <v>1497</v>
      </c>
      <c r="P846">
        <v>0</v>
      </c>
      <c r="Q846">
        <v>-723</v>
      </c>
    </row>
    <row r="847" spans="1:17" x14ac:dyDescent="0.45">
      <c r="A847">
        <v>4136</v>
      </c>
      <c r="B847" t="s">
        <v>913</v>
      </c>
      <c r="C847">
        <v>1681</v>
      </c>
      <c r="D847">
        <v>3</v>
      </c>
      <c r="E847">
        <v>1627.9</v>
      </c>
      <c r="F847">
        <v>0</v>
      </c>
      <c r="G847">
        <v>1337.5</v>
      </c>
      <c r="H847">
        <v>1</v>
      </c>
      <c r="I847">
        <v>20.87</v>
      </c>
      <c r="J847">
        <v>738</v>
      </c>
      <c r="K847">
        <v>257</v>
      </c>
      <c r="L847">
        <v>35</v>
      </c>
      <c r="M847">
        <v>89</v>
      </c>
      <c r="N847">
        <v>0</v>
      </c>
      <c r="O847">
        <v>727</v>
      </c>
      <c r="P847">
        <v>0</v>
      </c>
      <c r="Q847">
        <v>-221</v>
      </c>
    </row>
    <row r="848" spans="1:17" x14ac:dyDescent="0.45">
      <c r="A848">
        <v>931</v>
      </c>
      <c r="B848" t="s">
        <v>914</v>
      </c>
      <c r="C848">
        <v>501</v>
      </c>
      <c r="D848">
        <v>3</v>
      </c>
      <c r="E848">
        <v>235.2</v>
      </c>
      <c r="F848">
        <v>0</v>
      </c>
      <c r="G848">
        <v>505.9</v>
      </c>
      <c r="H848">
        <v>3</v>
      </c>
      <c r="I848">
        <v>26.41</v>
      </c>
      <c r="J848">
        <v>159</v>
      </c>
      <c r="K848">
        <v>102</v>
      </c>
      <c r="L848">
        <v>4</v>
      </c>
      <c r="M848">
        <v>16</v>
      </c>
      <c r="N848">
        <v>0</v>
      </c>
      <c r="O848">
        <v>2638</v>
      </c>
      <c r="P848">
        <v>0</v>
      </c>
      <c r="Q848">
        <v>-401</v>
      </c>
    </row>
    <row r="849" spans="1:17" x14ac:dyDescent="0.45">
      <c r="A849">
        <v>153</v>
      </c>
      <c r="B849" t="s">
        <v>915</v>
      </c>
      <c r="C849">
        <v>8964</v>
      </c>
      <c r="D849">
        <v>3</v>
      </c>
      <c r="E849">
        <v>8955</v>
      </c>
      <c r="F849">
        <v>341</v>
      </c>
      <c r="G849">
        <v>6026.2</v>
      </c>
      <c r="H849">
        <v>2</v>
      </c>
      <c r="I849">
        <v>24.61</v>
      </c>
      <c r="J849">
        <v>3198</v>
      </c>
      <c r="K849">
        <v>1251</v>
      </c>
      <c r="L849">
        <v>259</v>
      </c>
      <c r="M849">
        <v>468</v>
      </c>
      <c r="N849">
        <v>0</v>
      </c>
      <c r="O849">
        <v>5098</v>
      </c>
      <c r="P849">
        <v>738.35</v>
      </c>
      <c r="Q849">
        <v>-301</v>
      </c>
    </row>
    <row r="850" spans="1:17" x14ac:dyDescent="0.45">
      <c r="A850">
        <v>4816</v>
      </c>
      <c r="B850" t="s">
        <v>916</v>
      </c>
      <c r="C850">
        <v>1579</v>
      </c>
      <c r="D850">
        <v>3</v>
      </c>
      <c r="E850">
        <v>1060.9000000000001</v>
      </c>
      <c r="F850">
        <v>0</v>
      </c>
      <c r="G850">
        <v>4241.8</v>
      </c>
      <c r="H850">
        <v>3</v>
      </c>
      <c r="I850">
        <v>26.04</v>
      </c>
      <c r="J850">
        <v>681</v>
      </c>
      <c r="K850">
        <v>350</v>
      </c>
      <c r="L850">
        <v>47</v>
      </c>
      <c r="M850">
        <v>66</v>
      </c>
      <c r="N850">
        <v>0</v>
      </c>
      <c r="O850">
        <v>10122</v>
      </c>
      <c r="P850">
        <v>0</v>
      </c>
      <c r="Q850">
        <v>-1144</v>
      </c>
    </row>
    <row r="851" spans="1:17" x14ac:dyDescent="0.45">
      <c r="A851">
        <v>1057</v>
      </c>
      <c r="B851" t="s">
        <v>917</v>
      </c>
      <c r="C851">
        <v>512</v>
      </c>
      <c r="D851">
        <v>3</v>
      </c>
      <c r="E851">
        <v>191.7</v>
      </c>
      <c r="F851">
        <v>0</v>
      </c>
      <c r="G851">
        <v>1372.7</v>
      </c>
      <c r="H851">
        <v>2</v>
      </c>
      <c r="I851">
        <v>28.41</v>
      </c>
      <c r="J851">
        <v>239</v>
      </c>
      <c r="K851">
        <v>92</v>
      </c>
      <c r="L851">
        <v>17</v>
      </c>
      <c r="M851">
        <v>35</v>
      </c>
      <c r="N851">
        <v>0</v>
      </c>
      <c r="O851">
        <v>435</v>
      </c>
      <c r="P851">
        <v>0</v>
      </c>
      <c r="Q851">
        <v>-40</v>
      </c>
    </row>
    <row r="852" spans="1:17" x14ac:dyDescent="0.45">
      <c r="A852">
        <v>295</v>
      </c>
      <c r="B852" t="s">
        <v>918</v>
      </c>
      <c r="C852">
        <v>23628</v>
      </c>
      <c r="D852">
        <v>3</v>
      </c>
      <c r="E852">
        <v>11819.7</v>
      </c>
      <c r="F852">
        <v>10955.7</v>
      </c>
      <c r="G852">
        <v>9710.2999999999993</v>
      </c>
      <c r="H852">
        <v>1</v>
      </c>
      <c r="I852">
        <v>15.69</v>
      </c>
      <c r="J852">
        <v>6868</v>
      </c>
      <c r="K852">
        <v>3040</v>
      </c>
      <c r="L852">
        <v>716</v>
      </c>
      <c r="M852">
        <v>1294</v>
      </c>
      <c r="N852">
        <v>0</v>
      </c>
      <c r="O852">
        <v>7749</v>
      </c>
      <c r="P852">
        <v>19783.349999999999</v>
      </c>
      <c r="Q852">
        <v>-2469</v>
      </c>
    </row>
    <row r="853" spans="1:17" x14ac:dyDescent="0.45">
      <c r="A853">
        <v>4421</v>
      </c>
      <c r="B853" t="s">
        <v>920</v>
      </c>
      <c r="C853">
        <v>2907</v>
      </c>
      <c r="D853">
        <v>3</v>
      </c>
      <c r="E853">
        <v>1392.9</v>
      </c>
      <c r="F853">
        <v>1636.8</v>
      </c>
      <c r="G853">
        <v>4828.1000000000004</v>
      </c>
      <c r="H853">
        <v>1</v>
      </c>
      <c r="I853">
        <v>21</v>
      </c>
      <c r="J853">
        <v>1249</v>
      </c>
      <c r="K853">
        <v>500</v>
      </c>
      <c r="L853">
        <v>79</v>
      </c>
      <c r="M853">
        <v>184</v>
      </c>
      <c r="N853">
        <v>0</v>
      </c>
      <c r="O853">
        <v>620</v>
      </c>
      <c r="P853">
        <v>0</v>
      </c>
      <c r="Q853">
        <v>-20</v>
      </c>
    </row>
    <row r="854" spans="1:17" x14ac:dyDescent="0.45">
      <c r="A854">
        <v>932</v>
      </c>
      <c r="B854" t="s">
        <v>921</v>
      </c>
      <c r="C854">
        <v>231</v>
      </c>
      <c r="D854">
        <v>3</v>
      </c>
      <c r="E854">
        <v>126.1</v>
      </c>
      <c r="F854">
        <v>0</v>
      </c>
      <c r="G854">
        <v>198</v>
      </c>
      <c r="H854">
        <v>3</v>
      </c>
      <c r="I854">
        <v>26.41</v>
      </c>
      <c r="J854">
        <v>60</v>
      </c>
      <c r="K854">
        <v>49</v>
      </c>
      <c r="L854">
        <v>3</v>
      </c>
      <c r="M854">
        <v>6</v>
      </c>
      <c r="N854">
        <v>0</v>
      </c>
      <c r="O854">
        <v>2191</v>
      </c>
      <c r="P854">
        <v>0</v>
      </c>
      <c r="Q854">
        <v>-1505</v>
      </c>
    </row>
    <row r="855" spans="1:17" x14ac:dyDescent="0.45">
      <c r="A855">
        <v>2523</v>
      </c>
      <c r="B855" t="s">
        <v>922</v>
      </c>
      <c r="C855">
        <v>866</v>
      </c>
      <c r="D855">
        <v>2</v>
      </c>
      <c r="E855">
        <v>981.4</v>
      </c>
      <c r="F855">
        <v>42.4</v>
      </c>
      <c r="G855">
        <v>964.4</v>
      </c>
      <c r="H855">
        <v>2</v>
      </c>
      <c r="I855">
        <v>26.37</v>
      </c>
      <c r="J855">
        <v>371</v>
      </c>
      <c r="K855">
        <v>123</v>
      </c>
      <c r="L855">
        <v>27</v>
      </c>
      <c r="M855">
        <v>43</v>
      </c>
      <c r="N855">
        <v>0</v>
      </c>
      <c r="O855">
        <v>1000</v>
      </c>
      <c r="P855">
        <v>0</v>
      </c>
      <c r="Q855">
        <v>-140</v>
      </c>
    </row>
    <row r="856" spans="1:17" x14ac:dyDescent="0.45">
      <c r="A856">
        <v>1058</v>
      </c>
      <c r="B856" t="s">
        <v>923</v>
      </c>
      <c r="C856">
        <v>15043</v>
      </c>
      <c r="D856">
        <v>3</v>
      </c>
      <c r="E856">
        <v>10276.4</v>
      </c>
      <c r="F856">
        <v>3937.6</v>
      </c>
      <c r="G856">
        <v>6610.3</v>
      </c>
      <c r="H856">
        <v>1</v>
      </c>
      <c r="I856">
        <v>19.39</v>
      </c>
      <c r="J856">
        <v>4137</v>
      </c>
      <c r="K856">
        <v>1585</v>
      </c>
      <c r="L856">
        <v>363</v>
      </c>
      <c r="M856">
        <v>714</v>
      </c>
      <c r="N856">
        <v>0</v>
      </c>
      <c r="O856">
        <v>1956</v>
      </c>
      <c r="P856">
        <v>0</v>
      </c>
      <c r="Q856">
        <v>-1064</v>
      </c>
    </row>
    <row r="857" spans="1:17" x14ac:dyDescent="0.45">
      <c r="A857">
        <v>1210</v>
      </c>
      <c r="B857" t="s">
        <v>924</v>
      </c>
      <c r="C857">
        <v>179</v>
      </c>
      <c r="D857">
        <v>3</v>
      </c>
      <c r="E857">
        <v>640</v>
      </c>
      <c r="F857">
        <v>0</v>
      </c>
      <c r="G857">
        <v>167.5</v>
      </c>
      <c r="H857">
        <v>3</v>
      </c>
      <c r="I857">
        <v>24.76</v>
      </c>
      <c r="J857">
        <v>46</v>
      </c>
      <c r="K857">
        <v>27</v>
      </c>
      <c r="L857">
        <v>0</v>
      </c>
      <c r="M857">
        <v>6</v>
      </c>
      <c r="N857">
        <v>0</v>
      </c>
      <c r="O857">
        <v>596</v>
      </c>
      <c r="P857">
        <v>0</v>
      </c>
      <c r="Q857">
        <v>-823</v>
      </c>
    </row>
    <row r="858" spans="1:17" x14ac:dyDescent="0.45">
      <c r="A858">
        <v>2548</v>
      </c>
      <c r="B858" t="s">
        <v>925</v>
      </c>
      <c r="C858">
        <v>708</v>
      </c>
      <c r="D858">
        <v>2</v>
      </c>
      <c r="E858">
        <v>766.1</v>
      </c>
      <c r="F858">
        <v>3.6</v>
      </c>
      <c r="G858">
        <v>454.2</v>
      </c>
      <c r="H858">
        <v>2</v>
      </c>
      <c r="I858">
        <v>26.37</v>
      </c>
      <c r="J858">
        <v>293</v>
      </c>
      <c r="K858">
        <v>101</v>
      </c>
      <c r="L858">
        <v>15</v>
      </c>
      <c r="M858">
        <v>35</v>
      </c>
      <c r="N858">
        <v>0</v>
      </c>
      <c r="O858">
        <v>640</v>
      </c>
      <c r="P858">
        <v>0</v>
      </c>
      <c r="Q858">
        <v>-80</v>
      </c>
    </row>
    <row r="859" spans="1:17" x14ac:dyDescent="0.45">
      <c r="A859">
        <v>3002</v>
      </c>
      <c r="B859" t="s">
        <v>926</v>
      </c>
      <c r="C859">
        <v>931</v>
      </c>
      <c r="D859">
        <v>3</v>
      </c>
      <c r="E859">
        <v>739.8</v>
      </c>
      <c r="F859">
        <v>22.1</v>
      </c>
      <c r="G859">
        <v>1373.8</v>
      </c>
      <c r="H859">
        <v>3</v>
      </c>
      <c r="I859">
        <v>25.09</v>
      </c>
      <c r="J859">
        <v>261</v>
      </c>
      <c r="K859">
        <v>140</v>
      </c>
      <c r="L859">
        <v>5</v>
      </c>
      <c r="M859">
        <v>24</v>
      </c>
      <c r="N859">
        <v>0</v>
      </c>
      <c r="O859">
        <v>8229</v>
      </c>
      <c r="P859">
        <v>118.9</v>
      </c>
      <c r="Q859">
        <v>-1345</v>
      </c>
    </row>
    <row r="860" spans="1:17" x14ac:dyDescent="0.45">
      <c r="A860">
        <v>4200</v>
      </c>
      <c r="B860" t="s">
        <v>930</v>
      </c>
      <c r="C860">
        <v>4308</v>
      </c>
      <c r="D860">
        <v>3</v>
      </c>
      <c r="E860">
        <v>3447.4</v>
      </c>
      <c r="F860">
        <v>970.7</v>
      </c>
      <c r="G860">
        <v>2576.8000000000002</v>
      </c>
      <c r="H860">
        <v>2</v>
      </c>
      <c r="I860">
        <v>23.46</v>
      </c>
      <c r="J860">
        <v>1730</v>
      </c>
      <c r="K860">
        <v>796</v>
      </c>
      <c r="L860">
        <v>76</v>
      </c>
      <c r="M860">
        <v>270</v>
      </c>
      <c r="N860">
        <v>0</v>
      </c>
      <c r="O860">
        <v>545</v>
      </c>
      <c r="P860">
        <v>0</v>
      </c>
      <c r="Q860">
        <v>-161</v>
      </c>
    </row>
    <row r="861" spans="1:17" x14ac:dyDescent="0.45">
      <c r="A861">
        <v>954</v>
      </c>
      <c r="B861" t="s">
        <v>933</v>
      </c>
      <c r="C861">
        <v>5069</v>
      </c>
      <c r="D861">
        <v>2</v>
      </c>
      <c r="E861">
        <v>4626.3999999999996</v>
      </c>
      <c r="F861">
        <v>7.1</v>
      </c>
      <c r="G861">
        <v>9951.7999999999993</v>
      </c>
      <c r="H861">
        <v>2</v>
      </c>
      <c r="I861">
        <v>24.84</v>
      </c>
      <c r="J861">
        <v>2090</v>
      </c>
      <c r="K861">
        <v>723</v>
      </c>
      <c r="L861">
        <v>92</v>
      </c>
      <c r="M861">
        <v>183</v>
      </c>
      <c r="N861">
        <v>0</v>
      </c>
      <c r="O861">
        <v>8391</v>
      </c>
      <c r="P861">
        <v>0</v>
      </c>
      <c r="Q861">
        <v>-682</v>
      </c>
    </row>
    <row r="862" spans="1:17" x14ac:dyDescent="0.45">
      <c r="A862">
        <v>2847</v>
      </c>
      <c r="B862" t="s">
        <v>839</v>
      </c>
      <c r="C862">
        <v>259</v>
      </c>
      <c r="D862">
        <v>1</v>
      </c>
      <c r="E862">
        <v>215.2</v>
      </c>
      <c r="F862">
        <v>0</v>
      </c>
      <c r="G862">
        <v>214.7</v>
      </c>
      <c r="H862">
        <v>3</v>
      </c>
      <c r="I862">
        <v>22.09</v>
      </c>
      <c r="J862">
        <v>105</v>
      </c>
      <c r="K862">
        <v>62</v>
      </c>
      <c r="L862">
        <v>8</v>
      </c>
      <c r="M862">
        <v>6</v>
      </c>
      <c r="N862">
        <v>0</v>
      </c>
      <c r="O862">
        <v>1316</v>
      </c>
      <c r="P862">
        <v>23.61</v>
      </c>
      <c r="Q862">
        <v>-261</v>
      </c>
    </row>
    <row r="863" spans="1:17" x14ac:dyDescent="0.45">
      <c r="A863">
        <v>2579</v>
      </c>
      <c r="B863" t="s">
        <v>841</v>
      </c>
      <c r="C863">
        <v>5249</v>
      </c>
      <c r="D863">
        <v>2</v>
      </c>
      <c r="E863">
        <v>5208.8</v>
      </c>
      <c r="F863">
        <v>856.4</v>
      </c>
      <c r="G863">
        <v>6057.5</v>
      </c>
      <c r="H863">
        <v>1</v>
      </c>
      <c r="I863">
        <v>19.07</v>
      </c>
      <c r="J863">
        <v>1880</v>
      </c>
      <c r="K863">
        <v>894</v>
      </c>
      <c r="L863">
        <v>123</v>
      </c>
      <c r="M863">
        <v>337</v>
      </c>
      <c r="N863">
        <v>0</v>
      </c>
      <c r="O863">
        <v>1781</v>
      </c>
      <c r="P863">
        <v>0</v>
      </c>
      <c r="Q863">
        <v>-1565</v>
      </c>
    </row>
    <row r="864" spans="1:17" x14ac:dyDescent="0.45">
      <c r="A864">
        <v>3201</v>
      </c>
      <c r="B864" t="s">
        <v>842</v>
      </c>
      <c r="C864">
        <v>1393</v>
      </c>
      <c r="D864">
        <v>1</v>
      </c>
      <c r="E864">
        <v>977.2</v>
      </c>
      <c r="F864">
        <v>21.6</v>
      </c>
      <c r="G864">
        <v>3269.5</v>
      </c>
      <c r="H864">
        <v>3</v>
      </c>
      <c r="I864">
        <v>30.49</v>
      </c>
      <c r="J864">
        <v>546</v>
      </c>
      <c r="K864">
        <v>260</v>
      </c>
      <c r="L864">
        <v>41</v>
      </c>
      <c r="M864">
        <v>54</v>
      </c>
      <c r="N864">
        <v>0</v>
      </c>
      <c r="O864">
        <v>7743</v>
      </c>
      <c r="P864">
        <v>0</v>
      </c>
      <c r="Q864">
        <v>-221</v>
      </c>
    </row>
    <row r="865" spans="1:17" x14ac:dyDescent="0.45">
      <c r="A865">
        <v>4068</v>
      </c>
      <c r="B865" t="s">
        <v>843</v>
      </c>
      <c r="C865">
        <v>2454</v>
      </c>
      <c r="D865">
        <v>3</v>
      </c>
      <c r="E865">
        <v>2773.3</v>
      </c>
      <c r="F865">
        <v>2.7</v>
      </c>
      <c r="G865">
        <v>2441.6</v>
      </c>
      <c r="H865">
        <v>2</v>
      </c>
      <c r="I865">
        <v>23.46</v>
      </c>
      <c r="J865">
        <v>1060</v>
      </c>
      <c r="K865">
        <v>420</v>
      </c>
      <c r="L865">
        <v>72</v>
      </c>
      <c r="M865">
        <v>125</v>
      </c>
      <c r="N865">
        <v>0</v>
      </c>
      <c r="O865">
        <v>3183</v>
      </c>
      <c r="P865">
        <v>0</v>
      </c>
      <c r="Q865">
        <v>-482</v>
      </c>
    </row>
    <row r="866" spans="1:17" x14ac:dyDescent="0.45">
      <c r="A866">
        <v>2402</v>
      </c>
      <c r="B866" t="s">
        <v>848</v>
      </c>
      <c r="C866">
        <v>1752</v>
      </c>
      <c r="D866">
        <v>2</v>
      </c>
      <c r="E866">
        <v>1495.4</v>
      </c>
      <c r="F866">
        <v>662.8</v>
      </c>
      <c r="G866">
        <v>4684.2</v>
      </c>
      <c r="H866">
        <v>2</v>
      </c>
      <c r="I866">
        <v>26.37</v>
      </c>
      <c r="J866">
        <v>818</v>
      </c>
      <c r="K866">
        <v>355</v>
      </c>
      <c r="L866">
        <v>47</v>
      </c>
      <c r="M866">
        <v>165</v>
      </c>
      <c r="N866">
        <v>0</v>
      </c>
      <c r="O866">
        <v>1331</v>
      </c>
      <c r="P866">
        <v>0</v>
      </c>
      <c r="Q866">
        <v>-221</v>
      </c>
    </row>
    <row r="867" spans="1:17" x14ac:dyDescent="0.45">
      <c r="A867">
        <v>609</v>
      </c>
      <c r="B867" t="s">
        <v>863</v>
      </c>
      <c r="C867">
        <v>263</v>
      </c>
      <c r="D867">
        <v>3</v>
      </c>
      <c r="E867">
        <v>122</v>
      </c>
      <c r="F867">
        <v>5.6</v>
      </c>
      <c r="G867">
        <v>159.30000000000001</v>
      </c>
      <c r="H867">
        <v>3</v>
      </c>
      <c r="I867">
        <v>26.41</v>
      </c>
      <c r="J867">
        <v>121</v>
      </c>
      <c r="K867">
        <v>47</v>
      </c>
      <c r="L867">
        <v>4</v>
      </c>
      <c r="M867">
        <v>7</v>
      </c>
      <c r="N867">
        <v>0</v>
      </c>
      <c r="O867">
        <v>1556</v>
      </c>
      <c r="P867">
        <v>0</v>
      </c>
      <c r="Q867">
        <v>-181</v>
      </c>
    </row>
    <row r="868" spans="1:17" x14ac:dyDescent="0.45">
      <c r="A868">
        <v>6084</v>
      </c>
      <c r="B868" t="s">
        <v>882</v>
      </c>
      <c r="C868">
        <v>1488</v>
      </c>
      <c r="D868">
        <v>3</v>
      </c>
      <c r="E868">
        <v>1220.8</v>
      </c>
      <c r="F868">
        <v>3.3</v>
      </c>
      <c r="G868">
        <v>873.6</v>
      </c>
      <c r="H868">
        <v>3</v>
      </c>
      <c r="I868">
        <v>30.8</v>
      </c>
      <c r="J868">
        <v>675</v>
      </c>
      <c r="K868">
        <v>281</v>
      </c>
      <c r="L868">
        <v>37</v>
      </c>
      <c r="M868">
        <v>85</v>
      </c>
      <c r="N868">
        <v>0</v>
      </c>
      <c r="O868">
        <v>1205</v>
      </c>
      <c r="P868">
        <v>221.5</v>
      </c>
      <c r="Q868">
        <v>-3874</v>
      </c>
    </row>
    <row r="869" spans="1:17" x14ac:dyDescent="0.45">
      <c r="A869">
        <v>410</v>
      </c>
      <c r="B869" t="s">
        <v>904</v>
      </c>
      <c r="C869">
        <v>268</v>
      </c>
      <c r="D869">
        <v>3</v>
      </c>
      <c r="E869">
        <v>369.1</v>
      </c>
      <c r="F869">
        <v>16.3</v>
      </c>
      <c r="G869">
        <v>363.3</v>
      </c>
      <c r="H869">
        <v>3</v>
      </c>
      <c r="I869">
        <v>26.41</v>
      </c>
      <c r="J869">
        <v>149</v>
      </c>
      <c r="K869">
        <v>60</v>
      </c>
      <c r="L869">
        <v>5</v>
      </c>
      <c r="M869">
        <v>7</v>
      </c>
      <c r="N869">
        <v>0</v>
      </c>
      <c r="O869">
        <v>1207</v>
      </c>
      <c r="P869">
        <v>0</v>
      </c>
      <c r="Q869">
        <v>-120</v>
      </c>
    </row>
    <row r="870" spans="1:17" x14ac:dyDescent="0.45">
      <c r="A870">
        <v>2886</v>
      </c>
      <c r="B870" t="s">
        <v>912</v>
      </c>
      <c r="C870">
        <v>2609</v>
      </c>
      <c r="D870">
        <v>1</v>
      </c>
      <c r="E870">
        <v>2407.3000000000002</v>
      </c>
      <c r="F870">
        <v>0</v>
      </c>
      <c r="G870">
        <v>1598.7</v>
      </c>
      <c r="H870">
        <v>2</v>
      </c>
      <c r="I870">
        <v>20.72</v>
      </c>
      <c r="J870">
        <v>926</v>
      </c>
      <c r="K870">
        <v>421</v>
      </c>
      <c r="L870">
        <v>57</v>
      </c>
      <c r="M870">
        <v>123</v>
      </c>
      <c r="N870">
        <v>0</v>
      </c>
      <c r="O870">
        <v>1371</v>
      </c>
      <c r="P870">
        <v>0</v>
      </c>
      <c r="Q870">
        <v>-482</v>
      </c>
    </row>
    <row r="871" spans="1:17" x14ac:dyDescent="0.45">
      <c r="A871">
        <v>60</v>
      </c>
      <c r="B871" t="s">
        <v>919</v>
      </c>
      <c r="C871">
        <v>3307</v>
      </c>
      <c r="D871">
        <v>3</v>
      </c>
      <c r="E871">
        <v>3022.9</v>
      </c>
      <c r="F871">
        <v>50.3</v>
      </c>
      <c r="G871">
        <v>2268.3000000000002</v>
      </c>
      <c r="H871">
        <v>1</v>
      </c>
      <c r="I871">
        <v>15.69</v>
      </c>
      <c r="J871">
        <v>1209</v>
      </c>
      <c r="K871">
        <v>633</v>
      </c>
      <c r="L871">
        <v>91</v>
      </c>
      <c r="M871">
        <v>237</v>
      </c>
      <c r="N871">
        <v>0</v>
      </c>
      <c r="O871">
        <v>1296</v>
      </c>
      <c r="P871">
        <v>0</v>
      </c>
      <c r="Q871">
        <v>-120</v>
      </c>
    </row>
    <row r="872" spans="1:17" x14ac:dyDescent="0.45">
      <c r="A872">
        <v>1703</v>
      </c>
      <c r="B872" t="s">
        <v>927</v>
      </c>
      <c r="C872">
        <v>8948</v>
      </c>
      <c r="D872">
        <v>2</v>
      </c>
      <c r="E872">
        <v>4179.6000000000004</v>
      </c>
      <c r="F872">
        <v>5188.5</v>
      </c>
      <c r="G872">
        <v>12621.9</v>
      </c>
      <c r="H872">
        <v>1</v>
      </c>
      <c r="I872">
        <v>22.43</v>
      </c>
      <c r="J872">
        <v>3349</v>
      </c>
      <c r="K872">
        <v>1636</v>
      </c>
      <c r="L872">
        <v>365</v>
      </c>
      <c r="M872">
        <v>746</v>
      </c>
      <c r="N872">
        <v>0</v>
      </c>
      <c r="O872">
        <v>7615</v>
      </c>
      <c r="P872">
        <v>0</v>
      </c>
      <c r="Q872">
        <v>-622</v>
      </c>
    </row>
    <row r="873" spans="1:17" x14ac:dyDescent="0.45">
      <c r="A873">
        <v>2524</v>
      </c>
      <c r="B873" t="s">
        <v>928</v>
      </c>
      <c r="C873">
        <v>157</v>
      </c>
      <c r="D873">
        <v>2</v>
      </c>
      <c r="E873">
        <v>124.9</v>
      </c>
      <c r="F873">
        <v>28.9</v>
      </c>
      <c r="G873">
        <v>244.5</v>
      </c>
      <c r="H873">
        <v>2</v>
      </c>
      <c r="I873">
        <v>26.37</v>
      </c>
      <c r="J873">
        <v>60</v>
      </c>
      <c r="K873">
        <v>29</v>
      </c>
      <c r="L873">
        <v>5</v>
      </c>
      <c r="M873">
        <v>7</v>
      </c>
      <c r="N873">
        <v>0</v>
      </c>
      <c r="O873">
        <v>105</v>
      </c>
      <c r="P873">
        <v>0</v>
      </c>
      <c r="Q873">
        <v>-40</v>
      </c>
    </row>
    <row r="874" spans="1:17" x14ac:dyDescent="0.45">
      <c r="A874">
        <v>61</v>
      </c>
      <c r="B874" t="s">
        <v>929</v>
      </c>
      <c r="C874">
        <v>1093</v>
      </c>
      <c r="D874">
        <v>3</v>
      </c>
      <c r="E874">
        <v>1175.7</v>
      </c>
      <c r="F874">
        <v>9.6999999999999993</v>
      </c>
      <c r="G874">
        <v>1203.5999999999999</v>
      </c>
      <c r="H874">
        <v>3</v>
      </c>
      <c r="I874">
        <v>25.15</v>
      </c>
      <c r="J874">
        <v>398</v>
      </c>
      <c r="K874">
        <v>198</v>
      </c>
      <c r="L874">
        <v>39</v>
      </c>
      <c r="M874">
        <v>68</v>
      </c>
      <c r="N874">
        <v>0</v>
      </c>
      <c r="O874">
        <v>504</v>
      </c>
      <c r="P874">
        <v>0</v>
      </c>
      <c r="Q874">
        <v>-321</v>
      </c>
    </row>
    <row r="875" spans="1:17" x14ac:dyDescent="0.45">
      <c r="A875">
        <v>87</v>
      </c>
      <c r="B875" t="s">
        <v>931</v>
      </c>
      <c r="C875">
        <v>959</v>
      </c>
      <c r="D875">
        <v>3</v>
      </c>
      <c r="E875">
        <v>771.2</v>
      </c>
      <c r="F875">
        <v>0</v>
      </c>
      <c r="G875">
        <v>321</v>
      </c>
      <c r="H875">
        <v>2</v>
      </c>
      <c r="I875">
        <v>24.61</v>
      </c>
      <c r="J875">
        <v>344</v>
      </c>
      <c r="K875">
        <v>123</v>
      </c>
      <c r="L875">
        <v>37</v>
      </c>
      <c r="M875">
        <v>62</v>
      </c>
      <c r="N875">
        <v>0</v>
      </c>
      <c r="O875">
        <v>769</v>
      </c>
      <c r="P875">
        <v>0</v>
      </c>
      <c r="Q875">
        <v>-100</v>
      </c>
    </row>
    <row r="876" spans="1:17" x14ac:dyDescent="0.45">
      <c r="A876">
        <v>4590</v>
      </c>
      <c r="B876" t="s">
        <v>932</v>
      </c>
      <c r="C876">
        <v>852</v>
      </c>
      <c r="D876">
        <v>3</v>
      </c>
      <c r="E876">
        <v>553.20000000000005</v>
      </c>
      <c r="F876">
        <v>28.4</v>
      </c>
      <c r="G876">
        <v>2101.6</v>
      </c>
      <c r="H876">
        <v>3</v>
      </c>
      <c r="I876">
        <v>26.04</v>
      </c>
      <c r="J876">
        <v>348</v>
      </c>
      <c r="K876">
        <v>169</v>
      </c>
      <c r="L876">
        <v>20</v>
      </c>
      <c r="M876">
        <v>51</v>
      </c>
      <c r="N876">
        <v>0</v>
      </c>
      <c r="O876">
        <v>2910</v>
      </c>
      <c r="P876">
        <v>0</v>
      </c>
      <c r="Q876">
        <v>-923</v>
      </c>
    </row>
    <row r="877" spans="1:17" x14ac:dyDescent="0.45">
      <c r="A877">
        <v>4821</v>
      </c>
      <c r="B877" t="s">
        <v>934</v>
      </c>
      <c r="C877">
        <v>1775</v>
      </c>
      <c r="D877">
        <v>3</v>
      </c>
      <c r="E877">
        <v>1122.4000000000001</v>
      </c>
      <c r="F877">
        <v>872.4</v>
      </c>
      <c r="G877">
        <v>4531.2</v>
      </c>
      <c r="H877">
        <v>3</v>
      </c>
      <c r="I877">
        <v>26.04</v>
      </c>
      <c r="J877">
        <v>711</v>
      </c>
      <c r="K877">
        <v>337</v>
      </c>
      <c r="L877">
        <v>74</v>
      </c>
      <c r="M877">
        <v>70</v>
      </c>
      <c r="N877">
        <v>0</v>
      </c>
      <c r="O877">
        <v>3046</v>
      </c>
      <c r="P877">
        <v>0</v>
      </c>
      <c r="Q877">
        <v>-1044</v>
      </c>
    </row>
    <row r="878" spans="1:17" x14ac:dyDescent="0.45">
      <c r="A878">
        <v>6239</v>
      </c>
      <c r="B878" t="s">
        <v>935</v>
      </c>
      <c r="C878">
        <v>636</v>
      </c>
      <c r="D878">
        <v>3</v>
      </c>
      <c r="E878">
        <v>1328.3</v>
      </c>
      <c r="F878">
        <v>318.89999999999998</v>
      </c>
      <c r="G878">
        <v>501.1</v>
      </c>
      <c r="H878">
        <v>3</v>
      </c>
      <c r="I878">
        <v>30.8</v>
      </c>
      <c r="J878">
        <v>237</v>
      </c>
      <c r="K878">
        <v>70</v>
      </c>
      <c r="L878">
        <v>17</v>
      </c>
      <c r="M878">
        <v>34</v>
      </c>
      <c r="N878">
        <v>0</v>
      </c>
      <c r="O878">
        <v>233</v>
      </c>
      <c r="P878">
        <v>66.45</v>
      </c>
      <c r="Q878">
        <v>-1405</v>
      </c>
    </row>
    <row r="879" spans="1:17" x14ac:dyDescent="0.45">
      <c r="A879">
        <v>541</v>
      </c>
      <c r="B879" t="s">
        <v>936</v>
      </c>
      <c r="C879">
        <v>433</v>
      </c>
      <c r="D879">
        <v>3</v>
      </c>
      <c r="E879">
        <v>397.7</v>
      </c>
      <c r="F879">
        <v>0</v>
      </c>
      <c r="G879">
        <v>840</v>
      </c>
      <c r="H879">
        <v>3</v>
      </c>
      <c r="I879">
        <v>26.41</v>
      </c>
      <c r="J879">
        <v>162</v>
      </c>
      <c r="K879">
        <v>77</v>
      </c>
      <c r="L879">
        <v>14</v>
      </c>
      <c r="M879">
        <v>18</v>
      </c>
      <c r="N879">
        <v>0</v>
      </c>
      <c r="O879">
        <v>1405</v>
      </c>
      <c r="P879">
        <v>0</v>
      </c>
      <c r="Q879">
        <v>-361</v>
      </c>
    </row>
    <row r="880" spans="1:17" x14ac:dyDescent="0.45">
      <c r="A880">
        <v>3619</v>
      </c>
      <c r="B880" t="s">
        <v>937</v>
      </c>
      <c r="C880">
        <v>4969</v>
      </c>
      <c r="D880">
        <v>3</v>
      </c>
      <c r="E880">
        <v>6534.9</v>
      </c>
      <c r="F880">
        <v>89.5</v>
      </c>
      <c r="G880">
        <v>6106.1</v>
      </c>
      <c r="H880">
        <v>2</v>
      </c>
      <c r="I880">
        <v>21.73</v>
      </c>
      <c r="J880">
        <v>1390</v>
      </c>
      <c r="K880">
        <v>1119</v>
      </c>
      <c r="L880">
        <v>85</v>
      </c>
      <c r="M880">
        <v>168</v>
      </c>
      <c r="N880">
        <v>0</v>
      </c>
      <c r="O880">
        <v>10251</v>
      </c>
      <c r="P880">
        <v>148.41</v>
      </c>
      <c r="Q880">
        <v>-9814</v>
      </c>
    </row>
    <row r="881" spans="1:17" x14ac:dyDescent="0.45">
      <c r="A881">
        <v>1363</v>
      </c>
      <c r="B881" t="s">
        <v>938</v>
      </c>
      <c r="C881">
        <v>815</v>
      </c>
      <c r="D881">
        <v>3</v>
      </c>
      <c r="E881">
        <v>418.8</v>
      </c>
      <c r="F881">
        <v>0</v>
      </c>
      <c r="G881">
        <v>447.3</v>
      </c>
      <c r="H881">
        <v>3</v>
      </c>
      <c r="I881">
        <v>30.7</v>
      </c>
      <c r="J881">
        <v>307</v>
      </c>
      <c r="K881">
        <v>154</v>
      </c>
      <c r="L881">
        <v>4</v>
      </c>
      <c r="M881">
        <v>26</v>
      </c>
      <c r="N881">
        <v>0</v>
      </c>
      <c r="O881">
        <v>2796</v>
      </c>
      <c r="P881">
        <v>0</v>
      </c>
      <c r="Q881">
        <v>-582</v>
      </c>
    </row>
    <row r="882" spans="1:17" x14ac:dyDescent="0.45">
      <c r="A882">
        <v>296</v>
      </c>
      <c r="B882" t="s">
        <v>939</v>
      </c>
      <c r="C882">
        <v>17564</v>
      </c>
      <c r="D882">
        <v>1</v>
      </c>
      <c r="E882">
        <v>11555</v>
      </c>
      <c r="F882">
        <v>6908.7</v>
      </c>
      <c r="G882">
        <v>11239.7</v>
      </c>
      <c r="H882">
        <v>1</v>
      </c>
      <c r="I882">
        <v>15.69</v>
      </c>
      <c r="J882">
        <v>5310</v>
      </c>
      <c r="K882">
        <v>2388</v>
      </c>
      <c r="L882">
        <v>349</v>
      </c>
      <c r="M882">
        <v>808</v>
      </c>
      <c r="N882">
        <v>0</v>
      </c>
      <c r="O882">
        <v>6611</v>
      </c>
      <c r="P882">
        <v>1004.15</v>
      </c>
      <c r="Q882">
        <v>-2408</v>
      </c>
    </row>
    <row r="883" spans="1:17" x14ac:dyDescent="0.45">
      <c r="A883">
        <v>6109</v>
      </c>
      <c r="B883" t="s">
        <v>940</v>
      </c>
      <c r="C883">
        <v>116</v>
      </c>
      <c r="D883">
        <v>3</v>
      </c>
      <c r="E883">
        <v>252.8</v>
      </c>
      <c r="F883">
        <v>0</v>
      </c>
      <c r="G883">
        <v>80.8</v>
      </c>
      <c r="H883">
        <v>3</v>
      </c>
      <c r="I883">
        <v>30.8</v>
      </c>
      <c r="J883">
        <v>36</v>
      </c>
      <c r="K883">
        <v>22</v>
      </c>
      <c r="L883">
        <v>4</v>
      </c>
      <c r="M883">
        <v>6</v>
      </c>
      <c r="N883">
        <v>0</v>
      </c>
      <c r="O883">
        <v>176</v>
      </c>
      <c r="P883">
        <v>25.12</v>
      </c>
      <c r="Q883">
        <v>-522</v>
      </c>
    </row>
    <row r="884" spans="1:17" x14ac:dyDescent="0.45">
      <c r="A884">
        <v>1364</v>
      </c>
      <c r="B884" t="s">
        <v>941</v>
      </c>
      <c r="C884">
        <v>9197</v>
      </c>
      <c r="D884">
        <v>3</v>
      </c>
      <c r="E884">
        <v>6581.2</v>
      </c>
      <c r="F884">
        <v>1525.5</v>
      </c>
      <c r="G884">
        <v>5753.8</v>
      </c>
      <c r="H884">
        <v>2</v>
      </c>
      <c r="I884">
        <v>15.72</v>
      </c>
      <c r="J884">
        <v>3230</v>
      </c>
      <c r="K884">
        <v>1305</v>
      </c>
      <c r="L884">
        <v>188</v>
      </c>
      <c r="M884">
        <v>470</v>
      </c>
      <c r="N884">
        <v>0</v>
      </c>
      <c r="O884">
        <v>3104</v>
      </c>
      <c r="P884">
        <v>0</v>
      </c>
      <c r="Q884">
        <v>-1284</v>
      </c>
    </row>
    <row r="885" spans="1:17" x14ac:dyDescent="0.45">
      <c r="A885">
        <v>980</v>
      </c>
      <c r="B885" t="s">
        <v>942</v>
      </c>
      <c r="C885">
        <v>696</v>
      </c>
      <c r="D885">
        <v>2</v>
      </c>
      <c r="E885">
        <v>670</v>
      </c>
      <c r="F885">
        <v>0</v>
      </c>
      <c r="G885">
        <v>1005.9</v>
      </c>
      <c r="H885">
        <v>3</v>
      </c>
      <c r="I885">
        <v>26.41</v>
      </c>
      <c r="J885">
        <v>325</v>
      </c>
      <c r="K885">
        <v>97</v>
      </c>
      <c r="L885">
        <v>16</v>
      </c>
      <c r="M885">
        <v>29</v>
      </c>
      <c r="N885">
        <v>0</v>
      </c>
      <c r="O885">
        <v>919</v>
      </c>
      <c r="P885">
        <v>0</v>
      </c>
      <c r="Q885">
        <v>-241</v>
      </c>
    </row>
    <row r="886" spans="1:17" x14ac:dyDescent="0.45">
      <c r="A886">
        <v>1343</v>
      </c>
      <c r="B886" t="s">
        <v>943</v>
      </c>
      <c r="C886">
        <v>180</v>
      </c>
      <c r="D886">
        <v>3</v>
      </c>
      <c r="E886">
        <v>227.4</v>
      </c>
      <c r="F886">
        <v>36.9</v>
      </c>
      <c r="G886">
        <v>231</v>
      </c>
      <c r="H886">
        <v>3</v>
      </c>
      <c r="I886">
        <v>30.7</v>
      </c>
      <c r="J886">
        <v>90</v>
      </c>
      <c r="K886">
        <v>39</v>
      </c>
      <c r="L886">
        <v>2</v>
      </c>
      <c r="M886">
        <v>8</v>
      </c>
      <c r="N886">
        <v>0</v>
      </c>
      <c r="O886">
        <v>467</v>
      </c>
      <c r="P886">
        <v>10.32</v>
      </c>
      <c r="Q886">
        <v>-3111</v>
      </c>
    </row>
    <row r="887" spans="1:17" x14ac:dyDescent="0.45">
      <c r="A887">
        <v>784</v>
      </c>
      <c r="B887" t="s">
        <v>944</v>
      </c>
      <c r="C887">
        <v>1069</v>
      </c>
      <c r="D887">
        <v>3</v>
      </c>
      <c r="E887">
        <v>1206.2</v>
      </c>
      <c r="F887">
        <v>3.1</v>
      </c>
      <c r="G887">
        <v>1155.5</v>
      </c>
      <c r="H887">
        <v>3</v>
      </c>
      <c r="I887">
        <v>26.41</v>
      </c>
      <c r="J887">
        <v>374</v>
      </c>
      <c r="K887">
        <v>240</v>
      </c>
      <c r="L887">
        <v>37</v>
      </c>
      <c r="M887">
        <v>30</v>
      </c>
      <c r="N887">
        <v>0</v>
      </c>
      <c r="O887">
        <v>3424</v>
      </c>
      <c r="P887">
        <v>132.9</v>
      </c>
      <c r="Q887">
        <v>-9252</v>
      </c>
    </row>
    <row r="888" spans="1:17" x14ac:dyDescent="0.45">
      <c r="A888">
        <v>496</v>
      </c>
      <c r="B888" t="s">
        <v>945</v>
      </c>
      <c r="C888">
        <v>3621</v>
      </c>
      <c r="D888">
        <v>2</v>
      </c>
      <c r="E888">
        <v>3212.3</v>
      </c>
      <c r="F888">
        <v>1030.5</v>
      </c>
      <c r="G888">
        <v>5565.4</v>
      </c>
      <c r="H888">
        <v>2</v>
      </c>
      <c r="I888">
        <v>24.84</v>
      </c>
      <c r="J888">
        <v>1307</v>
      </c>
      <c r="K888">
        <v>600</v>
      </c>
      <c r="L888">
        <v>92</v>
      </c>
      <c r="M888">
        <v>167</v>
      </c>
      <c r="N888">
        <v>0</v>
      </c>
      <c r="O888">
        <v>8036</v>
      </c>
      <c r="P888">
        <v>443</v>
      </c>
      <c r="Q888">
        <v>-983</v>
      </c>
    </row>
    <row r="889" spans="1:17" x14ac:dyDescent="0.45">
      <c r="A889">
        <v>581</v>
      </c>
      <c r="B889" t="s">
        <v>946</v>
      </c>
      <c r="C889">
        <v>5926</v>
      </c>
      <c r="D889">
        <v>2</v>
      </c>
      <c r="E889">
        <v>8634.6</v>
      </c>
      <c r="F889">
        <v>2600.8000000000002</v>
      </c>
      <c r="G889">
        <v>3813.8</v>
      </c>
      <c r="H889">
        <v>1</v>
      </c>
      <c r="I889">
        <v>16.760000000000002</v>
      </c>
      <c r="J889">
        <v>1454</v>
      </c>
      <c r="K889">
        <v>867</v>
      </c>
      <c r="L889">
        <v>89</v>
      </c>
      <c r="M889">
        <v>237</v>
      </c>
      <c r="N889">
        <v>0</v>
      </c>
      <c r="O889">
        <v>110</v>
      </c>
      <c r="P889">
        <v>0</v>
      </c>
      <c r="Q889">
        <v>-181</v>
      </c>
    </row>
    <row r="890" spans="1:17" x14ac:dyDescent="0.45">
      <c r="A890">
        <v>1033</v>
      </c>
      <c r="B890" t="s">
        <v>947</v>
      </c>
      <c r="C890">
        <v>2897</v>
      </c>
      <c r="D890">
        <v>1</v>
      </c>
      <c r="E890">
        <v>1856.7</v>
      </c>
      <c r="F890">
        <v>303.7</v>
      </c>
      <c r="G890">
        <v>4684.7</v>
      </c>
      <c r="H890">
        <v>2</v>
      </c>
      <c r="I890">
        <v>28.41</v>
      </c>
      <c r="J890">
        <v>1037</v>
      </c>
      <c r="K890">
        <v>516</v>
      </c>
      <c r="L890">
        <v>77</v>
      </c>
      <c r="M890">
        <v>152</v>
      </c>
      <c r="N890">
        <v>0</v>
      </c>
      <c r="O890">
        <v>7097</v>
      </c>
      <c r="P890">
        <v>443</v>
      </c>
      <c r="Q890">
        <v>-321</v>
      </c>
    </row>
    <row r="891" spans="1:17" x14ac:dyDescent="0.45">
      <c r="A891">
        <v>739</v>
      </c>
      <c r="B891" t="s">
        <v>948</v>
      </c>
      <c r="C891">
        <v>3895</v>
      </c>
      <c r="D891">
        <v>2</v>
      </c>
      <c r="E891">
        <v>2741.4</v>
      </c>
      <c r="F891">
        <v>2135.1999999999998</v>
      </c>
      <c r="G891">
        <v>2008.9</v>
      </c>
      <c r="H891">
        <v>1</v>
      </c>
      <c r="I891">
        <v>16.760000000000002</v>
      </c>
      <c r="J891">
        <v>1261</v>
      </c>
      <c r="K891">
        <v>436</v>
      </c>
      <c r="L891">
        <v>60</v>
      </c>
      <c r="M891">
        <v>146</v>
      </c>
      <c r="N891">
        <v>0</v>
      </c>
      <c r="O891">
        <v>68</v>
      </c>
      <c r="P891">
        <v>0</v>
      </c>
      <c r="Q891">
        <v>-20</v>
      </c>
    </row>
    <row r="892" spans="1:17" x14ac:dyDescent="0.45">
      <c r="A892">
        <v>582</v>
      </c>
      <c r="B892" t="s">
        <v>949</v>
      </c>
      <c r="C892">
        <v>413</v>
      </c>
      <c r="D892">
        <v>3</v>
      </c>
      <c r="E892">
        <v>657.5</v>
      </c>
      <c r="F892">
        <v>6.6</v>
      </c>
      <c r="G892">
        <v>145.1</v>
      </c>
      <c r="H892">
        <v>3</v>
      </c>
      <c r="I892">
        <v>26.41</v>
      </c>
      <c r="J892">
        <v>151</v>
      </c>
      <c r="K892">
        <v>77</v>
      </c>
      <c r="L892">
        <v>10</v>
      </c>
      <c r="M892">
        <v>14</v>
      </c>
      <c r="N892">
        <v>0</v>
      </c>
      <c r="O892">
        <v>682</v>
      </c>
      <c r="P892">
        <v>39.869999999999997</v>
      </c>
      <c r="Q892">
        <v>-1867</v>
      </c>
    </row>
    <row r="893" spans="1:17" x14ac:dyDescent="0.45">
      <c r="A893">
        <v>1211</v>
      </c>
      <c r="B893" t="s">
        <v>950</v>
      </c>
      <c r="C893">
        <v>467</v>
      </c>
      <c r="D893">
        <v>3</v>
      </c>
      <c r="E893">
        <v>180.2</v>
      </c>
      <c r="F893">
        <v>0</v>
      </c>
      <c r="G893">
        <v>36.9</v>
      </c>
      <c r="H893">
        <v>3</v>
      </c>
      <c r="I893">
        <v>24.76</v>
      </c>
      <c r="J893">
        <v>119</v>
      </c>
      <c r="K893">
        <v>136</v>
      </c>
      <c r="L893">
        <v>3</v>
      </c>
      <c r="M893">
        <v>7</v>
      </c>
      <c r="N893">
        <v>0</v>
      </c>
      <c r="O893">
        <v>2681</v>
      </c>
      <c r="P893">
        <v>28.8</v>
      </c>
      <c r="Q893">
        <v>-2950</v>
      </c>
    </row>
    <row r="894" spans="1:17" x14ac:dyDescent="0.45">
      <c r="A894">
        <v>4084</v>
      </c>
      <c r="B894" t="s">
        <v>952</v>
      </c>
      <c r="C894">
        <v>694</v>
      </c>
      <c r="D894">
        <v>3</v>
      </c>
      <c r="E894">
        <v>473.4</v>
      </c>
      <c r="F894">
        <v>0</v>
      </c>
      <c r="G894">
        <v>659.6</v>
      </c>
      <c r="H894">
        <v>3</v>
      </c>
      <c r="I894">
        <v>23.9</v>
      </c>
      <c r="J894">
        <v>242</v>
      </c>
      <c r="K894">
        <v>96</v>
      </c>
      <c r="L894">
        <v>22</v>
      </c>
      <c r="M894">
        <v>46</v>
      </c>
      <c r="N894">
        <v>0</v>
      </c>
      <c r="O894">
        <v>1136</v>
      </c>
      <c r="P894">
        <v>0</v>
      </c>
      <c r="Q894">
        <v>-60</v>
      </c>
    </row>
    <row r="895" spans="1:17" x14ac:dyDescent="0.45">
      <c r="A895">
        <v>5009</v>
      </c>
      <c r="B895" t="s">
        <v>953</v>
      </c>
      <c r="C895">
        <v>388</v>
      </c>
      <c r="D895">
        <v>3</v>
      </c>
      <c r="E895">
        <v>331.9</v>
      </c>
      <c r="F895">
        <v>9.1999999999999993</v>
      </c>
      <c r="G895">
        <v>593.20000000000005</v>
      </c>
      <c r="H895">
        <v>3</v>
      </c>
      <c r="I895">
        <v>25.45</v>
      </c>
      <c r="J895">
        <v>171</v>
      </c>
      <c r="K895">
        <v>54</v>
      </c>
      <c r="L895">
        <v>5</v>
      </c>
      <c r="M895">
        <v>26</v>
      </c>
      <c r="N895">
        <v>0</v>
      </c>
      <c r="O895">
        <v>785</v>
      </c>
      <c r="P895">
        <v>69.42</v>
      </c>
      <c r="Q895">
        <v>-1586</v>
      </c>
    </row>
    <row r="896" spans="1:17" x14ac:dyDescent="0.45">
      <c r="A896">
        <v>6134</v>
      </c>
      <c r="B896" t="s">
        <v>951</v>
      </c>
      <c r="C896">
        <v>829</v>
      </c>
      <c r="D896">
        <v>3</v>
      </c>
      <c r="E896">
        <v>808.8</v>
      </c>
      <c r="F896">
        <v>1.2</v>
      </c>
      <c r="G896">
        <v>435.9</v>
      </c>
      <c r="H896">
        <v>3</v>
      </c>
      <c r="I896">
        <v>30.8</v>
      </c>
      <c r="J896">
        <v>302</v>
      </c>
      <c r="K896">
        <v>146</v>
      </c>
      <c r="L896">
        <v>8</v>
      </c>
      <c r="M896">
        <v>24</v>
      </c>
      <c r="N896">
        <v>0</v>
      </c>
      <c r="O896">
        <v>880</v>
      </c>
      <c r="P896">
        <v>66.45</v>
      </c>
      <c r="Q896">
        <v>-1525</v>
      </c>
    </row>
    <row r="897" spans="1:17" x14ac:dyDescent="0.45">
      <c r="A897">
        <v>2849</v>
      </c>
      <c r="B897" t="s">
        <v>954</v>
      </c>
      <c r="C897">
        <v>2323</v>
      </c>
      <c r="D897">
        <v>1</v>
      </c>
      <c r="E897">
        <v>2076.9</v>
      </c>
      <c r="F897">
        <v>36.799999999999997</v>
      </c>
      <c r="G897">
        <v>3054.7</v>
      </c>
      <c r="H897">
        <v>1</v>
      </c>
      <c r="I897">
        <v>14.25</v>
      </c>
      <c r="J897">
        <v>864</v>
      </c>
      <c r="K897">
        <v>303</v>
      </c>
      <c r="L897">
        <v>66</v>
      </c>
      <c r="M897">
        <v>140</v>
      </c>
      <c r="N897">
        <v>0</v>
      </c>
      <c r="O897">
        <v>99</v>
      </c>
      <c r="P897">
        <v>0</v>
      </c>
      <c r="Q897">
        <v>-281</v>
      </c>
    </row>
    <row r="898" spans="1:17" x14ac:dyDescent="0.45">
      <c r="A898">
        <v>362</v>
      </c>
      <c r="B898" t="s">
        <v>955</v>
      </c>
      <c r="C898">
        <v>11595</v>
      </c>
      <c r="D898">
        <v>3</v>
      </c>
      <c r="E898">
        <v>10274.700000000001</v>
      </c>
      <c r="F898">
        <v>4142.6000000000004</v>
      </c>
      <c r="G898">
        <v>5882</v>
      </c>
      <c r="H898">
        <v>1</v>
      </c>
      <c r="I898">
        <v>16.760000000000002</v>
      </c>
      <c r="J898">
        <v>3124</v>
      </c>
      <c r="K898">
        <v>1692</v>
      </c>
      <c r="L898">
        <v>261</v>
      </c>
      <c r="M898">
        <v>511</v>
      </c>
      <c r="N898">
        <v>0</v>
      </c>
      <c r="O898">
        <v>989</v>
      </c>
      <c r="P898">
        <v>11075</v>
      </c>
      <c r="Q898">
        <v>-100</v>
      </c>
    </row>
    <row r="899" spans="1:17" x14ac:dyDescent="0.45">
      <c r="A899">
        <v>868</v>
      </c>
      <c r="B899" t="s">
        <v>956</v>
      </c>
      <c r="C899">
        <v>315</v>
      </c>
      <c r="D899">
        <v>3</v>
      </c>
      <c r="E899">
        <v>288.7</v>
      </c>
      <c r="F899">
        <v>0</v>
      </c>
      <c r="G899">
        <v>558.9</v>
      </c>
      <c r="H899">
        <v>2</v>
      </c>
      <c r="I899">
        <v>24.84</v>
      </c>
      <c r="J899">
        <v>92</v>
      </c>
      <c r="K899">
        <v>50</v>
      </c>
      <c r="L899">
        <v>7</v>
      </c>
      <c r="M899">
        <v>15</v>
      </c>
      <c r="N899">
        <v>0</v>
      </c>
      <c r="O899">
        <v>330</v>
      </c>
      <c r="P899">
        <v>0</v>
      </c>
      <c r="Q899">
        <v>-60</v>
      </c>
    </row>
    <row r="900" spans="1:17" x14ac:dyDescent="0.45">
      <c r="A900">
        <v>2138</v>
      </c>
      <c r="B900" t="s">
        <v>957</v>
      </c>
      <c r="C900">
        <v>636</v>
      </c>
      <c r="D900">
        <v>3</v>
      </c>
      <c r="E900">
        <v>692.2</v>
      </c>
      <c r="F900">
        <v>6</v>
      </c>
      <c r="G900">
        <v>723.8</v>
      </c>
      <c r="H900">
        <v>3</v>
      </c>
      <c r="I900">
        <v>36.93</v>
      </c>
      <c r="J900">
        <v>197</v>
      </c>
      <c r="K900">
        <v>148</v>
      </c>
      <c r="L900">
        <v>7</v>
      </c>
      <c r="M900">
        <v>18</v>
      </c>
      <c r="N900">
        <v>0</v>
      </c>
      <c r="O900">
        <v>2699</v>
      </c>
      <c r="P900">
        <v>0</v>
      </c>
      <c r="Q900">
        <v>-4074</v>
      </c>
    </row>
    <row r="901" spans="1:17" x14ac:dyDescent="0.45">
      <c r="A901">
        <v>540</v>
      </c>
      <c r="B901" t="s">
        <v>958</v>
      </c>
      <c r="C901">
        <v>5789</v>
      </c>
      <c r="D901">
        <v>2</v>
      </c>
      <c r="E901">
        <v>4122.6000000000004</v>
      </c>
      <c r="F901">
        <v>930.8</v>
      </c>
      <c r="G901">
        <v>5186.3999999999996</v>
      </c>
      <c r="H901">
        <v>2</v>
      </c>
      <c r="I901">
        <v>24.84</v>
      </c>
      <c r="J901">
        <v>1797</v>
      </c>
      <c r="K901">
        <v>661</v>
      </c>
      <c r="L901">
        <v>142</v>
      </c>
      <c r="M901">
        <v>222</v>
      </c>
      <c r="N901">
        <v>0</v>
      </c>
      <c r="O901">
        <v>3617</v>
      </c>
      <c r="P901">
        <v>0</v>
      </c>
      <c r="Q901">
        <v>-602</v>
      </c>
    </row>
    <row r="902" spans="1:17" x14ac:dyDescent="0.45">
      <c r="A902">
        <v>3863</v>
      </c>
      <c r="B902" t="s">
        <v>959</v>
      </c>
      <c r="C902">
        <v>1148</v>
      </c>
      <c r="D902">
        <v>3</v>
      </c>
      <c r="E902">
        <v>1860.9</v>
      </c>
      <c r="F902">
        <v>5.5</v>
      </c>
      <c r="G902">
        <v>1280.7</v>
      </c>
      <c r="H902">
        <v>3</v>
      </c>
      <c r="I902">
        <v>29.04</v>
      </c>
      <c r="J902">
        <v>359</v>
      </c>
      <c r="K902">
        <v>272</v>
      </c>
      <c r="L902">
        <v>14</v>
      </c>
      <c r="M902">
        <v>46</v>
      </c>
      <c r="N902">
        <v>0</v>
      </c>
      <c r="O902">
        <v>2935</v>
      </c>
      <c r="P902">
        <v>0</v>
      </c>
      <c r="Q902">
        <v>-2047</v>
      </c>
    </row>
    <row r="903" spans="1:17" x14ac:dyDescent="0.45">
      <c r="A903">
        <v>3952</v>
      </c>
      <c r="B903" t="s">
        <v>960</v>
      </c>
      <c r="C903">
        <v>938</v>
      </c>
      <c r="D903">
        <v>3</v>
      </c>
      <c r="E903">
        <v>1432.8</v>
      </c>
      <c r="F903">
        <v>24.5</v>
      </c>
      <c r="G903">
        <v>788.2</v>
      </c>
      <c r="H903">
        <v>3</v>
      </c>
      <c r="I903">
        <v>29.04</v>
      </c>
      <c r="J903">
        <v>326</v>
      </c>
      <c r="K903">
        <v>209</v>
      </c>
      <c r="L903">
        <v>26</v>
      </c>
      <c r="M903">
        <v>37</v>
      </c>
      <c r="N903">
        <v>0</v>
      </c>
      <c r="O903">
        <v>1192</v>
      </c>
      <c r="P903">
        <v>0</v>
      </c>
      <c r="Q903">
        <v>-803</v>
      </c>
    </row>
    <row r="904" spans="1:17" x14ac:dyDescent="0.45">
      <c r="A904">
        <v>738</v>
      </c>
      <c r="B904" t="s">
        <v>961</v>
      </c>
      <c r="C904">
        <v>668</v>
      </c>
      <c r="D904">
        <v>2</v>
      </c>
      <c r="E904">
        <v>827.1</v>
      </c>
      <c r="F904">
        <v>0</v>
      </c>
      <c r="G904">
        <v>984.2</v>
      </c>
      <c r="H904">
        <v>2</v>
      </c>
      <c r="I904">
        <v>24.84</v>
      </c>
      <c r="J904">
        <v>249</v>
      </c>
      <c r="K904">
        <v>109</v>
      </c>
      <c r="L904">
        <v>14</v>
      </c>
      <c r="M904">
        <v>26</v>
      </c>
      <c r="N904">
        <v>0</v>
      </c>
      <c r="O904">
        <v>982</v>
      </c>
      <c r="P904">
        <v>0</v>
      </c>
      <c r="Q904">
        <v>-181</v>
      </c>
    </row>
    <row r="905" spans="1:17" x14ac:dyDescent="0.45">
      <c r="A905">
        <v>4071</v>
      </c>
      <c r="B905" t="s">
        <v>962</v>
      </c>
      <c r="C905">
        <v>2316</v>
      </c>
      <c r="D905">
        <v>3</v>
      </c>
      <c r="E905">
        <v>1745.6</v>
      </c>
      <c r="F905">
        <v>2.4</v>
      </c>
      <c r="G905">
        <v>2237.6999999999998</v>
      </c>
      <c r="H905">
        <v>2</v>
      </c>
      <c r="I905">
        <v>23.46</v>
      </c>
      <c r="J905">
        <v>866</v>
      </c>
      <c r="K905">
        <v>325</v>
      </c>
      <c r="L905">
        <v>92</v>
      </c>
      <c r="M905">
        <v>121</v>
      </c>
      <c r="N905">
        <v>0</v>
      </c>
      <c r="O905">
        <v>1421</v>
      </c>
      <c r="P905">
        <v>0</v>
      </c>
      <c r="Q905">
        <v>-321</v>
      </c>
    </row>
    <row r="906" spans="1:17" x14ac:dyDescent="0.45">
      <c r="A906">
        <v>5885</v>
      </c>
      <c r="B906" t="s">
        <v>963</v>
      </c>
      <c r="C906">
        <v>1842</v>
      </c>
      <c r="D906">
        <v>3</v>
      </c>
      <c r="E906">
        <v>1038.5999999999999</v>
      </c>
      <c r="F906">
        <v>1655.4</v>
      </c>
      <c r="G906">
        <v>1624.1</v>
      </c>
      <c r="H906">
        <v>1</v>
      </c>
      <c r="I906">
        <v>19.809999999999999</v>
      </c>
      <c r="J906">
        <v>669</v>
      </c>
      <c r="K906">
        <v>205</v>
      </c>
      <c r="L906">
        <v>94</v>
      </c>
      <c r="M906">
        <v>157</v>
      </c>
      <c r="N906">
        <v>0</v>
      </c>
      <c r="O906">
        <v>1071</v>
      </c>
      <c r="P906">
        <v>0</v>
      </c>
      <c r="Q906">
        <v>-80</v>
      </c>
    </row>
    <row r="907" spans="1:17" x14ac:dyDescent="0.45">
      <c r="A907">
        <v>3405</v>
      </c>
      <c r="B907" t="s">
        <v>964</v>
      </c>
      <c r="C907">
        <v>3961</v>
      </c>
      <c r="D907">
        <v>1</v>
      </c>
      <c r="E907">
        <v>1956.2</v>
      </c>
      <c r="F907">
        <v>2385.1</v>
      </c>
      <c r="G907">
        <v>10780.8</v>
      </c>
      <c r="H907">
        <v>2</v>
      </c>
      <c r="I907">
        <v>22.8</v>
      </c>
      <c r="J907">
        <v>1506</v>
      </c>
      <c r="K907">
        <v>653</v>
      </c>
      <c r="L907">
        <v>104</v>
      </c>
      <c r="M907">
        <v>219</v>
      </c>
      <c r="N907">
        <v>0</v>
      </c>
      <c r="O907">
        <v>4861</v>
      </c>
      <c r="P907">
        <v>276.88</v>
      </c>
      <c r="Q907">
        <v>-502</v>
      </c>
    </row>
    <row r="908" spans="1:17" x14ac:dyDescent="0.45">
      <c r="A908">
        <v>5804</v>
      </c>
      <c r="B908" t="s">
        <v>965</v>
      </c>
      <c r="C908">
        <v>1563</v>
      </c>
      <c r="D908">
        <v>3</v>
      </c>
      <c r="E908">
        <v>1754.3</v>
      </c>
      <c r="F908">
        <v>629.5</v>
      </c>
      <c r="G908">
        <v>4097.5</v>
      </c>
      <c r="H908">
        <v>3</v>
      </c>
      <c r="I908">
        <v>35.86</v>
      </c>
      <c r="J908">
        <v>672</v>
      </c>
      <c r="K908">
        <v>209</v>
      </c>
      <c r="L908">
        <v>44</v>
      </c>
      <c r="M908">
        <v>96</v>
      </c>
      <c r="N908">
        <v>0</v>
      </c>
      <c r="O908">
        <v>3903</v>
      </c>
      <c r="P908">
        <v>54.67</v>
      </c>
      <c r="Q908">
        <v>-1264</v>
      </c>
    </row>
    <row r="909" spans="1:17" x14ac:dyDescent="0.45">
      <c r="A909">
        <v>5806</v>
      </c>
      <c r="B909" t="s">
        <v>966</v>
      </c>
      <c r="C909">
        <v>3104</v>
      </c>
      <c r="D909">
        <v>3</v>
      </c>
      <c r="E909">
        <v>2732.7</v>
      </c>
      <c r="F909">
        <v>1444.6</v>
      </c>
      <c r="G909">
        <v>3567.9</v>
      </c>
      <c r="H909">
        <v>2</v>
      </c>
      <c r="I909">
        <v>26.72</v>
      </c>
      <c r="J909">
        <v>1229</v>
      </c>
      <c r="K909">
        <v>354</v>
      </c>
      <c r="L909">
        <v>112</v>
      </c>
      <c r="M909">
        <v>259</v>
      </c>
      <c r="N909">
        <v>0</v>
      </c>
      <c r="O909">
        <v>4367</v>
      </c>
      <c r="P909">
        <v>0</v>
      </c>
      <c r="Q909">
        <v>-442</v>
      </c>
    </row>
    <row r="910" spans="1:17" x14ac:dyDescent="0.45">
      <c r="A910">
        <v>5585</v>
      </c>
      <c r="B910" t="s">
        <v>967</v>
      </c>
      <c r="C910">
        <v>1468</v>
      </c>
      <c r="D910">
        <v>3</v>
      </c>
      <c r="E910">
        <v>980.3</v>
      </c>
      <c r="F910">
        <v>1317.7</v>
      </c>
      <c r="G910">
        <v>1313.4</v>
      </c>
      <c r="H910">
        <v>1</v>
      </c>
      <c r="I910">
        <v>19.809999999999999</v>
      </c>
      <c r="J910">
        <v>549</v>
      </c>
      <c r="K910">
        <v>126</v>
      </c>
      <c r="L910">
        <v>83</v>
      </c>
      <c r="M910">
        <v>122</v>
      </c>
      <c r="N910">
        <v>0</v>
      </c>
      <c r="O910">
        <v>0</v>
      </c>
      <c r="P910">
        <v>0</v>
      </c>
      <c r="Q910">
        <v>-60</v>
      </c>
    </row>
    <row r="911" spans="1:17" x14ac:dyDescent="0.45">
      <c r="A911">
        <v>5754</v>
      </c>
      <c r="B911" t="s">
        <v>968</v>
      </c>
      <c r="C911">
        <v>347</v>
      </c>
      <c r="D911">
        <v>3</v>
      </c>
      <c r="E911">
        <v>505.1</v>
      </c>
      <c r="F911">
        <v>55.8</v>
      </c>
      <c r="G911">
        <v>226.4</v>
      </c>
      <c r="H911">
        <v>3</v>
      </c>
      <c r="I911">
        <v>35.86</v>
      </c>
      <c r="J911">
        <v>168</v>
      </c>
      <c r="K911">
        <v>36</v>
      </c>
      <c r="L911">
        <v>9</v>
      </c>
      <c r="M911">
        <v>16</v>
      </c>
      <c r="N911">
        <v>0</v>
      </c>
      <c r="O911">
        <v>1673</v>
      </c>
      <c r="P911">
        <v>0</v>
      </c>
      <c r="Q911">
        <v>-923</v>
      </c>
    </row>
    <row r="912" spans="1:17" x14ac:dyDescent="0.45">
      <c r="A912">
        <v>6626</v>
      </c>
      <c r="B912" t="s">
        <v>969</v>
      </c>
      <c r="C912">
        <v>1193</v>
      </c>
      <c r="D912">
        <v>3</v>
      </c>
      <c r="E912">
        <v>1783.8</v>
      </c>
      <c r="F912">
        <v>148.80000000000001</v>
      </c>
      <c r="G912">
        <v>1776.9</v>
      </c>
      <c r="H912">
        <v>3</v>
      </c>
      <c r="I912">
        <v>27.36</v>
      </c>
      <c r="J912">
        <v>556</v>
      </c>
      <c r="K912">
        <v>122</v>
      </c>
      <c r="L912">
        <v>40</v>
      </c>
      <c r="M912">
        <v>86</v>
      </c>
      <c r="N912">
        <v>0</v>
      </c>
      <c r="O912">
        <v>1423</v>
      </c>
      <c r="P912">
        <v>0</v>
      </c>
      <c r="Q912">
        <v>-823</v>
      </c>
    </row>
    <row r="913" spans="1:17" x14ac:dyDescent="0.45">
      <c r="A913">
        <v>4252</v>
      </c>
      <c r="B913" t="s">
        <v>970</v>
      </c>
      <c r="C913">
        <v>5490</v>
      </c>
      <c r="D913">
        <v>1</v>
      </c>
      <c r="E913">
        <v>1150.2</v>
      </c>
      <c r="F913">
        <v>2024</v>
      </c>
      <c r="G913">
        <v>3980.5</v>
      </c>
      <c r="H913">
        <v>1</v>
      </c>
      <c r="I913">
        <v>20.87</v>
      </c>
      <c r="J913">
        <v>1857</v>
      </c>
      <c r="K913">
        <v>885</v>
      </c>
      <c r="L913">
        <v>125</v>
      </c>
      <c r="M913">
        <v>287</v>
      </c>
      <c r="N913">
        <v>0</v>
      </c>
      <c r="O913">
        <v>119</v>
      </c>
      <c r="P913">
        <v>0</v>
      </c>
      <c r="Q913">
        <v>-341</v>
      </c>
    </row>
    <row r="914" spans="1:17" x14ac:dyDescent="0.45">
      <c r="A914">
        <v>4169</v>
      </c>
      <c r="B914" t="s">
        <v>971</v>
      </c>
      <c r="C914">
        <v>2824</v>
      </c>
      <c r="D914">
        <v>3</v>
      </c>
      <c r="E914">
        <v>2803.5</v>
      </c>
      <c r="F914">
        <v>0</v>
      </c>
      <c r="G914">
        <v>2444.4</v>
      </c>
      <c r="H914">
        <v>3</v>
      </c>
      <c r="I914">
        <v>23.9</v>
      </c>
      <c r="J914">
        <v>1154</v>
      </c>
      <c r="K914">
        <v>463</v>
      </c>
      <c r="L914">
        <v>103</v>
      </c>
      <c r="M914">
        <v>172</v>
      </c>
      <c r="N914">
        <v>0</v>
      </c>
      <c r="O914">
        <v>5326</v>
      </c>
      <c r="P914">
        <v>708.8</v>
      </c>
      <c r="Q914">
        <v>-1525</v>
      </c>
    </row>
    <row r="915" spans="1:17" x14ac:dyDescent="0.45">
      <c r="A915">
        <v>4233</v>
      </c>
      <c r="B915" t="s">
        <v>972</v>
      </c>
      <c r="C915">
        <v>408</v>
      </c>
      <c r="D915">
        <v>3</v>
      </c>
      <c r="E915">
        <v>306.89999999999998</v>
      </c>
      <c r="F915">
        <v>0</v>
      </c>
      <c r="G915">
        <v>831.9</v>
      </c>
      <c r="H915">
        <v>3</v>
      </c>
      <c r="I915">
        <v>23.9</v>
      </c>
      <c r="J915">
        <v>175</v>
      </c>
      <c r="K915">
        <v>65</v>
      </c>
      <c r="L915">
        <v>16</v>
      </c>
      <c r="M915">
        <v>17</v>
      </c>
      <c r="N915">
        <v>0</v>
      </c>
      <c r="O915">
        <v>1777</v>
      </c>
      <c r="P915">
        <v>0</v>
      </c>
      <c r="Q915">
        <v>-60</v>
      </c>
    </row>
    <row r="916" spans="1:17" x14ac:dyDescent="0.45">
      <c r="A916">
        <v>304</v>
      </c>
      <c r="B916" t="s">
        <v>973</v>
      </c>
      <c r="C916">
        <v>2252</v>
      </c>
      <c r="D916">
        <v>3</v>
      </c>
      <c r="E916">
        <v>2782.5</v>
      </c>
      <c r="F916">
        <v>0</v>
      </c>
      <c r="G916">
        <v>3108.5</v>
      </c>
      <c r="H916">
        <v>3</v>
      </c>
      <c r="I916">
        <v>26.41</v>
      </c>
      <c r="J916">
        <v>962</v>
      </c>
      <c r="K916">
        <v>404</v>
      </c>
      <c r="L916">
        <v>70</v>
      </c>
      <c r="M916">
        <v>112</v>
      </c>
      <c r="N916">
        <v>0</v>
      </c>
      <c r="O916">
        <v>5139</v>
      </c>
      <c r="P916">
        <v>173.52</v>
      </c>
      <c r="Q916">
        <v>-682</v>
      </c>
    </row>
    <row r="917" spans="1:17" x14ac:dyDescent="0.45">
      <c r="A917">
        <v>3313</v>
      </c>
      <c r="B917" t="s">
        <v>974</v>
      </c>
      <c r="C917">
        <v>5051</v>
      </c>
      <c r="D917">
        <v>3</v>
      </c>
      <c r="E917">
        <v>2825.6</v>
      </c>
      <c r="F917">
        <v>2806.4</v>
      </c>
      <c r="G917">
        <v>5358.8</v>
      </c>
      <c r="H917">
        <v>1</v>
      </c>
      <c r="I917">
        <v>22.7</v>
      </c>
      <c r="J917">
        <v>1826</v>
      </c>
      <c r="K917">
        <v>828</v>
      </c>
      <c r="L917">
        <v>125</v>
      </c>
      <c r="M917">
        <v>208</v>
      </c>
      <c r="N917">
        <v>0</v>
      </c>
      <c r="O917">
        <v>6273</v>
      </c>
      <c r="P917">
        <v>0</v>
      </c>
      <c r="Q917">
        <v>-1164</v>
      </c>
    </row>
    <row r="918" spans="1:17" x14ac:dyDescent="0.45">
      <c r="A918">
        <v>2549</v>
      </c>
      <c r="B918" t="s">
        <v>975</v>
      </c>
      <c r="C918">
        <v>29</v>
      </c>
      <c r="D918">
        <v>3</v>
      </c>
      <c r="E918">
        <v>57.3</v>
      </c>
      <c r="F918">
        <v>0</v>
      </c>
      <c r="G918">
        <v>39.799999999999997</v>
      </c>
      <c r="H918">
        <v>3</v>
      </c>
      <c r="I918">
        <v>28.59</v>
      </c>
      <c r="J918">
        <v>8</v>
      </c>
      <c r="K918">
        <v>10</v>
      </c>
      <c r="L918">
        <v>0</v>
      </c>
      <c r="M918">
        <v>1</v>
      </c>
      <c r="N918">
        <v>0</v>
      </c>
      <c r="O918">
        <v>563</v>
      </c>
      <c r="P918">
        <v>0</v>
      </c>
      <c r="Q918">
        <v>-60</v>
      </c>
    </row>
    <row r="919" spans="1:17" x14ac:dyDescent="0.45">
      <c r="A919">
        <v>564</v>
      </c>
      <c r="B919" t="s">
        <v>976</v>
      </c>
      <c r="C919">
        <v>822</v>
      </c>
      <c r="D919">
        <v>3</v>
      </c>
      <c r="E919">
        <v>1091.2</v>
      </c>
      <c r="F919">
        <v>0.9</v>
      </c>
      <c r="G919">
        <v>354.8</v>
      </c>
      <c r="H919">
        <v>3</v>
      </c>
      <c r="I919">
        <v>26.41</v>
      </c>
      <c r="J919">
        <v>265</v>
      </c>
      <c r="K919">
        <v>176</v>
      </c>
      <c r="L919">
        <v>9</v>
      </c>
      <c r="M919">
        <v>15</v>
      </c>
      <c r="N919">
        <v>0</v>
      </c>
      <c r="O919">
        <v>3223</v>
      </c>
      <c r="P919">
        <v>0</v>
      </c>
      <c r="Q919">
        <v>-2228</v>
      </c>
    </row>
    <row r="920" spans="1:17" x14ac:dyDescent="0.45">
      <c r="A920">
        <v>565</v>
      </c>
      <c r="B920" t="s">
        <v>977</v>
      </c>
      <c r="C920">
        <v>1298</v>
      </c>
      <c r="D920">
        <v>3</v>
      </c>
      <c r="E920">
        <v>3690.5</v>
      </c>
      <c r="F920">
        <v>0</v>
      </c>
      <c r="G920">
        <v>1327</v>
      </c>
      <c r="H920">
        <v>3</v>
      </c>
      <c r="I920">
        <v>26.41</v>
      </c>
      <c r="J920">
        <v>415</v>
      </c>
      <c r="K920">
        <v>208</v>
      </c>
      <c r="L920">
        <v>17</v>
      </c>
      <c r="M920">
        <v>43</v>
      </c>
      <c r="N920">
        <v>0</v>
      </c>
      <c r="O920">
        <v>1015</v>
      </c>
      <c r="P920">
        <v>177.2</v>
      </c>
      <c r="Q920">
        <v>-3191</v>
      </c>
    </row>
    <row r="921" spans="1:17" x14ac:dyDescent="0.45">
      <c r="A921">
        <v>2580</v>
      </c>
      <c r="B921" t="s">
        <v>979</v>
      </c>
      <c r="C921">
        <v>3428</v>
      </c>
      <c r="D921">
        <v>3</v>
      </c>
      <c r="E921">
        <v>3038.5</v>
      </c>
      <c r="F921">
        <v>988.2</v>
      </c>
      <c r="G921">
        <v>1780.7</v>
      </c>
      <c r="H921">
        <v>1</v>
      </c>
      <c r="I921">
        <v>19.07</v>
      </c>
      <c r="J921">
        <v>1239</v>
      </c>
      <c r="K921">
        <v>495</v>
      </c>
      <c r="L921">
        <v>66</v>
      </c>
      <c r="M921">
        <v>192</v>
      </c>
      <c r="N921">
        <v>0</v>
      </c>
      <c r="O921">
        <v>1071</v>
      </c>
      <c r="P921">
        <v>0</v>
      </c>
      <c r="Q921">
        <v>-482</v>
      </c>
    </row>
    <row r="922" spans="1:17" x14ac:dyDescent="0.45">
      <c r="A922">
        <v>6</v>
      </c>
      <c r="B922" t="s">
        <v>980</v>
      </c>
      <c r="C922">
        <v>1321</v>
      </c>
      <c r="D922">
        <v>3</v>
      </c>
      <c r="E922">
        <v>999</v>
      </c>
      <c r="F922">
        <v>0</v>
      </c>
      <c r="G922">
        <v>1863.1</v>
      </c>
      <c r="H922">
        <v>3</v>
      </c>
      <c r="I922">
        <v>25.15</v>
      </c>
      <c r="J922">
        <v>422</v>
      </c>
      <c r="K922">
        <v>192</v>
      </c>
      <c r="L922">
        <v>42</v>
      </c>
      <c r="M922">
        <v>62</v>
      </c>
      <c r="N922">
        <v>0</v>
      </c>
      <c r="O922">
        <v>3435</v>
      </c>
      <c r="P922">
        <v>0</v>
      </c>
      <c r="Q922">
        <v>-321</v>
      </c>
    </row>
    <row r="923" spans="1:17" x14ac:dyDescent="0.45">
      <c r="A923">
        <v>305</v>
      </c>
      <c r="B923" t="s">
        <v>981</v>
      </c>
      <c r="C923">
        <v>1407</v>
      </c>
      <c r="D923">
        <v>3</v>
      </c>
      <c r="E923">
        <v>1660.8</v>
      </c>
      <c r="F923">
        <v>13.4</v>
      </c>
      <c r="G923">
        <v>1863.9</v>
      </c>
      <c r="H923">
        <v>2</v>
      </c>
      <c r="I923">
        <v>24.84</v>
      </c>
      <c r="J923">
        <v>633</v>
      </c>
      <c r="K923">
        <v>230</v>
      </c>
      <c r="L923">
        <v>15</v>
      </c>
      <c r="M923">
        <v>44</v>
      </c>
      <c r="N923">
        <v>0</v>
      </c>
      <c r="O923">
        <v>3489</v>
      </c>
      <c r="P923">
        <v>0</v>
      </c>
      <c r="Q923">
        <v>-301</v>
      </c>
    </row>
    <row r="924" spans="1:17" x14ac:dyDescent="0.45">
      <c r="A924">
        <v>869</v>
      </c>
      <c r="B924" t="s">
        <v>982</v>
      </c>
      <c r="C924">
        <v>1124</v>
      </c>
      <c r="D924">
        <v>2</v>
      </c>
      <c r="E924">
        <v>1174.5999999999999</v>
      </c>
      <c r="F924">
        <v>0</v>
      </c>
      <c r="G924">
        <v>1052.5999999999999</v>
      </c>
      <c r="H924">
        <v>2</v>
      </c>
      <c r="I924">
        <v>24.84</v>
      </c>
      <c r="J924">
        <v>325</v>
      </c>
      <c r="K924">
        <v>130</v>
      </c>
      <c r="L924">
        <v>20</v>
      </c>
      <c r="M924">
        <v>48</v>
      </c>
      <c r="N924">
        <v>0</v>
      </c>
      <c r="O924">
        <v>646</v>
      </c>
      <c r="P924">
        <v>1173.95</v>
      </c>
      <c r="Q924">
        <v>-60</v>
      </c>
    </row>
    <row r="925" spans="1:17" x14ac:dyDescent="0.45">
      <c r="A925">
        <v>870</v>
      </c>
      <c r="B925" t="s">
        <v>983</v>
      </c>
      <c r="C925">
        <v>4474</v>
      </c>
      <c r="D925">
        <v>2</v>
      </c>
      <c r="E925">
        <v>4665.3</v>
      </c>
      <c r="F925">
        <v>15.6</v>
      </c>
      <c r="G925">
        <v>1737.5</v>
      </c>
      <c r="H925">
        <v>1</v>
      </c>
      <c r="I925">
        <v>16.760000000000002</v>
      </c>
      <c r="J925">
        <v>1187</v>
      </c>
      <c r="K925">
        <v>555</v>
      </c>
      <c r="L925">
        <v>89</v>
      </c>
      <c r="M925">
        <v>186</v>
      </c>
      <c r="N925">
        <v>0</v>
      </c>
      <c r="O925">
        <v>1542</v>
      </c>
      <c r="P925">
        <v>0</v>
      </c>
      <c r="Q925">
        <v>-181</v>
      </c>
    </row>
    <row r="926" spans="1:17" x14ac:dyDescent="0.45">
      <c r="A926">
        <v>4666</v>
      </c>
      <c r="B926" t="s">
        <v>984</v>
      </c>
      <c r="C926">
        <v>2729</v>
      </c>
      <c r="D926">
        <v>3</v>
      </c>
      <c r="E926">
        <v>2636.8</v>
      </c>
      <c r="F926">
        <v>40.200000000000003</v>
      </c>
      <c r="G926">
        <v>6975</v>
      </c>
      <c r="H926">
        <v>3</v>
      </c>
      <c r="I926">
        <v>26.04</v>
      </c>
      <c r="J926">
        <v>1288</v>
      </c>
      <c r="K926">
        <v>499</v>
      </c>
      <c r="L926">
        <v>88</v>
      </c>
      <c r="M926">
        <v>118</v>
      </c>
      <c r="N926">
        <v>0</v>
      </c>
      <c r="O926">
        <v>8226</v>
      </c>
      <c r="P926">
        <v>243.65</v>
      </c>
      <c r="Q926">
        <v>-1124</v>
      </c>
    </row>
    <row r="927" spans="1:17" x14ac:dyDescent="0.45">
      <c r="A927">
        <v>411</v>
      </c>
      <c r="B927" t="s">
        <v>985</v>
      </c>
      <c r="C927">
        <v>541</v>
      </c>
      <c r="D927">
        <v>3</v>
      </c>
      <c r="E927">
        <v>582.70000000000005</v>
      </c>
      <c r="F927">
        <v>0</v>
      </c>
      <c r="G927">
        <v>701</v>
      </c>
      <c r="H927">
        <v>3</v>
      </c>
      <c r="I927">
        <v>26.41</v>
      </c>
      <c r="J927">
        <v>226</v>
      </c>
      <c r="K927">
        <v>82</v>
      </c>
      <c r="L927">
        <v>15</v>
      </c>
      <c r="M927">
        <v>21</v>
      </c>
      <c r="N927">
        <v>0</v>
      </c>
      <c r="O927">
        <v>1475</v>
      </c>
      <c r="P927">
        <v>2292.5300000000002</v>
      </c>
      <c r="Q927">
        <v>-161</v>
      </c>
    </row>
    <row r="928" spans="1:17" x14ac:dyDescent="0.45">
      <c r="A928">
        <v>1404</v>
      </c>
      <c r="B928" t="s">
        <v>986</v>
      </c>
      <c r="C928">
        <v>6424</v>
      </c>
      <c r="D928">
        <v>3</v>
      </c>
      <c r="E928">
        <v>5024.1000000000004</v>
      </c>
      <c r="F928">
        <v>0</v>
      </c>
      <c r="G928">
        <v>5181.5</v>
      </c>
      <c r="H928">
        <v>3</v>
      </c>
      <c r="I928">
        <v>27.84</v>
      </c>
      <c r="J928">
        <v>2312</v>
      </c>
      <c r="K928">
        <v>1255</v>
      </c>
      <c r="L928">
        <v>152</v>
      </c>
      <c r="M928">
        <v>286</v>
      </c>
      <c r="N928">
        <v>0</v>
      </c>
      <c r="O928">
        <v>14276</v>
      </c>
      <c r="P928">
        <v>166.13</v>
      </c>
      <c r="Q928">
        <v>-5038</v>
      </c>
    </row>
    <row r="929" spans="1:17" x14ac:dyDescent="0.45">
      <c r="A929">
        <v>2265</v>
      </c>
      <c r="B929" t="s">
        <v>987</v>
      </c>
      <c r="C929">
        <v>5280</v>
      </c>
      <c r="D929">
        <v>3</v>
      </c>
      <c r="E929">
        <v>4101.8</v>
      </c>
      <c r="F929">
        <v>369.5</v>
      </c>
      <c r="G929">
        <v>6316.2</v>
      </c>
      <c r="H929">
        <v>2</v>
      </c>
      <c r="I929">
        <v>28.63</v>
      </c>
      <c r="J929">
        <v>1852</v>
      </c>
      <c r="K929">
        <v>978</v>
      </c>
      <c r="L929">
        <v>105</v>
      </c>
      <c r="M929">
        <v>272</v>
      </c>
      <c r="N929">
        <v>0</v>
      </c>
      <c r="O929">
        <v>2727</v>
      </c>
      <c r="P929">
        <v>679.25</v>
      </c>
      <c r="Q929">
        <v>-361</v>
      </c>
    </row>
    <row r="930" spans="1:17" x14ac:dyDescent="0.45">
      <c r="A930">
        <v>4426</v>
      </c>
      <c r="B930" t="s">
        <v>988</v>
      </c>
      <c r="C930">
        <v>1007</v>
      </c>
      <c r="D930">
        <v>3</v>
      </c>
      <c r="E930">
        <v>912.6</v>
      </c>
      <c r="F930">
        <v>907.9</v>
      </c>
      <c r="G930">
        <v>1598.3</v>
      </c>
      <c r="H930">
        <v>2</v>
      </c>
      <c r="I930">
        <v>21.63</v>
      </c>
      <c r="J930">
        <v>379</v>
      </c>
      <c r="K930">
        <v>194</v>
      </c>
      <c r="L930">
        <v>32</v>
      </c>
      <c r="M930">
        <v>46</v>
      </c>
      <c r="N930">
        <v>0</v>
      </c>
      <c r="O930">
        <v>1546</v>
      </c>
      <c r="P930">
        <v>387.63</v>
      </c>
      <c r="Q930">
        <v>-261</v>
      </c>
    </row>
    <row r="931" spans="1:17" x14ac:dyDescent="0.45">
      <c r="A931">
        <v>2403</v>
      </c>
      <c r="B931" t="s">
        <v>989</v>
      </c>
      <c r="C931">
        <v>1873</v>
      </c>
      <c r="D931">
        <v>2</v>
      </c>
      <c r="E931">
        <v>2360.9</v>
      </c>
      <c r="F931">
        <v>6.3</v>
      </c>
      <c r="G931">
        <v>3321.8</v>
      </c>
      <c r="H931">
        <v>3</v>
      </c>
      <c r="I931">
        <v>28.59</v>
      </c>
      <c r="J931">
        <v>735</v>
      </c>
      <c r="K931">
        <v>275</v>
      </c>
      <c r="L931">
        <v>50</v>
      </c>
      <c r="M931">
        <v>80</v>
      </c>
      <c r="N931">
        <v>0</v>
      </c>
      <c r="O931">
        <v>2117</v>
      </c>
      <c r="P931">
        <v>0</v>
      </c>
      <c r="Q931">
        <v>-642</v>
      </c>
    </row>
    <row r="932" spans="1:17" x14ac:dyDescent="0.45">
      <c r="A932">
        <v>2492</v>
      </c>
      <c r="B932" t="s">
        <v>990</v>
      </c>
      <c r="C932">
        <v>529</v>
      </c>
      <c r="D932">
        <v>3</v>
      </c>
      <c r="E932">
        <v>744.7</v>
      </c>
      <c r="F932">
        <v>0</v>
      </c>
      <c r="G932">
        <v>598.6</v>
      </c>
      <c r="H932">
        <v>3</v>
      </c>
      <c r="I932">
        <v>28.59</v>
      </c>
      <c r="J932">
        <v>180</v>
      </c>
      <c r="K932">
        <v>117</v>
      </c>
      <c r="L932">
        <v>22</v>
      </c>
      <c r="M932">
        <v>17</v>
      </c>
      <c r="N932">
        <v>0</v>
      </c>
      <c r="O932">
        <v>3166</v>
      </c>
      <c r="P932">
        <v>36.19</v>
      </c>
      <c r="Q932">
        <v>-702</v>
      </c>
    </row>
    <row r="933" spans="1:17" x14ac:dyDescent="0.45">
      <c r="A933">
        <v>611</v>
      </c>
      <c r="B933" t="s">
        <v>991</v>
      </c>
      <c r="C933">
        <v>1013</v>
      </c>
      <c r="D933">
        <v>3</v>
      </c>
      <c r="E933">
        <v>842.4</v>
      </c>
      <c r="F933">
        <v>0</v>
      </c>
      <c r="G933">
        <v>1173.3</v>
      </c>
      <c r="H933">
        <v>2</v>
      </c>
      <c r="I933">
        <v>24.84</v>
      </c>
      <c r="J933">
        <v>362</v>
      </c>
      <c r="K933">
        <v>150</v>
      </c>
      <c r="L933">
        <v>17</v>
      </c>
      <c r="M933">
        <v>46</v>
      </c>
      <c r="N933">
        <v>0</v>
      </c>
      <c r="O933">
        <v>1430</v>
      </c>
      <c r="P933">
        <v>941.38</v>
      </c>
      <c r="Q933">
        <v>-241</v>
      </c>
    </row>
    <row r="934" spans="1:17" x14ac:dyDescent="0.45">
      <c r="A934">
        <v>2851</v>
      </c>
      <c r="B934" t="s">
        <v>992</v>
      </c>
      <c r="C934">
        <v>171</v>
      </c>
      <c r="D934">
        <v>1</v>
      </c>
      <c r="E934">
        <v>170.1</v>
      </c>
      <c r="F934">
        <v>0</v>
      </c>
      <c r="G934">
        <v>221</v>
      </c>
      <c r="H934">
        <v>3</v>
      </c>
      <c r="I934">
        <v>22.09</v>
      </c>
      <c r="J934">
        <v>57</v>
      </c>
      <c r="K934">
        <v>29</v>
      </c>
      <c r="L934">
        <v>3</v>
      </c>
      <c r="M934">
        <v>4</v>
      </c>
      <c r="N934">
        <v>0</v>
      </c>
      <c r="O934">
        <v>390</v>
      </c>
      <c r="P934">
        <v>41.33</v>
      </c>
      <c r="Q934">
        <v>-60</v>
      </c>
    </row>
    <row r="935" spans="1:17" x14ac:dyDescent="0.45">
      <c r="A935">
        <v>135</v>
      </c>
      <c r="B935" t="s">
        <v>993</v>
      </c>
      <c r="C935">
        <v>9303</v>
      </c>
      <c r="D935">
        <v>3</v>
      </c>
      <c r="E935">
        <v>8430.5</v>
      </c>
      <c r="F935">
        <v>7054</v>
      </c>
      <c r="G935">
        <v>2089.8000000000002</v>
      </c>
      <c r="H935">
        <v>1</v>
      </c>
      <c r="I935">
        <v>15.69</v>
      </c>
      <c r="J935">
        <v>2812</v>
      </c>
      <c r="K935">
        <v>1008</v>
      </c>
      <c r="L935">
        <v>323</v>
      </c>
      <c r="M935">
        <v>562</v>
      </c>
      <c r="N935">
        <v>0</v>
      </c>
      <c r="O935">
        <v>183</v>
      </c>
      <c r="P935">
        <v>0</v>
      </c>
      <c r="Q935">
        <v>-20</v>
      </c>
    </row>
    <row r="936" spans="1:17" x14ac:dyDescent="0.45">
      <c r="A936">
        <v>4030</v>
      </c>
      <c r="B936" t="s">
        <v>994</v>
      </c>
      <c r="C936">
        <v>2072</v>
      </c>
      <c r="D936">
        <v>3</v>
      </c>
      <c r="E936">
        <v>1804.7</v>
      </c>
      <c r="F936">
        <v>382.8</v>
      </c>
      <c r="G936">
        <v>701.4</v>
      </c>
      <c r="H936">
        <v>1</v>
      </c>
      <c r="I936">
        <v>20.87</v>
      </c>
      <c r="J936">
        <v>717</v>
      </c>
      <c r="K936">
        <v>337</v>
      </c>
      <c r="L936">
        <v>40</v>
      </c>
      <c r="M936">
        <v>117</v>
      </c>
      <c r="N936">
        <v>0</v>
      </c>
      <c r="O936">
        <v>327</v>
      </c>
      <c r="P936">
        <v>1661.25</v>
      </c>
      <c r="Q936">
        <v>-241</v>
      </c>
    </row>
    <row r="937" spans="1:17" x14ac:dyDescent="0.45">
      <c r="A937">
        <v>6197</v>
      </c>
      <c r="B937" t="s">
        <v>995</v>
      </c>
      <c r="C937">
        <v>324</v>
      </c>
      <c r="D937">
        <v>3</v>
      </c>
      <c r="E937">
        <v>547.79999999999995</v>
      </c>
      <c r="F937">
        <v>0</v>
      </c>
      <c r="G937">
        <v>256.39999999999998</v>
      </c>
      <c r="H937">
        <v>3</v>
      </c>
      <c r="I937">
        <v>30.8</v>
      </c>
      <c r="J937">
        <v>59</v>
      </c>
      <c r="K937">
        <v>70</v>
      </c>
      <c r="L937">
        <v>13</v>
      </c>
      <c r="M937">
        <v>11</v>
      </c>
      <c r="N937">
        <v>0</v>
      </c>
      <c r="O937">
        <v>191</v>
      </c>
      <c r="P937">
        <v>0</v>
      </c>
      <c r="Q937">
        <v>-763</v>
      </c>
    </row>
    <row r="938" spans="1:17" x14ac:dyDescent="0.45">
      <c r="A938">
        <v>412</v>
      </c>
      <c r="B938" t="s">
        <v>996</v>
      </c>
      <c r="C938">
        <v>5899</v>
      </c>
      <c r="D938">
        <v>2</v>
      </c>
      <c r="E938">
        <v>3754</v>
      </c>
      <c r="F938">
        <v>3404.7</v>
      </c>
      <c r="G938">
        <v>7326.3</v>
      </c>
      <c r="H938">
        <v>1</v>
      </c>
      <c r="I938">
        <v>16.760000000000002</v>
      </c>
      <c r="J938">
        <v>2213</v>
      </c>
      <c r="K938">
        <v>865</v>
      </c>
      <c r="L938">
        <v>119</v>
      </c>
      <c r="M938">
        <v>271</v>
      </c>
      <c r="N938">
        <v>0</v>
      </c>
      <c r="O938">
        <v>3004</v>
      </c>
      <c r="P938">
        <v>0</v>
      </c>
      <c r="Q938">
        <v>-582</v>
      </c>
    </row>
    <row r="939" spans="1:17" x14ac:dyDescent="0.45">
      <c r="A939">
        <v>3392</v>
      </c>
      <c r="B939" t="s">
        <v>997</v>
      </c>
      <c r="C939">
        <v>9632</v>
      </c>
      <c r="D939">
        <v>3</v>
      </c>
      <c r="E939">
        <v>3662.4</v>
      </c>
      <c r="F939">
        <v>4461.2</v>
      </c>
      <c r="G939">
        <v>13511.3</v>
      </c>
      <c r="H939">
        <v>2</v>
      </c>
      <c r="I939">
        <v>22.8</v>
      </c>
      <c r="J939">
        <v>3347</v>
      </c>
      <c r="K939">
        <v>1628</v>
      </c>
      <c r="L939">
        <v>201</v>
      </c>
      <c r="M939">
        <v>366</v>
      </c>
      <c r="N939">
        <v>0</v>
      </c>
      <c r="O939">
        <v>19544</v>
      </c>
      <c r="P939">
        <v>67065.69</v>
      </c>
      <c r="Q939">
        <v>-2549</v>
      </c>
    </row>
    <row r="940" spans="1:17" x14ac:dyDescent="0.45">
      <c r="A940">
        <v>872</v>
      </c>
      <c r="B940" t="s">
        <v>998</v>
      </c>
      <c r="C940">
        <v>1820</v>
      </c>
      <c r="D940">
        <v>3</v>
      </c>
      <c r="E940">
        <v>1919.4</v>
      </c>
      <c r="F940">
        <v>9.4</v>
      </c>
      <c r="G940">
        <v>3492.5</v>
      </c>
      <c r="H940">
        <v>3</v>
      </c>
      <c r="I940">
        <v>26.41</v>
      </c>
      <c r="J940">
        <v>767</v>
      </c>
      <c r="K940">
        <v>322</v>
      </c>
      <c r="L940">
        <v>52</v>
      </c>
      <c r="M940">
        <v>78</v>
      </c>
      <c r="N940">
        <v>0</v>
      </c>
      <c r="O940">
        <v>6970</v>
      </c>
      <c r="P940">
        <v>0</v>
      </c>
      <c r="Q940">
        <v>-462</v>
      </c>
    </row>
    <row r="941" spans="1:17" x14ac:dyDescent="0.45">
      <c r="A941">
        <v>4275</v>
      </c>
      <c r="B941" t="s">
        <v>999</v>
      </c>
      <c r="C941">
        <v>928</v>
      </c>
      <c r="D941">
        <v>3</v>
      </c>
      <c r="E941">
        <v>601.20000000000005</v>
      </c>
      <c r="F941">
        <v>433.8</v>
      </c>
      <c r="G941">
        <v>851.5</v>
      </c>
      <c r="H941">
        <v>2</v>
      </c>
      <c r="I941">
        <v>23.46</v>
      </c>
      <c r="J941">
        <v>413</v>
      </c>
      <c r="K941">
        <v>198</v>
      </c>
      <c r="L941">
        <v>12</v>
      </c>
      <c r="M941">
        <v>55</v>
      </c>
      <c r="N941">
        <v>0</v>
      </c>
      <c r="O941">
        <v>1233</v>
      </c>
      <c r="P941">
        <v>0</v>
      </c>
      <c r="Q941">
        <v>-421</v>
      </c>
    </row>
    <row r="942" spans="1:17" x14ac:dyDescent="0.45">
      <c r="A942">
        <v>354</v>
      </c>
      <c r="B942" t="s">
        <v>1000</v>
      </c>
      <c r="C942">
        <v>3216</v>
      </c>
      <c r="D942">
        <v>2</v>
      </c>
      <c r="E942">
        <v>2760.8</v>
      </c>
      <c r="F942">
        <v>308.10000000000002</v>
      </c>
      <c r="G942">
        <v>2587.8000000000002</v>
      </c>
      <c r="H942">
        <v>2</v>
      </c>
      <c r="I942">
        <v>24.84</v>
      </c>
      <c r="J942">
        <v>1067</v>
      </c>
      <c r="K942">
        <v>414</v>
      </c>
      <c r="L942">
        <v>92</v>
      </c>
      <c r="M942">
        <v>157</v>
      </c>
      <c r="N942">
        <v>0</v>
      </c>
      <c r="O942">
        <v>6283</v>
      </c>
      <c r="P942">
        <v>0</v>
      </c>
      <c r="Q942">
        <v>-542</v>
      </c>
    </row>
    <row r="943" spans="1:17" x14ac:dyDescent="0.45">
      <c r="A943">
        <v>33</v>
      </c>
      <c r="B943" t="s">
        <v>1001</v>
      </c>
      <c r="C943">
        <v>2132</v>
      </c>
      <c r="D943">
        <v>3</v>
      </c>
      <c r="E943">
        <v>2558</v>
      </c>
      <c r="F943">
        <v>27.6</v>
      </c>
      <c r="G943">
        <v>1805.1</v>
      </c>
      <c r="H943">
        <v>2</v>
      </c>
      <c r="I943">
        <v>24.61</v>
      </c>
      <c r="J943">
        <v>869</v>
      </c>
      <c r="K943">
        <v>406</v>
      </c>
      <c r="L943">
        <v>50</v>
      </c>
      <c r="M943">
        <v>129</v>
      </c>
      <c r="N943">
        <v>0</v>
      </c>
      <c r="O943">
        <v>1445</v>
      </c>
      <c r="P943">
        <v>17.72</v>
      </c>
      <c r="Q943">
        <v>-642</v>
      </c>
    </row>
    <row r="944" spans="1:17" x14ac:dyDescent="0.45">
      <c r="A944">
        <v>2266</v>
      </c>
      <c r="B944" t="s">
        <v>1002</v>
      </c>
      <c r="C944">
        <v>703</v>
      </c>
      <c r="D944">
        <v>3</v>
      </c>
      <c r="E944">
        <v>338.3</v>
      </c>
      <c r="F944">
        <v>0</v>
      </c>
      <c r="G944">
        <v>907.9</v>
      </c>
      <c r="H944">
        <v>2</v>
      </c>
      <c r="I944">
        <v>28.63</v>
      </c>
      <c r="J944">
        <v>293</v>
      </c>
      <c r="K944">
        <v>110</v>
      </c>
      <c r="L944">
        <v>26</v>
      </c>
      <c r="M944">
        <v>43</v>
      </c>
      <c r="N944">
        <v>0</v>
      </c>
      <c r="O944">
        <v>955</v>
      </c>
      <c r="P944">
        <v>0</v>
      </c>
      <c r="Q944">
        <v>-120</v>
      </c>
    </row>
    <row r="945" spans="1:17" x14ac:dyDescent="0.45">
      <c r="A945">
        <v>2619</v>
      </c>
      <c r="B945" t="s">
        <v>1003</v>
      </c>
      <c r="C945">
        <v>1191</v>
      </c>
      <c r="D945">
        <v>3</v>
      </c>
      <c r="E945">
        <v>2002.9</v>
      </c>
      <c r="F945">
        <v>0.7</v>
      </c>
      <c r="G945">
        <v>1680.8</v>
      </c>
      <c r="H945">
        <v>3</v>
      </c>
      <c r="I945">
        <v>28.59</v>
      </c>
      <c r="J945">
        <v>512</v>
      </c>
      <c r="K945">
        <v>178</v>
      </c>
      <c r="L945">
        <v>35</v>
      </c>
      <c r="M945">
        <v>26</v>
      </c>
      <c r="N945">
        <v>0</v>
      </c>
      <c r="O945">
        <v>3673</v>
      </c>
      <c r="P945">
        <v>85.63</v>
      </c>
      <c r="Q945">
        <v>-1887</v>
      </c>
    </row>
    <row r="946" spans="1:17" x14ac:dyDescent="0.45">
      <c r="A946">
        <v>4309</v>
      </c>
      <c r="B946" t="s">
        <v>1004</v>
      </c>
      <c r="C946">
        <v>3603</v>
      </c>
      <c r="D946">
        <v>3</v>
      </c>
      <c r="E946">
        <v>1568.7</v>
      </c>
      <c r="F946">
        <v>4.2</v>
      </c>
      <c r="G946">
        <v>3825.3</v>
      </c>
      <c r="H946">
        <v>1</v>
      </c>
      <c r="I946">
        <v>20.87</v>
      </c>
      <c r="J946">
        <v>1366</v>
      </c>
      <c r="K946">
        <v>576</v>
      </c>
      <c r="L946">
        <v>67</v>
      </c>
      <c r="M946">
        <v>180</v>
      </c>
      <c r="N946">
        <v>0</v>
      </c>
      <c r="O946">
        <v>509</v>
      </c>
      <c r="P946">
        <v>553.75</v>
      </c>
      <c r="Q946">
        <v>-462</v>
      </c>
    </row>
    <row r="947" spans="1:17" x14ac:dyDescent="0.45">
      <c r="A947">
        <v>3871</v>
      </c>
      <c r="B947" t="s">
        <v>1005</v>
      </c>
      <c r="C947">
        <v>4423</v>
      </c>
      <c r="D947">
        <v>3</v>
      </c>
      <c r="E947">
        <v>15947.2</v>
      </c>
      <c r="F947">
        <v>235.4</v>
      </c>
      <c r="G947">
        <v>2500.6</v>
      </c>
      <c r="H947">
        <v>2</v>
      </c>
      <c r="I947">
        <v>21.73</v>
      </c>
      <c r="J947">
        <v>1413</v>
      </c>
      <c r="K947">
        <v>1022</v>
      </c>
      <c r="L947">
        <v>59</v>
      </c>
      <c r="M947">
        <v>225</v>
      </c>
      <c r="N947">
        <v>0</v>
      </c>
      <c r="O947">
        <v>6311</v>
      </c>
      <c r="P947">
        <v>1066.8800000000001</v>
      </c>
      <c r="Q947">
        <v>-8229</v>
      </c>
    </row>
    <row r="948" spans="1:17" x14ac:dyDescent="0.45">
      <c r="A948">
        <v>62</v>
      </c>
      <c r="B948" t="s">
        <v>1006</v>
      </c>
      <c r="C948">
        <v>20980</v>
      </c>
      <c r="D948">
        <v>1</v>
      </c>
      <c r="E948">
        <v>18652.8</v>
      </c>
      <c r="F948">
        <v>5649.6</v>
      </c>
      <c r="G948">
        <v>8183.3</v>
      </c>
      <c r="H948">
        <v>1</v>
      </c>
      <c r="I948">
        <v>15.69</v>
      </c>
      <c r="J948">
        <v>8551</v>
      </c>
      <c r="K948">
        <v>4104</v>
      </c>
      <c r="L948">
        <v>905</v>
      </c>
      <c r="M948">
        <v>3333</v>
      </c>
      <c r="N948">
        <v>0</v>
      </c>
      <c r="O948">
        <v>2489</v>
      </c>
      <c r="P948">
        <v>0</v>
      </c>
      <c r="Q948">
        <v>-963</v>
      </c>
    </row>
    <row r="949" spans="1:17" x14ac:dyDescent="0.45">
      <c r="A949">
        <v>7</v>
      </c>
      <c r="B949" t="s">
        <v>1007</v>
      </c>
      <c r="C949">
        <v>2416</v>
      </c>
      <c r="D949">
        <v>3</v>
      </c>
      <c r="E949">
        <v>1881.1</v>
      </c>
      <c r="F949">
        <v>112.6</v>
      </c>
      <c r="G949">
        <v>4739.2</v>
      </c>
      <c r="H949">
        <v>2</v>
      </c>
      <c r="I949">
        <v>24.61</v>
      </c>
      <c r="J949">
        <v>650</v>
      </c>
      <c r="K949">
        <v>325</v>
      </c>
      <c r="L949">
        <v>80</v>
      </c>
      <c r="M949">
        <v>111</v>
      </c>
      <c r="N949">
        <v>0</v>
      </c>
      <c r="O949">
        <v>2981</v>
      </c>
      <c r="P949">
        <v>387.63</v>
      </c>
      <c r="Q949">
        <v>-221</v>
      </c>
    </row>
    <row r="950" spans="1:17" x14ac:dyDescent="0.45">
      <c r="A950">
        <v>1089</v>
      </c>
      <c r="B950" t="s">
        <v>1008</v>
      </c>
      <c r="C950">
        <v>2373</v>
      </c>
      <c r="D950">
        <v>2</v>
      </c>
      <c r="E950">
        <v>1507.4</v>
      </c>
      <c r="F950">
        <v>0</v>
      </c>
      <c r="G950">
        <v>4587.3</v>
      </c>
      <c r="H950">
        <v>3</v>
      </c>
      <c r="I950">
        <v>26.39</v>
      </c>
      <c r="J950">
        <v>942</v>
      </c>
      <c r="K950">
        <v>383</v>
      </c>
      <c r="L950">
        <v>92</v>
      </c>
      <c r="M950">
        <v>137</v>
      </c>
      <c r="N950">
        <v>0</v>
      </c>
      <c r="O950">
        <v>4856</v>
      </c>
      <c r="P950">
        <v>0</v>
      </c>
      <c r="Q950">
        <v>-361</v>
      </c>
    </row>
    <row r="951" spans="1:17" x14ac:dyDescent="0.45">
      <c r="A951">
        <v>4310</v>
      </c>
      <c r="B951" t="s">
        <v>1009</v>
      </c>
      <c r="C951">
        <v>1673</v>
      </c>
      <c r="D951">
        <v>3</v>
      </c>
      <c r="E951">
        <v>2158.3000000000002</v>
      </c>
      <c r="F951">
        <v>0</v>
      </c>
      <c r="G951">
        <v>3874.5</v>
      </c>
      <c r="H951">
        <v>2</v>
      </c>
      <c r="I951">
        <v>23.46</v>
      </c>
      <c r="J951">
        <v>616</v>
      </c>
      <c r="K951">
        <v>352</v>
      </c>
      <c r="L951">
        <v>32</v>
      </c>
      <c r="M951">
        <v>71</v>
      </c>
      <c r="N951">
        <v>0</v>
      </c>
      <c r="O951">
        <v>664</v>
      </c>
      <c r="P951">
        <v>221.5</v>
      </c>
      <c r="Q951">
        <v>-241</v>
      </c>
    </row>
    <row r="952" spans="1:17" x14ac:dyDescent="0.45">
      <c r="A952">
        <v>612</v>
      </c>
      <c r="B952" t="s">
        <v>1012</v>
      </c>
      <c r="C952">
        <v>5463</v>
      </c>
      <c r="D952">
        <v>2</v>
      </c>
      <c r="E952">
        <v>6251.7</v>
      </c>
      <c r="F952">
        <v>66</v>
      </c>
      <c r="G952">
        <v>4227.8999999999996</v>
      </c>
      <c r="H952">
        <v>2</v>
      </c>
      <c r="I952">
        <v>24.84</v>
      </c>
      <c r="J952">
        <v>1913</v>
      </c>
      <c r="K952">
        <v>668</v>
      </c>
      <c r="L952">
        <v>113</v>
      </c>
      <c r="M952">
        <v>211</v>
      </c>
      <c r="N952">
        <v>0</v>
      </c>
      <c r="O952">
        <v>6435</v>
      </c>
      <c r="P952">
        <v>0</v>
      </c>
      <c r="Q952">
        <v>-482</v>
      </c>
    </row>
    <row r="953" spans="1:17" x14ac:dyDescent="0.45">
      <c r="A953">
        <v>413</v>
      </c>
      <c r="B953" t="s">
        <v>1013</v>
      </c>
      <c r="C953">
        <v>2214</v>
      </c>
      <c r="D953">
        <v>2</v>
      </c>
      <c r="E953">
        <v>2430.3000000000002</v>
      </c>
      <c r="F953">
        <v>144.19999999999999</v>
      </c>
      <c r="G953">
        <v>1835.9</v>
      </c>
      <c r="H953">
        <v>2</v>
      </c>
      <c r="I953">
        <v>24.84</v>
      </c>
      <c r="J953">
        <v>1002</v>
      </c>
      <c r="K953">
        <v>329</v>
      </c>
      <c r="L953">
        <v>54</v>
      </c>
      <c r="M953">
        <v>101</v>
      </c>
      <c r="N953">
        <v>0</v>
      </c>
      <c r="O953">
        <v>2073</v>
      </c>
      <c r="P953">
        <v>0</v>
      </c>
      <c r="Q953">
        <v>-321</v>
      </c>
    </row>
    <row r="954" spans="1:17" x14ac:dyDescent="0.45">
      <c r="A954">
        <v>4501</v>
      </c>
      <c r="B954" t="s">
        <v>1014</v>
      </c>
      <c r="C954">
        <v>3669</v>
      </c>
      <c r="D954">
        <v>3</v>
      </c>
      <c r="E954">
        <v>3029.3</v>
      </c>
      <c r="F954">
        <v>2009.4</v>
      </c>
      <c r="G954">
        <v>5610.2</v>
      </c>
      <c r="H954">
        <v>3</v>
      </c>
      <c r="I954">
        <v>26.04</v>
      </c>
      <c r="J954">
        <v>1649</v>
      </c>
      <c r="K954">
        <v>689</v>
      </c>
      <c r="L954">
        <v>79</v>
      </c>
      <c r="M954">
        <v>137</v>
      </c>
      <c r="N954">
        <v>0</v>
      </c>
      <c r="O954">
        <v>3340</v>
      </c>
      <c r="P954">
        <v>0</v>
      </c>
      <c r="Q954">
        <v>-462</v>
      </c>
    </row>
    <row r="955" spans="1:17" x14ac:dyDescent="0.45">
      <c r="A955">
        <v>566</v>
      </c>
      <c r="B955" t="s">
        <v>1015</v>
      </c>
      <c r="C955">
        <v>1140</v>
      </c>
      <c r="D955">
        <v>3</v>
      </c>
      <c r="E955">
        <v>1461.6</v>
      </c>
      <c r="F955">
        <v>6.3</v>
      </c>
      <c r="G955">
        <v>929.3</v>
      </c>
      <c r="H955">
        <v>2</v>
      </c>
      <c r="I955">
        <v>24.84</v>
      </c>
      <c r="J955">
        <v>452</v>
      </c>
      <c r="K955">
        <v>195</v>
      </c>
      <c r="L955">
        <v>16</v>
      </c>
      <c r="M955">
        <v>46</v>
      </c>
      <c r="N955">
        <v>0</v>
      </c>
      <c r="O955">
        <v>1051</v>
      </c>
      <c r="P955">
        <v>0</v>
      </c>
      <c r="Q955">
        <v>-582</v>
      </c>
    </row>
    <row r="956" spans="1:17" x14ac:dyDescent="0.45">
      <c r="A956">
        <v>414</v>
      </c>
      <c r="B956" t="s">
        <v>1016</v>
      </c>
      <c r="C956">
        <v>2369</v>
      </c>
      <c r="D956">
        <v>3</v>
      </c>
      <c r="E956">
        <v>2456.8000000000002</v>
      </c>
      <c r="F956">
        <v>7</v>
      </c>
      <c r="G956">
        <v>3073.4</v>
      </c>
      <c r="H956">
        <v>3</v>
      </c>
      <c r="I956">
        <v>26.41</v>
      </c>
      <c r="J956">
        <v>1041</v>
      </c>
      <c r="K956">
        <v>375</v>
      </c>
      <c r="L956">
        <v>47</v>
      </c>
      <c r="M956">
        <v>148</v>
      </c>
      <c r="N956">
        <v>0</v>
      </c>
      <c r="O956">
        <v>5329</v>
      </c>
      <c r="P956">
        <v>0</v>
      </c>
      <c r="Q956">
        <v>-1907</v>
      </c>
    </row>
    <row r="957" spans="1:17" x14ac:dyDescent="0.45">
      <c r="A957">
        <v>4671</v>
      </c>
      <c r="B957" t="s">
        <v>1017</v>
      </c>
      <c r="C957">
        <v>22788</v>
      </c>
      <c r="D957">
        <v>3</v>
      </c>
      <c r="E957">
        <v>17727</v>
      </c>
      <c r="F957">
        <v>15210.8</v>
      </c>
      <c r="G957">
        <v>13200.1</v>
      </c>
      <c r="H957">
        <v>1</v>
      </c>
      <c r="I957">
        <v>21</v>
      </c>
      <c r="J957">
        <v>7998</v>
      </c>
      <c r="K957">
        <v>3519</v>
      </c>
      <c r="L957">
        <v>524</v>
      </c>
      <c r="M957">
        <v>1135</v>
      </c>
      <c r="N957">
        <v>0</v>
      </c>
      <c r="O957">
        <v>751</v>
      </c>
      <c r="P957">
        <v>0</v>
      </c>
      <c r="Q957">
        <v>-642</v>
      </c>
    </row>
    <row r="958" spans="1:17" x14ac:dyDescent="0.45">
      <c r="A958">
        <v>666</v>
      </c>
      <c r="B958" t="s">
        <v>1018</v>
      </c>
      <c r="C958">
        <v>424</v>
      </c>
      <c r="D958">
        <v>2</v>
      </c>
      <c r="E958">
        <v>524.20000000000005</v>
      </c>
      <c r="F958">
        <v>0</v>
      </c>
      <c r="G958">
        <v>592.29999999999995</v>
      </c>
      <c r="H958">
        <v>3</v>
      </c>
      <c r="I958">
        <v>26.41</v>
      </c>
      <c r="J958">
        <v>177</v>
      </c>
      <c r="K958">
        <v>58</v>
      </c>
      <c r="L958">
        <v>11</v>
      </c>
      <c r="M958">
        <v>20</v>
      </c>
      <c r="N958">
        <v>0</v>
      </c>
      <c r="O958">
        <v>1725</v>
      </c>
      <c r="P958">
        <v>0</v>
      </c>
      <c r="Q958">
        <v>-361</v>
      </c>
    </row>
    <row r="959" spans="1:17" x14ac:dyDescent="0.45">
      <c r="A959">
        <v>2525</v>
      </c>
      <c r="B959" t="s">
        <v>1019</v>
      </c>
      <c r="C959">
        <v>1373</v>
      </c>
      <c r="D959">
        <v>2</v>
      </c>
      <c r="E959">
        <v>1290.7</v>
      </c>
      <c r="F959">
        <v>105.7</v>
      </c>
      <c r="G959">
        <v>799.6</v>
      </c>
      <c r="H959">
        <v>2</v>
      </c>
      <c r="I959">
        <v>26.37</v>
      </c>
      <c r="J959">
        <v>600</v>
      </c>
      <c r="K959">
        <v>229</v>
      </c>
      <c r="L959">
        <v>36</v>
      </c>
      <c r="M959">
        <v>61</v>
      </c>
      <c r="N959">
        <v>0</v>
      </c>
      <c r="O959">
        <v>0</v>
      </c>
      <c r="P959">
        <v>0</v>
      </c>
      <c r="Q959">
        <v>-20</v>
      </c>
    </row>
    <row r="960" spans="1:17" x14ac:dyDescent="0.45">
      <c r="A960">
        <v>1059</v>
      </c>
      <c r="B960" t="s">
        <v>1020</v>
      </c>
      <c r="C960">
        <v>28983</v>
      </c>
      <c r="D960">
        <v>2</v>
      </c>
      <c r="E960">
        <v>14880.7</v>
      </c>
      <c r="F960">
        <v>18819.2</v>
      </c>
      <c r="G960">
        <v>13356.2</v>
      </c>
      <c r="H960">
        <v>1</v>
      </c>
      <c r="I960">
        <v>19.39</v>
      </c>
      <c r="J960">
        <v>7258</v>
      </c>
      <c r="K960">
        <v>3348</v>
      </c>
      <c r="L960">
        <v>473</v>
      </c>
      <c r="M960">
        <v>1287</v>
      </c>
      <c r="N960">
        <v>0</v>
      </c>
      <c r="O960">
        <v>4544</v>
      </c>
      <c r="P960">
        <v>0</v>
      </c>
      <c r="Q960">
        <v>-2669</v>
      </c>
    </row>
    <row r="961" spans="1:17" x14ac:dyDescent="0.45">
      <c r="A961">
        <v>2850</v>
      </c>
      <c r="B961" t="s">
        <v>978</v>
      </c>
      <c r="C961">
        <v>527</v>
      </c>
      <c r="D961">
        <v>1</v>
      </c>
      <c r="E961">
        <v>740.1</v>
      </c>
      <c r="F961">
        <v>0</v>
      </c>
      <c r="G961">
        <v>559.4</v>
      </c>
      <c r="H961">
        <v>3</v>
      </c>
      <c r="I961">
        <v>22.09</v>
      </c>
      <c r="J961">
        <v>210</v>
      </c>
      <c r="K961">
        <v>106</v>
      </c>
      <c r="L961">
        <v>18</v>
      </c>
      <c r="M961">
        <v>29</v>
      </c>
      <c r="N961">
        <v>0</v>
      </c>
      <c r="O961">
        <v>256</v>
      </c>
      <c r="P961">
        <v>0</v>
      </c>
      <c r="Q961">
        <v>-40</v>
      </c>
    </row>
    <row r="962" spans="1:17" x14ac:dyDescent="0.45">
      <c r="A962">
        <v>4276</v>
      </c>
      <c r="B962" t="s">
        <v>1010</v>
      </c>
      <c r="C962">
        <v>4757</v>
      </c>
      <c r="D962">
        <v>3</v>
      </c>
      <c r="E962">
        <v>3749.4</v>
      </c>
      <c r="F962">
        <v>2629.4</v>
      </c>
      <c r="G962">
        <v>5011.2</v>
      </c>
      <c r="H962">
        <v>2</v>
      </c>
      <c r="I962">
        <v>23.46</v>
      </c>
      <c r="J962">
        <v>1872</v>
      </c>
      <c r="K962">
        <v>815</v>
      </c>
      <c r="L962">
        <v>92</v>
      </c>
      <c r="M962">
        <v>236</v>
      </c>
      <c r="N962">
        <v>0</v>
      </c>
      <c r="O962">
        <v>1014</v>
      </c>
      <c r="P962">
        <v>360.29</v>
      </c>
      <c r="Q962">
        <v>-763</v>
      </c>
    </row>
    <row r="963" spans="1:17" x14ac:dyDescent="0.45">
      <c r="A963">
        <v>355</v>
      </c>
      <c r="B963" t="s">
        <v>1011</v>
      </c>
      <c r="C963">
        <v>42409</v>
      </c>
      <c r="D963">
        <v>1</v>
      </c>
      <c r="E963">
        <v>32802.699999999997</v>
      </c>
      <c r="F963">
        <v>9595</v>
      </c>
      <c r="G963">
        <v>18352.400000000001</v>
      </c>
      <c r="H963">
        <v>1</v>
      </c>
      <c r="I963">
        <v>16.760000000000002</v>
      </c>
      <c r="J963">
        <v>10882</v>
      </c>
      <c r="K963">
        <v>4385</v>
      </c>
      <c r="L963">
        <v>646</v>
      </c>
      <c r="M963">
        <v>1648</v>
      </c>
      <c r="N963">
        <v>0</v>
      </c>
      <c r="O963">
        <v>15337</v>
      </c>
      <c r="P963">
        <v>0</v>
      </c>
      <c r="Q963">
        <v>-3091</v>
      </c>
    </row>
    <row r="964" spans="1:17" x14ac:dyDescent="0.45">
      <c r="A964">
        <v>3882</v>
      </c>
      <c r="B964" t="s">
        <v>1021</v>
      </c>
      <c r="C964">
        <v>897</v>
      </c>
      <c r="D964">
        <v>3</v>
      </c>
      <c r="E964">
        <v>1755.3</v>
      </c>
      <c r="F964">
        <v>19.7</v>
      </c>
      <c r="G964">
        <v>874.3</v>
      </c>
      <c r="H964">
        <v>3</v>
      </c>
      <c r="I964">
        <v>29.04</v>
      </c>
      <c r="J964">
        <v>302</v>
      </c>
      <c r="K964">
        <v>295</v>
      </c>
      <c r="L964">
        <v>16</v>
      </c>
      <c r="M964">
        <v>40</v>
      </c>
      <c r="N964">
        <v>0</v>
      </c>
      <c r="O964">
        <v>1600</v>
      </c>
      <c r="P964">
        <v>0</v>
      </c>
      <c r="Q964">
        <v>-642</v>
      </c>
    </row>
    <row r="965" spans="1:17" x14ac:dyDescent="0.45">
      <c r="A965">
        <v>4031</v>
      </c>
      <c r="B965" t="s">
        <v>1022</v>
      </c>
      <c r="C965">
        <v>1888</v>
      </c>
      <c r="D965">
        <v>3</v>
      </c>
      <c r="E965">
        <v>2234.6999999999998</v>
      </c>
      <c r="F965">
        <v>42.9</v>
      </c>
      <c r="G965">
        <v>1227.9000000000001</v>
      </c>
      <c r="H965">
        <v>2</v>
      </c>
      <c r="I965">
        <v>23.46</v>
      </c>
      <c r="J965">
        <v>828</v>
      </c>
      <c r="K965">
        <v>295</v>
      </c>
      <c r="L965">
        <v>60</v>
      </c>
      <c r="M965">
        <v>101</v>
      </c>
      <c r="N965">
        <v>0</v>
      </c>
      <c r="O965">
        <v>834</v>
      </c>
      <c r="P965">
        <v>193.46</v>
      </c>
      <c r="Q965">
        <v>-261</v>
      </c>
    </row>
    <row r="966" spans="1:17" x14ac:dyDescent="0.45">
      <c r="A966">
        <v>154</v>
      </c>
      <c r="B966" t="s">
        <v>1023</v>
      </c>
      <c r="C966">
        <v>14833</v>
      </c>
      <c r="D966">
        <v>3</v>
      </c>
      <c r="E966">
        <v>15110.1</v>
      </c>
      <c r="F966">
        <v>12314</v>
      </c>
      <c r="G966">
        <v>4852.8999999999996</v>
      </c>
      <c r="H966">
        <v>1</v>
      </c>
      <c r="I966">
        <v>15.69</v>
      </c>
      <c r="J966">
        <v>4617</v>
      </c>
      <c r="K966">
        <v>1486</v>
      </c>
      <c r="L966">
        <v>481</v>
      </c>
      <c r="M966">
        <v>994</v>
      </c>
      <c r="N966">
        <v>0</v>
      </c>
      <c r="O966">
        <v>1695</v>
      </c>
      <c r="P966">
        <v>1384.38</v>
      </c>
      <c r="Q966">
        <v>-783</v>
      </c>
    </row>
    <row r="967" spans="1:17" x14ac:dyDescent="0.45">
      <c r="A967">
        <v>1331</v>
      </c>
      <c r="B967" t="s">
        <v>1024</v>
      </c>
      <c r="C967">
        <v>13843</v>
      </c>
      <c r="D967">
        <v>3</v>
      </c>
      <c r="E967">
        <v>12129.2</v>
      </c>
      <c r="F967">
        <v>1557.8</v>
      </c>
      <c r="G967">
        <v>12389.7</v>
      </c>
      <c r="H967">
        <v>1</v>
      </c>
      <c r="I967">
        <v>35.31</v>
      </c>
      <c r="J967">
        <v>5130</v>
      </c>
      <c r="K967">
        <v>2561</v>
      </c>
      <c r="L967">
        <v>403</v>
      </c>
      <c r="M967">
        <v>1028</v>
      </c>
      <c r="N967">
        <v>0</v>
      </c>
      <c r="O967">
        <v>11564</v>
      </c>
      <c r="P967">
        <v>0</v>
      </c>
      <c r="Q967">
        <v>-1485</v>
      </c>
    </row>
    <row r="968" spans="1:17" x14ac:dyDescent="0.45">
      <c r="A968">
        <v>4008</v>
      </c>
      <c r="B968" t="s">
        <v>1025</v>
      </c>
      <c r="C968">
        <v>6547</v>
      </c>
      <c r="D968">
        <v>3</v>
      </c>
      <c r="E968">
        <v>5800.3</v>
      </c>
      <c r="F968">
        <v>505.6</v>
      </c>
      <c r="G968">
        <v>5326.7</v>
      </c>
      <c r="H968">
        <v>1</v>
      </c>
      <c r="I968">
        <v>20.87</v>
      </c>
      <c r="J968">
        <v>2231</v>
      </c>
      <c r="K968">
        <v>836</v>
      </c>
      <c r="L968">
        <v>182</v>
      </c>
      <c r="M968">
        <v>349</v>
      </c>
      <c r="N968">
        <v>0</v>
      </c>
      <c r="O968">
        <v>2029</v>
      </c>
      <c r="P968">
        <v>0</v>
      </c>
      <c r="Q968">
        <v>-1144</v>
      </c>
    </row>
    <row r="969" spans="1:17" x14ac:dyDescent="0.45">
      <c r="A969">
        <v>5871</v>
      </c>
      <c r="B969" t="s">
        <v>1047</v>
      </c>
      <c r="C969">
        <v>1534</v>
      </c>
      <c r="D969">
        <v>3</v>
      </c>
      <c r="E969">
        <v>3594.6</v>
      </c>
      <c r="F969">
        <v>84</v>
      </c>
      <c r="G969">
        <v>1339.2</v>
      </c>
      <c r="H969">
        <v>3</v>
      </c>
      <c r="I969">
        <v>35.86</v>
      </c>
      <c r="J969">
        <v>622</v>
      </c>
      <c r="K969">
        <v>218</v>
      </c>
      <c r="L969">
        <v>50</v>
      </c>
      <c r="M969">
        <v>82</v>
      </c>
      <c r="N969">
        <v>0</v>
      </c>
      <c r="O969">
        <v>1696</v>
      </c>
      <c r="P969">
        <v>132.9</v>
      </c>
      <c r="Q969">
        <v>-3552</v>
      </c>
    </row>
    <row r="970" spans="1:17" x14ac:dyDescent="0.45">
      <c r="A970">
        <v>5741</v>
      </c>
      <c r="B970" t="s">
        <v>1048</v>
      </c>
      <c r="C970">
        <v>260</v>
      </c>
      <c r="D970">
        <v>3</v>
      </c>
      <c r="E970">
        <v>278.39999999999998</v>
      </c>
      <c r="F970">
        <v>455.1</v>
      </c>
      <c r="G970">
        <v>183.7</v>
      </c>
      <c r="H970">
        <v>3</v>
      </c>
      <c r="I970">
        <v>35.86</v>
      </c>
      <c r="J970">
        <v>93</v>
      </c>
      <c r="K970">
        <v>31</v>
      </c>
      <c r="L970">
        <v>6</v>
      </c>
      <c r="M970">
        <v>30</v>
      </c>
      <c r="N970">
        <v>0</v>
      </c>
      <c r="O970">
        <v>403</v>
      </c>
      <c r="P970">
        <v>0</v>
      </c>
      <c r="Q970">
        <v>-602</v>
      </c>
    </row>
    <row r="971" spans="1:17" x14ac:dyDescent="0.45">
      <c r="A971">
        <v>5486</v>
      </c>
      <c r="B971" t="s">
        <v>1133</v>
      </c>
      <c r="C971">
        <v>1093</v>
      </c>
      <c r="D971">
        <v>3</v>
      </c>
      <c r="E971">
        <v>1280.3</v>
      </c>
      <c r="F971">
        <v>742</v>
      </c>
      <c r="G971">
        <v>445.4</v>
      </c>
      <c r="H971">
        <v>3</v>
      </c>
      <c r="I971">
        <v>35.86</v>
      </c>
      <c r="J971">
        <v>476</v>
      </c>
      <c r="K971">
        <v>133</v>
      </c>
      <c r="L971">
        <v>26</v>
      </c>
      <c r="M971">
        <v>73</v>
      </c>
      <c r="N971">
        <v>0</v>
      </c>
      <c r="O971">
        <v>3070</v>
      </c>
      <c r="P971">
        <v>53.91</v>
      </c>
      <c r="Q971">
        <v>-1465</v>
      </c>
    </row>
    <row r="972" spans="1:17" x14ac:dyDescent="0.45">
      <c r="A972">
        <v>6810</v>
      </c>
      <c r="B972" t="s">
        <v>1026</v>
      </c>
      <c r="C972">
        <v>1114</v>
      </c>
      <c r="D972">
        <v>3</v>
      </c>
      <c r="E972">
        <v>2592.8000000000002</v>
      </c>
      <c r="F972">
        <v>43.5</v>
      </c>
      <c r="G972">
        <v>3526.8</v>
      </c>
      <c r="H972">
        <v>3</v>
      </c>
      <c r="I972">
        <v>27.66</v>
      </c>
      <c r="J972">
        <v>536</v>
      </c>
      <c r="K972">
        <v>170</v>
      </c>
      <c r="L972">
        <v>20</v>
      </c>
      <c r="M972">
        <v>60</v>
      </c>
      <c r="N972">
        <v>0</v>
      </c>
      <c r="O972">
        <v>7256</v>
      </c>
      <c r="P972">
        <v>0</v>
      </c>
      <c r="Q972">
        <v>-2709</v>
      </c>
    </row>
    <row r="973" spans="1:17" x14ac:dyDescent="0.45">
      <c r="A973">
        <v>2234</v>
      </c>
      <c r="B973" t="s">
        <v>1028</v>
      </c>
      <c r="C973">
        <v>2118</v>
      </c>
      <c r="D973">
        <v>3</v>
      </c>
      <c r="E973">
        <v>1682.4</v>
      </c>
      <c r="F973">
        <v>34.1</v>
      </c>
      <c r="G973">
        <v>2798.6</v>
      </c>
      <c r="H973">
        <v>3</v>
      </c>
      <c r="I973">
        <v>36.93</v>
      </c>
      <c r="J973">
        <v>948</v>
      </c>
      <c r="K973">
        <v>229</v>
      </c>
      <c r="L973">
        <v>69</v>
      </c>
      <c r="M973">
        <v>147</v>
      </c>
      <c r="N973">
        <v>0</v>
      </c>
      <c r="O973">
        <v>4670</v>
      </c>
      <c r="P973">
        <v>50.19</v>
      </c>
      <c r="Q973">
        <v>-401</v>
      </c>
    </row>
    <row r="974" spans="1:17" x14ac:dyDescent="0.45">
      <c r="A974">
        <v>6432</v>
      </c>
      <c r="B974" t="s">
        <v>1027</v>
      </c>
      <c r="C974">
        <v>606</v>
      </c>
      <c r="D974">
        <v>3</v>
      </c>
      <c r="E974">
        <v>1154.3</v>
      </c>
      <c r="F974">
        <v>8.1</v>
      </c>
      <c r="G974">
        <v>1377.1</v>
      </c>
      <c r="H974">
        <v>3</v>
      </c>
      <c r="I974">
        <v>36.21</v>
      </c>
      <c r="J974">
        <v>323</v>
      </c>
      <c r="K974">
        <v>149</v>
      </c>
      <c r="L974">
        <v>5</v>
      </c>
      <c r="M974">
        <v>24</v>
      </c>
      <c r="N974">
        <v>0</v>
      </c>
      <c r="O974">
        <v>12819</v>
      </c>
      <c r="P974">
        <v>55.38</v>
      </c>
      <c r="Q974">
        <v>-3211</v>
      </c>
    </row>
    <row r="975" spans="1:17" x14ac:dyDescent="0.45">
      <c r="A975">
        <v>5474</v>
      </c>
      <c r="B975" t="s">
        <v>1029</v>
      </c>
      <c r="C975">
        <v>413</v>
      </c>
      <c r="D975">
        <v>3</v>
      </c>
      <c r="E975">
        <v>186.7</v>
      </c>
      <c r="F975">
        <v>697.3</v>
      </c>
      <c r="G975">
        <v>846.8</v>
      </c>
      <c r="H975">
        <v>3</v>
      </c>
      <c r="I975">
        <v>35.86</v>
      </c>
      <c r="J975">
        <v>228</v>
      </c>
      <c r="K975">
        <v>40</v>
      </c>
      <c r="L975">
        <v>17</v>
      </c>
      <c r="M975">
        <v>26</v>
      </c>
      <c r="N975">
        <v>0</v>
      </c>
      <c r="O975">
        <v>1982</v>
      </c>
      <c r="P975">
        <v>28.04</v>
      </c>
      <c r="Q975">
        <v>-221</v>
      </c>
    </row>
    <row r="976" spans="1:17" x14ac:dyDescent="0.45">
      <c r="A976">
        <v>6421</v>
      </c>
      <c r="B976" t="s">
        <v>1030</v>
      </c>
      <c r="C976">
        <v>36527</v>
      </c>
      <c r="D976">
        <v>2</v>
      </c>
      <c r="E976">
        <v>31268.7</v>
      </c>
      <c r="F976">
        <v>21344.799999999999</v>
      </c>
      <c r="G976">
        <v>21640.6</v>
      </c>
      <c r="H976">
        <v>1</v>
      </c>
      <c r="I976">
        <v>20.88</v>
      </c>
      <c r="J976">
        <v>12029</v>
      </c>
      <c r="K976">
        <v>3879</v>
      </c>
      <c r="L976">
        <v>413</v>
      </c>
      <c r="M976">
        <v>1768</v>
      </c>
      <c r="N976">
        <v>0</v>
      </c>
      <c r="O976">
        <v>17597</v>
      </c>
      <c r="P976">
        <v>33542.44</v>
      </c>
      <c r="Q976">
        <v>-2709</v>
      </c>
    </row>
    <row r="977" spans="1:17" x14ac:dyDescent="0.45">
      <c r="A977">
        <v>6435</v>
      </c>
      <c r="B977" t="s">
        <v>1031</v>
      </c>
      <c r="C977">
        <v>489</v>
      </c>
      <c r="D977">
        <v>3</v>
      </c>
      <c r="E977">
        <v>823.7</v>
      </c>
      <c r="F977">
        <v>16</v>
      </c>
      <c r="G977">
        <v>970.2</v>
      </c>
      <c r="H977">
        <v>3</v>
      </c>
      <c r="I977">
        <v>36.21</v>
      </c>
      <c r="J977">
        <v>184</v>
      </c>
      <c r="K977">
        <v>85</v>
      </c>
      <c r="L977">
        <v>10</v>
      </c>
      <c r="M977">
        <v>24</v>
      </c>
      <c r="N977">
        <v>0</v>
      </c>
      <c r="O977">
        <v>4278</v>
      </c>
      <c r="P977">
        <v>0</v>
      </c>
      <c r="Q977">
        <v>-1525</v>
      </c>
    </row>
    <row r="978" spans="1:17" x14ac:dyDescent="0.45">
      <c r="A978">
        <v>6504</v>
      </c>
      <c r="B978" t="s">
        <v>1032</v>
      </c>
      <c r="C978">
        <v>491</v>
      </c>
      <c r="D978">
        <v>2</v>
      </c>
      <c r="E978">
        <v>741.3</v>
      </c>
      <c r="F978">
        <v>19.2</v>
      </c>
      <c r="G978">
        <v>555.5</v>
      </c>
      <c r="H978">
        <v>3</v>
      </c>
      <c r="I978">
        <v>36.21</v>
      </c>
      <c r="J978">
        <v>202</v>
      </c>
      <c r="K978">
        <v>91</v>
      </c>
      <c r="L978">
        <v>3</v>
      </c>
      <c r="M978">
        <v>17</v>
      </c>
      <c r="N978">
        <v>0</v>
      </c>
      <c r="O978">
        <v>3885</v>
      </c>
      <c r="P978">
        <v>36.19</v>
      </c>
      <c r="Q978">
        <v>-883</v>
      </c>
    </row>
    <row r="979" spans="1:17" x14ac:dyDescent="0.45">
      <c r="A979">
        <v>435</v>
      </c>
      <c r="B979" t="s">
        <v>1033</v>
      </c>
      <c r="C979">
        <v>539</v>
      </c>
      <c r="D979">
        <v>2</v>
      </c>
      <c r="E979">
        <v>1069.9000000000001</v>
      </c>
      <c r="F979">
        <v>18.3</v>
      </c>
      <c r="G979">
        <v>690</v>
      </c>
      <c r="H979">
        <v>3</v>
      </c>
      <c r="I979">
        <v>26.41</v>
      </c>
      <c r="J979">
        <v>256</v>
      </c>
      <c r="K979">
        <v>102</v>
      </c>
      <c r="L979">
        <v>8</v>
      </c>
      <c r="M979">
        <v>28</v>
      </c>
      <c r="N979">
        <v>0</v>
      </c>
      <c r="O979">
        <v>4540</v>
      </c>
      <c r="P979">
        <v>16.97</v>
      </c>
      <c r="Q979">
        <v>-763</v>
      </c>
    </row>
    <row r="980" spans="1:17" x14ac:dyDescent="0.45">
      <c r="A980">
        <v>6417</v>
      </c>
      <c r="B980" t="s">
        <v>1034</v>
      </c>
      <c r="C980">
        <v>9029</v>
      </c>
      <c r="D980">
        <v>2</v>
      </c>
      <c r="E980">
        <v>12658.9</v>
      </c>
      <c r="F980">
        <v>2693.6</v>
      </c>
      <c r="G980">
        <v>8314.2999999999993</v>
      </c>
      <c r="H980">
        <v>2</v>
      </c>
      <c r="I980">
        <v>30.44</v>
      </c>
      <c r="J980">
        <v>4027</v>
      </c>
      <c r="K980">
        <v>1235</v>
      </c>
      <c r="L980">
        <v>214</v>
      </c>
      <c r="M980">
        <v>512</v>
      </c>
      <c r="N980">
        <v>0</v>
      </c>
      <c r="O980">
        <v>7925</v>
      </c>
      <c r="P980">
        <v>626.79999999999995</v>
      </c>
      <c r="Q980">
        <v>-3713</v>
      </c>
    </row>
    <row r="981" spans="1:17" x14ac:dyDescent="0.45">
      <c r="A981">
        <v>723</v>
      </c>
      <c r="B981" t="s">
        <v>1035</v>
      </c>
      <c r="C981">
        <v>3798</v>
      </c>
      <c r="D981">
        <v>2</v>
      </c>
      <c r="E981">
        <v>6813.6</v>
      </c>
      <c r="F981">
        <v>9.6</v>
      </c>
      <c r="G981">
        <v>1685.2</v>
      </c>
      <c r="H981">
        <v>2</v>
      </c>
      <c r="I981">
        <v>24.84</v>
      </c>
      <c r="J981">
        <v>1398</v>
      </c>
      <c r="K981">
        <v>394</v>
      </c>
      <c r="L981">
        <v>79</v>
      </c>
      <c r="M981">
        <v>165</v>
      </c>
      <c r="N981">
        <v>0</v>
      </c>
      <c r="O981">
        <v>399</v>
      </c>
      <c r="P981">
        <v>0</v>
      </c>
      <c r="Q981">
        <v>-863</v>
      </c>
    </row>
    <row r="982" spans="1:17" x14ac:dyDescent="0.45">
      <c r="A982">
        <v>5758</v>
      </c>
      <c r="B982" t="s">
        <v>1036</v>
      </c>
      <c r="C982">
        <v>183</v>
      </c>
      <c r="D982">
        <v>3</v>
      </c>
      <c r="E982">
        <v>470.5</v>
      </c>
      <c r="F982">
        <v>16.399999999999999</v>
      </c>
      <c r="G982">
        <v>336</v>
      </c>
      <c r="H982">
        <v>3</v>
      </c>
      <c r="I982">
        <v>35.86</v>
      </c>
      <c r="J982">
        <v>89</v>
      </c>
      <c r="K982">
        <v>27</v>
      </c>
      <c r="L982">
        <v>6</v>
      </c>
      <c r="M982">
        <v>18</v>
      </c>
      <c r="N982">
        <v>0</v>
      </c>
      <c r="O982">
        <v>1109</v>
      </c>
      <c r="P982">
        <v>0</v>
      </c>
      <c r="Q982">
        <v>-502</v>
      </c>
    </row>
    <row r="983" spans="1:17" x14ac:dyDescent="0.45">
      <c r="A983">
        <v>3785</v>
      </c>
      <c r="B983" t="s">
        <v>1037</v>
      </c>
      <c r="C983">
        <v>698</v>
      </c>
      <c r="D983">
        <v>3</v>
      </c>
      <c r="E983">
        <v>3481.5</v>
      </c>
      <c r="F983">
        <v>0</v>
      </c>
      <c r="G983">
        <v>516.20000000000005</v>
      </c>
      <c r="H983">
        <v>3</v>
      </c>
      <c r="I983">
        <v>29.04</v>
      </c>
      <c r="J983">
        <v>305</v>
      </c>
      <c r="K983">
        <v>155</v>
      </c>
      <c r="L983">
        <v>24</v>
      </c>
      <c r="M983">
        <v>48</v>
      </c>
      <c r="N983">
        <v>0</v>
      </c>
      <c r="O983">
        <v>602</v>
      </c>
      <c r="P983">
        <v>0</v>
      </c>
      <c r="Q983">
        <v>-2087</v>
      </c>
    </row>
    <row r="984" spans="1:17" x14ac:dyDescent="0.45">
      <c r="A984">
        <v>5726</v>
      </c>
      <c r="B984" t="s">
        <v>1038</v>
      </c>
      <c r="C984">
        <v>1200</v>
      </c>
      <c r="D984">
        <v>3</v>
      </c>
      <c r="E984">
        <v>1247.5999999999999</v>
      </c>
      <c r="F984">
        <v>163.4</v>
      </c>
      <c r="G984">
        <v>1173.4000000000001</v>
      </c>
      <c r="H984">
        <v>3</v>
      </c>
      <c r="I984">
        <v>35.86</v>
      </c>
      <c r="J984">
        <v>471</v>
      </c>
      <c r="K984">
        <v>147</v>
      </c>
      <c r="L984">
        <v>56</v>
      </c>
      <c r="M984">
        <v>105</v>
      </c>
      <c r="N984">
        <v>0</v>
      </c>
      <c r="O984">
        <v>1906</v>
      </c>
      <c r="P984">
        <v>0</v>
      </c>
      <c r="Q984">
        <v>-1927</v>
      </c>
    </row>
    <row r="985" spans="1:17" x14ac:dyDescent="0.45">
      <c r="A985">
        <v>2149</v>
      </c>
      <c r="B985" t="s">
        <v>1039</v>
      </c>
      <c r="C985">
        <v>1829</v>
      </c>
      <c r="D985">
        <v>3</v>
      </c>
      <c r="E985">
        <v>1581.7</v>
      </c>
      <c r="F985">
        <v>0.6</v>
      </c>
      <c r="G985">
        <v>2692.7</v>
      </c>
      <c r="H985">
        <v>3</v>
      </c>
      <c r="I985">
        <v>36.93</v>
      </c>
      <c r="J985">
        <v>795</v>
      </c>
      <c r="K985">
        <v>270</v>
      </c>
      <c r="L985">
        <v>47</v>
      </c>
      <c r="M985">
        <v>129</v>
      </c>
      <c r="N985">
        <v>0</v>
      </c>
      <c r="O985">
        <v>6153</v>
      </c>
      <c r="P985">
        <v>0</v>
      </c>
      <c r="Q985">
        <v>-2168</v>
      </c>
    </row>
    <row r="986" spans="1:17" x14ac:dyDescent="0.45">
      <c r="A986">
        <v>6423</v>
      </c>
      <c r="B986" t="s">
        <v>1040</v>
      </c>
      <c r="C986">
        <v>1069</v>
      </c>
      <c r="D986">
        <v>3</v>
      </c>
      <c r="E986">
        <v>2174.6</v>
      </c>
      <c r="F986">
        <v>17.2</v>
      </c>
      <c r="G986">
        <v>696.8</v>
      </c>
      <c r="H986">
        <v>3</v>
      </c>
      <c r="I986">
        <v>36.21</v>
      </c>
      <c r="J986">
        <v>480</v>
      </c>
      <c r="K986">
        <v>146</v>
      </c>
      <c r="L986">
        <v>28</v>
      </c>
      <c r="M986">
        <v>42</v>
      </c>
      <c r="N986">
        <v>0</v>
      </c>
      <c r="O986">
        <v>7436</v>
      </c>
      <c r="P986">
        <v>53.91</v>
      </c>
      <c r="Q986">
        <v>-1706</v>
      </c>
    </row>
    <row r="987" spans="1:17" x14ac:dyDescent="0.45">
      <c r="A987">
        <v>5498</v>
      </c>
      <c r="B987" t="s">
        <v>1041</v>
      </c>
      <c r="C987">
        <v>2607</v>
      </c>
      <c r="D987">
        <v>3</v>
      </c>
      <c r="E987">
        <v>793.1</v>
      </c>
      <c r="F987">
        <v>2365.8000000000002</v>
      </c>
      <c r="G987">
        <v>1965.2</v>
      </c>
      <c r="H987">
        <v>2</v>
      </c>
      <c r="I987">
        <v>26.72</v>
      </c>
      <c r="J987">
        <v>921</v>
      </c>
      <c r="K987">
        <v>291</v>
      </c>
      <c r="L987">
        <v>51</v>
      </c>
      <c r="M987">
        <v>152</v>
      </c>
      <c r="N987">
        <v>0</v>
      </c>
      <c r="O987">
        <v>996</v>
      </c>
      <c r="P987">
        <v>221.5</v>
      </c>
      <c r="Q987">
        <v>-582</v>
      </c>
    </row>
    <row r="988" spans="1:17" x14ac:dyDescent="0.45">
      <c r="A988">
        <v>2235</v>
      </c>
      <c r="B988" t="s">
        <v>1042</v>
      </c>
      <c r="C988">
        <v>1381</v>
      </c>
      <c r="D988">
        <v>2</v>
      </c>
      <c r="E988">
        <v>818.3</v>
      </c>
      <c r="F988">
        <v>169.3</v>
      </c>
      <c r="G988">
        <v>2194.4</v>
      </c>
      <c r="H988">
        <v>2</v>
      </c>
      <c r="I988">
        <v>28.63</v>
      </c>
      <c r="J988">
        <v>576</v>
      </c>
      <c r="K988">
        <v>165</v>
      </c>
      <c r="L988">
        <v>46</v>
      </c>
      <c r="M988">
        <v>95</v>
      </c>
      <c r="N988">
        <v>0</v>
      </c>
      <c r="O988">
        <v>2725</v>
      </c>
      <c r="P988">
        <v>0</v>
      </c>
      <c r="Q988">
        <v>-301</v>
      </c>
    </row>
    <row r="989" spans="1:17" x14ac:dyDescent="0.45">
      <c r="A989">
        <v>5889</v>
      </c>
      <c r="B989" t="s">
        <v>1044</v>
      </c>
      <c r="C989">
        <v>12382</v>
      </c>
      <c r="D989">
        <v>3</v>
      </c>
      <c r="E989">
        <v>6273.6</v>
      </c>
      <c r="F989">
        <v>10480.6</v>
      </c>
      <c r="G989">
        <v>4219.7</v>
      </c>
      <c r="H989">
        <v>1</v>
      </c>
      <c r="I989">
        <v>19.809999999999999</v>
      </c>
      <c r="J989">
        <v>3629</v>
      </c>
      <c r="K989">
        <v>1040</v>
      </c>
      <c r="L989">
        <v>215</v>
      </c>
      <c r="M989">
        <v>687</v>
      </c>
      <c r="N989">
        <v>0</v>
      </c>
      <c r="O989">
        <v>69</v>
      </c>
      <c r="P989">
        <v>0</v>
      </c>
      <c r="Q989">
        <v>-20</v>
      </c>
    </row>
    <row r="990" spans="1:17" x14ac:dyDescent="0.45">
      <c r="A990">
        <v>6461</v>
      </c>
      <c r="B990" t="s">
        <v>1043</v>
      </c>
      <c r="C990">
        <v>5379</v>
      </c>
      <c r="D990">
        <v>2</v>
      </c>
      <c r="E990">
        <v>3271.8</v>
      </c>
      <c r="F990">
        <v>3323.2</v>
      </c>
      <c r="G990">
        <v>7969.4</v>
      </c>
      <c r="H990">
        <v>1</v>
      </c>
      <c r="I990">
        <v>20.88</v>
      </c>
      <c r="J990">
        <v>1938</v>
      </c>
      <c r="K990">
        <v>671</v>
      </c>
      <c r="L990">
        <v>151</v>
      </c>
      <c r="M990">
        <v>323</v>
      </c>
      <c r="N990">
        <v>0</v>
      </c>
      <c r="O990">
        <v>405</v>
      </c>
      <c r="P990">
        <v>1033.6500000000001</v>
      </c>
      <c r="Q990">
        <v>-100</v>
      </c>
    </row>
    <row r="991" spans="1:17" x14ac:dyDescent="0.45">
      <c r="A991">
        <v>2338</v>
      </c>
      <c r="B991" t="s">
        <v>1045</v>
      </c>
      <c r="C991">
        <v>1324</v>
      </c>
      <c r="D991">
        <v>3</v>
      </c>
      <c r="E991">
        <v>1270.4000000000001</v>
      </c>
      <c r="F991">
        <v>56.9</v>
      </c>
      <c r="G991">
        <v>3529.5</v>
      </c>
      <c r="H991">
        <v>3</v>
      </c>
      <c r="I991">
        <v>36.93</v>
      </c>
      <c r="J991">
        <v>578</v>
      </c>
      <c r="K991">
        <v>175</v>
      </c>
      <c r="L991">
        <v>32</v>
      </c>
      <c r="M991">
        <v>80</v>
      </c>
      <c r="N991">
        <v>0</v>
      </c>
      <c r="O991">
        <v>11914</v>
      </c>
      <c r="P991">
        <v>0</v>
      </c>
      <c r="Q991">
        <v>-361</v>
      </c>
    </row>
    <row r="992" spans="1:17" x14ac:dyDescent="0.45">
      <c r="A992">
        <v>3575</v>
      </c>
      <c r="B992" t="s">
        <v>1046</v>
      </c>
      <c r="C992">
        <v>2001</v>
      </c>
      <c r="D992">
        <v>3</v>
      </c>
      <c r="E992">
        <v>7502.8</v>
      </c>
      <c r="F992">
        <v>0</v>
      </c>
      <c r="G992">
        <v>1921.5</v>
      </c>
      <c r="H992">
        <v>2</v>
      </c>
      <c r="I992">
        <v>21.73</v>
      </c>
      <c r="J992">
        <v>647</v>
      </c>
      <c r="K992">
        <v>397</v>
      </c>
      <c r="L992">
        <v>52</v>
      </c>
      <c r="M992">
        <v>110</v>
      </c>
      <c r="N992">
        <v>0</v>
      </c>
      <c r="O992">
        <v>886</v>
      </c>
      <c r="P992">
        <v>0</v>
      </c>
      <c r="Q992">
        <v>-1887</v>
      </c>
    </row>
    <row r="993" spans="1:17" x14ac:dyDescent="0.45">
      <c r="A993">
        <v>1344</v>
      </c>
      <c r="B993" t="s">
        <v>1049</v>
      </c>
      <c r="C993">
        <v>9394</v>
      </c>
      <c r="D993">
        <v>3</v>
      </c>
      <c r="E993">
        <v>7385.4</v>
      </c>
      <c r="F993">
        <v>4176</v>
      </c>
      <c r="G993">
        <v>2424.8000000000002</v>
      </c>
      <c r="H993">
        <v>1</v>
      </c>
      <c r="I993">
        <v>35.31</v>
      </c>
      <c r="J993">
        <v>3233</v>
      </c>
      <c r="K993">
        <v>1397</v>
      </c>
      <c r="L993">
        <v>280</v>
      </c>
      <c r="M993">
        <v>665</v>
      </c>
      <c r="N993">
        <v>0</v>
      </c>
      <c r="O993">
        <v>261</v>
      </c>
      <c r="P993">
        <v>1661.25</v>
      </c>
      <c r="Q993">
        <v>-40</v>
      </c>
    </row>
    <row r="994" spans="1:17" x14ac:dyDescent="0.45">
      <c r="A994">
        <v>6627</v>
      </c>
      <c r="B994" t="s">
        <v>1050</v>
      </c>
      <c r="C994">
        <v>703</v>
      </c>
      <c r="D994">
        <v>3</v>
      </c>
      <c r="E994">
        <v>651.70000000000005</v>
      </c>
      <c r="F994">
        <v>92.2</v>
      </c>
      <c r="G994">
        <v>312.39999999999998</v>
      </c>
      <c r="H994">
        <v>3</v>
      </c>
      <c r="I994">
        <v>27.36</v>
      </c>
      <c r="J994">
        <v>276</v>
      </c>
      <c r="K994">
        <v>55</v>
      </c>
      <c r="L994">
        <v>18</v>
      </c>
      <c r="M994">
        <v>39</v>
      </c>
      <c r="N994">
        <v>0</v>
      </c>
      <c r="O994">
        <v>317</v>
      </c>
      <c r="P994">
        <v>33.229999999999997</v>
      </c>
      <c r="Q994">
        <v>-60</v>
      </c>
    </row>
    <row r="995" spans="1:17" x14ac:dyDescent="0.45">
      <c r="A995">
        <v>6750</v>
      </c>
      <c r="B995" t="s">
        <v>1051</v>
      </c>
      <c r="C995">
        <v>705</v>
      </c>
      <c r="D995">
        <v>3</v>
      </c>
      <c r="E995">
        <v>1199.9000000000001</v>
      </c>
      <c r="F995">
        <v>1.7</v>
      </c>
      <c r="G995">
        <v>880.6</v>
      </c>
      <c r="H995">
        <v>3</v>
      </c>
      <c r="I995">
        <v>27.66</v>
      </c>
      <c r="J995">
        <v>340</v>
      </c>
      <c r="K995">
        <v>107</v>
      </c>
      <c r="L995">
        <v>16</v>
      </c>
      <c r="M995">
        <v>33</v>
      </c>
      <c r="N995">
        <v>0</v>
      </c>
      <c r="O995">
        <v>4027</v>
      </c>
      <c r="P995">
        <v>42.09</v>
      </c>
      <c r="Q995">
        <v>-723</v>
      </c>
    </row>
    <row r="996" spans="1:17" x14ac:dyDescent="0.45">
      <c r="A996">
        <v>6286</v>
      </c>
      <c r="B996" t="s">
        <v>1052</v>
      </c>
      <c r="C996">
        <v>706</v>
      </c>
      <c r="D996">
        <v>3</v>
      </c>
      <c r="E996">
        <v>806.5</v>
      </c>
      <c r="F996">
        <v>8.6</v>
      </c>
      <c r="G996">
        <v>510.5</v>
      </c>
      <c r="H996">
        <v>1</v>
      </c>
      <c r="I996">
        <v>24.74</v>
      </c>
      <c r="J996">
        <v>245</v>
      </c>
      <c r="K996">
        <v>136</v>
      </c>
      <c r="L996">
        <v>12</v>
      </c>
      <c r="M996">
        <v>31</v>
      </c>
      <c r="N996">
        <v>127749</v>
      </c>
      <c r="O996">
        <v>283</v>
      </c>
      <c r="P996">
        <v>0</v>
      </c>
      <c r="Q996">
        <v>-20</v>
      </c>
    </row>
    <row r="997" spans="1:17" x14ac:dyDescent="0.45">
      <c r="A997">
        <v>5189</v>
      </c>
      <c r="B997" t="s">
        <v>1053</v>
      </c>
      <c r="C997">
        <v>1736</v>
      </c>
      <c r="D997">
        <v>3</v>
      </c>
      <c r="E997">
        <v>2004.2</v>
      </c>
      <c r="F997">
        <v>721.2</v>
      </c>
      <c r="G997">
        <v>2201.4</v>
      </c>
      <c r="H997">
        <v>1</v>
      </c>
      <c r="I997">
        <v>18.600000000000001</v>
      </c>
      <c r="J997">
        <v>849</v>
      </c>
      <c r="K997">
        <v>284</v>
      </c>
      <c r="L997">
        <v>42</v>
      </c>
      <c r="M997">
        <v>149</v>
      </c>
      <c r="N997">
        <v>0</v>
      </c>
      <c r="O997">
        <v>43</v>
      </c>
      <c r="P997">
        <v>0</v>
      </c>
      <c r="Q997">
        <v>-161</v>
      </c>
    </row>
    <row r="998" spans="1:17" x14ac:dyDescent="0.45">
      <c r="A998">
        <v>2887</v>
      </c>
      <c r="B998" t="s">
        <v>1054</v>
      </c>
      <c r="C998">
        <v>546</v>
      </c>
      <c r="D998">
        <v>1</v>
      </c>
      <c r="E998">
        <v>423.3</v>
      </c>
      <c r="F998">
        <v>0</v>
      </c>
      <c r="G998">
        <v>490.4</v>
      </c>
      <c r="H998">
        <v>2</v>
      </c>
      <c r="I998">
        <v>20.72</v>
      </c>
      <c r="J998">
        <v>240</v>
      </c>
      <c r="K998">
        <v>89</v>
      </c>
      <c r="L998">
        <v>16</v>
      </c>
      <c r="M998">
        <v>26</v>
      </c>
      <c r="N998">
        <v>0</v>
      </c>
      <c r="O998">
        <v>676</v>
      </c>
      <c r="P998">
        <v>28.04</v>
      </c>
      <c r="Q998">
        <v>-301</v>
      </c>
    </row>
    <row r="999" spans="1:17" x14ac:dyDescent="0.45">
      <c r="A999">
        <v>6628</v>
      </c>
      <c r="B999" t="s">
        <v>1055</v>
      </c>
      <c r="C999">
        <v>34656</v>
      </c>
      <c r="D999">
        <v>3</v>
      </c>
      <c r="E999">
        <v>13427.8</v>
      </c>
      <c r="F999">
        <v>13396.8</v>
      </c>
      <c r="G999">
        <v>7908.6</v>
      </c>
      <c r="H999">
        <v>1</v>
      </c>
      <c r="I999">
        <v>10.3</v>
      </c>
      <c r="J999">
        <v>9933</v>
      </c>
      <c r="K999">
        <v>3038</v>
      </c>
      <c r="L999">
        <v>380</v>
      </c>
      <c r="M999">
        <v>1807</v>
      </c>
      <c r="N999">
        <v>0</v>
      </c>
      <c r="O999">
        <v>0</v>
      </c>
      <c r="P999">
        <v>0</v>
      </c>
      <c r="Q999">
        <v>-60</v>
      </c>
    </row>
    <row r="1000" spans="1:17" x14ac:dyDescent="0.45">
      <c r="A1000">
        <v>613</v>
      </c>
      <c r="B1000" t="s">
        <v>1056</v>
      </c>
      <c r="C1000">
        <v>613</v>
      </c>
      <c r="D1000">
        <v>3</v>
      </c>
      <c r="E1000">
        <v>436.2</v>
      </c>
      <c r="F1000">
        <v>0</v>
      </c>
      <c r="G1000">
        <v>605.9</v>
      </c>
      <c r="H1000">
        <v>3</v>
      </c>
      <c r="I1000">
        <v>26.41</v>
      </c>
      <c r="J1000">
        <v>258</v>
      </c>
      <c r="K1000">
        <v>146</v>
      </c>
      <c r="L1000">
        <v>7</v>
      </c>
      <c r="M1000">
        <v>17</v>
      </c>
      <c r="N1000">
        <v>0</v>
      </c>
      <c r="O1000">
        <v>5155</v>
      </c>
      <c r="P1000">
        <v>0</v>
      </c>
      <c r="Q1000">
        <v>-642</v>
      </c>
    </row>
    <row r="1001" spans="1:17" x14ac:dyDescent="0.45">
      <c r="A1001">
        <v>3955</v>
      </c>
      <c r="B1001" t="s">
        <v>1057</v>
      </c>
      <c r="C1001">
        <v>9153</v>
      </c>
      <c r="D1001">
        <v>3</v>
      </c>
      <c r="E1001">
        <v>7896.1</v>
      </c>
      <c r="F1001">
        <v>3850.1</v>
      </c>
      <c r="G1001">
        <v>15557.8</v>
      </c>
      <c r="H1001">
        <v>1</v>
      </c>
      <c r="I1001">
        <v>21.87</v>
      </c>
      <c r="J1001">
        <v>2644</v>
      </c>
      <c r="K1001">
        <v>1748</v>
      </c>
      <c r="L1001">
        <v>213</v>
      </c>
      <c r="M1001">
        <v>389</v>
      </c>
      <c r="N1001">
        <v>0</v>
      </c>
      <c r="O1001">
        <v>3575</v>
      </c>
      <c r="P1001">
        <v>1550.5</v>
      </c>
      <c r="Q1001">
        <v>-1586</v>
      </c>
    </row>
    <row r="1002" spans="1:17" x14ac:dyDescent="0.45">
      <c r="A1002">
        <v>2888</v>
      </c>
      <c r="B1002" t="s">
        <v>1058</v>
      </c>
      <c r="C1002">
        <v>965</v>
      </c>
      <c r="D1002">
        <v>1</v>
      </c>
      <c r="E1002">
        <v>1888.1</v>
      </c>
      <c r="F1002">
        <v>9.9</v>
      </c>
      <c r="G1002">
        <v>577.6</v>
      </c>
      <c r="H1002">
        <v>3</v>
      </c>
      <c r="I1002">
        <v>22.09</v>
      </c>
      <c r="J1002">
        <v>415</v>
      </c>
      <c r="K1002">
        <v>174</v>
      </c>
      <c r="L1002">
        <v>23</v>
      </c>
      <c r="M1002">
        <v>40</v>
      </c>
      <c r="N1002">
        <v>0</v>
      </c>
      <c r="O1002">
        <v>4105</v>
      </c>
      <c r="P1002">
        <v>0</v>
      </c>
      <c r="Q1002">
        <v>-1305</v>
      </c>
    </row>
    <row r="1003" spans="1:17" x14ac:dyDescent="0.45">
      <c r="A1003">
        <v>2550</v>
      </c>
      <c r="B1003" t="s">
        <v>1059</v>
      </c>
      <c r="C1003">
        <v>3844</v>
      </c>
      <c r="D1003">
        <v>2</v>
      </c>
      <c r="E1003">
        <v>2170.6</v>
      </c>
      <c r="F1003">
        <v>3502.9</v>
      </c>
      <c r="G1003">
        <v>2740.5</v>
      </c>
      <c r="H1003">
        <v>1</v>
      </c>
      <c r="I1003">
        <v>19.07</v>
      </c>
      <c r="J1003">
        <v>1331</v>
      </c>
      <c r="K1003">
        <v>463</v>
      </c>
      <c r="L1003">
        <v>60</v>
      </c>
      <c r="M1003">
        <v>180</v>
      </c>
      <c r="N1003">
        <v>0</v>
      </c>
      <c r="O1003">
        <v>28</v>
      </c>
      <c r="P1003">
        <v>0</v>
      </c>
      <c r="Q1003">
        <v>-40</v>
      </c>
    </row>
    <row r="1004" spans="1:17" x14ac:dyDescent="0.45">
      <c r="A1004">
        <v>329</v>
      </c>
      <c r="B1004" t="s">
        <v>1060</v>
      </c>
      <c r="C1004">
        <v>15838</v>
      </c>
      <c r="D1004">
        <v>1</v>
      </c>
      <c r="E1004">
        <v>5927.5</v>
      </c>
      <c r="F1004">
        <v>18625.8</v>
      </c>
      <c r="G1004">
        <v>16015.8</v>
      </c>
      <c r="H1004">
        <v>1</v>
      </c>
      <c r="I1004">
        <v>16.760000000000002</v>
      </c>
      <c r="J1004">
        <v>5854</v>
      </c>
      <c r="K1004">
        <v>2301</v>
      </c>
      <c r="L1004">
        <v>554</v>
      </c>
      <c r="M1004">
        <v>1129</v>
      </c>
      <c r="N1004">
        <v>0</v>
      </c>
      <c r="O1004">
        <v>4166</v>
      </c>
      <c r="P1004">
        <v>0</v>
      </c>
      <c r="Q1004">
        <v>-1525</v>
      </c>
    </row>
    <row r="1005" spans="1:17" x14ac:dyDescent="0.45">
      <c r="A1005">
        <v>136</v>
      </c>
      <c r="B1005" t="s">
        <v>1061</v>
      </c>
      <c r="C1005">
        <v>8056</v>
      </c>
      <c r="D1005">
        <v>3</v>
      </c>
      <c r="E1005">
        <v>5884.3</v>
      </c>
      <c r="F1005">
        <v>4332.8</v>
      </c>
      <c r="G1005">
        <v>2314.9</v>
      </c>
      <c r="H1005">
        <v>1</v>
      </c>
      <c r="I1005">
        <v>15.69</v>
      </c>
      <c r="J1005">
        <v>2370</v>
      </c>
      <c r="K1005">
        <v>915</v>
      </c>
      <c r="L1005">
        <v>211</v>
      </c>
      <c r="M1005">
        <v>450</v>
      </c>
      <c r="N1005">
        <v>0</v>
      </c>
      <c r="O1005">
        <v>1353</v>
      </c>
      <c r="P1005">
        <v>0</v>
      </c>
      <c r="Q1005">
        <v>-843</v>
      </c>
    </row>
    <row r="1006" spans="1:17" x14ac:dyDescent="0.45">
      <c r="A1006">
        <v>902</v>
      </c>
      <c r="B1006" t="s">
        <v>1062</v>
      </c>
      <c r="C1006">
        <v>9337</v>
      </c>
      <c r="D1006">
        <v>3</v>
      </c>
      <c r="E1006">
        <v>8635.9</v>
      </c>
      <c r="F1006">
        <v>82</v>
      </c>
      <c r="G1006">
        <v>5809.2</v>
      </c>
      <c r="H1006">
        <v>2</v>
      </c>
      <c r="I1006">
        <v>24.84</v>
      </c>
      <c r="J1006">
        <v>3059</v>
      </c>
      <c r="K1006">
        <v>1406</v>
      </c>
      <c r="L1006">
        <v>138</v>
      </c>
      <c r="M1006">
        <v>469</v>
      </c>
      <c r="N1006">
        <v>0</v>
      </c>
      <c r="O1006">
        <v>16460</v>
      </c>
      <c r="P1006">
        <v>1218.25</v>
      </c>
      <c r="Q1006">
        <v>-3753</v>
      </c>
    </row>
    <row r="1007" spans="1:17" x14ac:dyDescent="0.45">
      <c r="A1007">
        <v>4681</v>
      </c>
      <c r="B1007" t="s">
        <v>1063</v>
      </c>
      <c r="C1007">
        <v>1442</v>
      </c>
      <c r="D1007">
        <v>3</v>
      </c>
      <c r="E1007">
        <v>1268.3</v>
      </c>
      <c r="F1007">
        <v>17.3</v>
      </c>
      <c r="G1007">
        <v>2907.6</v>
      </c>
      <c r="H1007">
        <v>3</v>
      </c>
      <c r="I1007">
        <v>26.04</v>
      </c>
      <c r="J1007">
        <v>631</v>
      </c>
      <c r="K1007">
        <v>262</v>
      </c>
      <c r="L1007">
        <v>33</v>
      </c>
      <c r="M1007">
        <v>57</v>
      </c>
      <c r="N1007">
        <v>0</v>
      </c>
      <c r="O1007">
        <v>7213</v>
      </c>
      <c r="P1007">
        <v>0</v>
      </c>
      <c r="Q1007">
        <v>-341</v>
      </c>
    </row>
    <row r="1008" spans="1:17" x14ac:dyDescent="0.45">
      <c r="A1008">
        <v>3513</v>
      </c>
      <c r="B1008" t="s">
        <v>1064</v>
      </c>
      <c r="C1008">
        <v>531</v>
      </c>
      <c r="D1008">
        <v>3</v>
      </c>
      <c r="E1008">
        <v>1304.7</v>
      </c>
      <c r="F1008">
        <v>0</v>
      </c>
      <c r="G1008">
        <v>256.5</v>
      </c>
      <c r="H1008">
        <v>3</v>
      </c>
      <c r="I1008">
        <v>29.04</v>
      </c>
      <c r="J1008">
        <v>144</v>
      </c>
      <c r="K1008">
        <v>127</v>
      </c>
      <c r="L1008">
        <v>11</v>
      </c>
      <c r="M1008">
        <v>29</v>
      </c>
      <c r="N1008">
        <v>0</v>
      </c>
      <c r="O1008">
        <v>1281</v>
      </c>
      <c r="P1008">
        <v>0</v>
      </c>
      <c r="Q1008">
        <v>-1485</v>
      </c>
    </row>
    <row r="1009" spans="1:17" x14ac:dyDescent="0.45">
      <c r="A1009">
        <v>842</v>
      </c>
      <c r="B1009" t="s">
        <v>1065</v>
      </c>
      <c r="C1009">
        <v>851</v>
      </c>
      <c r="D1009">
        <v>3</v>
      </c>
      <c r="E1009">
        <v>1094.2</v>
      </c>
      <c r="F1009">
        <v>28.2</v>
      </c>
      <c r="G1009">
        <v>222.7</v>
      </c>
      <c r="H1009">
        <v>3</v>
      </c>
      <c r="I1009">
        <v>26.41</v>
      </c>
      <c r="J1009">
        <v>376</v>
      </c>
      <c r="K1009">
        <v>176</v>
      </c>
      <c r="L1009">
        <v>2</v>
      </c>
      <c r="M1009">
        <v>34</v>
      </c>
      <c r="N1009">
        <v>0</v>
      </c>
      <c r="O1009">
        <v>4879</v>
      </c>
      <c r="P1009">
        <v>0</v>
      </c>
      <c r="Q1009">
        <v>-2529</v>
      </c>
    </row>
    <row r="1010" spans="1:17" x14ac:dyDescent="0.45">
      <c r="A1010">
        <v>1365</v>
      </c>
      <c r="B1010" t="s">
        <v>1066</v>
      </c>
      <c r="C1010">
        <v>1124</v>
      </c>
      <c r="D1010">
        <v>3</v>
      </c>
      <c r="E1010">
        <v>718.6</v>
      </c>
      <c r="F1010">
        <v>154.19999999999999</v>
      </c>
      <c r="G1010">
        <v>959.6</v>
      </c>
      <c r="H1010">
        <v>3</v>
      </c>
      <c r="I1010">
        <v>30.7</v>
      </c>
      <c r="J1010">
        <v>465</v>
      </c>
      <c r="K1010">
        <v>184</v>
      </c>
      <c r="L1010">
        <v>24</v>
      </c>
      <c r="M1010">
        <v>47</v>
      </c>
      <c r="N1010">
        <v>0</v>
      </c>
      <c r="O1010">
        <v>2048</v>
      </c>
      <c r="P1010">
        <v>0</v>
      </c>
      <c r="Q1010">
        <v>-642</v>
      </c>
    </row>
    <row r="1011" spans="1:17" x14ac:dyDescent="0.45">
      <c r="A1011">
        <v>2787</v>
      </c>
      <c r="B1011" t="s">
        <v>1068</v>
      </c>
      <c r="C1011">
        <v>5906</v>
      </c>
      <c r="D1011">
        <v>1</v>
      </c>
      <c r="E1011">
        <v>6881.4</v>
      </c>
      <c r="F1011">
        <v>2380.5</v>
      </c>
      <c r="G1011">
        <v>9088</v>
      </c>
      <c r="H1011">
        <v>2</v>
      </c>
      <c r="I1011">
        <v>20.72</v>
      </c>
      <c r="J1011">
        <v>1927</v>
      </c>
      <c r="K1011">
        <v>722</v>
      </c>
      <c r="L1011">
        <v>105</v>
      </c>
      <c r="M1011">
        <v>231</v>
      </c>
      <c r="N1011">
        <v>0</v>
      </c>
      <c r="O1011">
        <v>726</v>
      </c>
      <c r="P1011">
        <v>0</v>
      </c>
      <c r="Q1011">
        <v>-1204</v>
      </c>
    </row>
    <row r="1012" spans="1:17" x14ac:dyDescent="0.45">
      <c r="A1012">
        <v>34</v>
      </c>
      <c r="B1012" t="s">
        <v>1070</v>
      </c>
      <c r="C1012">
        <v>1781</v>
      </c>
      <c r="D1012">
        <v>3</v>
      </c>
      <c r="E1012">
        <v>2267</v>
      </c>
      <c r="F1012">
        <v>32.299999999999997</v>
      </c>
      <c r="G1012">
        <v>2393.8000000000002</v>
      </c>
      <c r="H1012">
        <v>2</v>
      </c>
      <c r="I1012">
        <v>24.61</v>
      </c>
      <c r="J1012">
        <v>745</v>
      </c>
      <c r="K1012">
        <v>219</v>
      </c>
      <c r="L1012">
        <v>72</v>
      </c>
      <c r="M1012">
        <v>101</v>
      </c>
      <c r="N1012">
        <v>0</v>
      </c>
      <c r="O1012">
        <v>885</v>
      </c>
      <c r="P1012">
        <v>0</v>
      </c>
      <c r="Q1012">
        <v>-542</v>
      </c>
    </row>
    <row r="1013" spans="1:17" x14ac:dyDescent="0.45">
      <c r="A1013">
        <v>4170</v>
      </c>
      <c r="B1013" t="s">
        <v>1069</v>
      </c>
      <c r="C1013">
        <v>3688</v>
      </c>
      <c r="D1013">
        <v>3</v>
      </c>
      <c r="E1013">
        <v>3424.3</v>
      </c>
      <c r="F1013">
        <v>32.299999999999997</v>
      </c>
      <c r="G1013">
        <v>6537.1</v>
      </c>
      <c r="H1013">
        <v>3</v>
      </c>
      <c r="I1013">
        <v>23.9</v>
      </c>
      <c r="J1013">
        <v>1364</v>
      </c>
      <c r="K1013">
        <v>797</v>
      </c>
      <c r="L1013">
        <v>132</v>
      </c>
      <c r="M1013">
        <v>235</v>
      </c>
      <c r="N1013">
        <v>0</v>
      </c>
      <c r="O1013">
        <v>3733</v>
      </c>
      <c r="P1013">
        <v>0</v>
      </c>
      <c r="Q1013">
        <v>-1325</v>
      </c>
    </row>
    <row r="1014" spans="1:17" x14ac:dyDescent="0.45">
      <c r="A1014">
        <v>667</v>
      </c>
      <c r="B1014" t="s">
        <v>1071</v>
      </c>
      <c r="C1014">
        <v>3282</v>
      </c>
      <c r="D1014">
        <v>2</v>
      </c>
      <c r="E1014">
        <v>4011</v>
      </c>
      <c r="F1014">
        <v>0</v>
      </c>
      <c r="G1014">
        <v>2333.8000000000002</v>
      </c>
      <c r="H1014">
        <v>2</v>
      </c>
      <c r="I1014">
        <v>24.84</v>
      </c>
      <c r="J1014">
        <v>1158</v>
      </c>
      <c r="K1014">
        <v>419</v>
      </c>
      <c r="L1014">
        <v>53</v>
      </c>
      <c r="M1014">
        <v>117</v>
      </c>
      <c r="N1014">
        <v>0</v>
      </c>
      <c r="O1014">
        <v>903</v>
      </c>
      <c r="P1014">
        <v>3876.25</v>
      </c>
      <c r="Q1014">
        <v>-261</v>
      </c>
    </row>
    <row r="1015" spans="1:17" x14ac:dyDescent="0.45">
      <c r="A1015">
        <v>2426</v>
      </c>
      <c r="B1015" t="s">
        <v>1072</v>
      </c>
      <c r="C1015">
        <v>1865</v>
      </c>
      <c r="D1015">
        <v>3</v>
      </c>
      <c r="E1015">
        <v>2101.1999999999998</v>
      </c>
      <c r="F1015">
        <v>0</v>
      </c>
      <c r="G1015">
        <v>1967.2</v>
      </c>
      <c r="H1015">
        <v>3</v>
      </c>
      <c r="I1015">
        <v>28.59</v>
      </c>
      <c r="J1015">
        <v>740</v>
      </c>
      <c r="K1015">
        <v>328</v>
      </c>
      <c r="L1015">
        <v>34</v>
      </c>
      <c r="M1015">
        <v>93</v>
      </c>
      <c r="N1015">
        <v>0</v>
      </c>
      <c r="O1015">
        <v>5098</v>
      </c>
      <c r="P1015">
        <v>0</v>
      </c>
      <c r="Q1015">
        <v>-1385</v>
      </c>
    </row>
    <row r="1016" spans="1:17" x14ac:dyDescent="0.45">
      <c r="A1016">
        <v>903</v>
      </c>
      <c r="B1016" t="s">
        <v>1073</v>
      </c>
      <c r="C1016">
        <v>2704</v>
      </c>
      <c r="D1016">
        <v>2</v>
      </c>
      <c r="E1016">
        <v>2471.6999999999998</v>
      </c>
      <c r="F1016">
        <v>0</v>
      </c>
      <c r="G1016">
        <v>4087.3</v>
      </c>
      <c r="H1016">
        <v>3</v>
      </c>
      <c r="I1016">
        <v>26.41</v>
      </c>
      <c r="J1016">
        <v>1604</v>
      </c>
      <c r="K1016">
        <v>577</v>
      </c>
      <c r="L1016">
        <v>55</v>
      </c>
      <c r="M1016">
        <v>155</v>
      </c>
      <c r="N1016">
        <v>0</v>
      </c>
      <c r="O1016">
        <v>7085</v>
      </c>
      <c r="P1016">
        <v>0</v>
      </c>
      <c r="Q1016">
        <v>-1425</v>
      </c>
    </row>
    <row r="1017" spans="1:17" x14ac:dyDescent="0.45">
      <c r="A1017">
        <v>5586</v>
      </c>
      <c r="B1017" t="s">
        <v>1074</v>
      </c>
      <c r="C1017">
        <v>141418</v>
      </c>
      <c r="D1017">
        <v>3</v>
      </c>
      <c r="E1017">
        <v>93931.6</v>
      </c>
      <c r="F1017">
        <v>103724.8</v>
      </c>
      <c r="G1017">
        <v>28769.599999999999</v>
      </c>
      <c r="H1017">
        <v>1</v>
      </c>
      <c r="I1017">
        <v>19.809999999999999</v>
      </c>
      <c r="J1017">
        <v>28853</v>
      </c>
      <c r="K1017">
        <v>9739</v>
      </c>
      <c r="L1017">
        <v>1534</v>
      </c>
      <c r="M1017">
        <v>5708</v>
      </c>
      <c r="N1017">
        <v>0</v>
      </c>
      <c r="O1017">
        <v>1182</v>
      </c>
      <c r="P1017">
        <v>116375.35</v>
      </c>
      <c r="Q1017">
        <v>-3392</v>
      </c>
    </row>
    <row r="1018" spans="1:17" x14ac:dyDescent="0.45">
      <c r="A1018">
        <v>2828</v>
      </c>
      <c r="B1018" t="s">
        <v>1075</v>
      </c>
      <c r="C1018">
        <v>5772</v>
      </c>
      <c r="D1018">
        <v>1</v>
      </c>
      <c r="E1018">
        <v>1960.8</v>
      </c>
      <c r="F1018">
        <v>5010</v>
      </c>
      <c r="G1018">
        <v>4019.5</v>
      </c>
      <c r="H1018">
        <v>1</v>
      </c>
      <c r="I1018">
        <v>14.25</v>
      </c>
      <c r="J1018">
        <v>1918</v>
      </c>
      <c r="K1018">
        <v>755</v>
      </c>
      <c r="L1018">
        <v>118</v>
      </c>
      <c r="M1018">
        <v>310</v>
      </c>
      <c r="N1018">
        <v>0</v>
      </c>
      <c r="O1018">
        <v>704</v>
      </c>
      <c r="P1018">
        <v>0</v>
      </c>
      <c r="Q1018">
        <v>-542</v>
      </c>
    </row>
    <row r="1019" spans="1:17" x14ac:dyDescent="0.45">
      <c r="A1019">
        <v>584</v>
      </c>
      <c r="B1019" t="s">
        <v>1076</v>
      </c>
      <c r="C1019">
        <v>2270</v>
      </c>
      <c r="D1019">
        <v>2</v>
      </c>
      <c r="E1019">
        <v>9820.9</v>
      </c>
      <c r="F1019">
        <v>24.4</v>
      </c>
      <c r="G1019">
        <v>1062.5999999999999</v>
      </c>
      <c r="H1019">
        <v>3</v>
      </c>
      <c r="I1019">
        <v>26.41</v>
      </c>
      <c r="J1019">
        <v>599</v>
      </c>
      <c r="K1019">
        <v>268</v>
      </c>
      <c r="L1019">
        <v>15</v>
      </c>
      <c r="M1019">
        <v>49</v>
      </c>
      <c r="N1019">
        <v>0</v>
      </c>
      <c r="O1019">
        <v>3749</v>
      </c>
      <c r="P1019">
        <v>1240.4000000000001</v>
      </c>
      <c r="Q1019">
        <v>-5519</v>
      </c>
    </row>
    <row r="1020" spans="1:17" x14ac:dyDescent="0.45">
      <c r="A1020">
        <v>2889</v>
      </c>
      <c r="B1020" t="s">
        <v>1077</v>
      </c>
      <c r="C1020">
        <v>317</v>
      </c>
      <c r="D1020">
        <v>1</v>
      </c>
      <c r="E1020">
        <v>366.7</v>
      </c>
      <c r="F1020">
        <v>0</v>
      </c>
      <c r="G1020">
        <v>379.5</v>
      </c>
      <c r="H1020">
        <v>3</v>
      </c>
      <c r="I1020">
        <v>22.09</v>
      </c>
      <c r="J1020">
        <v>134</v>
      </c>
      <c r="K1020">
        <v>47</v>
      </c>
      <c r="L1020">
        <v>5</v>
      </c>
      <c r="M1020">
        <v>12</v>
      </c>
      <c r="N1020">
        <v>0</v>
      </c>
      <c r="O1020">
        <v>1183</v>
      </c>
      <c r="P1020">
        <v>0</v>
      </c>
      <c r="Q1020">
        <v>-682</v>
      </c>
    </row>
    <row r="1021" spans="1:17" x14ac:dyDescent="0.45">
      <c r="A1021">
        <v>5112</v>
      </c>
      <c r="B1021" t="s">
        <v>1078</v>
      </c>
      <c r="C1021">
        <v>1213</v>
      </c>
      <c r="D1021">
        <v>3</v>
      </c>
      <c r="E1021">
        <v>985.2</v>
      </c>
      <c r="F1021">
        <v>192.1</v>
      </c>
      <c r="G1021">
        <v>1774.3</v>
      </c>
      <c r="H1021">
        <v>1</v>
      </c>
      <c r="I1021">
        <v>18.600000000000001</v>
      </c>
      <c r="J1021">
        <v>592</v>
      </c>
      <c r="K1021">
        <v>237</v>
      </c>
      <c r="L1021">
        <v>34</v>
      </c>
      <c r="M1021">
        <v>126</v>
      </c>
      <c r="N1021">
        <v>0</v>
      </c>
      <c r="O1021">
        <v>12</v>
      </c>
      <c r="P1021">
        <v>0</v>
      </c>
      <c r="Q1021">
        <v>-40</v>
      </c>
    </row>
    <row r="1022" spans="1:17" x14ac:dyDescent="0.45">
      <c r="A1022">
        <v>5406</v>
      </c>
      <c r="B1022" t="s">
        <v>1079</v>
      </c>
      <c r="C1022">
        <v>978</v>
      </c>
      <c r="D1022">
        <v>3</v>
      </c>
      <c r="E1022">
        <v>1137.0999999999999</v>
      </c>
      <c r="F1022">
        <v>898.8</v>
      </c>
      <c r="G1022">
        <v>454.1</v>
      </c>
      <c r="H1022">
        <v>2</v>
      </c>
      <c r="I1022">
        <v>26.72</v>
      </c>
      <c r="J1022">
        <v>316</v>
      </c>
      <c r="K1022">
        <v>135</v>
      </c>
      <c r="L1022">
        <v>19</v>
      </c>
      <c r="M1022">
        <v>48</v>
      </c>
      <c r="N1022">
        <v>0</v>
      </c>
      <c r="O1022">
        <v>833</v>
      </c>
      <c r="P1022">
        <v>474.01</v>
      </c>
      <c r="Q1022">
        <v>-1726</v>
      </c>
    </row>
    <row r="1023" spans="1:17" x14ac:dyDescent="0.45">
      <c r="A1023">
        <v>5637</v>
      </c>
      <c r="B1023" t="s">
        <v>1080</v>
      </c>
      <c r="C1023">
        <v>1034</v>
      </c>
      <c r="D1023">
        <v>3</v>
      </c>
      <c r="E1023">
        <v>523.1</v>
      </c>
      <c r="F1023">
        <v>1192.8</v>
      </c>
      <c r="G1023">
        <v>1730.6</v>
      </c>
      <c r="H1023">
        <v>2</v>
      </c>
      <c r="I1023">
        <v>26.72</v>
      </c>
      <c r="J1023">
        <v>394</v>
      </c>
      <c r="K1023">
        <v>166</v>
      </c>
      <c r="L1023">
        <v>51</v>
      </c>
      <c r="M1023">
        <v>65</v>
      </c>
      <c r="N1023">
        <v>0</v>
      </c>
      <c r="O1023">
        <v>494</v>
      </c>
      <c r="P1023">
        <v>0</v>
      </c>
      <c r="Q1023">
        <v>-40</v>
      </c>
    </row>
    <row r="1024" spans="1:17" x14ac:dyDescent="0.45">
      <c r="A1024">
        <v>5323</v>
      </c>
      <c r="B1024" t="s">
        <v>1081</v>
      </c>
      <c r="C1024">
        <v>489</v>
      </c>
      <c r="D1024">
        <v>3</v>
      </c>
      <c r="E1024">
        <v>198.2</v>
      </c>
      <c r="F1024">
        <v>18.600000000000001</v>
      </c>
      <c r="G1024">
        <v>282.39999999999998</v>
      </c>
      <c r="H1024">
        <v>3</v>
      </c>
      <c r="I1024">
        <v>25.45</v>
      </c>
      <c r="J1024">
        <v>190</v>
      </c>
      <c r="K1024">
        <v>106</v>
      </c>
      <c r="L1024">
        <v>9</v>
      </c>
      <c r="M1024">
        <v>26</v>
      </c>
      <c r="N1024">
        <v>0</v>
      </c>
      <c r="O1024">
        <v>1304</v>
      </c>
      <c r="P1024">
        <v>0</v>
      </c>
      <c r="Q1024">
        <v>-12624</v>
      </c>
    </row>
    <row r="1025" spans="1:17" x14ac:dyDescent="0.45">
      <c r="A1025">
        <v>6061</v>
      </c>
      <c r="B1025" t="s">
        <v>1082</v>
      </c>
      <c r="C1025">
        <v>333</v>
      </c>
      <c r="D1025">
        <v>3</v>
      </c>
      <c r="E1025">
        <v>725.1</v>
      </c>
      <c r="F1025">
        <v>7.6</v>
      </c>
      <c r="G1025">
        <v>415.6</v>
      </c>
      <c r="H1025">
        <v>3</v>
      </c>
      <c r="I1025">
        <v>30.8</v>
      </c>
      <c r="J1025">
        <v>78</v>
      </c>
      <c r="K1025">
        <v>67</v>
      </c>
      <c r="L1025">
        <v>8</v>
      </c>
      <c r="M1025">
        <v>11</v>
      </c>
      <c r="N1025">
        <v>0</v>
      </c>
      <c r="O1025">
        <v>663</v>
      </c>
      <c r="P1025">
        <v>0</v>
      </c>
      <c r="Q1025">
        <v>-462</v>
      </c>
    </row>
    <row r="1026" spans="1:17" x14ac:dyDescent="0.45">
      <c r="A1026">
        <v>6741</v>
      </c>
      <c r="B1026" t="s">
        <v>1083</v>
      </c>
      <c r="C1026">
        <v>308</v>
      </c>
      <c r="D1026">
        <v>3</v>
      </c>
      <c r="E1026">
        <v>826.9</v>
      </c>
      <c r="F1026">
        <v>0</v>
      </c>
      <c r="G1026">
        <v>410.7</v>
      </c>
      <c r="H1026">
        <v>3</v>
      </c>
      <c r="I1026">
        <v>27.66</v>
      </c>
      <c r="J1026">
        <v>140</v>
      </c>
      <c r="K1026">
        <v>53</v>
      </c>
      <c r="L1026">
        <v>2</v>
      </c>
      <c r="M1026">
        <v>11</v>
      </c>
      <c r="N1026">
        <v>0</v>
      </c>
      <c r="O1026">
        <v>4899</v>
      </c>
      <c r="P1026">
        <v>0</v>
      </c>
      <c r="Q1026">
        <v>-522</v>
      </c>
    </row>
    <row r="1027" spans="1:17" x14ac:dyDescent="0.45">
      <c r="A1027">
        <v>6434</v>
      </c>
      <c r="B1027" t="s">
        <v>1084</v>
      </c>
      <c r="C1027">
        <v>325</v>
      </c>
      <c r="D1027">
        <v>3</v>
      </c>
      <c r="E1027">
        <v>544.6</v>
      </c>
      <c r="F1027">
        <v>1.5</v>
      </c>
      <c r="G1027">
        <v>1420.3</v>
      </c>
      <c r="H1027">
        <v>3</v>
      </c>
      <c r="I1027">
        <v>36.21</v>
      </c>
      <c r="J1027">
        <v>126</v>
      </c>
      <c r="K1027">
        <v>62</v>
      </c>
      <c r="L1027">
        <v>2</v>
      </c>
      <c r="M1027">
        <v>16</v>
      </c>
      <c r="N1027">
        <v>0</v>
      </c>
      <c r="O1027">
        <v>4916</v>
      </c>
      <c r="P1027">
        <v>0</v>
      </c>
      <c r="Q1027">
        <v>-1144</v>
      </c>
    </row>
    <row r="1028" spans="1:17" x14ac:dyDescent="0.45">
      <c r="A1028">
        <v>5872</v>
      </c>
      <c r="B1028" t="s">
        <v>1086</v>
      </c>
      <c r="C1028">
        <v>4603</v>
      </c>
      <c r="D1028">
        <v>3</v>
      </c>
      <c r="E1028">
        <v>9511.7000000000007</v>
      </c>
      <c r="F1028">
        <v>264.89999999999998</v>
      </c>
      <c r="G1028">
        <v>4726.3</v>
      </c>
      <c r="H1028">
        <v>2</v>
      </c>
      <c r="I1028">
        <v>26.72</v>
      </c>
      <c r="J1028">
        <v>1771</v>
      </c>
      <c r="K1028">
        <v>661</v>
      </c>
      <c r="L1028">
        <v>99</v>
      </c>
      <c r="M1028">
        <v>260</v>
      </c>
      <c r="N1028">
        <v>0</v>
      </c>
      <c r="O1028">
        <v>5823</v>
      </c>
      <c r="P1028">
        <v>553.75</v>
      </c>
      <c r="Q1028">
        <v>-12704</v>
      </c>
    </row>
    <row r="1029" spans="1:17" x14ac:dyDescent="0.45">
      <c r="A1029">
        <v>2067</v>
      </c>
      <c r="B1029" t="s">
        <v>1085</v>
      </c>
      <c r="C1029">
        <v>354</v>
      </c>
      <c r="D1029">
        <v>3</v>
      </c>
      <c r="E1029">
        <v>618.5</v>
      </c>
      <c r="F1029">
        <v>0</v>
      </c>
      <c r="G1029">
        <v>1335.9</v>
      </c>
      <c r="H1029">
        <v>3</v>
      </c>
      <c r="I1029">
        <v>36.93</v>
      </c>
      <c r="J1029">
        <v>150</v>
      </c>
      <c r="K1029">
        <v>65</v>
      </c>
      <c r="L1029">
        <v>11</v>
      </c>
      <c r="M1029">
        <v>13</v>
      </c>
      <c r="N1029">
        <v>0</v>
      </c>
      <c r="O1029">
        <v>5777</v>
      </c>
      <c r="P1029">
        <v>0</v>
      </c>
      <c r="Q1029">
        <v>-401</v>
      </c>
    </row>
    <row r="1030" spans="1:17" x14ac:dyDescent="0.45">
      <c r="A1030">
        <v>2337</v>
      </c>
      <c r="B1030" t="s">
        <v>1087</v>
      </c>
      <c r="C1030">
        <v>1193</v>
      </c>
      <c r="D1030">
        <v>3</v>
      </c>
      <c r="E1030">
        <v>1432.6</v>
      </c>
      <c r="F1030">
        <v>3.4</v>
      </c>
      <c r="G1030">
        <v>1504</v>
      </c>
      <c r="H1030">
        <v>3</v>
      </c>
      <c r="I1030">
        <v>36.93</v>
      </c>
      <c r="J1030">
        <v>524</v>
      </c>
      <c r="K1030">
        <v>151</v>
      </c>
      <c r="L1030">
        <v>20</v>
      </c>
      <c r="M1030">
        <v>93</v>
      </c>
      <c r="N1030">
        <v>0</v>
      </c>
      <c r="O1030">
        <v>4322</v>
      </c>
      <c r="P1030">
        <v>0</v>
      </c>
      <c r="Q1030">
        <v>-381</v>
      </c>
    </row>
    <row r="1031" spans="1:17" x14ac:dyDescent="0.45">
      <c r="A1031">
        <v>6623</v>
      </c>
      <c r="B1031" t="s">
        <v>1088</v>
      </c>
      <c r="C1031">
        <v>12607</v>
      </c>
      <c r="D1031">
        <v>3</v>
      </c>
      <c r="E1031">
        <v>3487.6</v>
      </c>
      <c r="F1031">
        <v>7081</v>
      </c>
      <c r="G1031">
        <v>8304.1</v>
      </c>
      <c r="H1031">
        <v>1</v>
      </c>
      <c r="I1031">
        <v>10.3</v>
      </c>
      <c r="J1031">
        <v>3186</v>
      </c>
      <c r="K1031">
        <v>935</v>
      </c>
      <c r="L1031">
        <v>152</v>
      </c>
      <c r="M1031">
        <v>720</v>
      </c>
      <c r="N1031">
        <v>0</v>
      </c>
      <c r="O1031">
        <v>0</v>
      </c>
      <c r="P1031">
        <v>0</v>
      </c>
      <c r="Q1031">
        <v>-20</v>
      </c>
    </row>
    <row r="1032" spans="1:17" x14ac:dyDescent="0.45">
      <c r="A1032">
        <v>6455</v>
      </c>
      <c r="B1032" t="s">
        <v>1089</v>
      </c>
      <c r="C1032">
        <v>4680</v>
      </c>
      <c r="D1032">
        <v>2</v>
      </c>
      <c r="E1032">
        <v>7080.7</v>
      </c>
      <c r="F1032">
        <v>126.2</v>
      </c>
      <c r="G1032">
        <v>4033.8</v>
      </c>
      <c r="H1032">
        <v>2</v>
      </c>
      <c r="I1032">
        <v>30.44</v>
      </c>
      <c r="J1032">
        <v>1968</v>
      </c>
      <c r="K1032">
        <v>560</v>
      </c>
      <c r="L1032">
        <v>64</v>
      </c>
      <c r="M1032">
        <v>234</v>
      </c>
      <c r="N1032">
        <v>0</v>
      </c>
      <c r="O1032">
        <v>2685</v>
      </c>
      <c r="P1032">
        <v>775.25</v>
      </c>
      <c r="Q1032">
        <v>-883</v>
      </c>
    </row>
    <row r="1033" spans="1:17" x14ac:dyDescent="0.45">
      <c r="A1033">
        <v>5873</v>
      </c>
      <c r="B1033" t="s">
        <v>1090</v>
      </c>
      <c r="C1033">
        <v>886</v>
      </c>
      <c r="D1033">
        <v>3</v>
      </c>
      <c r="E1033">
        <v>1880.2</v>
      </c>
      <c r="F1033">
        <v>32.1</v>
      </c>
      <c r="G1033">
        <v>1296.0999999999999</v>
      </c>
      <c r="H1033">
        <v>3</v>
      </c>
      <c r="I1033">
        <v>35.86</v>
      </c>
      <c r="J1033">
        <v>376</v>
      </c>
      <c r="K1033">
        <v>118</v>
      </c>
      <c r="L1033">
        <v>13</v>
      </c>
      <c r="M1033">
        <v>52</v>
      </c>
      <c r="N1033">
        <v>0</v>
      </c>
      <c r="O1033">
        <v>2404</v>
      </c>
      <c r="P1033">
        <v>47.27</v>
      </c>
      <c r="Q1033">
        <v>-3653</v>
      </c>
    </row>
    <row r="1034" spans="1:17" x14ac:dyDescent="0.45">
      <c r="A1034">
        <v>6436</v>
      </c>
      <c r="B1034" t="s">
        <v>1091</v>
      </c>
      <c r="C1034">
        <v>10746</v>
      </c>
      <c r="D1034">
        <v>2</v>
      </c>
      <c r="E1034">
        <v>12833</v>
      </c>
      <c r="F1034">
        <v>10779.3</v>
      </c>
      <c r="G1034">
        <v>8511.9</v>
      </c>
      <c r="H1034">
        <v>1</v>
      </c>
      <c r="I1034">
        <v>20.88</v>
      </c>
      <c r="J1034">
        <v>3937</v>
      </c>
      <c r="K1034">
        <v>1372</v>
      </c>
      <c r="L1034">
        <v>105</v>
      </c>
      <c r="M1034">
        <v>500</v>
      </c>
      <c r="N1034">
        <v>0</v>
      </c>
      <c r="O1034">
        <v>7592</v>
      </c>
      <c r="P1034">
        <v>1218.25</v>
      </c>
      <c r="Q1034">
        <v>-2208</v>
      </c>
    </row>
    <row r="1035" spans="1:17" x14ac:dyDescent="0.45">
      <c r="A1035">
        <v>5587</v>
      </c>
      <c r="B1035" t="s">
        <v>1092</v>
      </c>
      <c r="C1035">
        <v>9291</v>
      </c>
      <c r="D1035">
        <v>3</v>
      </c>
      <c r="E1035">
        <v>5246.1</v>
      </c>
      <c r="F1035">
        <v>5717.5</v>
      </c>
      <c r="G1035">
        <v>9584.1</v>
      </c>
      <c r="H1035">
        <v>1</v>
      </c>
      <c r="I1035">
        <v>19.809999999999999</v>
      </c>
      <c r="J1035">
        <v>3133</v>
      </c>
      <c r="K1035">
        <v>1160</v>
      </c>
      <c r="L1035">
        <v>428</v>
      </c>
      <c r="M1035">
        <v>889</v>
      </c>
      <c r="N1035">
        <v>1299</v>
      </c>
      <c r="O1035">
        <v>1171</v>
      </c>
      <c r="P1035">
        <v>0</v>
      </c>
      <c r="Q1035">
        <v>-341</v>
      </c>
    </row>
    <row r="1036" spans="1:17" x14ac:dyDescent="0.45">
      <c r="A1036">
        <v>2220</v>
      </c>
      <c r="B1036" t="s">
        <v>1093</v>
      </c>
      <c r="C1036">
        <v>3250</v>
      </c>
      <c r="D1036">
        <v>3</v>
      </c>
      <c r="E1036">
        <v>2953.6</v>
      </c>
      <c r="F1036">
        <v>44.1</v>
      </c>
      <c r="G1036">
        <v>4039.3</v>
      </c>
      <c r="H1036">
        <v>2</v>
      </c>
      <c r="I1036">
        <v>28.63</v>
      </c>
      <c r="J1036">
        <v>1431</v>
      </c>
      <c r="K1036">
        <v>394</v>
      </c>
      <c r="L1036">
        <v>93</v>
      </c>
      <c r="M1036">
        <v>224</v>
      </c>
      <c r="N1036">
        <v>0</v>
      </c>
      <c r="O1036">
        <v>6546</v>
      </c>
      <c r="P1036">
        <v>0</v>
      </c>
      <c r="Q1036">
        <v>-1545</v>
      </c>
    </row>
    <row r="1037" spans="1:17" x14ac:dyDescent="0.45">
      <c r="A1037">
        <v>6754</v>
      </c>
      <c r="B1037" t="s">
        <v>1094</v>
      </c>
      <c r="C1037">
        <v>1902</v>
      </c>
      <c r="D1037">
        <v>3</v>
      </c>
      <c r="E1037">
        <v>3599</v>
      </c>
      <c r="F1037">
        <v>18.100000000000001</v>
      </c>
      <c r="G1037">
        <v>5696.8</v>
      </c>
      <c r="H1037">
        <v>2</v>
      </c>
      <c r="I1037">
        <v>31.97</v>
      </c>
      <c r="J1037">
        <v>796</v>
      </c>
      <c r="K1037">
        <v>273</v>
      </c>
      <c r="L1037">
        <v>29</v>
      </c>
      <c r="M1037">
        <v>108</v>
      </c>
      <c r="N1037">
        <v>0</v>
      </c>
      <c r="O1037">
        <v>3701</v>
      </c>
      <c r="P1037">
        <v>110.75</v>
      </c>
      <c r="Q1037">
        <v>-1606</v>
      </c>
    </row>
    <row r="1038" spans="1:17" x14ac:dyDescent="0.45">
      <c r="A1038">
        <v>2145</v>
      </c>
      <c r="B1038" t="s">
        <v>1095</v>
      </c>
      <c r="C1038">
        <v>1372</v>
      </c>
      <c r="D1038">
        <v>3</v>
      </c>
      <c r="E1038">
        <v>1169.3</v>
      </c>
      <c r="F1038">
        <v>28.2</v>
      </c>
      <c r="G1038">
        <v>2830.7</v>
      </c>
      <c r="H1038">
        <v>3</v>
      </c>
      <c r="I1038">
        <v>36.93</v>
      </c>
      <c r="J1038">
        <v>495</v>
      </c>
      <c r="K1038">
        <v>161</v>
      </c>
      <c r="L1038">
        <v>43</v>
      </c>
      <c r="M1038">
        <v>86</v>
      </c>
      <c r="N1038">
        <v>0</v>
      </c>
      <c r="O1038">
        <v>3689</v>
      </c>
      <c r="P1038">
        <v>0</v>
      </c>
      <c r="Q1038">
        <v>-140</v>
      </c>
    </row>
    <row r="1039" spans="1:17" x14ac:dyDescent="0.45">
      <c r="A1039">
        <v>5731</v>
      </c>
      <c r="B1039" t="s">
        <v>1096</v>
      </c>
      <c r="C1039">
        <v>1403</v>
      </c>
      <c r="D1039">
        <v>3</v>
      </c>
      <c r="E1039">
        <v>1285.2</v>
      </c>
      <c r="F1039">
        <v>31</v>
      </c>
      <c r="G1039">
        <v>1102.5</v>
      </c>
      <c r="H1039">
        <v>2</v>
      </c>
      <c r="I1039">
        <v>26.72</v>
      </c>
      <c r="J1039">
        <v>551</v>
      </c>
      <c r="K1039">
        <v>186</v>
      </c>
      <c r="L1039">
        <v>66</v>
      </c>
      <c r="M1039">
        <v>99</v>
      </c>
      <c r="N1039">
        <v>0</v>
      </c>
      <c r="O1039">
        <v>1221</v>
      </c>
      <c r="P1039">
        <v>0</v>
      </c>
      <c r="Q1039">
        <v>-161</v>
      </c>
    </row>
    <row r="1040" spans="1:17" x14ac:dyDescent="0.45">
      <c r="A1040">
        <v>4311</v>
      </c>
      <c r="B1040" t="s">
        <v>1097</v>
      </c>
      <c r="C1040">
        <v>1507</v>
      </c>
      <c r="D1040">
        <v>3</v>
      </c>
      <c r="E1040">
        <v>1142.5</v>
      </c>
      <c r="F1040">
        <v>0</v>
      </c>
      <c r="G1040">
        <v>2194.1999999999998</v>
      </c>
      <c r="H1040">
        <v>3</v>
      </c>
      <c r="I1040">
        <v>23.9</v>
      </c>
      <c r="J1040">
        <v>688</v>
      </c>
      <c r="K1040">
        <v>360</v>
      </c>
      <c r="L1040">
        <v>22</v>
      </c>
      <c r="M1040">
        <v>68</v>
      </c>
      <c r="N1040">
        <v>0</v>
      </c>
      <c r="O1040">
        <v>1341</v>
      </c>
      <c r="P1040">
        <v>194.17</v>
      </c>
      <c r="Q1040">
        <v>-442</v>
      </c>
    </row>
    <row r="1041" spans="1:17" x14ac:dyDescent="0.45">
      <c r="A1041">
        <v>4137</v>
      </c>
      <c r="B1041" t="s">
        <v>1098</v>
      </c>
      <c r="C1041">
        <v>502</v>
      </c>
      <c r="D1041">
        <v>3</v>
      </c>
      <c r="E1041">
        <v>629.6</v>
      </c>
      <c r="F1041">
        <v>0</v>
      </c>
      <c r="G1041">
        <v>530.29999999999995</v>
      </c>
      <c r="H1041">
        <v>2</v>
      </c>
      <c r="I1041">
        <v>23.46</v>
      </c>
      <c r="J1041">
        <v>220</v>
      </c>
      <c r="K1041">
        <v>89</v>
      </c>
      <c r="L1041">
        <v>10</v>
      </c>
      <c r="M1041">
        <v>22</v>
      </c>
      <c r="N1041">
        <v>0</v>
      </c>
      <c r="O1041">
        <v>743</v>
      </c>
      <c r="P1041">
        <v>0</v>
      </c>
      <c r="Q1041">
        <v>-80</v>
      </c>
    </row>
    <row r="1042" spans="1:17" x14ac:dyDescent="0.45">
      <c r="A1042">
        <v>585</v>
      </c>
      <c r="B1042" t="s">
        <v>1099</v>
      </c>
      <c r="C1042">
        <v>1193</v>
      </c>
      <c r="D1042">
        <v>3</v>
      </c>
      <c r="E1042">
        <v>1304.5</v>
      </c>
      <c r="F1042">
        <v>9.9</v>
      </c>
      <c r="G1042">
        <v>959.8</v>
      </c>
      <c r="H1042">
        <v>3</v>
      </c>
      <c r="I1042">
        <v>26.41</v>
      </c>
      <c r="J1042">
        <v>428</v>
      </c>
      <c r="K1042">
        <v>210</v>
      </c>
      <c r="L1042">
        <v>27</v>
      </c>
      <c r="M1042">
        <v>64</v>
      </c>
      <c r="N1042">
        <v>0</v>
      </c>
      <c r="O1042">
        <v>321</v>
      </c>
      <c r="P1042">
        <v>0</v>
      </c>
      <c r="Q1042">
        <v>-1104</v>
      </c>
    </row>
    <row r="1043" spans="1:17" x14ac:dyDescent="0.45">
      <c r="A1043">
        <v>4312</v>
      </c>
      <c r="B1043" t="s">
        <v>1100</v>
      </c>
      <c r="C1043">
        <v>2866</v>
      </c>
      <c r="D1043">
        <v>3</v>
      </c>
      <c r="E1043">
        <v>2839.3</v>
      </c>
      <c r="F1043">
        <v>7.6</v>
      </c>
      <c r="G1043">
        <v>3369.3</v>
      </c>
      <c r="H1043">
        <v>2</v>
      </c>
      <c r="I1043">
        <v>23.46</v>
      </c>
      <c r="J1043">
        <v>1108</v>
      </c>
      <c r="K1043">
        <v>456</v>
      </c>
      <c r="L1043">
        <v>90</v>
      </c>
      <c r="M1043">
        <v>136</v>
      </c>
      <c r="N1043">
        <v>0</v>
      </c>
      <c r="O1043">
        <v>5776</v>
      </c>
      <c r="P1043">
        <v>191.95</v>
      </c>
      <c r="Q1043">
        <v>-963</v>
      </c>
    </row>
    <row r="1044" spans="1:17" x14ac:dyDescent="0.45">
      <c r="A1044">
        <v>387</v>
      </c>
      <c r="B1044" t="s">
        <v>1101</v>
      </c>
      <c r="C1044">
        <v>5595</v>
      </c>
      <c r="D1044">
        <v>1</v>
      </c>
      <c r="E1044">
        <v>3370.6</v>
      </c>
      <c r="F1044">
        <v>3335.8</v>
      </c>
      <c r="G1044">
        <v>2920.2</v>
      </c>
      <c r="H1044">
        <v>1</v>
      </c>
      <c r="I1044">
        <v>16.760000000000002</v>
      </c>
      <c r="J1044">
        <v>2021</v>
      </c>
      <c r="K1044">
        <v>893</v>
      </c>
      <c r="L1044">
        <v>105</v>
      </c>
      <c r="M1044">
        <v>241</v>
      </c>
      <c r="N1044">
        <v>0</v>
      </c>
      <c r="O1044">
        <v>1586</v>
      </c>
      <c r="P1044">
        <v>0</v>
      </c>
      <c r="Q1044">
        <v>-542</v>
      </c>
    </row>
    <row r="1045" spans="1:17" x14ac:dyDescent="0.45">
      <c r="A1045">
        <v>4683</v>
      </c>
      <c r="B1045" t="s">
        <v>1102</v>
      </c>
      <c r="C1045">
        <v>1759</v>
      </c>
      <c r="D1045">
        <v>3</v>
      </c>
      <c r="E1045">
        <v>1570</v>
      </c>
      <c r="F1045">
        <v>456.4</v>
      </c>
      <c r="G1045">
        <v>4741.2</v>
      </c>
      <c r="H1045">
        <v>3</v>
      </c>
      <c r="I1045">
        <v>26.04</v>
      </c>
      <c r="J1045">
        <v>725</v>
      </c>
      <c r="K1045">
        <v>301</v>
      </c>
      <c r="L1045">
        <v>72</v>
      </c>
      <c r="M1045">
        <v>76</v>
      </c>
      <c r="N1045">
        <v>0</v>
      </c>
      <c r="O1045">
        <v>4839</v>
      </c>
      <c r="P1045">
        <v>0</v>
      </c>
      <c r="Q1045">
        <v>-341</v>
      </c>
    </row>
    <row r="1046" spans="1:17" x14ac:dyDescent="0.45">
      <c r="A1046">
        <v>792</v>
      </c>
      <c r="B1046" t="s">
        <v>1103</v>
      </c>
      <c r="C1046">
        <v>2276</v>
      </c>
      <c r="D1046">
        <v>3</v>
      </c>
      <c r="E1046">
        <v>6504.6</v>
      </c>
      <c r="F1046">
        <v>81.599999999999994</v>
      </c>
      <c r="G1046">
        <v>3030</v>
      </c>
      <c r="H1046">
        <v>3</v>
      </c>
      <c r="I1046">
        <v>26.41</v>
      </c>
      <c r="J1046">
        <v>767</v>
      </c>
      <c r="K1046">
        <v>466</v>
      </c>
      <c r="L1046">
        <v>21</v>
      </c>
      <c r="M1046">
        <v>65</v>
      </c>
      <c r="N1046">
        <v>0</v>
      </c>
      <c r="O1046">
        <v>10839</v>
      </c>
      <c r="P1046">
        <v>0</v>
      </c>
      <c r="Q1046">
        <v>-4977</v>
      </c>
    </row>
    <row r="1047" spans="1:17" x14ac:dyDescent="0.45">
      <c r="A1047">
        <v>6240</v>
      </c>
      <c r="B1047" t="s">
        <v>1104</v>
      </c>
      <c r="C1047">
        <v>4406</v>
      </c>
      <c r="D1047">
        <v>3</v>
      </c>
      <c r="E1047">
        <v>7940.4</v>
      </c>
      <c r="F1047">
        <v>7915.1</v>
      </c>
      <c r="G1047">
        <v>2365.8000000000002</v>
      </c>
      <c r="H1047">
        <v>3</v>
      </c>
      <c r="I1047">
        <v>30.8</v>
      </c>
      <c r="J1047">
        <v>1376</v>
      </c>
      <c r="K1047">
        <v>518</v>
      </c>
      <c r="L1047">
        <v>102</v>
      </c>
      <c r="M1047">
        <v>196</v>
      </c>
      <c r="N1047">
        <v>0</v>
      </c>
      <c r="O1047">
        <v>1116</v>
      </c>
      <c r="P1047">
        <v>0</v>
      </c>
      <c r="Q1047">
        <v>-983</v>
      </c>
    </row>
    <row r="1048" spans="1:17" x14ac:dyDescent="0.45">
      <c r="A1048">
        <v>4201</v>
      </c>
      <c r="B1048" t="s">
        <v>1105</v>
      </c>
      <c r="C1048">
        <v>11054</v>
      </c>
      <c r="D1048">
        <v>3</v>
      </c>
      <c r="E1048">
        <v>4506.2</v>
      </c>
      <c r="F1048">
        <v>8486.7000000000007</v>
      </c>
      <c r="G1048">
        <v>7932.2</v>
      </c>
      <c r="H1048">
        <v>1</v>
      </c>
      <c r="I1048">
        <v>20.87</v>
      </c>
      <c r="J1048">
        <v>3511</v>
      </c>
      <c r="K1048">
        <v>1504</v>
      </c>
      <c r="L1048">
        <v>280</v>
      </c>
      <c r="M1048">
        <v>601</v>
      </c>
      <c r="N1048">
        <v>0</v>
      </c>
      <c r="O1048">
        <v>704</v>
      </c>
      <c r="P1048">
        <v>0</v>
      </c>
      <c r="Q1048">
        <v>-1084</v>
      </c>
    </row>
    <row r="1049" spans="1:17" x14ac:dyDescent="0.45">
      <c r="A1049">
        <v>6742</v>
      </c>
      <c r="B1049" t="s">
        <v>1106</v>
      </c>
      <c r="C1049">
        <v>1258</v>
      </c>
      <c r="D1049">
        <v>3</v>
      </c>
      <c r="E1049">
        <v>2347.9</v>
      </c>
      <c r="F1049">
        <v>0</v>
      </c>
      <c r="G1049">
        <v>1534.2</v>
      </c>
      <c r="H1049">
        <v>3</v>
      </c>
      <c r="I1049">
        <v>27.66</v>
      </c>
      <c r="J1049">
        <v>536</v>
      </c>
      <c r="K1049">
        <v>162</v>
      </c>
      <c r="L1049">
        <v>19</v>
      </c>
      <c r="M1049">
        <v>58</v>
      </c>
      <c r="N1049">
        <v>0</v>
      </c>
      <c r="O1049">
        <v>7082</v>
      </c>
      <c r="P1049">
        <v>72.34</v>
      </c>
      <c r="Q1049">
        <v>-1586</v>
      </c>
    </row>
    <row r="1050" spans="1:17" x14ac:dyDescent="0.45">
      <c r="A1050">
        <v>6743</v>
      </c>
      <c r="B1050" t="s">
        <v>1107</v>
      </c>
      <c r="C1050">
        <v>1611</v>
      </c>
      <c r="D1050">
        <v>3</v>
      </c>
      <c r="E1050">
        <v>3149.6</v>
      </c>
      <c r="F1050">
        <v>19.399999999999999</v>
      </c>
      <c r="G1050">
        <v>2292.8000000000002</v>
      </c>
      <c r="H1050">
        <v>3</v>
      </c>
      <c r="I1050">
        <v>27.66</v>
      </c>
      <c r="J1050">
        <v>747</v>
      </c>
      <c r="K1050">
        <v>223</v>
      </c>
      <c r="L1050">
        <v>23</v>
      </c>
      <c r="M1050">
        <v>94</v>
      </c>
      <c r="N1050">
        <v>0</v>
      </c>
      <c r="O1050">
        <v>5193</v>
      </c>
      <c r="P1050">
        <v>127.01</v>
      </c>
      <c r="Q1050">
        <v>-702</v>
      </c>
    </row>
    <row r="1051" spans="1:17" x14ac:dyDescent="0.45">
      <c r="A1051">
        <v>5750</v>
      </c>
      <c r="B1051" t="s">
        <v>1108</v>
      </c>
      <c r="C1051">
        <v>186</v>
      </c>
      <c r="D1051">
        <v>3</v>
      </c>
      <c r="E1051">
        <v>222.5</v>
      </c>
      <c r="F1051">
        <v>251.2</v>
      </c>
      <c r="G1051">
        <v>127.9</v>
      </c>
      <c r="H1051">
        <v>3</v>
      </c>
      <c r="I1051">
        <v>35.86</v>
      </c>
      <c r="J1051">
        <v>90</v>
      </c>
      <c r="K1051">
        <v>24</v>
      </c>
      <c r="L1051">
        <v>4</v>
      </c>
      <c r="M1051">
        <v>6</v>
      </c>
      <c r="N1051">
        <v>0</v>
      </c>
      <c r="O1051">
        <v>504</v>
      </c>
      <c r="P1051">
        <v>0</v>
      </c>
      <c r="Q1051">
        <v>-943</v>
      </c>
    </row>
    <row r="1052" spans="1:17" x14ac:dyDescent="0.45">
      <c r="A1052">
        <v>6745</v>
      </c>
      <c r="B1052" t="s">
        <v>1109</v>
      </c>
      <c r="C1052">
        <v>156</v>
      </c>
      <c r="D1052">
        <v>3</v>
      </c>
      <c r="E1052">
        <v>434.1</v>
      </c>
      <c r="F1052">
        <v>28.4</v>
      </c>
      <c r="G1052">
        <v>205.7</v>
      </c>
      <c r="H1052">
        <v>3</v>
      </c>
      <c r="I1052">
        <v>27.66</v>
      </c>
      <c r="J1052">
        <v>70</v>
      </c>
      <c r="K1052">
        <v>21</v>
      </c>
      <c r="L1052">
        <v>2</v>
      </c>
      <c r="M1052">
        <v>2</v>
      </c>
      <c r="N1052">
        <v>0</v>
      </c>
      <c r="O1052">
        <v>1623</v>
      </c>
      <c r="P1052">
        <v>0</v>
      </c>
      <c r="Q1052">
        <v>-622</v>
      </c>
    </row>
    <row r="1053" spans="1:17" x14ac:dyDescent="0.45">
      <c r="A1053">
        <v>6748</v>
      </c>
      <c r="B1053" t="s">
        <v>1110</v>
      </c>
      <c r="C1053">
        <v>510</v>
      </c>
      <c r="D1053">
        <v>3</v>
      </c>
      <c r="E1053">
        <v>1208.4000000000001</v>
      </c>
      <c r="F1053">
        <v>49.2</v>
      </c>
      <c r="G1053">
        <v>672.3</v>
      </c>
      <c r="H1053">
        <v>3</v>
      </c>
      <c r="I1053">
        <v>27.66</v>
      </c>
      <c r="J1053">
        <v>287</v>
      </c>
      <c r="K1053">
        <v>85</v>
      </c>
      <c r="L1053">
        <v>11</v>
      </c>
      <c r="M1053">
        <v>25</v>
      </c>
      <c r="N1053">
        <v>0</v>
      </c>
      <c r="O1053">
        <v>2825</v>
      </c>
      <c r="P1053">
        <v>0</v>
      </c>
      <c r="Q1053">
        <v>-1004</v>
      </c>
    </row>
    <row r="1054" spans="1:17" x14ac:dyDescent="0.45">
      <c r="A1054">
        <v>2050</v>
      </c>
      <c r="B1054" t="s">
        <v>1111</v>
      </c>
      <c r="C1054">
        <v>1586</v>
      </c>
      <c r="D1054">
        <v>3</v>
      </c>
      <c r="E1054">
        <v>1298.3</v>
      </c>
      <c r="F1054">
        <v>98.7</v>
      </c>
      <c r="G1054">
        <v>3031.9</v>
      </c>
      <c r="H1054">
        <v>3</v>
      </c>
      <c r="I1054">
        <v>36.93</v>
      </c>
      <c r="J1054">
        <v>690</v>
      </c>
      <c r="K1054">
        <v>237</v>
      </c>
      <c r="L1054">
        <v>44</v>
      </c>
      <c r="M1054">
        <v>101</v>
      </c>
      <c r="N1054">
        <v>0</v>
      </c>
      <c r="O1054">
        <v>2946</v>
      </c>
      <c r="P1054">
        <v>0</v>
      </c>
      <c r="Q1054">
        <v>-582</v>
      </c>
    </row>
    <row r="1055" spans="1:17" x14ac:dyDescent="0.45">
      <c r="A1055">
        <v>6422</v>
      </c>
      <c r="B1055" t="s">
        <v>1112</v>
      </c>
      <c r="C1055">
        <v>213</v>
      </c>
      <c r="D1055">
        <v>3</v>
      </c>
      <c r="E1055">
        <v>377.2</v>
      </c>
      <c r="F1055">
        <v>6.5</v>
      </c>
      <c r="G1055">
        <v>163</v>
      </c>
      <c r="H1055">
        <v>3</v>
      </c>
      <c r="I1055">
        <v>36.21</v>
      </c>
      <c r="J1055">
        <v>90</v>
      </c>
      <c r="K1055">
        <v>26</v>
      </c>
      <c r="L1055">
        <v>0</v>
      </c>
      <c r="M1055">
        <v>5</v>
      </c>
      <c r="N1055">
        <v>0</v>
      </c>
      <c r="O1055">
        <v>2465</v>
      </c>
      <c r="P1055">
        <v>0</v>
      </c>
      <c r="Q1055">
        <v>-1204</v>
      </c>
    </row>
    <row r="1056" spans="1:17" x14ac:dyDescent="0.45">
      <c r="A1056">
        <v>6437</v>
      </c>
      <c r="B1056" t="s">
        <v>1113</v>
      </c>
      <c r="C1056">
        <v>1239</v>
      </c>
      <c r="D1056">
        <v>3</v>
      </c>
      <c r="E1056">
        <v>2010.5</v>
      </c>
      <c r="F1056">
        <v>3.4</v>
      </c>
      <c r="G1056">
        <v>1108.3</v>
      </c>
      <c r="H1056">
        <v>3</v>
      </c>
      <c r="I1056">
        <v>36.21</v>
      </c>
      <c r="J1056">
        <v>524</v>
      </c>
      <c r="K1056">
        <v>163</v>
      </c>
      <c r="L1056">
        <v>17</v>
      </c>
      <c r="M1056">
        <v>40</v>
      </c>
      <c r="N1056">
        <v>0</v>
      </c>
      <c r="O1056">
        <v>7953</v>
      </c>
      <c r="P1056">
        <v>88.6</v>
      </c>
      <c r="Q1056">
        <v>-1104</v>
      </c>
    </row>
    <row r="1057" spans="1:17" x14ac:dyDescent="0.45">
      <c r="A1057">
        <v>6511</v>
      </c>
      <c r="B1057" t="s">
        <v>1114</v>
      </c>
      <c r="C1057">
        <v>652</v>
      </c>
      <c r="D1057">
        <v>3</v>
      </c>
      <c r="E1057">
        <v>2480.1999999999998</v>
      </c>
      <c r="F1057">
        <v>81</v>
      </c>
      <c r="G1057">
        <v>1914.6</v>
      </c>
      <c r="H1057">
        <v>3</v>
      </c>
      <c r="I1057">
        <v>36.21</v>
      </c>
      <c r="J1057">
        <v>299</v>
      </c>
      <c r="K1057">
        <v>89</v>
      </c>
      <c r="L1057">
        <v>6</v>
      </c>
      <c r="M1057">
        <v>22</v>
      </c>
      <c r="N1057">
        <v>0</v>
      </c>
      <c r="O1057">
        <v>8582</v>
      </c>
      <c r="P1057">
        <v>0</v>
      </c>
      <c r="Q1057">
        <v>-2669</v>
      </c>
    </row>
    <row r="1058" spans="1:17" x14ac:dyDescent="0.45">
      <c r="A1058">
        <v>4313</v>
      </c>
      <c r="B1058" t="s">
        <v>1115</v>
      </c>
      <c r="C1058">
        <v>2345</v>
      </c>
      <c r="D1058">
        <v>3</v>
      </c>
      <c r="E1058">
        <v>2457.6</v>
      </c>
      <c r="F1058">
        <v>0</v>
      </c>
      <c r="G1058">
        <v>2627.8</v>
      </c>
      <c r="H1058">
        <v>3</v>
      </c>
      <c r="I1058">
        <v>23.9</v>
      </c>
      <c r="J1058">
        <v>1001</v>
      </c>
      <c r="K1058">
        <v>479</v>
      </c>
      <c r="L1058">
        <v>43</v>
      </c>
      <c r="M1058">
        <v>145</v>
      </c>
      <c r="N1058">
        <v>0</v>
      </c>
      <c r="O1058">
        <v>3238</v>
      </c>
      <c r="P1058">
        <v>221.5</v>
      </c>
      <c r="Q1058">
        <v>-1004</v>
      </c>
    </row>
    <row r="1059" spans="1:17" x14ac:dyDescent="0.45">
      <c r="A1059">
        <v>6110</v>
      </c>
      <c r="B1059" t="s">
        <v>1116</v>
      </c>
      <c r="C1059">
        <v>4134</v>
      </c>
      <c r="D1059">
        <v>3</v>
      </c>
      <c r="E1059">
        <v>5554.3</v>
      </c>
      <c r="F1059">
        <v>64.2</v>
      </c>
      <c r="G1059">
        <v>5969.5</v>
      </c>
      <c r="H1059">
        <v>2</v>
      </c>
      <c r="I1059">
        <v>30.34</v>
      </c>
      <c r="J1059">
        <v>1558</v>
      </c>
      <c r="K1059">
        <v>818</v>
      </c>
      <c r="L1059">
        <v>105</v>
      </c>
      <c r="M1059">
        <v>177</v>
      </c>
      <c r="N1059">
        <v>0</v>
      </c>
      <c r="O1059">
        <v>3755</v>
      </c>
      <c r="P1059">
        <v>1396.91</v>
      </c>
      <c r="Q1059">
        <v>-4656</v>
      </c>
    </row>
    <row r="1060" spans="1:17" x14ac:dyDescent="0.45">
      <c r="A1060">
        <v>6111</v>
      </c>
      <c r="B1060" t="s">
        <v>1117</v>
      </c>
      <c r="C1060">
        <v>1295</v>
      </c>
      <c r="D1060">
        <v>3</v>
      </c>
      <c r="E1060">
        <v>10615.9</v>
      </c>
      <c r="F1060">
        <v>410.2</v>
      </c>
      <c r="G1060">
        <v>177.5</v>
      </c>
      <c r="H1060">
        <v>2</v>
      </c>
      <c r="I1060">
        <v>30.34</v>
      </c>
      <c r="J1060">
        <v>400</v>
      </c>
      <c r="K1060">
        <v>259</v>
      </c>
      <c r="L1060">
        <v>15</v>
      </c>
      <c r="M1060">
        <v>46</v>
      </c>
      <c r="N1060">
        <v>0</v>
      </c>
      <c r="O1060">
        <v>648</v>
      </c>
      <c r="P1060">
        <v>775.25</v>
      </c>
      <c r="Q1060">
        <v>-1064</v>
      </c>
    </row>
    <row r="1061" spans="1:17" x14ac:dyDescent="0.45">
      <c r="A1061">
        <v>4138</v>
      </c>
      <c r="B1061" t="s">
        <v>1118</v>
      </c>
      <c r="C1061">
        <v>742</v>
      </c>
      <c r="D1061">
        <v>3</v>
      </c>
      <c r="E1061">
        <v>991.1</v>
      </c>
      <c r="F1061">
        <v>9</v>
      </c>
      <c r="G1061">
        <v>1140.9000000000001</v>
      </c>
      <c r="H1061">
        <v>3</v>
      </c>
      <c r="I1061">
        <v>23.9</v>
      </c>
      <c r="J1061">
        <v>332</v>
      </c>
      <c r="K1061">
        <v>150</v>
      </c>
      <c r="L1061">
        <v>23</v>
      </c>
      <c r="M1061">
        <v>25</v>
      </c>
      <c r="N1061">
        <v>0</v>
      </c>
      <c r="O1061">
        <v>1281</v>
      </c>
      <c r="P1061">
        <v>0</v>
      </c>
      <c r="Q1061">
        <v>-281</v>
      </c>
    </row>
    <row r="1062" spans="1:17" x14ac:dyDescent="0.45">
      <c r="A1062">
        <v>388</v>
      </c>
      <c r="B1062" t="s">
        <v>1119</v>
      </c>
      <c r="C1062">
        <v>1341</v>
      </c>
      <c r="D1062">
        <v>2</v>
      </c>
      <c r="E1062">
        <v>1822</v>
      </c>
      <c r="F1062">
        <v>141.19999999999999</v>
      </c>
      <c r="G1062">
        <v>2242.1</v>
      </c>
      <c r="H1062">
        <v>3</v>
      </c>
      <c r="I1062">
        <v>26.41</v>
      </c>
      <c r="J1062">
        <v>544</v>
      </c>
      <c r="K1062">
        <v>224</v>
      </c>
      <c r="L1062">
        <v>31</v>
      </c>
      <c r="M1062">
        <v>34</v>
      </c>
      <c r="N1062">
        <v>0</v>
      </c>
      <c r="O1062">
        <v>2863</v>
      </c>
      <c r="P1062">
        <v>0</v>
      </c>
      <c r="Q1062">
        <v>-843</v>
      </c>
    </row>
    <row r="1063" spans="1:17" x14ac:dyDescent="0.45">
      <c r="A1063">
        <v>5407</v>
      </c>
      <c r="B1063" t="s">
        <v>1120</v>
      </c>
      <c r="C1063">
        <v>3719</v>
      </c>
      <c r="D1063">
        <v>3</v>
      </c>
      <c r="E1063">
        <v>1990</v>
      </c>
      <c r="F1063">
        <v>7529.4</v>
      </c>
      <c r="G1063">
        <v>1291</v>
      </c>
      <c r="H1063">
        <v>2</v>
      </c>
      <c r="I1063">
        <v>26.72</v>
      </c>
      <c r="J1063">
        <v>837</v>
      </c>
      <c r="K1063">
        <v>390</v>
      </c>
      <c r="L1063">
        <v>32</v>
      </c>
      <c r="M1063">
        <v>173</v>
      </c>
      <c r="N1063">
        <v>0</v>
      </c>
      <c r="O1063">
        <v>1238</v>
      </c>
      <c r="P1063">
        <v>553.75</v>
      </c>
      <c r="Q1063">
        <v>-1325</v>
      </c>
    </row>
    <row r="1064" spans="1:17" x14ac:dyDescent="0.45">
      <c r="A1064">
        <v>6135</v>
      </c>
      <c r="B1064" t="s">
        <v>1121</v>
      </c>
      <c r="C1064">
        <v>3281</v>
      </c>
      <c r="D1064">
        <v>3</v>
      </c>
      <c r="E1064">
        <v>4769.3</v>
      </c>
      <c r="F1064">
        <v>68.3</v>
      </c>
      <c r="G1064">
        <v>2843.5</v>
      </c>
      <c r="H1064">
        <v>2</v>
      </c>
      <c r="I1064">
        <v>30.34</v>
      </c>
      <c r="J1064">
        <v>1568</v>
      </c>
      <c r="K1064">
        <v>568</v>
      </c>
      <c r="L1064">
        <v>89</v>
      </c>
      <c r="M1064">
        <v>184</v>
      </c>
      <c r="N1064">
        <v>0</v>
      </c>
      <c r="O1064">
        <v>769</v>
      </c>
      <c r="P1064">
        <v>332.25</v>
      </c>
      <c r="Q1064">
        <v>-1545</v>
      </c>
    </row>
    <row r="1065" spans="1:17" x14ac:dyDescent="0.45">
      <c r="A1065">
        <v>3374</v>
      </c>
      <c r="B1065" t="s">
        <v>1122</v>
      </c>
      <c r="C1065">
        <v>1980</v>
      </c>
      <c r="D1065">
        <v>3</v>
      </c>
      <c r="E1065">
        <v>1276.5999999999999</v>
      </c>
      <c r="F1065">
        <v>1909</v>
      </c>
      <c r="G1065">
        <v>1372.7</v>
      </c>
      <c r="H1065">
        <v>1</v>
      </c>
      <c r="I1065">
        <v>22.7</v>
      </c>
      <c r="J1065">
        <v>923</v>
      </c>
      <c r="K1065">
        <v>478</v>
      </c>
      <c r="L1065">
        <v>50</v>
      </c>
      <c r="M1065">
        <v>101</v>
      </c>
      <c r="N1065">
        <v>0</v>
      </c>
      <c r="O1065">
        <v>434</v>
      </c>
      <c r="P1065">
        <v>0</v>
      </c>
      <c r="Q1065">
        <v>-241</v>
      </c>
    </row>
    <row r="1066" spans="1:17" x14ac:dyDescent="0.45">
      <c r="A1066">
        <v>6033</v>
      </c>
      <c r="B1066" t="s">
        <v>1123</v>
      </c>
      <c r="C1066">
        <v>745</v>
      </c>
      <c r="D1066">
        <v>3</v>
      </c>
      <c r="E1066">
        <v>762.4</v>
      </c>
      <c r="F1066">
        <v>0</v>
      </c>
      <c r="G1066">
        <v>676.6</v>
      </c>
      <c r="H1066">
        <v>3</v>
      </c>
      <c r="I1066">
        <v>30.8</v>
      </c>
      <c r="J1066">
        <v>327</v>
      </c>
      <c r="K1066">
        <v>174</v>
      </c>
      <c r="L1066">
        <v>12</v>
      </c>
      <c r="M1066">
        <v>33</v>
      </c>
      <c r="N1066">
        <v>0</v>
      </c>
      <c r="O1066">
        <v>2453</v>
      </c>
      <c r="P1066">
        <v>0</v>
      </c>
      <c r="Q1066">
        <v>-3091</v>
      </c>
    </row>
    <row r="1067" spans="1:17" x14ac:dyDescent="0.45">
      <c r="A1067">
        <v>2890</v>
      </c>
      <c r="B1067" t="s">
        <v>1124</v>
      </c>
      <c r="C1067">
        <v>163</v>
      </c>
      <c r="D1067">
        <v>1</v>
      </c>
      <c r="E1067">
        <v>89.6</v>
      </c>
      <c r="F1067">
        <v>0</v>
      </c>
      <c r="G1067">
        <v>89.1</v>
      </c>
      <c r="H1067">
        <v>3</v>
      </c>
      <c r="I1067">
        <v>22.09</v>
      </c>
      <c r="J1067">
        <v>76</v>
      </c>
      <c r="K1067">
        <v>30</v>
      </c>
      <c r="L1067">
        <v>6</v>
      </c>
      <c r="M1067">
        <v>5</v>
      </c>
      <c r="N1067">
        <v>0</v>
      </c>
      <c r="O1067">
        <v>701</v>
      </c>
      <c r="P1067">
        <v>14.04</v>
      </c>
      <c r="Q1067">
        <v>-201</v>
      </c>
    </row>
    <row r="1068" spans="1:17" x14ac:dyDescent="0.45">
      <c r="A1068">
        <v>2788</v>
      </c>
      <c r="B1068" t="s">
        <v>1125</v>
      </c>
      <c r="C1068">
        <v>1083</v>
      </c>
      <c r="D1068">
        <v>1</v>
      </c>
      <c r="E1068">
        <v>1752.5</v>
      </c>
      <c r="F1068">
        <v>15</v>
      </c>
      <c r="G1068">
        <v>3234.4</v>
      </c>
      <c r="H1068">
        <v>3</v>
      </c>
      <c r="I1068">
        <v>22.09</v>
      </c>
      <c r="J1068">
        <v>471</v>
      </c>
      <c r="K1068">
        <v>184</v>
      </c>
      <c r="L1068">
        <v>17</v>
      </c>
      <c r="M1068">
        <v>29</v>
      </c>
      <c r="N1068">
        <v>4030</v>
      </c>
      <c r="O1068">
        <v>1864</v>
      </c>
      <c r="P1068">
        <v>116.64</v>
      </c>
      <c r="Q1068">
        <v>-1244</v>
      </c>
    </row>
    <row r="1069" spans="1:17" x14ac:dyDescent="0.45">
      <c r="A1069">
        <v>2829</v>
      </c>
      <c r="B1069" t="s">
        <v>1126</v>
      </c>
      <c r="C1069">
        <v>15420</v>
      </c>
      <c r="D1069">
        <v>1</v>
      </c>
      <c r="E1069">
        <v>6209.5</v>
      </c>
      <c r="F1069">
        <v>9953.2000000000007</v>
      </c>
      <c r="G1069">
        <v>10455.4</v>
      </c>
      <c r="H1069">
        <v>1</v>
      </c>
      <c r="I1069">
        <v>14.25</v>
      </c>
      <c r="J1069">
        <v>4821</v>
      </c>
      <c r="K1069">
        <v>2172</v>
      </c>
      <c r="L1069">
        <v>427</v>
      </c>
      <c r="M1069">
        <v>743</v>
      </c>
      <c r="N1069">
        <v>0</v>
      </c>
      <c r="O1069">
        <v>1444</v>
      </c>
      <c r="P1069">
        <v>0</v>
      </c>
      <c r="Q1069">
        <v>-2087</v>
      </c>
    </row>
    <row r="1070" spans="1:17" x14ac:dyDescent="0.45">
      <c r="A1070">
        <v>740</v>
      </c>
      <c r="B1070" t="s">
        <v>1127</v>
      </c>
      <c r="C1070">
        <v>525</v>
      </c>
      <c r="D1070">
        <v>2</v>
      </c>
      <c r="E1070">
        <v>891.8</v>
      </c>
      <c r="F1070">
        <v>0</v>
      </c>
      <c r="G1070">
        <v>285.3</v>
      </c>
      <c r="H1070">
        <v>3</v>
      </c>
      <c r="I1070">
        <v>26.41</v>
      </c>
      <c r="J1070">
        <v>185</v>
      </c>
      <c r="K1070">
        <v>97</v>
      </c>
      <c r="L1070">
        <v>20</v>
      </c>
      <c r="M1070">
        <v>26</v>
      </c>
      <c r="N1070">
        <v>0</v>
      </c>
      <c r="O1070">
        <v>110</v>
      </c>
      <c r="P1070">
        <v>265.8</v>
      </c>
      <c r="Q1070">
        <v>-181</v>
      </c>
    </row>
    <row r="1071" spans="1:17" x14ac:dyDescent="0.45">
      <c r="A1071">
        <v>5755</v>
      </c>
      <c r="B1071" t="s">
        <v>1128</v>
      </c>
      <c r="C1071">
        <v>447</v>
      </c>
      <c r="D1071">
        <v>3</v>
      </c>
      <c r="E1071">
        <v>570.79999999999995</v>
      </c>
      <c r="F1071">
        <v>418.2</v>
      </c>
      <c r="G1071">
        <v>667.6</v>
      </c>
      <c r="H1071">
        <v>3</v>
      </c>
      <c r="I1071">
        <v>35.86</v>
      </c>
      <c r="J1071">
        <v>161</v>
      </c>
      <c r="K1071">
        <v>72</v>
      </c>
      <c r="L1071">
        <v>12</v>
      </c>
      <c r="M1071">
        <v>27</v>
      </c>
      <c r="N1071">
        <v>0</v>
      </c>
      <c r="O1071">
        <v>1870</v>
      </c>
      <c r="P1071">
        <v>0</v>
      </c>
      <c r="Q1071">
        <v>-943</v>
      </c>
    </row>
    <row r="1072" spans="1:17" x14ac:dyDescent="0.45">
      <c r="A1072">
        <v>6456</v>
      </c>
      <c r="B1072" t="s">
        <v>1129</v>
      </c>
      <c r="C1072">
        <v>1006</v>
      </c>
      <c r="D1072">
        <v>3</v>
      </c>
      <c r="E1072">
        <v>1600.3</v>
      </c>
      <c r="F1072">
        <v>18</v>
      </c>
      <c r="G1072">
        <v>639.5</v>
      </c>
      <c r="H1072">
        <v>3</v>
      </c>
      <c r="I1072">
        <v>36.21</v>
      </c>
      <c r="J1072">
        <v>468</v>
      </c>
      <c r="K1072">
        <v>138</v>
      </c>
      <c r="L1072">
        <v>28</v>
      </c>
      <c r="M1072">
        <v>61</v>
      </c>
      <c r="N1072">
        <v>0</v>
      </c>
      <c r="O1072">
        <v>3778</v>
      </c>
      <c r="P1072">
        <v>0</v>
      </c>
      <c r="Q1072">
        <v>-763</v>
      </c>
    </row>
    <row r="1073" spans="1:17" x14ac:dyDescent="0.45">
      <c r="A1073">
        <v>176</v>
      </c>
      <c r="B1073" t="s">
        <v>1130</v>
      </c>
      <c r="C1073">
        <v>5723</v>
      </c>
      <c r="D1073">
        <v>3</v>
      </c>
      <c r="E1073">
        <v>5141.7</v>
      </c>
      <c r="F1073">
        <v>78.2</v>
      </c>
      <c r="G1073">
        <v>5013.3999999999996</v>
      </c>
      <c r="H1073">
        <v>2</v>
      </c>
      <c r="I1073">
        <v>24.61</v>
      </c>
      <c r="J1073">
        <v>2137</v>
      </c>
      <c r="K1073">
        <v>919</v>
      </c>
      <c r="L1073">
        <v>222</v>
      </c>
      <c r="M1073">
        <v>316</v>
      </c>
      <c r="N1073">
        <v>0</v>
      </c>
      <c r="O1073">
        <v>3930</v>
      </c>
      <c r="P1073">
        <v>0</v>
      </c>
      <c r="Q1073">
        <v>-843</v>
      </c>
    </row>
    <row r="1074" spans="1:17" x14ac:dyDescent="0.45">
      <c r="A1074">
        <v>614</v>
      </c>
      <c r="B1074" t="s">
        <v>1131</v>
      </c>
      <c r="C1074">
        <v>1278</v>
      </c>
      <c r="D1074">
        <v>3</v>
      </c>
      <c r="E1074">
        <v>796.8</v>
      </c>
      <c r="F1074">
        <v>0</v>
      </c>
      <c r="G1074">
        <v>1064.2</v>
      </c>
      <c r="H1074">
        <v>3</v>
      </c>
      <c r="I1074">
        <v>26.41</v>
      </c>
      <c r="J1074">
        <v>530</v>
      </c>
      <c r="K1074">
        <v>285</v>
      </c>
      <c r="L1074">
        <v>10</v>
      </c>
      <c r="M1074">
        <v>46</v>
      </c>
      <c r="N1074">
        <v>0</v>
      </c>
      <c r="O1074">
        <v>5066</v>
      </c>
      <c r="P1074">
        <v>0</v>
      </c>
      <c r="Q1074">
        <v>-823</v>
      </c>
    </row>
    <row r="1075" spans="1:17" x14ac:dyDescent="0.45">
      <c r="A1075">
        <v>5315</v>
      </c>
      <c r="B1075" t="s">
        <v>1132</v>
      </c>
      <c r="C1075">
        <v>42</v>
      </c>
      <c r="D1075">
        <v>3</v>
      </c>
      <c r="E1075">
        <v>10.4</v>
      </c>
      <c r="F1075">
        <v>5.3</v>
      </c>
      <c r="G1075">
        <v>0</v>
      </c>
      <c r="H1075">
        <v>3</v>
      </c>
      <c r="I1075">
        <v>25.45</v>
      </c>
      <c r="J1075">
        <v>12</v>
      </c>
      <c r="K1075">
        <v>3</v>
      </c>
      <c r="L1075">
        <v>0</v>
      </c>
      <c r="M1075">
        <v>0</v>
      </c>
      <c r="N1075">
        <v>0</v>
      </c>
      <c r="O1075">
        <v>0</v>
      </c>
      <c r="P1075">
        <v>0</v>
      </c>
      <c r="Q1075">
        <v>-943</v>
      </c>
    </row>
    <row r="1076" spans="1:17" x14ac:dyDescent="0.45">
      <c r="A1076">
        <v>5113</v>
      </c>
      <c r="B1076" t="s">
        <v>1134</v>
      </c>
      <c r="C1076">
        <v>16241</v>
      </c>
      <c r="D1076">
        <v>3</v>
      </c>
      <c r="E1076">
        <v>21719.9</v>
      </c>
      <c r="F1076">
        <v>163.5</v>
      </c>
      <c r="G1076">
        <v>10413.200000000001</v>
      </c>
      <c r="H1076">
        <v>1</v>
      </c>
      <c r="I1076">
        <v>18.600000000000001</v>
      </c>
      <c r="J1076">
        <v>4744</v>
      </c>
      <c r="K1076">
        <v>1716</v>
      </c>
      <c r="L1076">
        <v>194</v>
      </c>
      <c r="M1076">
        <v>873</v>
      </c>
      <c r="N1076">
        <v>0</v>
      </c>
      <c r="O1076">
        <v>1349</v>
      </c>
      <c r="P1076">
        <v>9609.42</v>
      </c>
      <c r="Q1076">
        <v>-1244</v>
      </c>
    </row>
    <row r="1077" spans="1:17" x14ac:dyDescent="0.45">
      <c r="A1077">
        <v>2917</v>
      </c>
      <c r="B1077" t="s">
        <v>1135</v>
      </c>
      <c r="C1077">
        <v>759</v>
      </c>
      <c r="D1077">
        <v>3</v>
      </c>
      <c r="E1077">
        <v>756.3</v>
      </c>
      <c r="F1077">
        <v>30.8</v>
      </c>
      <c r="G1077">
        <v>616.6</v>
      </c>
      <c r="H1077">
        <v>3</v>
      </c>
      <c r="I1077">
        <v>19.850000000000001</v>
      </c>
      <c r="J1077">
        <v>280</v>
      </c>
      <c r="K1077">
        <v>131</v>
      </c>
      <c r="L1077">
        <v>12</v>
      </c>
      <c r="M1077">
        <v>35</v>
      </c>
      <c r="N1077">
        <v>0</v>
      </c>
      <c r="O1077">
        <v>1130</v>
      </c>
      <c r="P1077">
        <v>0</v>
      </c>
      <c r="Q1077">
        <v>-341</v>
      </c>
    </row>
    <row r="1078" spans="1:17" x14ac:dyDescent="0.45">
      <c r="A1078">
        <v>2526</v>
      </c>
      <c r="B1078" t="s">
        <v>1136</v>
      </c>
      <c r="C1078">
        <v>2953</v>
      </c>
      <c r="D1078">
        <v>2</v>
      </c>
      <c r="E1078">
        <v>2759.7</v>
      </c>
      <c r="F1078">
        <v>8.6999999999999993</v>
      </c>
      <c r="G1078">
        <v>3314.8</v>
      </c>
      <c r="H1078">
        <v>2</v>
      </c>
      <c r="I1078">
        <v>26.37</v>
      </c>
      <c r="J1078">
        <v>1217</v>
      </c>
      <c r="K1078">
        <v>439</v>
      </c>
      <c r="L1078">
        <v>104</v>
      </c>
      <c r="M1078">
        <v>209</v>
      </c>
      <c r="N1078">
        <v>0</v>
      </c>
      <c r="O1078">
        <v>1235</v>
      </c>
      <c r="P1078">
        <v>0</v>
      </c>
      <c r="Q1078">
        <v>-261</v>
      </c>
    </row>
    <row r="1079" spans="1:17" x14ac:dyDescent="0.45">
      <c r="A1079">
        <v>4741</v>
      </c>
      <c r="B1079" t="s">
        <v>1138</v>
      </c>
      <c r="C1079">
        <v>1254</v>
      </c>
      <c r="D1079">
        <v>3</v>
      </c>
      <c r="E1079">
        <v>1384.8</v>
      </c>
      <c r="F1079">
        <v>0</v>
      </c>
      <c r="G1079">
        <v>1779.5</v>
      </c>
      <c r="H1079">
        <v>3</v>
      </c>
      <c r="I1079">
        <v>26.04</v>
      </c>
      <c r="J1079">
        <v>533</v>
      </c>
      <c r="K1079">
        <v>262</v>
      </c>
      <c r="L1079">
        <v>44</v>
      </c>
      <c r="M1079">
        <v>72</v>
      </c>
      <c r="N1079">
        <v>0</v>
      </c>
      <c r="O1079">
        <v>2122</v>
      </c>
      <c r="P1079">
        <v>0</v>
      </c>
      <c r="Q1079">
        <v>-442</v>
      </c>
    </row>
    <row r="1080" spans="1:17" x14ac:dyDescent="0.45">
      <c r="A1080">
        <v>2551</v>
      </c>
      <c r="B1080" t="s">
        <v>1139</v>
      </c>
      <c r="C1080">
        <v>1595</v>
      </c>
      <c r="D1080">
        <v>2</v>
      </c>
      <c r="E1080">
        <v>1211.9000000000001</v>
      </c>
      <c r="F1080">
        <v>15.1</v>
      </c>
      <c r="G1080">
        <v>1179.4000000000001</v>
      </c>
      <c r="H1080">
        <v>3</v>
      </c>
      <c r="I1080">
        <v>28.59</v>
      </c>
      <c r="J1080">
        <v>633</v>
      </c>
      <c r="K1080">
        <v>211</v>
      </c>
      <c r="L1080">
        <v>35</v>
      </c>
      <c r="M1080">
        <v>88</v>
      </c>
      <c r="N1080">
        <v>0</v>
      </c>
      <c r="O1080">
        <v>1276</v>
      </c>
      <c r="P1080">
        <v>0</v>
      </c>
      <c r="Q1080">
        <v>-502</v>
      </c>
    </row>
    <row r="1081" spans="1:17" x14ac:dyDescent="0.45">
      <c r="A1081">
        <v>5638</v>
      </c>
      <c r="B1081" t="s">
        <v>1140</v>
      </c>
      <c r="C1081">
        <v>2672</v>
      </c>
      <c r="D1081">
        <v>3</v>
      </c>
      <c r="E1081">
        <v>2040.3</v>
      </c>
      <c r="F1081">
        <v>1265</v>
      </c>
      <c r="G1081">
        <v>2315.8000000000002</v>
      </c>
      <c r="H1081">
        <v>1</v>
      </c>
      <c r="I1081">
        <v>19.809999999999999</v>
      </c>
      <c r="J1081">
        <v>1095</v>
      </c>
      <c r="K1081">
        <v>364</v>
      </c>
      <c r="L1081">
        <v>76</v>
      </c>
      <c r="M1081">
        <v>226</v>
      </c>
      <c r="N1081">
        <v>0</v>
      </c>
      <c r="O1081">
        <v>154</v>
      </c>
      <c r="P1081">
        <v>0</v>
      </c>
      <c r="Q1081">
        <v>-60</v>
      </c>
    </row>
    <row r="1082" spans="1:17" x14ac:dyDescent="0.45">
      <c r="A1082">
        <v>5429</v>
      </c>
      <c r="B1082" t="s">
        <v>1141</v>
      </c>
      <c r="C1082">
        <v>538</v>
      </c>
      <c r="D1082">
        <v>3</v>
      </c>
      <c r="E1082">
        <v>352</v>
      </c>
      <c r="F1082">
        <v>40.9</v>
      </c>
      <c r="G1082">
        <v>532.79999999999995</v>
      </c>
      <c r="H1082">
        <v>3</v>
      </c>
      <c r="I1082">
        <v>35.86</v>
      </c>
      <c r="J1082">
        <v>198</v>
      </c>
      <c r="K1082">
        <v>70</v>
      </c>
      <c r="L1082">
        <v>26</v>
      </c>
      <c r="M1082">
        <v>43</v>
      </c>
      <c r="N1082">
        <v>0</v>
      </c>
      <c r="O1082">
        <v>2337</v>
      </c>
      <c r="P1082">
        <v>0</v>
      </c>
      <c r="Q1082">
        <v>-1024</v>
      </c>
    </row>
    <row r="1083" spans="1:17" x14ac:dyDescent="0.45">
      <c r="A1083">
        <v>5115</v>
      </c>
      <c r="B1083" t="s">
        <v>1142</v>
      </c>
      <c r="C1083">
        <v>6713</v>
      </c>
      <c r="D1083">
        <v>3</v>
      </c>
      <c r="E1083">
        <v>6364.5</v>
      </c>
      <c r="F1083">
        <v>40.299999999999997</v>
      </c>
      <c r="G1083">
        <v>6469.8</v>
      </c>
      <c r="H1083">
        <v>1</v>
      </c>
      <c r="I1083">
        <v>18.600000000000001</v>
      </c>
      <c r="J1083">
        <v>2550</v>
      </c>
      <c r="K1083">
        <v>821</v>
      </c>
      <c r="L1083">
        <v>140</v>
      </c>
      <c r="M1083">
        <v>534</v>
      </c>
      <c r="N1083">
        <v>0</v>
      </c>
      <c r="O1083">
        <v>64</v>
      </c>
      <c r="P1083">
        <v>0</v>
      </c>
      <c r="Q1083">
        <v>-1184</v>
      </c>
    </row>
    <row r="1084" spans="1:17" x14ac:dyDescent="0.45">
      <c r="A1084">
        <v>3821</v>
      </c>
      <c r="B1084" t="s">
        <v>1143</v>
      </c>
      <c r="C1084">
        <v>856</v>
      </c>
      <c r="D1084">
        <v>3</v>
      </c>
      <c r="E1084">
        <v>261</v>
      </c>
      <c r="F1084">
        <v>0</v>
      </c>
      <c r="G1084">
        <v>1143.9000000000001</v>
      </c>
      <c r="H1084">
        <v>3</v>
      </c>
      <c r="I1084">
        <v>29.04</v>
      </c>
      <c r="J1084">
        <v>368</v>
      </c>
      <c r="K1084">
        <v>160</v>
      </c>
      <c r="L1084">
        <v>23</v>
      </c>
      <c r="M1084">
        <v>56</v>
      </c>
      <c r="N1084">
        <v>0</v>
      </c>
      <c r="O1084">
        <v>567</v>
      </c>
      <c r="P1084">
        <v>194.17</v>
      </c>
      <c r="Q1084">
        <v>-5559</v>
      </c>
    </row>
    <row r="1085" spans="1:17" x14ac:dyDescent="0.45">
      <c r="A1085">
        <v>2493</v>
      </c>
      <c r="B1085" t="s">
        <v>1144</v>
      </c>
      <c r="C1085">
        <v>4067</v>
      </c>
      <c r="D1085">
        <v>2</v>
      </c>
      <c r="E1085">
        <v>4345.7</v>
      </c>
      <c r="F1085">
        <v>432</v>
      </c>
      <c r="G1085">
        <v>2970.9</v>
      </c>
      <c r="H1085">
        <v>2</v>
      </c>
      <c r="I1085">
        <v>26.37</v>
      </c>
      <c r="J1085">
        <v>1655</v>
      </c>
      <c r="K1085">
        <v>518</v>
      </c>
      <c r="L1085">
        <v>140</v>
      </c>
      <c r="M1085">
        <v>249</v>
      </c>
      <c r="N1085">
        <v>0</v>
      </c>
      <c r="O1085">
        <v>1439</v>
      </c>
      <c r="P1085">
        <v>0</v>
      </c>
      <c r="Q1085">
        <v>-1244</v>
      </c>
    </row>
    <row r="1086" spans="1:17" x14ac:dyDescent="0.45">
      <c r="A1086">
        <v>331</v>
      </c>
      <c r="B1086" t="s">
        <v>1145</v>
      </c>
      <c r="C1086">
        <v>2672</v>
      </c>
      <c r="D1086">
        <v>1</v>
      </c>
      <c r="E1086">
        <v>1429.8</v>
      </c>
      <c r="F1086">
        <v>2978.8</v>
      </c>
      <c r="G1086">
        <v>2552.3000000000002</v>
      </c>
      <c r="H1086">
        <v>1</v>
      </c>
      <c r="I1086">
        <v>16.760000000000002</v>
      </c>
      <c r="J1086">
        <v>984</v>
      </c>
      <c r="K1086">
        <v>372</v>
      </c>
      <c r="L1086">
        <v>35</v>
      </c>
      <c r="M1086">
        <v>93</v>
      </c>
      <c r="N1086">
        <v>0</v>
      </c>
      <c r="O1086">
        <v>1566</v>
      </c>
      <c r="P1086">
        <v>0</v>
      </c>
      <c r="Q1086">
        <v>-462</v>
      </c>
    </row>
    <row r="1087" spans="1:17" x14ac:dyDescent="0.45">
      <c r="A1087">
        <v>5674</v>
      </c>
      <c r="B1087" t="s">
        <v>1146</v>
      </c>
      <c r="C1087">
        <v>143</v>
      </c>
      <c r="D1087">
        <v>3</v>
      </c>
      <c r="E1087">
        <v>377.7</v>
      </c>
      <c r="F1087">
        <v>133.5</v>
      </c>
      <c r="G1087">
        <v>55.1</v>
      </c>
      <c r="H1087">
        <v>3</v>
      </c>
      <c r="I1087">
        <v>35.86</v>
      </c>
      <c r="J1087">
        <v>71</v>
      </c>
      <c r="K1087">
        <v>22</v>
      </c>
      <c r="L1087">
        <v>3</v>
      </c>
      <c r="M1087">
        <v>3</v>
      </c>
      <c r="N1087">
        <v>0</v>
      </c>
      <c r="O1087">
        <v>1177</v>
      </c>
      <c r="P1087">
        <v>0</v>
      </c>
      <c r="Q1087">
        <v>-120</v>
      </c>
    </row>
    <row r="1088" spans="1:17" x14ac:dyDescent="0.45">
      <c r="A1088">
        <v>696</v>
      </c>
      <c r="B1088" t="s">
        <v>1147</v>
      </c>
      <c r="C1088">
        <v>362</v>
      </c>
      <c r="D1088">
        <v>2</v>
      </c>
      <c r="E1088">
        <v>619.79999999999995</v>
      </c>
      <c r="F1088">
        <v>0</v>
      </c>
      <c r="G1088">
        <v>385.7</v>
      </c>
      <c r="H1088">
        <v>3</v>
      </c>
      <c r="I1088">
        <v>26.41</v>
      </c>
      <c r="J1088">
        <v>147</v>
      </c>
      <c r="K1088">
        <v>56</v>
      </c>
      <c r="L1088">
        <v>5</v>
      </c>
      <c r="M1088">
        <v>26</v>
      </c>
      <c r="N1088">
        <v>0</v>
      </c>
      <c r="O1088">
        <v>845</v>
      </c>
      <c r="P1088">
        <v>498.38</v>
      </c>
      <c r="Q1088">
        <v>-381</v>
      </c>
    </row>
    <row r="1089" spans="1:17" x14ac:dyDescent="0.45">
      <c r="A1089">
        <v>5675</v>
      </c>
      <c r="B1089" t="s">
        <v>1148</v>
      </c>
      <c r="C1089">
        <v>4414</v>
      </c>
      <c r="D1089">
        <v>3</v>
      </c>
      <c r="E1089">
        <v>3116.1</v>
      </c>
      <c r="F1089">
        <v>2463.4</v>
      </c>
      <c r="G1089">
        <v>4156.5</v>
      </c>
      <c r="H1089">
        <v>3</v>
      </c>
      <c r="I1089">
        <v>35.86</v>
      </c>
      <c r="J1089">
        <v>1493</v>
      </c>
      <c r="K1089">
        <v>618</v>
      </c>
      <c r="L1089">
        <v>88</v>
      </c>
      <c r="M1089">
        <v>242</v>
      </c>
      <c r="N1089">
        <v>750</v>
      </c>
      <c r="O1089">
        <v>6234</v>
      </c>
      <c r="P1089">
        <v>1864.28</v>
      </c>
      <c r="Q1089">
        <v>-1044</v>
      </c>
    </row>
    <row r="1090" spans="1:17" x14ac:dyDescent="0.45">
      <c r="A1090">
        <v>63</v>
      </c>
      <c r="B1090" t="s">
        <v>1149</v>
      </c>
      <c r="C1090">
        <v>2767</v>
      </c>
      <c r="D1090">
        <v>3</v>
      </c>
      <c r="E1090">
        <v>1878.8</v>
      </c>
      <c r="F1090">
        <v>0</v>
      </c>
      <c r="G1090">
        <v>1258.4000000000001</v>
      </c>
      <c r="H1090">
        <v>2</v>
      </c>
      <c r="I1090">
        <v>24.61</v>
      </c>
      <c r="J1090">
        <v>988</v>
      </c>
      <c r="K1090">
        <v>357</v>
      </c>
      <c r="L1090">
        <v>108</v>
      </c>
      <c r="M1090">
        <v>197</v>
      </c>
      <c r="N1090">
        <v>0</v>
      </c>
      <c r="O1090">
        <v>238</v>
      </c>
      <c r="P1090">
        <v>0</v>
      </c>
      <c r="Q1090">
        <v>-381</v>
      </c>
    </row>
    <row r="1091" spans="1:17" x14ac:dyDescent="0.45">
      <c r="A1091">
        <v>5192</v>
      </c>
      <c r="B1091" t="s">
        <v>1150</v>
      </c>
      <c r="C1091">
        <v>62464</v>
      </c>
      <c r="D1091">
        <v>3</v>
      </c>
      <c r="E1091">
        <v>53753.3</v>
      </c>
      <c r="F1091">
        <v>30742.400000000001</v>
      </c>
      <c r="G1091">
        <v>24132.3</v>
      </c>
      <c r="H1091">
        <v>1</v>
      </c>
      <c r="I1091">
        <v>18.600000000000001</v>
      </c>
      <c r="J1091">
        <v>22872</v>
      </c>
      <c r="K1091">
        <v>8477</v>
      </c>
      <c r="L1091">
        <v>1267</v>
      </c>
      <c r="M1091">
        <v>5509</v>
      </c>
      <c r="N1091">
        <v>1144</v>
      </c>
      <c r="O1091">
        <v>1271</v>
      </c>
      <c r="P1091">
        <v>1827.38</v>
      </c>
      <c r="Q1091">
        <v>-9654</v>
      </c>
    </row>
    <row r="1092" spans="1:17" x14ac:dyDescent="0.45">
      <c r="A1092">
        <v>5858</v>
      </c>
      <c r="B1092" t="s">
        <v>1151</v>
      </c>
      <c r="C1092">
        <v>614</v>
      </c>
      <c r="D1092">
        <v>3</v>
      </c>
      <c r="E1092">
        <v>282.2</v>
      </c>
      <c r="F1092">
        <v>559.9</v>
      </c>
      <c r="G1092">
        <v>323.8</v>
      </c>
      <c r="H1092">
        <v>2</v>
      </c>
      <c r="I1092">
        <v>26.72</v>
      </c>
      <c r="J1092">
        <v>258</v>
      </c>
      <c r="K1092">
        <v>85</v>
      </c>
      <c r="L1092">
        <v>29</v>
      </c>
      <c r="M1092">
        <v>43</v>
      </c>
      <c r="N1092">
        <v>0</v>
      </c>
      <c r="O1092">
        <v>246</v>
      </c>
      <c r="P1092">
        <v>0</v>
      </c>
      <c r="Q1092">
        <v>-60</v>
      </c>
    </row>
    <row r="1093" spans="1:17" x14ac:dyDescent="0.45">
      <c r="A1093">
        <v>2025</v>
      </c>
      <c r="B1093" t="s">
        <v>1152</v>
      </c>
      <c r="C1093">
        <v>1217</v>
      </c>
      <c r="D1093">
        <v>3</v>
      </c>
      <c r="E1093">
        <v>905.2</v>
      </c>
      <c r="F1093">
        <v>62</v>
      </c>
      <c r="G1093">
        <v>1269.9000000000001</v>
      </c>
      <c r="H1093">
        <v>3</v>
      </c>
      <c r="I1093">
        <v>36.93</v>
      </c>
      <c r="J1093">
        <v>485</v>
      </c>
      <c r="K1093">
        <v>157</v>
      </c>
      <c r="L1093">
        <v>42</v>
      </c>
      <c r="M1093">
        <v>100</v>
      </c>
      <c r="N1093">
        <v>0</v>
      </c>
      <c r="O1093">
        <v>492</v>
      </c>
      <c r="P1093">
        <v>0</v>
      </c>
      <c r="Q1093">
        <v>-221</v>
      </c>
    </row>
    <row r="1094" spans="1:17" x14ac:dyDescent="0.45">
      <c r="A1094">
        <v>5639</v>
      </c>
      <c r="B1094" t="s">
        <v>1153</v>
      </c>
      <c r="C1094">
        <v>824</v>
      </c>
      <c r="D1094">
        <v>2</v>
      </c>
      <c r="E1094">
        <v>539.6</v>
      </c>
      <c r="F1094">
        <v>757.7</v>
      </c>
      <c r="G1094">
        <v>883.3</v>
      </c>
      <c r="H1094">
        <v>1</v>
      </c>
      <c r="I1094">
        <v>19.809999999999999</v>
      </c>
      <c r="J1094">
        <v>292</v>
      </c>
      <c r="K1094">
        <v>94</v>
      </c>
      <c r="L1094">
        <v>41</v>
      </c>
      <c r="M1094">
        <v>70</v>
      </c>
      <c r="N1094">
        <v>0</v>
      </c>
      <c r="O1094">
        <v>231</v>
      </c>
      <c r="P1094">
        <v>50.19</v>
      </c>
      <c r="Q1094">
        <v>-60</v>
      </c>
    </row>
    <row r="1095" spans="1:17" x14ac:dyDescent="0.45">
      <c r="A1095">
        <v>5010</v>
      </c>
      <c r="B1095" t="s">
        <v>1154</v>
      </c>
      <c r="C1095">
        <v>1613</v>
      </c>
      <c r="D1095">
        <v>3</v>
      </c>
      <c r="E1095">
        <v>1372</v>
      </c>
      <c r="F1095">
        <v>155.30000000000001</v>
      </c>
      <c r="G1095">
        <v>1630.7</v>
      </c>
      <c r="H1095">
        <v>2</v>
      </c>
      <c r="I1095">
        <v>22.12</v>
      </c>
      <c r="J1095">
        <v>623</v>
      </c>
      <c r="K1095">
        <v>211</v>
      </c>
      <c r="L1095">
        <v>50</v>
      </c>
      <c r="M1095">
        <v>128</v>
      </c>
      <c r="N1095">
        <v>0</v>
      </c>
      <c r="O1095">
        <v>3</v>
      </c>
      <c r="P1095">
        <v>0</v>
      </c>
      <c r="Q1095">
        <v>-1485</v>
      </c>
    </row>
    <row r="1096" spans="1:17" x14ac:dyDescent="0.45">
      <c r="A1096">
        <v>3618</v>
      </c>
      <c r="B1096" t="s">
        <v>1155</v>
      </c>
      <c r="C1096">
        <v>2029</v>
      </c>
      <c r="D1096">
        <v>3</v>
      </c>
      <c r="E1096">
        <v>2818.3</v>
      </c>
      <c r="F1096">
        <v>17.399999999999999</v>
      </c>
      <c r="G1096">
        <v>3108.7</v>
      </c>
      <c r="H1096">
        <v>3</v>
      </c>
      <c r="I1096">
        <v>29.04</v>
      </c>
      <c r="J1096">
        <v>576</v>
      </c>
      <c r="K1096">
        <v>502</v>
      </c>
      <c r="L1096">
        <v>40</v>
      </c>
      <c r="M1096">
        <v>88</v>
      </c>
      <c r="N1096">
        <v>0</v>
      </c>
      <c r="O1096">
        <v>14284</v>
      </c>
      <c r="P1096">
        <v>284.27</v>
      </c>
      <c r="Q1096">
        <v>-7386</v>
      </c>
    </row>
    <row r="1097" spans="1:17" x14ac:dyDescent="0.45">
      <c r="A1097">
        <v>1405</v>
      </c>
      <c r="B1097" t="s">
        <v>1156</v>
      </c>
      <c r="C1097">
        <v>2086</v>
      </c>
      <c r="D1097">
        <v>3</v>
      </c>
      <c r="E1097">
        <v>1670.8</v>
      </c>
      <c r="F1097">
        <v>0</v>
      </c>
      <c r="G1097">
        <v>2245.6</v>
      </c>
      <c r="H1097">
        <v>3</v>
      </c>
      <c r="I1097">
        <v>27.84</v>
      </c>
      <c r="J1097">
        <v>667</v>
      </c>
      <c r="K1097">
        <v>493</v>
      </c>
      <c r="L1097">
        <v>39</v>
      </c>
      <c r="M1097">
        <v>87</v>
      </c>
      <c r="N1097">
        <v>0</v>
      </c>
      <c r="O1097">
        <v>5122</v>
      </c>
      <c r="P1097">
        <v>0</v>
      </c>
      <c r="Q1097">
        <v>-3713</v>
      </c>
    </row>
    <row r="1098" spans="1:17" x14ac:dyDescent="0.45">
      <c r="A1098">
        <v>4104</v>
      </c>
      <c r="B1098" t="s">
        <v>1157</v>
      </c>
      <c r="C1098">
        <v>3291</v>
      </c>
      <c r="D1098">
        <v>3</v>
      </c>
      <c r="E1098">
        <v>1972</v>
      </c>
      <c r="F1098">
        <v>2735.8</v>
      </c>
      <c r="G1098">
        <v>4164</v>
      </c>
      <c r="H1098">
        <v>2</v>
      </c>
      <c r="I1098">
        <v>23.46</v>
      </c>
      <c r="J1098">
        <v>1365</v>
      </c>
      <c r="K1098">
        <v>694</v>
      </c>
      <c r="L1098">
        <v>102</v>
      </c>
      <c r="M1098">
        <v>219</v>
      </c>
      <c r="N1098">
        <v>0</v>
      </c>
      <c r="O1098">
        <v>1379</v>
      </c>
      <c r="P1098">
        <v>0</v>
      </c>
      <c r="Q1098">
        <v>-462</v>
      </c>
    </row>
    <row r="1099" spans="1:17" x14ac:dyDescent="0.45">
      <c r="A1099">
        <v>2830</v>
      </c>
      <c r="B1099" t="s">
        <v>1158</v>
      </c>
      <c r="C1099">
        <v>1504</v>
      </c>
      <c r="D1099">
        <v>1</v>
      </c>
      <c r="E1099">
        <v>1296.9000000000001</v>
      </c>
      <c r="F1099">
        <v>4.9000000000000004</v>
      </c>
      <c r="G1099">
        <v>2007.7</v>
      </c>
      <c r="H1099">
        <v>3</v>
      </c>
      <c r="I1099">
        <v>22.09</v>
      </c>
      <c r="J1099">
        <v>537</v>
      </c>
      <c r="K1099">
        <v>195</v>
      </c>
      <c r="L1099">
        <v>57</v>
      </c>
      <c r="M1099">
        <v>70</v>
      </c>
      <c r="N1099">
        <v>0</v>
      </c>
      <c r="O1099">
        <v>549</v>
      </c>
      <c r="P1099">
        <v>0</v>
      </c>
      <c r="Q1099">
        <v>-261</v>
      </c>
    </row>
    <row r="1100" spans="1:17" x14ac:dyDescent="0.45">
      <c r="A1100">
        <v>5487</v>
      </c>
      <c r="B1100" t="s">
        <v>1160</v>
      </c>
      <c r="C1100">
        <v>482</v>
      </c>
      <c r="D1100">
        <v>3</v>
      </c>
      <c r="E1100">
        <v>268.60000000000002</v>
      </c>
      <c r="F1100">
        <v>632.79999999999995</v>
      </c>
      <c r="G1100">
        <v>477.1</v>
      </c>
      <c r="H1100">
        <v>3</v>
      </c>
      <c r="I1100">
        <v>35.86</v>
      </c>
      <c r="J1100">
        <v>185</v>
      </c>
      <c r="K1100">
        <v>61</v>
      </c>
      <c r="L1100">
        <v>16</v>
      </c>
      <c r="M1100">
        <v>36</v>
      </c>
      <c r="N1100">
        <v>0</v>
      </c>
      <c r="O1100">
        <v>1242</v>
      </c>
      <c r="P1100">
        <v>33.229999999999997</v>
      </c>
      <c r="Q1100">
        <v>-60</v>
      </c>
    </row>
    <row r="1101" spans="1:17" x14ac:dyDescent="0.45">
      <c r="A1101">
        <v>5640</v>
      </c>
      <c r="B1101" t="s">
        <v>1162</v>
      </c>
      <c r="C1101">
        <v>729</v>
      </c>
      <c r="D1101">
        <v>3</v>
      </c>
      <c r="E1101">
        <v>294.10000000000002</v>
      </c>
      <c r="F1101">
        <v>756.7</v>
      </c>
      <c r="G1101">
        <v>805.4</v>
      </c>
      <c r="H1101">
        <v>2</v>
      </c>
      <c r="I1101">
        <v>26.72</v>
      </c>
      <c r="J1101">
        <v>252</v>
      </c>
      <c r="K1101">
        <v>68</v>
      </c>
      <c r="L1101">
        <v>38</v>
      </c>
      <c r="M1101">
        <v>55</v>
      </c>
      <c r="N1101">
        <v>0</v>
      </c>
      <c r="O1101">
        <v>233</v>
      </c>
      <c r="P1101">
        <v>0</v>
      </c>
      <c r="Q1101">
        <v>-60</v>
      </c>
    </row>
    <row r="1102" spans="1:17" x14ac:dyDescent="0.45">
      <c r="A1102">
        <v>2527</v>
      </c>
      <c r="B1102" t="s">
        <v>1163</v>
      </c>
      <c r="C1102">
        <v>3604</v>
      </c>
      <c r="D1102">
        <v>2</v>
      </c>
      <c r="E1102">
        <v>2681.7</v>
      </c>
      <c r="F1102">
        <v>2347.1</v>
      </c>
      <c r="G1102">
        <v>6873.5</v>
      </c>
      <c r="H1102">
        <v>2</v>
      </c>
      <c r="I1102">
        <v>26.37</v>
      </c>
      <c r="J1102">
        <v>1418</v>
      </c>
      <c r="K1102">
        <v>511</v>
      </c>
      <c r="L1102">
        <v>54</v>
      </c>
      <c r="M1102">
        <v>128</v>
      </c>
      <c r="N1102">
        <v>0</v>
      </c>
      <c r="O1102">
        <v>104</v>
      </c>
      <c r="P1102">
        <v>0</v>
      </c>
      <c r="Q1102">
        <v>-221</v>
      </c>
    </row>
    <row r="1103" spans="1:17" x14ac:dyDescent="0.45">
      <c r="A1103">
        <v>1135</v>
      </c>
      <c r="B1103" t="s">
        <v>1165</v>
      </c>
      <c r="C1103">
        <v>1248</v>
      </c>
      <c r="D1103">
        <v>2</v>
      </c>
      <c r="E1103">
        <v>577.79999999999995</v>
      </c>
      <c r="F1103">
        <v>0</v>
      </c>
      <c r="G1103">
        <v>3519.5</v>
      </c>
      <c r="H1103">
        <v>3</v>
      </c>
      <c r="I1103">
        <v>26.39</v>
      </c>
      <c r="J1103">
        <v>523</v>
      </c>
      <c r="K1103">
        <v>263</v>
      </c>
      <c r="L1103">
        <v>13</v>
      </c>
      <c r="M1103">
        <v>29</v>
      </c>
      <c r="N1103">
        <v>0</v>
      </c>
      <c r="O1103">
        <v>14281</v>
      </c>
      <c r="P1103">
        <v>0</v>
      </c>
      <c r="Q1103">
        <v>-3251</v>
      </c>
    </row>
    <row r="1104" spans="1:17" x14ac:dyDescent="0.45">
      <c r="A1104">
        <v>5606</v>
      </c>
      <c r="B1104" t="s">
        <v>1167</v>
      </c>
      <c r="C1104">
        <v>10718</v>
      </c>
      <c r="D1104">
        <v>3</v>
      </c>
      <c r="E1104">
        <v>15543.7</v>
      </c>
      <c r="F1104">
        <v>2213.8000000000002</v>
      </c>
      <c r="G1104">
        <v>4060</v>
      </c>
      <c r="H1104">
        <v>1</v>
      </c>
      <c r="I1104">
        <v>19.809999999999999</v>
      </c>
      <c r="J1104">
        <v>3988</v>
      </c>
      <c r="K1104">
        <v>919</v>
      </c>
      <c r="L1104">
        <v>423</v>
      </c>
      <c r="M1104">
        <v>940</v>
      </c>
      <c r="N1104">
        <v>0</v>
      </c>
      <c r="O1104">
        <v>432</v>
      </c>
      <c r="P1104">
        <v>664.5</v>
      </c>
      <c r="Q1104">
        <v>-341</v>
      </c>
    </row>
    <row r="1105" spans="1:17" x14ac:dyDescent="0.45">
      <c r="A1105">
        <v>3033</v>
      </c>
      <c r="B1105" t="s">
        <v>1170</v>
      </c>
      <c r="C1105">
        <v>1312</v>
      </c>
      <c r="D1105">
        <v>3</v>
      </c>
      <c r="E1105">
        <v>1087.5</v>
      </c>
      <c r="F1105">
        <v>1229.8</v>
      </c>
      <c r="G1105">
        <v>1268.5999999999999</v>
      </c>
      <c r="H1105">
        <v>2</v>
      </c>
      <c r="I1105">
        <v>17.79</v>
      </c>
      <c r="J1105">
        <v>574</v>
      </c>
      <c r="K1105">
        <v>256</v>
      </c>
      <c r="L1105">
        <v>28</v>
      </c>
      <c r="M1105">
        <v>62</v>
      </c>
      <c r="N1105">
        <v>0</v>
      </c>
      <c r="O1105">
        <v>1155</v>
      </c>
      <c r="P1105">
        <v>0</v>
      </c>
      <c r="Q1105">
        <v>-100</v>
      </c>
    </row>
    <row r="1106" spans="1:17" x14ac:dyDescent="0.45">
      <c r="A1106">
        <v>3891</v>
      </c>
      <c r="B1106" t="s">
        <v>1171</v>
      </c>
      <c r="C1106">
        <v>1624</v>
      </c>
      <c r="D1106">
        <v>3</v>
      </c>
      <c r="E1106">
        <v>2199.1999999999998</v>
      </c>
      <c r="F1106">
        <v>22.8</v>
      </c>
      <c r="G1106">
        <v>2530.6</v>
      </c>
      <c r="H1106">
        <v>3</v>
      </c>
      <c r="I1106">
        <v>29.04</v>
      </c>
      <c r="J1106">
        <v>472</v>
      </c>
      <c r="K1106">
        <v>412</v>
      </c>
      <c r="L1106">
        <v>40</v>
      </c>
      <c r="M1106">
        <v>73</v>
      </c>
      <c r="N1106">
        <v>0</v>
      </c>
      <c r="O1106">
        <v>6810</v>
      </c>
      <c r="P1106">
        <v>321.18</v>
      </c>
      <c r="Q1106">
        <v>-4074</v>
      </c>
    </row>
    <row r="1107" spans="1:17" x14ac:dyDescent="0.45">
      <c r="A1107">
        <v>1061</v>
      </c>
      <c r="B1107" t="s">
        <v>1172</v>
      </c>
      <c r="C1107">
        <v>83840</v>
      </c>
      <c r="D1107">
        <v>3</v>
      </c>
      <c r="E1107">
        <v>40544.400000000001</v>
      </c>
      <c r="F1107">
        <v>94522.3</v>
      </c>
      <c r="G1107">
        <v>23672.799999999999</v>
      </c>
      <c r="H1107">
        <v>1</v>
      </c>
      <c r="I1107">
        <v>19.39</v>
      </c>
      <c r="J1107">
        <v>18872</v>
      </c>
      <c r="K1107">
        <v>9077</v>
      </c>
      <c r="L1107">
        <v>1612</v>
      </c>
      <c r="M1107">
        <v>3365</v>
      </c>
      <c r="N1107">
        <v>0</v>
      </c>
      <c r="O1107">
        <v>5620</v>
      </c>
      <c r="P1107">
        <v>0</v>
      </c>
      <c r="Q1107">
        <v>-1284</v>
      </c>
    </row>
    <row r="1108" spans="1:17" x14ac:dyDescent="0.45">
      <c r="A1108">
        <v>306</v>
      </c>
      <c r="B1108" t="s">
        <v>1173</v>
      </c>
      <c r="C1108">
        <v>16190</v>
      </c>
      <c r="D1108">
        <v>2</v>
      </c>
      <c r="E1108">
        <v>11529.1</v>
      </c>
      <c r="F1108">
        <v>6831</v>
      </c>
      <c r="G1108">
        <v>17364.900000000001</v>
      </c>
      <c r="H1108">
        <v>1</v>
      </c>
      <c r="I1108">
        <v>16.760000000000002</v>
      </c>
      <c r="J1108">
        <v>5172</v>
      </c>
      <c r="K1108">
        <v>2402</v>
      </c>
      <c r="L1108">
        <v>254</v>
      </c>
      <c r="M1108">
        <v>641</v>
      </c>
      <c r="N1108">
        <v>0</v>
      </c>
      <c r="O1108">
        <v>1756</v>
      </c>
      <c r="P1108">
        <v>3765.5</v>
      </c>
      <c r="Q1108">
        <v>-963</v>
      </c>
    </row>
    <row r="1109" spans="1:17" x14ac:dyDescent="0.45">
      <c r="A1109">
        <v>415</v>
      </c>
      <c r="B1109" t="s">
        <v>1174</v>
      </c>
      <c r="C1109">
        <v>1477</v>
      </c>
      <c r="D1109">
        <v>2</v>
      </c>
      <c r="E1109">
        <v>1629.1</v>
      </c>
      <c r="F1109">
        <v>830.6</v>
      </c>
      <c r="G1109">
        <v>4888.7</v>
      </c>
      <c r="H1109">
        <v>2</v>
      </c>
      <c r="I1109">
        <v>24.84</v>
      </c>
      <c r="J1109">
        <v>663</v>
      </c>
      <c r="K1109">
        <v>289</v>
      </c>
      <c r="L1109">
        <v>53</v>
      </c>
      <c r="M1109">
        <v>75</v>
      </c>
      <c r="N1109">
        <v>0</v>
      </c>
      <c r="O1109">
        <v>1212</v>
      </c>
      <c r="P1109">
        <v>0</v>
      </c>
      <c r="Q1109">
        <v>-381</v>
      </c>
    </row>
    <row r="1110" spans="1:17" x14ac:dyDescent="0.45">
      <c r="A1110">
        <v>2852</v>
      </c>
      <c r="B1110" t="s">
        <v>1067</v>
      </c>
      <c r="C1110">
        <v>1369</v>
      </c>
      <c r="D1110">
        <v>1</v>
      </c>
      <c r="E1110">
        <v>2437.6</v>
      </c>
      <c r="F1110">
        <v>0</v>
      </c>
      <c r="G1110">
        <v>1079.0999999999999</v>
      </c>
      <c r="H1110">
        <v>3</v>
      </c>
      <c r="I1110">
        <v>22.09</v>
      </c>
      <c r="J1110">
        <v>543</v>
      </c>
      <c r="K1110">
        <v>254</v>
      </c>
      <c r="L1110">
        <v>42</v>
      </c>
      <c r="M1110">
        <v>41</v>
      </c>
      <c r="N1110">
        <v>0</v>
      </c>
      <c r="O1110">
        <v>2185</v>
      </c>
      <c r="P1110">
        <v>0</v>
      </c>
      <c r="Q1110">
        <v>-642</v>
      </c>
    </row>
    <row r="1111" spans="1:17" x14ac:dyDescent="0.45">
      <c r="A1111">
        <v>2903</v>
      </c>
      <c r="B1111" t="s">
        <v>1137</v>
      </c>
      <c r="C1111">
        <v>1615</v>
      </c>
      <c r="D1111">
        <v>3</v>
      </c>
      <c r="E1111">
        <v>1354.7</v>
      </c>
      <c r="F1111">
        <v>17.2</v>
      </c>
      <c r="G1111">
        <v>1609.8</v>
      </c>
      <c r="H1111">
        <v>3</v>
      </c>
      <c r="I1111">
        <v>19.850000000000001</v>
      </c>
      <c r="J1111">
        <v>622</v>
      </c>
      <c r="K1111">
        <v>263</v>
      </c>
      <c r="L1111">
        <v>38</v>
      </c>
      <c r="M1111">
        <v>62</v>
      </c>
      <c r="N1111">
        <v>0</v>
      </c>
      <c r="O1111">
        <v>1892</v>
      </c>
      <c r="P1111">
        <v>0</v>
      </c>
      <c r="Q1111">
        <v>-522</v>
      </c>
    </row>
    <row r="1112" spans="1:17" x14ac:dyDescent="0.45">
      <c r="A1112">
        <v>497</v>
      </c>
      <c r="B1112" t="s">
        <v>1159</v>
      </c>
      <c r="C1112">
        <v>558</v>
      </c>
      <c r="D1112">
        <v>2</v>
      </c>
      <c r="E1112">
        <v>729.7</v>
      </c>
      <c r="F1112">
        <v>12.7</v>
      </c>
      <c r="G1112">
        <v>598.79999999999995</v>
      </c>
      <c r="H1112">
        <v>3</v>
      </c>
      <c r="I1112">
        <v>26.41</v>
      </c>
      <c r="J1112">
        <v>281</v>
      </c>
      <c r="K1112">
        <v>82</v>
      </c>
      <c r="L1112">
        <v>26</v>
      </c>
      <c r="M1112">
        <v>26</v>
      </c>
      <c r="N1112">
        <v>0</v>
      </c>
      <c r="O1112">
        <v>1243</v>
      </c>
      <c r="P1112">
        <v>75.31</v>
      </c>
      <c r="Q1112">
        <v>-502</v>
      </c>
    </row>
    <row r="1113" spans="1:17" x14ac:dyDescent="0.45">
      <c r="A1113">
        <v>2464</v>
      </c>
      <c r="B1113" t="s">
        <v>1161</v>
      </c>
      <c r="C1113">
        <v>1119</v>
      </c>
      <c r="D1113">
        <v>2</v>
      </c>
      <c r="E1113">
        <v>1028.8</v>
      </c>
      <c r="F1113">
        <v>0</v>
      </c>
      <c r="G1113">
        <v>2260.8000000000002</v>
      </c>
      <c r="H1113">
        <v>3</v>
      </c>
      <c r="I1113">
        <v>28.59</v>
      </c>
      <c r="J1113">
        <v>466</v>
      </c>
      <c r="K1113">
        <v>178</v>
      </c>
      <c r="L1113">
        <v>18</v>
      </c>
      <c r="M1113">
        <v>47</v>
      </c>
      <c r="N1113">
        <v>0</v>
      </c>
      <c r="O1113">
        <v>2230</v>
      </c>
      <c r="P1113">
        <v>66.45</v>
      </c>
      <c r="Q1113">
        <v>-381</v>
      </c>
    </row>
    <row r="1114" spans="1:17" x14ac:dyDescent="0.45">
      <c r="A1114">
        <v>2455</v>
      </c>
      <c r="B1114" t="s">
        <v>1164</v>
      </c>
      <c r="C1114">
        <v>895</v>
      </c>
      <c r="D1114">
        <v>2</v>
      </c>
      <c r="E1114">
        <v>947</v>
      </c>
      <c r="F1114">
        <v>18.5</v>
      </c>
      <c r="G1114">
        <v>1080</v>
      </c>
      <c r="H1114">
        <v>2</v>
      </c>
      <c r="I1114">
        <v>26.37</v>
      </c>
      <c r="J1114">
        <v>374</v>
      </c>
      <c r="K1114">
        <v>130</v>
      </c>
      <c r="L1114">
        <v>30</v>
      </c>
      <c r="M1114">
        <v>36</v>
      </c>
      <c r="N1114">
        <v>0</v>
      </c>
      <c r="O1114">
        <v>746</v>
      </c>
      <c r="P1114">
        <v>0</v>
      </c>
      <c r="Q1114">
        <v>-301</v>
      </c>
    </row>
    <row r="1115" spans="1:17" x14ac:dyDescent="0.45">
      <c r="A1115">
        <v>3393</v>
      </c>
      <c r="B1115" t="s">
        <v>1166</v>
      </c>
      <c r="C1115">
        <v>1619</v>
      </c>
      <c r="D1115">
        <v>3</v>
      </c>
      <c r="E1115">
        <v>997.5</v>
      </c>
      <c r="F1115">
        <v>203.9</v>
      </c>
      <c r="G1115">
        <v>2989.3</v>
      </c>
      <c r="H1115">
        <v>3</v>
      </c>
      <c r="I1115">
        <v>30.49</v>
      </c>
      <c r="J1115">
        <v>509</v>
      </c>
      <c r="K1115">
        <v>241</v>
      </c>
      <c r="L1115">
        <v>28</v>
      </c>
      <c r="M1115">
        <v>51</v>
      </c>
      <c r="N1115">
        <v>0</v>
      </c>
      <c r="O1115">
        <v>4830</v>
      </c>
      <c r="P1115">
        <v>52.41</v>
      </c>
      <c r="Q1115">
        <v>-963</v>
      </c>
    </row>
    <row r="1116" spans="1:17" x14ac:dyDescent="0.45">
      <c r="A1116">
        <v>586</v>
      </c>
      <c r="B1116" t="s">
        <v>1168</v>
      </c>
      <c r="C1116">
        <v>222</v>
      </c>
      <c r="D1116">
        <v>3</v>
      </c>
      <c r="E1116">
        <v>163.19999999999999</v>
      </c>
      <c r="F1116">
        <v>0</v>
      </c>
      <c r="G1116">
        <v>28.6</v>
      </c>
      <c r="H1116">
        <v>3</v>
      </c>
      <c r="I1116">
        <v>26.41</v>
      </c>
      <c r="J1116">
        <v>79</v>
      </c>
      <c r="K1116">
        <v>45</v>
      </c>
      <c r="L1116">
        <v>0</v>
      </c>
      <c r="M1116">
        <v>7</v>
      </c>
      <c r="N1116">
        <v>0</v>
      </c>
      <c r="O1116">
        <v>1237</v>
      </c>
      <c r="P1116">
        <v>0</v>
      </c>
      <c r="Q1116">
        <v>-1104</v>
      </c>
    </row>
    <row r="1117" spans="1:17" x14ac:dyDescent="0.45">
      <c r="A1117">
        <v>955</v>
      </c>
      <c r="B1117" t="s">
        <v>1169</v>
      </c>
      <c r="C1117">
        <v>4366</v>
      </c>
      <c r="D1117">
        <v>2</v>
      </c>
      <c r="E1117">
        <v>3823.7</v>
      </c>
      <c r="F1117">
        <v>55.2</v>
      </c>
      <c r="G1117">
        <v>5093.6000000000004</v>
      </c>
      <c r="H1117">
        <v>3</v>
      </c>
      <c r="I1117">
        <v>26.41</v>
      </c>
      <c r="J1117">
        <v>1967</v>
      </c>
      <c r="K1117">
        <v>800</v>
      </c>
      <c r="L1117">
        <v>55</v>
      </c>
      <c r="M1117">
        <v>196</v>
      </c>
      <c r="N1117">
        <v>0</v>
      </c>
      <c r="O1117">
        <v>11284</v>
      </c>
      <c r="P1117">
        <v>0</v>
      </c>
      <c r="Q1117">
        <v>-1305</v>
      </c>
    </row>
    <row r="1118" spans="1:17" x14ac:dyDescent="0.45">
      <c r="A1118">
        <v>332</v>
      </c>
      <c r="B1118" t="s">
        <v>1175</v>
      </c>
      <c r="C1118">
        <v>3335</v>
      </c>
      <c r="D1118">
        <v>2</v>
      </c>
      <c r="E1118">
        <v>2969.6</v>
      </c>
      <c r="F1118">
        <v>220.8</v>
      </c>
      <c r="G1118">
        <v>4570.2</v>
      </c>
      <c r="H1118">
        <v>3</v>
      </c>
      <c r="I1118">
        <v>26.41</v>
      </c>
      <c r="J1118">
        <v>1435</v>
      </c>
      <c r="K1118">
        <v>451</v>
      </c>
      <c r="L1118">
        <v>60</v>
      </c>
      <c r="M1118">
        <v>119</v>
      </c>
      <c r="N1118">
        <v>0</v>
      </c>
      <c r="O1118">
        <v>11008</v>
      </c>
      <c r="P1118">
        <v>0</v>
      </c>
      <c r="Q1118">
        <v>-1284</v>
      </c>
    </row>
    <row r="1119" spans="1:17" x14ac:dyDescent="0.45">
      <c r="A1119">
        <v>3783</v>
      </c>
      <c r="B1119" t="s">
        <v>1176</v>
      </c>
      <c r="C1119">
        <v>208</v>
      </c>
      <c r="D1119">
        <v>3</v>
      </c>
      <c r="E1119">
        <v>1250.5</v>
      </c>
      <c r="F1119">
        <v>0</v>
      </c>
      <c r="G1119">
        <v>37.1</v>
      </c>
      <c r="H1119">
        <v>3</v>
      </c>
      <c r="I1119">
        <v>29.04</v>
      </c>
      <c r="J1119">
        <v>105</v>
      </c>
      <c r="K1119">
        <v>49</v>
      </c>
      <c r="L1119">
        <v>2</v>
      </c>
      <c r="M1119">
        <v>11</v>
      </c>
      <c r="N1119">
        <v>0</v>
      </c>
      <c r="O1119">
        <v>607</v>
      </c>
      <c r="P1119">
        <v>0</v>
      </c>
      <c r="Q1119">
        <v>-482</v>
      </c>
    </row>
    <row r="1120" spans="1:17" x14ac:dyDescent="0.45">
      <c r="A1120">
        <v>4253</v>
      </c>
      <c r="B1120" t="s">
        <v>1177</v>
      </c>
      <c r="C1120">
        <v>3894</v>
      </c>
      <c r="D1120">
        <v>3</v>
      </c>
      <c r="E1120">
        <v>3766</v>
      </c>
      <c r="F1120">
        <v>8.9</v>
      </c>
      <c r="G1120">
        <v>2911</v>
      </c>
      <c r="H1120">
        <v>2</v>
      </c>
      <c r="I1120">
        <v>23.46</v>
      </c>
      <c r="J1120">
        <v>1404</v>
      </c>
      <c r="K1120">
        <v>523</v>
      </c>
      <c r="L1120">
        <v>151</v>
      </c>
      <c r="M1120">
        <v>249</v>
      </c>
      <c r="N1120">
        <v>0</v>
      </c>
      <c r="O1120">
        <v>1633</v>
      </c>
      <c r="P1120">
        <v>0</v>
      </c>
      <c r="Q1120">
        <v>-903</v>
      </c>
    </row>
    <row r="1121" spans="1:17" x14ac:dyDescent="0.45">
      <c r="A1121">
        <v>5317</v>
      </c>
      <c r="B1121" t="s">
        <v>1179</v>
      </c>
      <c r="C1121">
        <v>2618</v>
      </c>
      <c r="D1121">
        <v>3</v>
      </c>
      <c r="E1121">
        <v>2389.6999999999998</v>
      </c>
      <c r="F1121">
        <v>57.4</v>
      </c>
      <c r="G1121">
        <v>2603.9</v>
      </c>
      <c r="H1121">
        <v>3</v>
      </c>
      <c r="I1121">
        <v>25.45</v>
      </c>
      <c r="J1121">
        <v>1200</v>
      </c>
      <c r="K1121">
        <v>305</v>
      </c>
      <c r="L1121">
        <v>41</v>
      </c>
      <c r="M1121">
        <v>138</v>
      </c>
      <c r="N1121">
        <v>0</v>
      </c>
      <c r="O1121">
        <v>828</v>
      </c>
      <c r="P1121">
        <v>16.97</v>
      </c>
      <c r="Q1121">
        <v>-14772</v>
      </c>
    </row>
    <row r="1122" spans="1:17" x14ac:dyDescent="0.45">
      <c r="A1122">
        <v>5193</v>
      </c>
      <c r="B1122" t="s">
        <v>1180</v>
      </c>
      <c r="C1122">
        <v>1652</v>
      </c>
      <c r="D1122">
        <v>3</v>
      </c>
      <c r="E1122">
        <v>1784.9</v>
      </c>
      <c r="F1122">
        <v>52.6</v>
      </c>
      <c r="G1122">
        <v>1679.9</v>
      </c>
      <c r="H1122">
        <v>2</v>
      </c>
      <c r="I1122">
        <v>22.12</v>
      </c>
      <c r="J1122">
        <v>674</v>
      </c>
      <c r="K1122">
        <v>175</v>
      </c>
      <c r="L1122">
        <v>33</v>
      </c>
      <c r="M1122">
        <v>133</v>
      </c>
      <c r="N1122">
        <v>0</v>
      </c>
      <c r="O1122">
        <v>29</v>
      </c>
      <c r="P1122">
        <v>0</v>
      </c>
      <c r="Q1122">
        <v>-20</v>
      </c>
    </row>
    <row r="1123" spans="1:17" x14ac:dyDescent="0.45">
      <c r="A1123">
        <v>3953</v>
      </c>
      <c r="B1123" t="s">
        <v>1181</v>
      </c>
      <c r="C1123">
        <v>3141</v>
      </c>
      <c r="D1123">
        <v>3</v>
      </c>
      <c r="E1123">
        <v>3468.6</v>
      </c>
      <c r="F1123">
        <v>2.8</v>
      </c>
      <c r="G1123">
        <v>6187.7</v>
      </c>
      <c r="H1123">
        <v>3</v>
      </c>
      <c r="I1123">
        <v>29.04</v>
      </c>
      <c r="J1123">
        <v>1090</v>
      </c>
      <c r="K1123">
        <v>745</v>
      </c>
      <c r="L1123">
        <v>140</v>
      </c>
      <c r="M1123">
        <v>177</v>
      </c>
      <c r="N1123">
        <v>0</v>
      </c>
      <c r="O1123">
        <v>4883</v>
      </c>
      <c r="P1123">
        <v>0</v>
      </c>
      <c r="Q1123">
        <v>-1947</v>
      </c>
    </row>
    <row r="1124" spans="1:17" x14ac:dyDescent="0.45">
      <c r="A1124">
        <v>2853</v>
      </c>
      <c r="B1124" t="s">
        <v>1182</v>
      </c>
      <c r="C1124">
        <v>937</v>
      </c>
      <c r="D1124">
        <v>1</v>
      </c>
      <c r="E1124">
        <v>889.4</v>
      </c>
      <c r="F1124">
        <v>0</v>
      </c>
      <c r="G1124">
        <v>647.20000000000005</v>
      </c>
      <c r="H1124">
        <v>3</v>
      </c>
      <c r="I1124">
        <v>22.09</v>
      </c>
      <c r="J1124">
        <v>343</v>
      </c>
      <c r="K1124">
        <v>162</v>
      </c>
      <c r="L1124">
        <v>32</v>
      </c>
      <c r="M1124">
        <v>31</v>
      </c>
      <c r="N1124">
        <v>0</v>
      </c>
      <c r="O1124">
        <v>2011</v>
      </c>
      <c r="P1124">
        <v>45.05</v>
      </c>
      <c r="Q1124">
        <v>-381</v>
      </c>
    </row>
    <row r="1125" spans="1:17" x14ac:dyDescent="0.45">
      <c r="A1125">
        <v>3954</v>
      </c>
      <c r="B1125" t="s">
        <v>1183</v>
      </c>
      <c r="C1125">
        <v>2506</v>
      </c>
      <c r="D1125">
        <v>3</v>
      </c>
      <c r="E1125">
        <v>3681.1</v>
      </c>
      <c r="F1125">
        <v>0</v>
      </c>
      <c r="G1125">
        <v>2362.5</v>
      </c>
      <c r="H1125">
        <v>3</v>
      </c>
      <c r="I1125">
        <v>29.04</v>
      </c>
      <c r="J1125">
        <v>732</v>
      </c>
      <c r="K1125">
        <v>455</v>
      </c>
      <c r="L1125">
        <v>91</v>
      </c>
      <c r="M1125">
        <v>144</v>
      </c>
      <c r="N1125">
        <v>0</v>
      </c>
      <c r="O1125">
        <v>1514</v>
      </c>
      <c r="P1125">
        <v>0</v>
      </c>
      <c r="Q1125">
        <v>-923</v>
      </c>
    </row>
    <row r="1126" spans="1:17" x14ac:dyDescent="0.45">
      <c r="A1126">
        <v>1062</v>
      </c>
      <c r="B1126" t="s">
        <v>1184</v>
      </c>
      <c r="C1126">
        <v>7691</v>
      </c>
      <c r="D1126">
        <v>3</v>
      </c>
      <c r="E1126">
        <v>5246.2</v>
      </c>
      <c r="F1126">
        <v>25</v>
      </c>
      <c r="G1126">
        <v>13195.6</v>
      </c>
      <c r="H1126">
        <v>2</v>
      </c>
      <c r="I1126">
        <v>28.41</v>
      </c>
      <c r="J1126">
        <v>2471</v>
      </c>
      <c r="K1126">
        <v>1035</v>
      </c>
      <c r="L1126">
        <v>138</v>
      </c>
      <c r="M1126">
        <v>268</v>
      </c>
      <c r="N1126">
        <v>0</v>
      </c>
      <c r="O1126">
        <v>15156</v>
      </c>
      <c r="P1126">
        <v>0</v>
      </c>
      <c r="Q1126">
        <v>-1284</v>
      </c>
    </row>
    <row r="1127" spans="1:17" x14ac:dyDescent="0.45">
      <c r="A1127">
        <v>4826</v>
      </c>
      <c r="B1127" t="s">
        <v>1185</v>
      </c>
      <c r="C1127">
        <v>693</v>
      </c>
      <c r="D1127">
        <v>3</v>
      </c>
      <c r="E1127">
        <v>537.6</v>
      </c>
      <c r="F1127">
        <v>377.6</v>
      </c>
      <c r="G1127">
        <v>819.9</v>
      </c>
      <c r="H1127">
        <v>3</v>
      </c>
      <c r="I1127">
        <v>26.04</v>
      </c>
      <c r="J1127">
        <v>233</v>
      </c>
      <c r="K1127">
        <v>127</v>
      </c>
      <c r="L1127">
        <v>25</v>
      </c>
      <c r="M1127">
        <v>30</v>
      </c>
      <c r="N1127">
        <v>0</v>
      </c>
      <c r="O1127">
        <v>690</v>
      </c>
      <c r="P1127">
        <v>0</v>
      </c>
      <c r="Q1127">
        <v>-442</v>
      </c>
    </row>
    <row r="1128" spans="1:17" x14ac:dyDescent="0.45">
      <c r="A1128">
        <v>4105</v>
      </c>
      <c r="B1128" t="s">
        <v>1186</v>
      </c>
      <c r="C1128">
        <v>343</v>
      </c>
      <c r="D1128">
        <v>3</v>
      </c>
      <c r="E1128">
        <v>290.3</v>
      </c>
      <c r="F1128">
        <v>0</v>
      </c>
      <c r="G1128">
        <v>215.3</v>
      </c>
      <c r="H1128">
        <v>3</v>
      </c>
      <c r="I1128">
        <v>23.9</v>
      </c>
      <c r="J1128">
        <v>132</v>
      </c>
      <c r="K1128">
        <v>59</v>
      </c>
      <c r="L1128">
        <v>8</v>
      </c>
      <c r="M1128">
        <v>13</v>
      </c>
      <c r="N1128">
        <v>0</v>
      </c>
      <c r="O1128">
        <v>1257</v>
      </c>
      <c r="P1128">
        <v>0</v>
      </c>
      <c r="Q1128">
        <v>-301</v>
      </c>
    </row>
    <row r="1129" spans="1:17" x14ac:dyDescent="0.45">
      <c r="A1129">
        <v>5194</v>
      </c>
      <c r="B1129" t="s">
        <v>1188</v>
      </c>
      <c r="C1129">
        <v>1330</v>
      </c>
      <c r="D1129">
        <v>2</v>
      </c>
      <c r="E1129">
        <v>1350.3</v>
      </c>
      <c r="F1129">
        <v>669.3</v>
      </c>
      <c r="G1129">
        <v>4720.6000000000004</v>
      </c>
      <c r="H1129">
        <v>1</v>
      </c>
      <c r="I1129">
        <v>18.600000000000001</v>
      </c>
      <c r="J1129">
        <v>751</v>
      </c>
      <c r="K1129">
        <v>320</v>
      </c>
      <c r="L1129">
        <v>55</v>
      </c>
      <c r="M1129">
        <v>174</v>
      </c>
      <c r="N1129">
        <v>0</v>
      </c>
      <c r="O1129">
        <v>31</v>
      </c>
      <c r="P1129">
        <v>0</v>
      </c>
      <c r="Q1129">
        <v>-161</v>
      </c>
    </row>
    <row r="1130" spans="1:17" x14ac:dyDescent="0.45">
      <c r="A1130">
        <v>5790</v>
      </c>
      <c r="B1130" t="s">
        <v>1189</v>
      </c>
      <c r="C1130">
        <v>546</v>
      </c>
      <c r="D1130">
        <v>3</v>
      </c>
      <c r="E1130">
        <v>656.2</v>
      </c>
      <c r="F1130">
        <v>239.5</v>
      </c>
      <c r="G1130">
        <v>979.5</v>
      </c>
      <c r="H1130">
        <v>3</v>
      </c>
      <c r="I1130">
        <v>35.86</v>
      </c>
      <c r="J1130">
        <v>217</v>
      </c>
      <c r="K1130">
        <v>81</v>
      </c>
      <c r="L1130">
        <v>9</v>
      </c>
      <c r="M1130">
        <v>45</v>
      </c>
      <c r="N1130">
        <v>0</v>
      </c>
      <c r="O1130">
        <v>1103</v>
      </c>
      <c r="P1130">
        <v>0</v>
      </c>
      <c r="Q1130">
        <v>-181</v>
      </c>
    </row>
    <row r="1131" spans="1:17" x14ac:dyDescent="0.45">
      <c r="A1131">
        <v>3253</v>
      </c>
      <c r="B1131" t="s">
        <v>1190</v>
      </c>
      <c r="C1131">
        <v>2137</v>
      </c>
      <c r="D1131">
        <v>1</v>
      </c>
      <c r="E1131">
        <v>1261.5</v>
      </c>
      <c r="F1131">
        <v>1011.8</v>
      </c>
      <c r="G1131">
        <v>3216.4</v>
      </c>
      <c r="H1131">
        <v>1</v>
      </c>
      <c r="I1131">
        <v>22.7</v>
      </c>
      <c r="J1131">
        <v>816</v>
      </c>
      <c r="K1131">
        <v>420</v>
      </c>
      <c r="L1131">
        <v>64</v>
      </c>
      <c r="M1131">
        <v>96</v>
      </c>
      <c r="N1131">
        <v>0</v>
      </c>
      <c r="O1131">
        <v>2614</v>
      </c>
      <c r="P1131">
        <v>0</v>
      </c>
      <c r="Q1131">
        <v>-40</v>
      </c>
    </row>
    <row r="1132" spans="1:17" x14ac:dyDescent="0.45">
      <c r="A1132">
        <v>5430</v>
      </c>
      <c r="B1132" t="s">
        <v>1191</v>
      </c>
      <c r="C1132">
        <v>499</v>
      </c>
      <c r="D1132">
        <v>3</v>
      </c>
      <c r="E1132">
        <v>615.1</v>
      </c>
      <c r="F1132">
        <v>41.9</v>
      </c>
      <c r="G1132">
        <v>290.5</v>
      </c>
      <c r="H1132">
        <v>3</v>
      </c>
      <c r="I1132">
        <v>35.86</v>
      </c>
      <c r="J1132">
        <v>201</v>
      </c>
      <c r="K1132">
        <v>71</v>
      </c>
      <c r="L1132">
        <v>22</v>
      </c>
      <c r="M1132">
        <v>36</v>
      </c>
      <c r="N1132">
        <v>0</v>
      </c>
      <c r="O1132">
        <v>1819</v>
      </c>
      <c r="P1132">
        <v>0</v>
      </c>
      <c r="Q1132">
        <v>-1485</v>
      </c>
    </row>
    <row r="1133" spans="1:17" x14ac:dyDescent="0.45">
      <c r="A1133">
        <v>2206</v>
      </c>
      <c r="B1133" t="s">
        <v>1192</v>
      </c>
      <c r="C1133">
        <v>8596</v>
      </c>
      <c r="D1133">
        <v>3</v>
      </c>
      <c r="E1133">
        <v>5208.7</v>
      </c>
      <c r="F1133">
        <v>2736.8</v>
      </c>
      <c r="G1133">
        <v>5466</v>
      </c>
      <c r="H1133">
        <v>2</v>
      </c>
      <c r="I1133">
        <v>28.63</v>
      </c>
      <c r="J1133">
        <v>2843</v>
      </c>
      <c r="K1133">
        <v>861</v>
      </c>
      <c r="L1133">
        <v>167</v>
      </c>
      <c r="M1133">
        <v>688</v>
      </c>
      <c r="N1133">
        <v>0</v>
      </c>
      <c r="O1133">
        <v>1027</v>
      </c>
      <c r="P1133">
        <v>1329</v>
      </c>
      <c r="Q1133">
        <v>-442</v>
      </c>
    </row>
    <row r="1134" spans="1:17" x14ac:dyDescent="0.45">
      <c r="A1134">
        <v>2140</v>
      </c>
      <c r="B1134" t="s">
        <v>1193</v>
      </c>
      <c r="C1134">
        <v>2071</v>
      </c>
      <c r="D1134">
        <v>3</v>
      </c>
      <c r="E1134">
        <v>1587.7</v>
      </c>
      <c r="F1134">
        <v>111.1</v>
      </c>
      <c r="G1134">
        <v>2708.7</v>
      </c>
      <c r="H1134">
        <v>2</v>
      </c>
      <c r="I1134">
        <v>28.63</v>
      </c>
      <c r="J1134">
        <v>847</v>
      </c>
      <c r="K1134">
        <v>266</v>
      </c>
      <c r="L1134">
        <v>67</v>
      </c>
      <c r="M1134">
        <v>153</v>
      </c>
      <c r="N1134">
        <v>0</v>
      </c>
      <c r="O1134">
        <v>3096</v>
      </c>
      <c r="P1134">
        <v>2015.65</v>
      </c>
      <c r="Q1134">
        <v>-361</v>
      </c>
    </row>
    <row r="1135" spans="1:17" x14ac:dyDescent="0.45">
      <c r="A1135">
        <v>35</v>
      </c>
      <c r="B1135" t="s">
        <v>1195</v>
      </c>
      <c r="C1135">
        <v>1950</v>
      </c>
      <c r="D1135">
        <v>3</v>
      </c>
      <c r="E1135">
        <v>2075</v>
      </c>
      <c r="F1135">
        <v>4.2</v>
      </c>
      <c r="G1135">
        <v>3612.5</v>
      </c>
      <c r="H1135">
        <v>2</v>
      </c>
      <c r="I1135">
        <v>24.61</v>
      </c>
      <c r="J1135">
        <v>709</v>
      </c>
      <c r="K1135">
        <v>347</v>
      </c>
      <c r="L1135">
        <v>44</v>
      </c>
      <c r="M1135">
        <v>106</v>
      </c>
      <c r="N1135">
        <v>0</v>
      </c>
      <c r="O1135">
        <v>2325</v>
      </c>
      <c r="P1135">
        <v>306.42</v>
      </c>
      <c r="Q1135">
        <v>-1104</v>
      </c>
    </row>
    <row r="1136" spans="1:17" x14ac:dyDescent="0.45">
      <c r="A1136">
        <v>6136</v>
      </c>
      <c r="B1136" t="s">
        <v>1196</v>
      </c>
      <c r="C1136">
        <v>20974</v>
      </c>
      <c r="D1136">
        <v>2</v>
      </c>
      <c r="E1136">
        <v>8452.5</v>
      </c>
      <c r="F1136">
        <v>5793.4</v>
      </c>
      <c r="G1136">
        <v>20864.2</v>
      </c>
      <c r="H1136">
        <v>1</v>
      </c>
      <c r="I1136">
        <v>24.74</v>
      </c>
      <c r="J1136">
        <v>8901</v>
      </c>
      <c r="K1136">
        <v>3223</v>
      </c>
      <c r="L1136">
        <v>431</v>
      </c>
      <c r="M1136">
        <v>1098</v>
      </c>
      <c r="N1136">
        <v>0</v>
      </c>
      <c r="O1136">
        <v>4086</v>
      </c>
      <c r="P1136">
        <v>1054.3399999999999</v>
      </c>
      <c r="Q1136">
        <v>-2529</v>
      </c>
    </row>
    <row r="1137" spans="1:17" x14ac:dyDescent="0.45">
      <c r="A1137">
        <v>6137</v>
      </c>
      <c r="B1137" t="s">
        <v>1197</v>
      </c>
      <c r="C1137">
        <v>2336</v>
      </c>
      <c r="D1137">
        <v>3</v>
      </c>
      <c r="E1137">
        <v>1611</v>
      </c>
      <c r="F1137">
        <v>25.5</v>
      </c>
      <c r="G1137">
        <v>1208</v>
      </c>
      <c r="H1137">
        <v>1</v>
      </c>
      <c r="I1137">
        <v>24.74</v>
      </c>
      <c r="J1137">
        <v>1108</v>
      </c>
      <c r="K1137">
        <v>398</v>
      </c>
      <c r="L1137">
        <v>54</v>
      </c>
      <c r="M1137">
        <v>116</v>
      </c>
      <c r="N1137">
        <v>0</v>
      </c>
      <c r="O1137">
        <v>875</v>
      </c>
      <c r="P1137">
        <v>0</v>
      </c>
      <c r="Q1137">
        <v>-4837</v>
      </c>
    </row>
    <row r="1138" spans="1:17" x14ac:dyDescent="0.45">
      <c r="A1138">
        <v>8</v>
      </c>
      <c r="B1138" t="s">
        <v>1198</v>
      </c>
      <c r="C1138">
        <v>644</v>
      </c>
      <c r="D1138">
        <v>3</v>
      </c>
      <c r="E1138">
        <v>617.5</v>
      </c>
      <c r="F1138">
        <v>0</v>
      </c>
      <c r="G1138">
        <v>1074.0999999999999</v>
      </c>
      <c r="H1138">
        <v>3</v>
      </c>
      <c r="I1138">
        <v>25.15</v>
      </c>
      <c r="J1138">
        <v>222</v>
      </c>
      <c r="K1138">
        <v>104</v>
      </c>
      <c r="L1138">
        <v>22</v>
      </c>
      <c r="M1138">
        <v>27</v>
      </c>
      <c r="N1138">
        <v>0</v>
      </c>
      <c r="O1138">
        <v>2124</v>
      </c>
      <c r="P1138">
        <v>25.83</v>
      </c>
      <c r="Q1138">
        <v>-221</v>
      </c>
    </row>
    <row r="1139" spans="1:17" x14ac:dyDescent="0.45">
      <c r="A1139">
        <v>3663</v>
      </c>
      <c r="B1139" t="s">
        <v>1199</v>
      </c>
      <c r="C1139">
        <v>517</v>
      </c>
      <c r="D1139">
        <v>3</v>
      </c>
      <c r="E1139">
        <v>269.89999999999998</v>
      </c>
      <c r="F1139">
        <v>0</v>
      </c>
      <c r="G1139">
        <v>574.4</v>
      </c>
      <c r="H1139">
        <v>2</v>
      </c>
      <c r="I1139">
        <v>21.73</v>
      </c>
      <c r="J1139">
        <v>143</v>
      </c>
      <c r="K1139">
        <v>118</v>
      </c>
      <c r="L1139">
        <v>10</v>
      </c>
      <c r="M1139">
        <v>16</v>
      </c>
      <c r="N1139">
        <v>0</v>
      </c>
      <c r="O1139">
        <v>1131</v>
      </c>
      <c r="P1139">
        <v>0</v>
      </c>
      <c r="Q1139">
        <v>-442</v>
      </c>
    </row>
    <row r="1140" spans="1:17" x14ac:dyDescent="0.45">
      <c r="A1140">
        <v>5196</v>
      </c>
      <c r="B1140" t="s">
        <v>1200</v>
      </c>
      <c r="C1140">
        <v>6575</v>
      </c>
      <c r="D1140">
        <v>2</v>
      </c>
      <c r="E1140">
        <v>4162.2</v>
      </c>
      <c r="F1140">
        <v>4261.6000000000004</v>
      </c>
      <c r="G1140">
        <v>1000.9</v>
      </c>
      <c r="H1140">
        <v>1</v>
      </c>
      <c r="I1140">
        <v>18.600000000000001</v>
      </c>
      <c r="J1140">
        <v>1914</v>
      </c>
      <c r="K1140">
        <v>726</v>
      </c>
      <c r="L1140">
        <v>76</v>
      </c>
      <c r="M1140">
        <v>439</v>
      </c>
      <c r="N1140">
        <v>0</v>
      </c>
      <c r="O1140">
        <v>0</v>
      </c>
      <c r="P1140">
        <v>0</v>
      </c>
      <c r="Q1140">
        <v>0</v>
      </c>
    </row>
    <row r="1141" spans="1:17" x14ac:dyDescent="0.45">
      <c r="A1141">
        <v>6215</v>
      </c>
      <c r="B1141" t="s">
        <v>1201</v>
      </c>
      <c r="C1141">
        <v>1984</v>
      </c>
      <c r="D1141">
        <v>3</v>
      </c>
      <c r="E1141">
        <v>978.3</v>
      </c>
      <c r="F1141">
        <v>999.8</v>
      </c>
      <c r="G1141">
        <v>1688.2</v>
      </c>
      <c r="H1141">
        <v>2</v>
      </c>
      <c r="I1141">
        <v>30.34</v>
      </c>
      <c r="J1141">
        <v>975</v>
      </c>
      <c r="K1141">
        <v>304</v>
      </c>
      <c r="L1141">
        <v>41</v>
      </c>
      <c r="M1141">
        <v>128</v>
      </c>
      <c r="N1141">
        <v>0</v>
      </c>
      <c r="O1141">
        <v>1248</v>
      </c>
      <c r="P1141">
        <v>0</v>
      </c>
      <c r="Q1141">
        <v>-562</v>
      </c>
    </row>
    <row r="1142" spans="1:17" x14ac:dyDescent="0.45">
      <c r="A1142">
        <v>2086</v>
      </c>
      <c r="B1142" t="s">
        <v>1202</v>
      </c>
      <c r="C1142">
        <v>586</v>
      </c>
      <c r="D1142">
        <v>3</v>
      </c>
      <c r="E1142">
        <v>590.1</v>
      </c>
      <c r="F1142">
        <v>0</v>
      </c>
      <c r="G1142">
        <v>1058.2</v>
      </c>
      <c r="H1142">
        <v>3</v>
      </c>
      <c r="I1142">
        <v>36.93</v>
      </c>
      <c r="J1142">
        <v>281</v>
      </c>
      <c r="K1142">
        <v>57</v>
      </c>
      <c r="L1142">
        <v>10</v>
      </c>
      <c r="M1142">
        <v>46</v>
      </c>
      <c r="N1142">
        <v>0</v>
      </c>
      <c r="O1142">
        <v>3089</v>
      </c>
      <c r="P1142">
        <v>0</v>
      </c>
      <c r="Q1142">
        <v>-140</v>
      </c>
    </row>
    <row r="1143" spans="1:17" x14ac:dyDescent="0.45">
      <c r="A1143">
        <v>5919</v>
      </c>
      <c r="B1143" t="s">
        <v>1203</v>
      </c>
      <c r="C1143">
        <v>684</v>
      </c>
      <c r="D1143">
        <v>3</v>
      </c>
      <c r="E1143">
        <v>467.2</v>
      </c>
      <c r="F1143">
        <v>665.4</v>
      </c>
      <c r="G1143">
        <v>1130</v>
      </c>
      <c r="H1143">
        <v>3</v>
      </c>
      <c r="I1143">
        <v>35.86</v>
      </c>
      <c r="J1143">
        <v>276</v>
      </c>
      <c r="K1143">
        <v>102</v>
      </c>
      <c r="L1143">
        <v>15</v>
      </c>
      <c r="M1143">
        <v>44</v>
      </c>
      <c r="N1143">
        <v>0</v>
      </c>
      <c r="O1143">
        <v>4076</v>
      </c>
      <c r="P1143">
        <v>70.13</v>
      </c>
      <c r="Q1143">
        <v>-100</v>
      </c>
    </row>
    <row r="1144" spans="1:17" x14ac:dyDescent="0.45">
      <c r="A1144">
        <v>2208</v>
      </c>
      <c r="B1144" t="s">
        <v>1204</v>
      </c>
      <c r="C1144">
        <v>1721</v>
      </c>
      <c r="D1144">
        <v>2</v>
      </c>
      <c r="E1144">
        <v>719.5</v>
      </c>
      <c r="F1144">
        <v>795</v>
      </c>
      <c r="G1144">
        <v>4378</v>
      </c>
      <c r="H1144">
        <v>2</v>
      </c>
      <c r="I1144">
        <v>28.63</v>
      </c>
      <c r="J1144">
        <v>798</v>
      </c>
      <c r="K1144">
        <v>315</v>
      </c>
      <c r="L1144">
        <v>122</v>
      </c>
      <c r="M1144">
        <v>225</v>
      </c>
      <c r="N1144">
        <v>0</v>
      </c>
      <c r="O1144">
        <v>604</v>
      </c>
      <c r="P1144">
        <v>0</v>
      </c>
      <c r="Q1144">
        <v>-120</v>
      </c>
    </row>
    <row r="1145" spans="1:17" x14ac:dyDescent="0.45">
      <c r="A1145">
        <v>587</v>
      </c>
      <c r="B1145" t="s">
        <v>1205</v>
      </c>
      <c r="C1145">
        <v>4171</v>
      </c>
      <c r="D1145">
        <v>2</v>
      </c>
      <c r="E1145">
        <v>4290.8</v>
      </c>
      <c r="F1145">
        <v>1129</v>
      </c>
      <c r="G1145">
        <v>1395.1</v>
      </c>
      <c r="H1145">
        <v>1</v>
      </c>
      <c r="I1145">
        <v>16.760000000000002</v>
      </c>
      <c r="J1145">
        <v>1124</v>
      </c>
      <c r="K1145">
        <v>543</v>
      </c>
      <c r="L1145">
        <v>69</v>
      </c>
      <c r="M1145">
        <v>138</v>
      </c>
      <c r="N1145">
        <v>0</v>
      </c>
      <c r="O1145">
        <v>470</v>
      </c>
      <c r="P1145">
        <v>0</v>
      </c>
      <c r="Q1145">
        <v>-662</v>
      </c>
    </row>
    <row r="1146" spans="1:17" x14ac:dyDescent="0.45">
      <c r="A1146">
        <v>543</v>
      </c>
      <c r="B1146" t="s">
        <v>1206</v>
      </c>
      <c r="C1146">
        <v>589</v>
      </c>
      <c r="D1146">
        <v>2</v>
      </c>
      <c r="E1146">
        <v>734.1</v>
      </c>
      <c r="F1146">
        <v>5</v>
      </c>
      <c r="G1146">
        <v>954.8</v>
      </c>
      <c r="H1146">
        <v>2</v>
      </c>
      <c r="I1146">
        <v>24.84</v>
      </c>
      <c r="J1146">
        <v>225</v>
      </c>
      <c r="K1146">
        <v>79</v>
      </c>
      <c r="L1146">
        <v>14</v>
      </c>
      <c r="M1146">
        <v>24</v>
      </c>
      <c r="N1146">
        <v>0</v>
      </c>
      <c r="O1146">
        <v>863</v>
      </c>
      <c r="P1146">
        <v>0</v>
      </c>
      <c r="Q1146">
        <v>-261</v>
      </c>
    </row>
    <row r="1147" spans="1:17" x14ac:dyDescent="0.45">
      <c r="A1147">
        <v>2427</v>
      </c>
      <c r="B1147" t="s">
        <v>1207</v>
      </c>
      <c r="C1147">
        <v>1349</v>
      </c>
      <c r="D1147">
        <v>3</v>
      </c>
      <c r="E1147">
        <v>1943.8</v>
      </c>
      <c r="F1147">
        <v>16.3</v>
      </c>
      <c r="G1147">
        <v>886.1</v>
      </c>
      <c r="H1147">
        <v>3</v>
      </c>
      <c r="I1147">
        <v>28.59</v>
      </c>
      <c r="J1147">
        <v>521</v>
      </c>
      <c r="K1147">
        <v>236</v>
      </c>
      <c r="L1147">
        <v>29</v>
      </c>
      <c r="M1147">
        <v>56</v>
      </c>
      <c r="N1147">
        <v>0</v>
      </c>
      <c r="O1147">
        <v>2641</v>
      </c>
      <c r="P1147">
        <v>0</v>
      </c>
      <c r="Q1147">
        <v>-1144</v>
      </c>
    </row>
    <row r="1148" spans="1:17" x14ac:dyDescent="0.45">
      <c r="A1148">
        <v>4591</v>
      </c>
      <c r="B1148" t="s">
        <v>1208</v>
      </c>
      <c r="C1148">
        <v>3112</v>
      </c>
      <c r="D1148">
        <v>3</v>
      </c>
      <c r="E1148">
        <v>1869.9</v>
      </c>
      <c r="F1148">
        <v>1803.4</v>
      </c>
      <c r="G1148">
        <v>2985.3</v>
      </c>
      <c r="H1148">
        <v>2</v>
      </c>
      <c r="I1148">
        <v>21.63</v>
      </c>
      <c r="J1148">
        <v>1235</v>
      </c>
      <c r="K1148">
        <v>563</v>
      </c>
      <c r="L1148">
        <v>73</v>
      </c>
      <c r="M1148">
        <v>110</v>
      </c>
      <c r="N1148">
        <v>0</v>
      </c>
      <c r="O1148">
        <v>2086</v>
      </c>
      <c r="P1148">
        <v>2215</v>
      </c>
      <c r="Q1148">
        <v>-401</v>
      </c>
    </row>
    <row r="1149" spans="1:17" x14ac:dyDescent="0.45">
      <c r="A1149">
        <v>5562</v>
      </c>
      <c r="B1149" t="s">
        <v>1209</v>
      </c>
      <c r="C1149">
        <v>139</v>
      </c>
      <c r="D1149">
        <v>3</v>
      </c>
      <c r="E1149">
        <v>182.6</v>
      </c>
      <c r="F1149">
        <v>63.5</v>
      </c>
      <c r="G1149">
        <v>314.3</v>
      </c>
      <c r="H1149">
        <v>3</v>
      </c>
      <c r="I1149">
        <v>35.86</v>
      </c>
      <c r="J1149">
        <v>47</v>
      </c>
      <c r="K1149">
        <v>24</v>
      </c>
      <c r="L1149">
        <v>4</v>
      </c>
      <c r="M1149">
        <v>6</v>
      </c>
      <c r="N1149">
        <v>0</v>
      </c>
      <c r="O1149">
        <v>1205</v>
      </c>
      <c r="P1149">
        <v>0</v>
      </c>
      <c r="Q1149">
        <v>-723</v>
      </c>
    </row>
    <row r="1150" spans="1:17" x14ac:dyDescent="0.45">
      <c r="A1150">
        <v>1091</v>
      </c>
      <c r="B1150" t="s">
        <v>1210</v>
      </c>
      <c r="C1150">
        <v>1543</v>
      </c>
      <c r="D1150">
        <v>3</v>
      </c>
      <c r="E1150">
        <v>673.8</v>
      </c>
      <c r="F1150">
        <v>68</v>
      </c>
      <c r="G1150">
        <v>1967.8</v>
      </c>
      <c r="H1150">
        <v>3</v>
      </c>
      <c r="I1150">
        <v>26.39</v>
      </c>
      <c r="J1150">
        <v>372</v>
      </c>
      <c r="K1150">
        <v>132</v>
      </c>
      <c r="L1150">
        <v>33</v>
      </c>
      <c r="M1150">
        <v>50</v>
      </c>
      <c r="N1150">
        <v>0</v>
      </c>
      <c r="O1150">
        <v>3802</v>
      </c>
      <c r="P1150">
        <v>0</v>
      </c>
      <c r="Q1150">
        <v>-241</v>
      </c>
    </row>
    <row r="1151" spans="1:17" x14ac:dyDescent="0.45">
      <c r="A1151">
        <v>195</v>
      </c>
      <c r="B1151" t="s">
        <v>1211</v>
      </c>
      <c r="C1151">
        <v>10757</v>
      </c>
      <c r="D1151">
        <v>3</v>
      </c>
      <c r="E1151">
        <v>11756.2</v>
      </c>
      <c r="F1151">
        <v>1089.8</v>
      </c>
      <c r="G1151">
        <v>6328.2</v>
      </c>
      <c r="H1151">
        <v>2</v>
      </c>
      <c r="I1151">
        <v>24.61</v>
      </c>
      <c r="J1151">
        <v>4126</v>
      </c>
      <c r="K1151">
        <v>1447</v>
      </c>
      <c r="L1151">
        <v>465</v>
      </c>
      <c r="M1151">
        <v>811</v>
      </c>
      <c r="N1151">
        <v>0</v>
      </c>
      <c r="O1151">
        <v>5101</v>
      </c>
      <c r="P1151">
        <v>332.25</v>
      </c>
      <c r="Q1151">
        <v>-743</v>
      </c>
    </row>
    <row r="1152" spans="1:17" x14ac:dyDescent="0.45">
      <c r="A1152">
        <v>5488</v>
      </c>
      <c r="B1152" t="s">
        <v>1212</v>
      </c>
      <c r="C1152">
        <v>65</v>
      </c>
      <c r="D1152">
        <v>3</v>
      </c>
      <c r="E1152">
        <v>88.5</v>
      </c>
      <c r="F1152">
        <v>97.6</v>
      </c>
      <c r="G1152">
        <v>35.5</v>
      </c>
      <c r="H1152">
        <v>3</v>
      </c>
      <c r="I1152">
        <v>35.86</v>
      </c>
      <c r="J1152">
        <v>28</v>
      </c>
      <c r="K1152">
        <v>3</v>
      </c>
      <c r="L1152">
        <v>0</v>
      </c>
      <c r="M1152">
        <v>1</v>
      </c>
      <c r="N1152">
        <v>0</v>
      </c>
      <c r="O1152">
        <v>583</v>
      </c>
      <c r="P1152">
        <v>0</v>
      </c>
      <c r="Q1152">
        <v>0</v>
      </c>
    </row>
    <row r="1153" spans="1:17" x14ac:dyDescent="0.45">
      <c r="A1153">
        <v>3983</v>
      </c>
      <c r="B1153" t="s">
        <v>1213</v>
      </c>
      <c r="C1153">
        <v>332</v>
      </c>
      <c r="D1153">
        <v>3</v>
      </c>
      <c r="E1153">
        <v>291</v>
      </c>
      <c r="F1153">
        <v>0.7</v>
      </c>
      <c r="G1153">
        <v>400.9</v>
      </c>
      <c r="H1153">
        <v>3</v>
      </c>
      <c r="I1153">
        <v>29.04</v>
      </c>
      <c r="J1153">
        <v>105</v>
      </c>
      <c r="K1153">
        <v>76</v>
      </c>
      <c r="L1153">
        <v>7</v>
      </c>
      <c r="M1153">
        <v>9</v>
      </c>
      <c r="N1153">
        <v>0</v>
      </c>
      <c r="O1153">
        <v>1590</v>
      </c>
      <c r="P1153">
        <v>47.27</v>
      </c>
      <c r="Q1153">
        <v>-4275</v>
      </c>
    </row>
    <row r="1154" spans="1:17" x14ac:dyDescent="0.45">
      <c r="A1154">
        <v>1063</v>
      </c>
      <c r="B1154" t="s">
        <v>1214</v>
      </c>
      <c r="C1154">
        <v>7716</v>
      </c>
      <c r="D1154">
        <v>1</v>
      </c>
      <c r="E1154">
        <v>5825.3</v>
      </c>
      <c r="F1154">
        <v>2878.6</v>
      </c>
      <c r="G1154">
        <v>7240.1</v>
      </c>
      <c r="H1154">
        <v>1</v>
      </c>
      <c r="I1154">
        <v>19.39</v>
      </c>
      <c r="J1154">
        <v>2875</v>
      </c>
      <c r="K1154">
        <v>981</v>
      </c>
      <c r="L1154">
        <v>286</v>
      </c>
      <c r="M1154">
        <v>565</v>
      </c>
      <c r="N1154">
        <v>0</v>
      </c>
      <c r="O1154">
        <v>1102</v>
      </c>
      <c r="P1154">
        <v>0</v>
      </c>
      <c r="Q1154">
        <v>-301</v>
      </c>
    </row>
    <row r="1155" spans="1:17" x14ac:dyDescent="0.45">
      <c r="A1155">
        <v>389</v>
      </c>
      <c r="B1155" t="s">
        <v>1215</v>
      </c>
      <c r="C1155">
        <v>56</v>
      </c>
      <c r="D1155">
        <v>2</v>
      </c>
      <c r="E1155">
        <v>123.6</v>
      </c>
      <c r="F1155">
        <v>0</v>
      </c>
      <c r="G1155">
        <v>359.3</v>
      </c>
      <c r="H1155">
        <v>3</v>
      </c>
      <c r="I1155">
        <v>26.41</v>
      </c>
      <c r="J1155">
        <v>20</v>
      </c>
      <c r="K1155">
        <v>16</v>
      </c>
      <c r="L1155">
        <v>0</v>
      </c>
      <c r="M1155">
        <v>2</v>
      </c>
      <c r="N1155">
        <v>0</v>
      </c>
      <c r="O1155">
        <v>478</v>
      </c>
      <c r="P1155">
        <v>0</v>
      </c>
      <c r="Q1155">
        <v>-20</v>
      </c>
    </row>
    <row r="1156" spans="1:17" x14ac:dyDescent="0.45">
      <c r="A1156">
        <v>1064</v>
      </c>
      <c r="B1156" t="s">
        <v>1216</v>
      </c>
      <c r="C1156">
        <v>1596</v>
      </c>
      <c r="D1156">
        <v>3</v>
      </c>
      <c r="E1156">
        <v>1138.7</v>
      </c>
      <c r="F1156">
        <v>33.4</v>
      </c>
      <c r="G1156">
        <v>1925.1</v>
      </c>
      <c r="H1156">
        <v>2</v>
      </c>
      <c r="I1156">
        <v>28.41</v>
      </c>
      <c r="J1156">
        <v>460</v>
      </c>
      <c r="K1156">
        <v>248</v>
      </c>
      <c r="L1156">
        <v>52</v>
      </c>
      <c r="M1156">
        <v>102</v>
      </c>
      <c r="N1156">
        <v>0</v>
      </c>
      <c r="O1156">
        <v>3838</v>
      </c>
      <c r="P1156">
        <v>0</v>
      </c>
      <c r="Q1156">
        <v>-361</v>
      </c>
    </row>
    <row r="1157" spans="1:17" x14ac:dyDescent="0.45">
      <c r="A1157">
        <v>307</v>
      </c>
      <c r="B1157" t="s">
        <v>1217</v>
      </c>
      <c r="C1157">
        <v>2558</v>
      </c>
      <c r="D1157">
        <v>3</v>
      </c>
      <c r="E1157">
        <v>2377.8000000000002</v>
      </c>
      <c r="F1157">
        <v>35.200000000000003</v>
      </c>
      <c r="G1157">
        <v>2782.1</v>
      </c>
      <c r="H1157">
        <v>3</v>
      </c>
      <c r="I1157">
        <v>26.41</v>
      </c>
      <c r="J1157">
        <v>885</v>
      </c>
      <c r="K1157">
        <v>360</v>
      </c>
      <c r="L1157">
        <v>66</v>
      </c>
      <c r="M1157">
        <v>127</v>
      </c>
      <c r="N1157">
        <v>0</v>
      </c>
      <c r="O1157">
        <v>3838</v>
      </c>
      <c r="P1157">
        <v>0</v>
      </c>
      <c r="Q1157">
        <v>-522</v>
      </c>
    </row>
    <row r="1158" spans="1:17" x14ac:dyDescent="0.45">
      <c r="A1158">
        <v>156</v>
      </c>
      <c r="B1158" t="s">
        <v>1218</v>
      </c>
      <c r="C1158">
        <v>14754</v>
      </c>
      <c r="D1158">
        <v>3</v>
      </c>
      <c r="E1158">
        <v>11899.5</v>
      </c>
      <c r="F1158">
        <v>8966.4</v>
      </c>
      <c r="G1158">
        <v>6444.4</v>
      </c>
      <c r="H1158">
        <v>1</v>
      </c>
      <c r="I1158">
        <v>15.69</v>
      </c>
      <c r="J1158">
        <v>4651</v>
      </c>
      <c r="K1158">
        <v>1753</v>
      </c>
      <c r="L1158">
        <v>479</v>
      </c>
      <c r="M1158">
        <v>916</v>
      </c>
      <c r="N1158">
        <v>0</v>
      </c>
      <c r="O1158">
        <v>3160</v>
      </c>
      <c r="P1158">
        <v>2215</v>
      </c>
      <c r="Q1158">
        <v>-562</v>
      </c>
    </row>
    <row r="1159" spans="1:17" x14ac:dyDescent="0.45">
      <c r="A1159">
        <v>6629</v>
      </c>
      <c r="B1159" t="s">
        <v>1219</v>
      </c>
      <c r="C1159">
        <v>2069</v>
      </c>
      <c r="D1159">
        <v>3</v>
      </c>
      <c r="E1159">
        <v>1632.3</v>
      </c>
      <c r="F1159">
        <v>1021.6</v>
      </c>
      <c r="G1159">
        <v>558.5</v>
      </c>
      <c r="H1159">
        <v>1</v>
      </c>
      <c r="I1159">
        <v>10.3</v>
      </c>
      <c r="J1159">
        <v>901</v>
      </c>
      <c r="K1159">
        <v>203</v>
      </c>
      <c r="L1159">
        <v>47</v>
      </c>
      <c r="M1159">
        <v>162</v>
      </c>
      <c r="N1159">
        <v>0</v>
      </c>
      <c r="O1159">
        <v>1906</v>
      </c>
      <c r="P1159">
        <v>0</v>
      </c>
      <c r="Q1159">
        <v>-40</v>
      </c>
    </row>
    <row r="1160" spans="1:17" x14ac:dyDescent="0.45">
      <c r="A1160">
        <v>390</v>
      </c>
      <c r="B1160" t="s">
        <v>1220</v>
      </c>
      <c r="C1160">
        <v>1419</v>
      </c>
      <c r="D1160">
        <v>2</v>
      </c>
      <c r="E1160">
        <v>1883</v>
      </c>
      <c r="F1160">
        <v>22.3</v>
      </c>
      <c r="G1160">
        <v>879</v>
      </c>
      <c r="H1160">
        <v>3</v>
      </c>
      <c r="I1160">
        <v>26.41</v>
      </c>
      <c r="J1160">
        <v>543</v>
      </c>
      <c r="K1160">
        <v>216</v>
      </c>
      <c r="L1160">
        <v>18</v>
      </c>
      <c r="M1160">
        <v>51</v>
      </c>
      <c r="N1160">
        <v>0</v>
      </c>
      <c r="O1160">
        <v>383</v>
      </c>
      <c r="P1160">
        <v>0</v>
      </c>
      <c r="Q1160">
        <v>-221</v>
      </c>
    </row>
    <row r="1161" spans="1:17" x14ac:dyDescent="0.45">
      <c r="A1161">
        <v>785</v>
      </c>
      <c r="B1161" t="s">
        <v>1221</v>
      </c>
      <c r="C1161">
        <v>4656</v>
      </c>
      <c r="D1161">
        <v>2</v>
      </c>
      <c r="E1161">
        <v>6744.6</v>
      </c>
      <c r="F1161">
        <v>38.4</v>
      </c>
      <c r="G1161">
        <v>2553.9</v>
      </c>
      <c r="H1161">
        <v>2</v>
      </c>
      <c r="I1161">
        <v>24.84</v>
      </c>
      <c r="J1161">
        <v>1351</v>
      </c>
      <c r="K1161">
        <v>900</v>
      </c>
      <c r="L1161">
        <v>89</v>
      </c>
      <c r="M1161">
        <v>178</v>
      </c>
      <c r="N1161">
        <v>0</v>
      </c>
      <c r="O1161">
        <v>6432</v>
      </c>
      <c r="P1161">
        <v>886</v>
      </c>
      <c r="Q1161">
        <v>-2509</v>
      </c>
    </row>
    <row r="1162" spans="1:17" x14ac:dyDescent="0.45">
      <c r="A1162">
        <v>4202</v>
      </c>
      <c r="B1162" t="s">
        <v>1222</v>
      </c>
      <c r="C1162">
        <v>3266</v>
      </c>
      <c r="D1162">
        <v>3</v>
      </c>
      <c r="E1162">
        <v>3077.6</v>
      </c>
      <c r="F1162">
        <v>6.6</v>
      </c>
      <c r="G1162">
        <v>2907.9</v>
      </c>
      <c r="H1162">
        <v>3</v>
      </c>
      <c r="I1162">
        <v>23.9</v>
      </c>
      <c r="J1162">
        <v>1506</v>
      </c>
      <c r="K1162">
        <v>520</v>
      </c>
      <c r="L1162">
        <v>156</v>
      </c>
      <c r="M1162">
        <v>254</v>
      </c>
      <c r="N1162">
        <v>0</v>
      </c>
      <c r="O1162">
        <v>933</v>
      </c>
      <c r="P1162">
        <v>0</v>
      </c>
      <c r="Q1162">
        <v>-161</v>
      </c>
    </row>
    <row r="1163" spans="1:17" x14ac:dyDescent="0.45">
      <c r="A1163">
        <v>333</v>
      </c>
      <c r="B1163" t="s">
        <v>1223</v>
      </c>
      <c r="C1163">
        <v>1482</v>
      </c>
      <c r="D1163">
        <v>3</v>
      </c>
      <c r="E1163">
        <v>1146.9000000000001</v>
      </c>
      <c r="F1163">
        <v>0</v>
      </c>
      <c r="G1163">
        <v>2062.3000000000002</v>
      </c>
      <c r="H1163">
        <v>3</v>
      </c>
      <c r="I1163">
        <v>26.41</v>
      </c>
      <c r="J1163">
        <v>532</v>
      </c>
      <c r="K1163">
        <v>216</v>
      </c>
      <c r="L1163">
        <v>26</v>
      </c>
      <c r="M1163">
        <v>51</v>
      </c>
      <c r="N1163">
        <v>0</v>
      </c>
      <c r="O1163">
        <v>3251</v>
      </c>
      <c r="P1163">
        <v>0</v>
      </c>
      <c r="Q1163">
        <v>-682</v>
      </c>
    </row>
    <row r="1164" spans="1:17" x14ac:dyDescent="0.45">
      <c r="A1164">
        <v>5198</v>
      </c>
      <c r="B1164" t="s">
        <v>1224</v>
      </c>
      <c r="C1164">
        <v>1796</v>
      </c>
      <c r="D1164">
        <v>3</v>
      </c>
      <c r="E1164">
        <v>2168.6</v>
      </c>
      <c r="F1164">
        <v>365.9</v>
      </c>
      <c r="G1164">
        <v>876.4</v>
      </c>
      <c r="H1164">
        <v>2</v>
      </c>
      <c r="I1164">
        <v>22.12</v>
      </c>
      <c r="J1164">
        <v>625</v>
      </c>
      <c r="K1164">
        <v>225</v>
      </c>
      <c r="L1164">
        <v>35</v>
      </c>
      <c r="M1164">
        <v>177</v>
      </c>
      <c r="N1164">
        <v>0</v>
      </c>
      <c r="O1164">
        <v>4</v>
      </c>
      <c r="P1164">
        <v>0</v>
      </c>
      <c r="Q1164">
        <v>-221</v>
      </c>
    </row>
    <row r="1165" spans="1:17" x14ac:dyDescent="0.45">
      <c r="A1165">
        <v>4314</v>
      </c>
      <c r="B1165" t="s">
        <v>1225</v>
      </c>
      <c r="C1165">
        <v>231</v>
      </c>
      <c r="D1165">
        <v>3</v>
      </c>
      <c r="E1165">
        <v>347.1</v>
      </c>
      <c r="F1165">
        <v>0</v>
      </c>
      <c r="G1165">
        <v>330.9</v>
      </c>
      <c r="H1165">
        <v>3</v>
      </c>
      <c r="I1165">
        <v>23.9</v>
      </c>
      <c r="J1165">
        <v>111</v>
      </c>
      <c r="K1165">
        <v>54</v>
      </c>
      <c r="L1165">
        <v>11</v>
      </c>
      <c r="M1165">
        <v>5</v>
      </c>
      <c r="N1165">
        <v>0</v>
      </c>
      <c r="O1165">
        <v>274</v>
      </c>
      <c r="P1165">
        <v>0</v>
      </c>
      <c r="Q1165">
        <v>-261</v>
      </c>
    </row>
    <row r="1166" spans="1:17" x14ac:dyDescent="0.45">
      <c r="A1166">
        <v>4033</v>
      </c>
      <c r="B1166" t="s">
        <v>1226</v>
      </c>
      <c r="C1166">
        <v>6019</v>
      </c>
      <c r="D1166">
        <v>3</v>
      </c>
      <c r="E1166">
        <v>6043.5</v>
      </c>
      <c r="F1166">
        <v>231.1</v>
      </c>
      <c r="G1166">
        <v>2702.2</v>
      </c>
      <c r="H1166">
        <v>2</v>
      </c>
      <c r="I1166">
        <v>23.46</v>
      </c>
      <c r="J1166">
        <v>2022</v>
      </c>
      <c r="K1166">
        <v>975</v>
      </c>
      <c r="L1166">
        <v>136</v>
      </c>
      <c r="M1166">
        <v>333</v>
      </c>
      <c r="N1166">
        <v>0</v>
      </c>
      <c r="O1166">
        <v>403</v>
      </c>
      <c r="P1166">
        <v>1273.6300000000001</v>
      </c>
      <c r="Q1166">
        <v>-301</v>
      </c>
    </row>
    <row r="1167" spans="1:17" x14ac:dyDescent="0.45">
      <c r="A1167">
        <v>3293</v>
      </c>
      <c r="B1167" t="s">
        <v>1227</v>
      </c>
      <c r="C1167">
        <v>9311</v>
      </c>
      <c r="D1167">
        <v>3</v>
      </c>
      <c r="E1167">
        <v>8789.4</v>
      </c>
      <c r="F1167">
        <v>1626.4</v>
      </c>
      <c r="G1167">
        <v>7159.7</v>
      </c>
      <c r="H1167">
        <v>1</v>
      </c>
      <c r="I1167">
        <v>22.7</v>
      </c>
      <c r="J1167">
        <v>3159</v>
      </c>
      <c r="K1167">
        <v>1681</v>
      </c>
      <c r="L1167">
        <v>179</v>
      </c>
      <c r="M1167">
        <v>330</v>
      </c>
      <c r="N1167">
        <v>0</v>
      </c>
      <c r="O1167">
        <v>11248</v>
      </c>
      <c r="P1167">
        <v>39.119999999999997</v>
      </c>
      <c r="Q1167">
        <v>-7647</v>
      </c>
    </row>
    <row r="1168" spans="1:17" x14ac:dyDescent="0.45">
      <c r="A1168">
        <v>2620</v>
      </c>
      <c r="B1168" t="s">
        <v>1228</v>
      </c>
      <c r="C1168">
        <v>650</v>
      </c>
      <c r="D1168">
        <v>2</v>
      </c>
      <c r="E1168">
        <v>901.9</v>
      </c>
      <c r="F1168">
        <v>0</v>
      </c>
      <c r="G1168">
        <v>422.3</v>
      </c>
      <c r="H1168">
        <v>2</v>
      </c>
      <c r="I1168">
        <v>26.37</v>
      </c>
      <c r="J1168">
        <v>258</v>
      </c>
      <c r="K1168">
        <v>115</v>
      </c>
      <c r="L1168">
        <v>10</v>
      </c>
      <c r="M1168">
        <v>27</v>
      </c>
      <c r="N1168">
        <v>0</v>
      </c>
      <c r="O1168">
        <v>1479</v>
      </c>
      <c r="P1168">
        <v>0</v>
      </c>
      <c r="Q1168">
        <v>-582</v>
      </c>
    </row>
    <row r="1169" spans="1:17" x14ac:dyDescent="0.45">
      <c r="A1169">
        <v>5254</v>
      </c>
      <c r="B1169" t="s">
        <v>1229</v>
      </c>
      <c r="C1169">
        <v>14909</v>
      </c>
      <c r="D1169">
        <v>3</v>
      </c>
      <c r="E1169">
        <v>19182.5</v>
      </c>
      <c r="F1169">
        <v>5633.4</v>
      </c>
      <c r="G1169">
        <v>22131.8</v>
      </c>
      <c r="H1169">
        <v>1</v>
      </c>
      <c r="I1169">
        <v>18.600000000000001</v>
      </c>
      <c r="J1169">
        <v>6238</v>
      </c>
      <c r="K1169">
        <v>2165</v>
      </c>
      <c r="L1169">
        <v>357</v>
      </c>
      <c r="M1169">
        <v>1482</v>
      </c>
      <c r="N1169">
        <v>0</v>
      </c>
      <c r="O1169">
        <v>1088</v>
      </c>
      <c r="P1169">
        <v>2790.9</v>
      </c>
      <c r="Q1169">
        <v>-3693</v>
      </c>
    </row>
    <row r="1170" spans="1:17" x14ac:dyDescent="0.45">
      <c r="A1170">
        <v>4139</v>
      </c>
      <c r="B1170" t="s">
        <v>1231</v>
      </c>
      <c r="C1170">
        <v>7874</v>
      </c>
      <c r="D1170">
        <v>3</v>
      </c>
      <c r="E1170">
        <v>8675.7999999999993</v>
      </c>
      <c r="F1170">
        <v>864.3</v>
      </c>
      <c r="G1170">
        <v>3982</v>
      </c>
      <c r="H1170">
        <v>1</v>
      </c>
      <c r="I1170">
        <v>20.87</v>
      </c>
      <c r="J1170">
        <v>3055</v>
      </c>
      <c r="K1170">
        <v>1373</v>
      </c>
      <c r="L1170">
        <v>145</v>
      </c>
      <c r="M1170">
        <v>395</v>
      </c>
      <c r="N1170">
        <v>0</v>
      </c>
      <c r="O1170">
        <v>1766</v>
      </c>
      <c r="P1170">
        <v>0</v>
      </c>
      <c r="Q1170">
        <v>-321</v>
      </c>
    </row>
    <row r="1171" spans="1:17" x14ac:dyDescent="0.45">
      <c r="A1171">
        <v>1704</v>
      </c>
      <c r="B1171" t="s">
        <v>1232</v>
      </c>
      <c r="C1171">
        <v>4615</v>
      </c>
      <c r="D1171">
        <v>3</v>
      </c>
      <c r="E1171">
        <v>4901.6000000000004</v>
      </c>
      <c r="F1171">
        <v>5.6</v>
      </c>
      <c r="G1171">
        <v>4600.7</v>
      </c>
      <c r="H1171">
        <v>2</v>
      </c>
      <c r="I1171">
        <v>24.17</v>
      </c>
      <c r="J1171">
        <v>1516</v>
      </c>
      <c r="K1171">
        <v>725</v>
      </c>
      <c r="L1171">
        <v>142</v>
      </c>
      <c r="M1171">
        <v>232</v>
      </c>
      <c r="N1171">
        <v>0</v>
      </c>
      <c r="O1171">
        <v>11452</v>
      </c>
      <c r="P1171">
        <v>22.9</v>
      </c>
      <c r="Q1171">
        <v>-1485</v>
      </c>
    </row>
    <row r="1172" spans="1:17" x14ac:dyDescent="0.45">
      <c r="A1172">
        <v>1136</v>
      </c>
      <c r="B1172" t="s">
        <v>1233</v>
      </c>
      <c r="C1172">
        <v>3056</v>
      </c>
      <c r="D1172">
        <v>2</v>
      </c>
      <c r="E1172">
        <v>2454.6999999999998</v>
      </c>
      <c r="F1172">
        <v>32.200000000000003</v>
      </c>
      <c r="G1172">
        <v>9224.5</v>
      </c>
      <c r="H1172">
        <v>3</v>
      </c>
      <c r="I1172">
        <v>26.39</v>
      </c>
      <c r="J1172">
        <v>1208</v>
      </c>
      <c r="K1172">
        <v>573</v>
      </c>
      <c r="L1172">
        <v>53</v>
      </c>
      <c r="M1172">
        <v>109</v>
      </c>
      <c r="N1172">
        <v>0</v>
      </c>
      <c r="O1172">
        <v>15654</v>
      </c>
      <c r="P1172">
        <v>0</v>
      </c>
      <c r="Q1172">
        <v>-1927</v>
      </c>
    </row>
    <row r="1173" spans="1:17" x14ac:dyDescent="0.45">
      <c r="A1173">
        <v>4234</v>
      </c>
      <c r="B1173" t="s">
        <v>1234</v>
      </c>
      <c r="C1173">
        <v>3757</v>
      </c>
      <c r="D1173">
        <v>3</v>
      </c>
      <c r="E1173">
        <v>3227</v>
      </c>
      <c r="F1173">
        <v>37</v>
      </c>
      <c r="G1173">
        <v>7895.6</v>
      </c>
      <c r="H1173">
        <v>2</v>
      </c>
      <c r="I1173">
        <v>23.46</v>
      </c>
      <c r="J1173">
        <v>1409</v>
      </c>
      <c r="K1173">
        <v>660</v>
      </c>
      <c r="L1173">
        <v>97</v>
      </c>
      <c r="M1173">
        <v>193</v>
      </c>
      <c r="N1173">
        <v>0</v>
      </c>
      <c r="O1173">
        <v>7944</v>
      </c>
      <c r="P1173">
        <v>479.9</v>
      </c>
      <c r="Q1173">
        <v>-361</v>
      </c>
    </row>
    <row r="1174" spans="1:17" x14ac:dyDescent="0.45">
      <c r="A1174">
        <v>5117</v>
      </c>
      <c r="B1174" t="s">
        <v>1235</v>
      </c>
      <c r="C1174">
        <v>198</v>
      </c>
      <c r="D1174">
        <v>3</v>
      </c>
      <c r="E1174">
        <v>208.7</v>
      </c>
      <c r="F1174">
        <v>11.5</v>
      </c>
      <c r="G1174">
        <v>217.9</v>
      </c>
      <c r="H1174">
        <v>3</v>
      </c>
      <c r="I1174">
        <v>25.45</v>
      </c>
      <c r="J1174">
        <v>81</v>
      </c>
      <c r="K1174">
        <v>20</v>
      </c>
      <c r="L1174">
        <v>4</v>
      </c>
      <c r="M1174">
        <v>8</v>
      </c>
      <c r="N1174">
        <v>0</v>
      </c>
      <c r="O1174">
        <v>47</v>
      </c>
      <c r="P1174">
        <v>0</v>
      </c>
      <c r="Q1174">
        <v>-1686</v>
      </c>
    </row>
    <row r="1175" spans="1:17" x14ac:dyDescent="0.45">
      <c r="A1175">
        <v>2936</v>
      </c>
      <c r="B1175" t="s">
        <v>1236</v>
      </c>
      <c r="C1175">
        <v>873</v>
      </c>
      <c r="D1175">
        <v>3</v>
      </c>
      <c r="E1175">
        <v>827.4</v>
      </c>
      <c r="F1175">
        <v>17.600000000000001</v>
      </c>
      <c r="G1175">
        <v>986</v>
      </c>
      <c r="H1175">
        <v>3</v>
      </c>
      <c r="I1175">
        <v>19.850000000000001</v>
      </c>
      <c r="J1175">
        <v>362</v>
      </c>
      <c r="K1175">
        <v>163</v>
      </c>
      <c r="L1175">
        <v>15</v>
      </c>
      <c r="M1175">
        <v>44</v>
      </c>
      <c r="N1175">
        <v>0</v>
      </c>
      <c r="O1175">
        <v>2978</v>
      </c>
      <c r="P1175">
        <v>0</v>
      </c>
      <c r="Q1175">
        <v>-2268</v>
      </c>
    </row>
    <row r="1176" spans="1:17" x14ac:dyDescent="0.45">
      <c r="A1176">
        <v>6715</v>
      </c>
      <c r="B1176" t="s">
        <v>1237</v>
      </c>
      <c r="C1176">
        <v>522</v>
      </c>
      <c r="D1176">
        <v>3</v>
      </c>
      <c r="E1176">
        <v>1120</v>
      </c>
      <c r="F1176">
        <v>0</v>
      </c>
      <c r="G1176">
        <v>552.70000000000005</v>
      </c>
      <c r="H1176">
        <v>3</v>
      </c>
      <c r="I1176">
        <v>27.66</v>
      </c>
      <c r="J1176">
        <v>223</v>
      </c>
      <c r="K1176">
        <v>66</v>
      </c>
      <c r="L1176">
        <v>7</v>
      </c>
      <c r="M1176">
        <v>30</v>
      </c>
      <c r="N1176">
        <v>0</v>
      </c>
      <c r="O1176">
        <v>1783</v>
      </c>
      <c r="P1176">
        <v>0</v>
      </c>
      <c r="Q1176">
        <v>-963</v>
      </c>
    </row>
    <row r="1177" spans="1:17" x14ac:dyDescent="0.45">
      <c r="A1177">
        <v>741</v>
      </c>
      <c r="B1177" t="s">
        <v>1238</v>
      </c>
      <c r="C1177">
        <v>396</v>
      </c>
      <c r="D1177">
        <v>2</v>
      </c>
      <c r="E1177">
        <v>476.9</v>
      </c>
      <c r="F1177">
        <v>0</v>
      </c>
      <c r="G1177">
        <v>576.20000000000005</v>
      </c>
      <c r="H1177">
        <v>3</v>
      </c>
      <c r="I1177">
        <v>26.41</v>
      </c>
      <c r="J1177">
        <v>165</v>
      </c>
      <c r="K1177">
        <v>56</v>
      </c>
      <c r="L1177">
        <v>19</v>
      </c>
      <c r="M1177">
        <v>18</v>
      </c>
      <c r="N1177">
        <v>0</v>
      </c>
      <c r="O1177">
        <v>261</v>
      </c>
      <c r="P1177">
        <v>0</v>
      </c>
      <c r="Q1177">
        <v>-80</v>
      </c>
    </row>
    <row r="1178" spans="1:17" x14ac:dyDescent="0.45">
      <c r="A1178">
        <v>3822</v>
      </c>
      <c r="B1178" t="s">
        <v>1239</v>
      </c>
      <c r="C1178">
        <v>1365</v>
      </c>
      <c r="D1178">
        <v>3</v>
      </c>
      <c r="E1178">
        <v>2340.1999999999998</v>
      </c>
      <c r="F1178">
        <v>12</v>
      </c>
      <c r="G1178">
        <v>796.5</v>
      </c>
      <c r="H1178">
        <v>3</v>
      </c>
      <c r="I1178">
        <v>29.04</v>
      </c>
      <c r="J1178">
        <v>526</v>
      </c>
      <c r="K1178">
        <v>275</v>
      </c>
      <c r="L1178">
        <v>47</v>
      </c>
      <c r="M1178">
        <v>110</v>
      </c>
      <c r="N1178">
        <v>0</v>
      </c>
      <c r="O1178">
        <v>772</v>
      </c>
      <c r="P1178">
        <v>287.2</v>
      </c>
      <c r="Q1178">
        <v>-7145</v>
      </c>
    </row>
    <row r="1179" spans="1:17" x14ac:dyDescent="0.45">
      <c r="A1179">
        <v>2457</v>
      </c>
      <c r="B1179" t="s">
        <v>1240</v>
      </c>
      <c r="C1179">
        <v>1471</v>
      </c>
      <c r="D1179">
        <v>3</v>
      </c>
      <c r="E1179">
        <v>1521.1</v>
      </c>
      <c r="F1179">
        <v>12.9</v>
      </c>
      <c r="G1179">
        <v>2267.8000000000002</v>
      </c>
      <c r="H1179">
        <v>3</v>
      </c>
      <c r="I1179">
        <v>28.59</v>
      </c>
      <c r="J1179">
        <v>690</v>
      </c>
      <c r="K1179">
        <v>239</v>
      </c>
      <c r="L1179">
        <v>46</v>
      </c>
      <c r="M1179">
        <v>61</v>
      </c>
      <c r="N1179">
        <v>0</v>
      </c>
      <c r="O1179">
        <v>3426</v>
      </c>
      <c r="P1179">
        <v>516.85</v>
      </c>
      <c r="Q1179">
        <v>-682</v>
      </c>
    </row>
    <row r="1180" spans="1:17" x14ac:dyDescent="0.45">
      <c r="A1180">
        <v>4184</v>
      </c>
      <c r="B1180" t="s">
        <v>1241</v>
      </c>
      <c r="C1180">
        <v>2101</v>
      </c>
      <c r="D1180">
        <v>3</v>
      </c>
      <c r="E1180">
        <v>2343.3000000000002</v>
      </c>
      <c r="F1180">
        <v>4.2</v>
      </c>
      <c r="G1180">
        <v>3005.9</v>
      </c>
      <c r="H1180">
        <v>3</v>
      </c>
      <c r="I1180">
        <v>23.9</v>
      </c>
      <c r="J1180">
        <v>922</v>
      </c>
      <c r="K1180">
        <v>429</v>
      </c>
      <c r="L1180">
        <v>75</v>
      </c>
      <c r="M1180">
        <v>93</v>
      </c>
      <c r="N1180">
        <v>0</v>
      </c>
      <c r="O1180">
        <v>5062</v>
      </c>
      <c r="P1180">
        <v>0</v>
      </c>
      <c r="Q1180">
        <v>-1686</v>
      </c>
    </row>
    <row r="1181" spans="1:17" x14ac:dyDescent="0.45">
      <c r="A1181">
        <v>6716</v>
      </c>
      <c r="B1181" t="s">
        <v>1242</v>
      </c>
      <c r="C1181">
        <v>106</v>
      </c>
      <c r="D1181">
        <v>3</v>
      </c>
      <c r="E1181">
        <v>217.2</v>
      </c>
      <c r="F1181">
        <v>0</v>
      </c>
      <c r="G1181">
        <v>210.1</v>
      </c>
      <c r="H1181">
        <v>3</v>
      </c>
      <c r="I1181">
        <v>27.66</v>
      </c>
      <c r="J1181">
        <v>47</v>
      </c>
      <c r="K1181">
        <v>16</v>
      </c>
      <c r="L1181">
        <v>2</v>
      </c>
      <c r="M1181">
        <v>5</v>
      </c>
      <c r="N1181">
        <v>0</v>
      </c>
      <c r="O1181">
        <v>482</v>
      </c>
      <c r="P1181">
        <v>0</v>
      </c>
      <c r="Q1181">
        <v>-241</v>
      </c>
    </row>
    <row r="1182" spans="1:17" x14ac:dyDescent="0.45">
      <c r="A1182">
        <v>9</v>
      </c>
      <c r="B1182" t="s">
        <v>1243</v>
      </c>
      <c r="C1182">
        <v>5635</v>
      </c>
      <c r="D1182">
        <v>3</v>
      </c>
      <c r="E1182">
        <v>3810.9</v>
      </c>
      <c r="F1182">
        <v>194.1</v>
      </c>
      <c r="G1182">
        <v>5273.6</v>
      </c>
      <c r="H1182">
        <v>2</v>
      </c>
      <c r="I1182">
        <v>24.61</v>
      </c>
      <c r="J1182">
        <v>1766</v>
      </c>
      <c r="K1182">
        <v>799</v>
      </c>
      <c r="L1182">
        <v>193</v>
      </c>
      <c r="M1182">
        <v>283</v>
      </c>
      <c r="N1182">
        <v>0</v>
      </c>
      <c r="O1182">
        <v>6218</v>
      </c>
      <c r="P1182">
        <v>0</v>
      </c>
      <c r="Q1182">
        <v>-482</v>
      </c>
    </row>
    <row r="1183" spans="1:17" x14ac:dyDescent="0.45">
      <c r="A1183">
        <v>2477</v>
      </c>
      <c r="B1183" t="s">
        <v>1244</v>
      </c>
      <c r="C1183">
        <v>946</v>
      </c>
      <c r="D1183">
        <v>2</v>
      </c>
      <c r="E1183">
        <v>1814.4</v>
      </c>
      <c r="F1183">
        <v>0</v>
      </c>
      <c r="G1183">
        <v>819.7</v>
      </c>
      <c r="H1183">
        <v>3</v>
      </c>
      <c r="I1183">
        <v>28.59</v>
      </c>
      <c r="J1183">
        <v>462</v>
      </c>
      <c r="K1183">
        <v>139</v>
      </c>
      <c r="L1183">
        <v>19</v>
      </c>
      <c r="M1183">
        <v>48</v>
      </c>
      <c r="N1183">
        <v>0</v>
      </c>
      <c r="O1183">
        <v>1952</v>
      </c>
      <c r="P1183">
        <v>0</v>
      </c>
      <c r="Q1183">
        <v>-763</v>
      </c>
    </row>
    <row r="1184" spans="1:17" x14ac:dyDescent="0.45">
      <c r="A1184">
        <v>5489</v>
      </c>
      <c r="B1184" t="s">
        <v>1245</v>
      </c>
      <c r="C1184">
        <v>818</v>
      </c>
      <c r="D1184">
        <v>3</v>
      </c>
      <c r="E1184">
        <v>414</v>
      </c>
      <c r="F1184">
        <v>654.29999999999995</v>
      </c>
      <c r="G1184">
        <v>1540.1</v>
      </c>
      <c r="H1184">
        <v>3</v>
      </c>
      <c r="I1184">
        <v>35.86</v>
      </c>
      <c r="J1184">
        <v>365</v>
      </c>
      <c r="K1184">
        <v>96</v>
      </c>
      <c r="L1184">
        <v>39</v>
      </c>
      <c r="M1184">
        <v>90</v>
      </c>
      <c r="N1184">
        <v>0</v>
      </c>
      <c r="O1184">
        <v>393</v>
      </c>
      <c r="P1184">
        <v>0</v>
      </c>
      <c r="Q1184">
        <v>-161</v>
      </c>
    </row>
    <row r="1185" spans="1:17" x14ac:dyDescent="0.45">
      <c r="A1185">
        <v>2271</v>
      </c>
      <c r="B1185" t="s">
        <v>1246</v>
      </c>
      <c r="C1185">
        <v>565</v>
      </c>
      <c r="D1185">
        <v>3</v>
      </c>
      <c r="E1185">
        <v>1057.2</v>
      </c>
      <c r="F1185">
        <v>8.4</v>
      </c>
      <c r="G1185">
        <v>461.8</v>
      </c>
      <c r="H1185">
        <v>1</v>
      </c>
      <c r="I1185">
        <v>23.82</v>
      </c>
      <c r="J1185">
        <v>210</v>
      </c>
      <c r="K1185">
        <v>64</v>
      </c>
      <c r="L1185">
        <v>29</v>
      </c>
      <c r="M1185">
        <v>28</v>
      </c>
      <c r="N1185">
        <v>0</v>
      </c>
      <c r="O1185">
        <v>0</v>
      </c>
      <c r="P1185">
        <v>0</v>
      </c>
      <c r="Q1185">
        <v>0</v>
      </c>
    </row>
    <row r="1186" spans="1:17" x14ac:dyDescent="0.45">
      <c r="A1186">
        <v>6630</v>
      </c>
      <c r="B1186" t="s">
        <v>1247</v>
      </c>
      <c r="C1186">
        <v>26517</v>
      </c>
      <c r="D1186">
        <v>3</v>
      </c>
      <c r="E1186">
        <v>8473.2999999999993</v>
      </c>
      <c r="F1186">
        <v>6685.2</v>
      </c>
      <c r="G1186">
        <v>10675.1</v>
      </c>
      <c r="H1186">
        <v>1</v>
      </c>
      <c r="I1186">
        <v>10.3</v>
      </c>
      <c r="J1186">
        <v>7990</v>
      </c>
      <c r="K1186">
        <v>2701</v>
      </c>
      <c r="L1186">
        <v>358</v>
      </c>
      <c r="M1186">
        <v>1585</v>
      </c>
      <c r="N1186">
        <v>1323</v>
      </c>
      <c r="O1186">
        <v>740</v>
      </c>
      <c r="P1186">
        <v>0</v>
      </c>
      <c r="Q1186">
        <v>-100</v>
      </c>
    </row>
    <row r="1187" spans="1:17" x14ac:dyDescent="0.45">
      <c r="A1187">
        <v>5199</v>
      </c>
      <c r="B1187" t="s">
        <v>1249</v>
      </c>
      <c r="C1187">
        <v>1382</v>
      </c>
      <c r="D1187">
        <v>3</v>
      </c>
      <c r="E1187">
        <v>1340.4</v>
      </c>
      <c r="F1187">
        <v>278.89999999999998</v>
      </c>
      <c r="G1187">
        <v>5055.7</v>
      </c>
      <c r="H1187">
        <v>2</v>
      </c>
      <c r="I1187">
        <v>22.12</v>
      </c>
      <c r="J1187">
        <v>759</v>
      </c>
      <c r="K1187">
        <v>293</v>
      </c>
      <c r="L1187">
        <v>53</v>
      </c>
      <c r="M1187">
        <v>194</v>
      </c>
      <c r="N1187">
        <v>0</v>
      </c>
      <c r="O1187">
        <v>163</v>
      </c>
      <c r="P1187">
        <v>0</v>
      </c>
      <c r="Q1187">
        <v>-1525</v>
      </c>
    </row>
    <row r="1188" spans="1:17" x14ac:dyDescent="0.45">
      <c r="A1188">
        <v>5723</v>
      </c>
      <c r="B1188" t="s">
        <v>1250</v>
      </c>
      <c r="C1188">
        <v>2236</v>
      </c>
      <c r="D1188">
        <v>3</v>
      </c>
      <c r="E1188">
        <v>2649.1</v>
      </c>
      <c r="F1188">
        <v>261.8</v>
      </c>
      <c r="G1188">
        <v>899</v>
      </c>
      <c r="H1188">
        <v>1</v>
      </c>
      <c r="I1188">
        <v>19.809999999999999</v>
      </c>
      <c r="J1188">
        <v>782</v>
      </c>
      <c r="K1188">
        <v>253</v>
      </c>
      <c r="L1188">
        <v>74</v>
      </c>
      <c r="M1188">
        <v>194</v>
      </c>
      <c r="N1188">
        <v>0</v>
      </c>
      <c r="O1188">
        <v>11</v>
      </c>
      <c r="P1188">
        <v>121.83</v>
      </c>
      <c r="Q1188">
        <v>-221</v>
      </c>
    </row>
    <row r="1189" spans="1:17" x14ac:dyDescent="0.45">
      <c r="A1189">
        <v>5200</v>
      </c>
      <c r="B1189" t="s">
        <v>1251</v>
      </c>
      <c r="C1189">
        <v>310</v>
      </c>
      <c r="D1189">
        <v>3</v>
      </c>
      <c r="E1189">
        <v>227.7</v>
      </c>
      <c r="F1189">
        <v>7.9</v>
      </c>
      <c r="G1189">
        <v>253.6</v>
      </c>
      <c r="H1189">
        <v>3</v>
      </c>
      <c r="I1189">
        <v>25.45</v>
      </c>
      <c r="J1189">
        <v>87</v>
      </c>
      <c r="K1189">
        <v>45</v>
      </c>
      <c r="L1189">
        <v>5</v>
      </c>
      <c r="M1189">
        <v>11</v>
      </c>
      <c r="N1189">
        <v>0</v>
      </c>
      <c r="O1189">
        <v>146</v>
      </c>
      <c r="P1189">
        <v>0</v>
      </c>
      <c r="Q1189">
        <v>-743</v>
      </c>
    </row>
    <row r="1190" spans="1:17" x14ac:dyDescent="0.45">
      <c r="A1190">
        <v>6416</v>
      </c>
      <c r="B1190" t="s">
        <v>1252</v>
      </c>
      <c r="C1190">
        <v>9217</v>
      </c>
      <c r="D1190">
        <v>2</v>
      </c>
      <c r="E1190">
        <v>7309.9</v>
      </c>
      <c r="F1190">
        <v>8155.2</v>
      </c>
      <c r="G1190">
        <v>7042.2</v>
      </c>
      <c r="H1190">
        <v>2</v>
      </c>
      <c r="I1190">
        <v>30.44</v>
      </c>
      <c r="J1190">
        <v>3755</v>
      </c>
      <c r="K1190">
        <v>973</v>
      </c>
      <c r="L1190">
        <v>218</v>
      </c>
      <c r="M1190">
        <v>502</v>
      </c>
      <c r="N1190">
        <v>0</v>
      </c>
      <c r="O1190">
        <v>999</v>
      </c>
      <c r="P1190">
        <v>38398.339999999997</v>
      </c>
      <c r="Q1190">
        <v>-401</v>
      </c>
    </row>
    <row r="1191" spans="1:17" x14ac:dyDescent="0.45">
      <c r="A1191">
        <v>5118</v>
      </c>
      <c r="B1191" t="s">
        <v>1253</v>
      </c>
      <c r="C1191">
        <v>7421</v>
      </c>
      <c r="D1191">
        <v>2</v>
      </c>
      <c r="E1191">
        <v>11802.9</v>
      </c>
      <c r="F1191">
        <v>113.3</v>
      </c>
      <c r="G1191">
        <v>3896.2</v>
      </c>
      <c r="H1191">
        <v>1</v>
      </c>
      <c r="I1191">
        <v>18.600000000000001</v>
      </c>
      <c r="J1191">
        <v>2530</v>
      </c>
      <c r="K1191">
        <v>756</v>
      </c>
      <c r="L1191">
        <v>136</v>
      </c>
      <c r="M1191">
        <v>492</v>
      </c>
      <c r="N1191">
        <v>0</v>
      </c>
      <c r="O1191">
        <v>15</v>
      </c>
      <c r="P1191">
        <v>0</v>
      </c>
      <c r="Q1191">
        <v>-642</v>
      </c>
    </row>
    <row r="1192" spans="1:17" x14ac:dyDescent="0.45">
      <c r="A1192">
        <v>615</v>
      </c>
      <c r="B1192" t="s">
        <v>1254</v>
      </c>
      <c r="C1192">
        <v>593</v>
      </c>
      <c r="D1192">
        <v>2</v>
      </c>
      <c r="E1192">
        <v>526</v>
      </c>
      <c r="F1192">
        <v>0</v>
      </c>
      <c r="G1192">
        <v>511.8</v>
      </c>
      <c r="H1192">
        <v>3</v>
      </c>
      <c r="I1192">
        <v>26.41</v>
      </c>
      <c r="J1192">
        <v>239</v>
      </c>
      <c r="K1192">
        <v>95</v>
      </c>
      <c r="L1192">
        <v>6</v>
      </c>
      <c r="M1192">
        <v>18</v>
      </c>
      <c r="N1192">
        <v>0</v>
      </c>
      <c r="O1192">
        <v>1727</v>
      </c>
      <c r="P1192">
        <v>0</v>
      </c>
      <c r="Q1192">
        <v>-40</v>
      </c>
    </row>
    <row r="1193" spans="1:17" x14ac:dyDescent="0.45">
      <c r="A1193">
        <v>2272</v>
      </c>
      <c r="B1193" t="s">
        <v>1255</v>
      </c>
      <c r="C1193">
        <v>2321</v>
      </c>
      <c r="D1193">
        <v>3</v>
      </c>
      <c r="E1193">
        <v>1787.9</v>
      </c>
      <c r="F1193">
        <v>88</v>
      </c>
      <c r="G1193">
        <v>1851.8</v>
      </c>
      <c r="H1193">
        <v>3</v>
      </c>
      <c r="I1193">
        <v>36.93</v>
      </c>
      <c r="J1193">
        <v>1003</v>
      </c>
      <c r="K1193">
        <v>333</v>
      </c>
      <c r="L1193">
        <v>65</v>
      </c>
      <c r="M1193">
        <v>143</v>
      </c>
      <c r="N1193">
        <v>0</v>
      </c>
      <c r="O1193">
        <v>5144</v>
      </c>
      <c r="P1193">
        <v>47.27</v>
      </c>
      <c r="Q1193">
        <v>-401</v>
      </c>
    </row>
    <row r="1194" spans="1:17" x14ac:dyDescent="0.45">
      <c r="A1194">
        <v>5821</v>
      </c>
      <c r="B1194" t="s">
        <v>1256</v>
      </c>
      <c r="C1194">
        <v>387</v>
      </c>
      <c r="D1194">
        <v>3</v>
      </c>
      <c r="E1194">
        <v>700.2</v>
      </c>
      <c r="F1194">
        <v>55.7</v>
      </c>
      <c r="G1194">
        <v>1148.0999999999999</v>
      </c>
      <c r="H1194">
        <v>3</v>
      </c>
      <c r="I1194">
        <v>35.86</v>
      </c>
      <c r="J1194">
        <v>149</v>
      </c>
      <c r="K1194">
        <v>48</v>
      </c>
      <c r="L1194">
        <v>10</v>
      </c>
      <c r="M1194">
        <v>14</v>
      </c>
      <c r="N1194">
        <v>0</v>
      </c>
      <c r="O1194">
        <v>2386</v>
      </c>
      <c r="P1194">
        <v>0</v>
      </c>
      <c r="Q1194">
        <v>-20</v>
      </c>
    </row>
    <row r="1195" spans="1:17" x14ac:dyDescent="0.45">
      <c r="A1195">
        <v>5490</v>
      </c>
      <c r="B1195" t="s">
        <v>1258</v>
      </c>
      <c r="C1195">
        <v>297</v>
      </c>
      <c r="D1195">
        <v>2</v>
      </c>
      <c r="E1195">
        <v>252.8</v>
      </c>
      <c r="F1195">
        <v>13.4</v>
      </c>
      <c r="G1195">
        <v>207.8</v>
      </c>
      <c r="H1195">
        <v>3</v>
      </c>
      <c r="I1195">
        <v>35.86</v>
      </c>
      <c r="J1195">
        <v>125</v>
      </c>
      <c r="K1195">
        <v>34</v>
      </c>
      <c r="L1195">
        <v>4</v>
      </c>
      <c r="M1195">
        <v>15</v>
      </c>
      <c r="N1195">
        <v>0</v>
      </c>
      <c r="O1195">
        <v>1442</v>
      </c>
      <c r="P1195">
        <v>32.47</v>
      </c>
      <c r="Q1195">
        <v>-743</v>
      </c>
    </row>
    <row r="1196" spans="1:17" x14ac:dyDescent="0.45">
      <c r="A1196">
        <v>5431</v>
      </c>
      <c r="B1196" t="s">
        <v>1259</v>
      </c>
      <c r="C1196">
        <v>324</v>
      </c>
      <c r="D1196">
        <v>2</v>
      </c>
      <c r="E1196">
        <v>348</v>
      </c>
      <c r="F1196">
        <v>436.6</v>
      </c>
      <c r="G1196">
        <v>474.5</v>
      </c>
      <c r="H1196">
        <v>3</v>
      </c>
      <c r="I1196">
        <v>35.86</v>
      </c>
      <c r="J1196">
        <v>145</v>
      </c>
      <c r="K1196">
        <v>45</v>
      </c>
      <c r="L1196">
        <v>13</v>
      </c>
      <c r="M1196">
        <v>26</v>
      </c>
      <c r="N1196">
        <v>0</v>
      </c>
      <c r="O1196">
        <v>2167</v>
      </c>
      <c r="P1196">
        <v>0</v>
      </c>
      <c r="Q1196">
        <v>-1104</v>
      </c>
    </row>
    <row r="1197" spans="1:17" x14ac:dyDescent="0.45">
      <c r="A1197">
        <v>5921</v>
      </c>
      <c r="B1197" t="s">
        <v>1260</v>
      </c>
      <c r="C1197">
        <v>259</v>
      </c>
      <c r="D1197">
        <v>3</v>
      </c>
      <c r="E1197">
        <v>552.20000000000005</v>
      </c>
      <c r="F1197">
        <v>4.3</v>
      </c>
      <c r="G1197">
        <v>300</v>
      </c>
      <c r="H1197">
        <v>3</v>
      </c>
      <c r="I1197">
        <v>35.86</v>
      </c>
      <c r="J1197">
        <v>123</v>
      </c>
      <c r="K1197">
        <v>42</v>
      </c>
      <c r="L1197">
        <v>4</v>
      </c>
      <c r="M1197">
        <v>10</v>
      </c>
      <c r="N1197">
        <v>0</v>
      </c>
      <c r="O1197">
        <v>1088</v>
      </c>
      <c r="P1197">
        <v>38.409999999999997</v>
      </c>
      <c r="Q1197">
        <v>-301</v>
      </c>
    </row>
    <row r="1198" spans="1:17" x14ac:dyDescent="0.45">
      <c r="A1198">
        <v>6090</v>
      </c>
      <c r="B1198" t="s">
        <v>1273</v>
      </c>
      <c r="C1198">
        <v>1112</v>
      </c>
      <c r="D1198">
        <v>3</v>
      </c>
      <c r="E1198">
        <v>2012.1</v>
      </c>
      <c r="F1198">
        <v>12.6</v>
      </c>
      <c r="G1198">
        <v>1241.5999999999999</v>
      </c>
      <c r="H1198">
        <v>3</v>
      </c>
      <c r="I1198">
        <v>30.8</v>
      </c>
      <c r="J1198">
        <v>534</v>
      </c>
      <c r="K1198">
        <v>189</v>
      </c>
      <c r="L1198">
        <v>47</v>
      </c>
      <c r="M1198">
        <v>71</v>
      </c>
      <c r="N1198">
        <v>0</v>
      </c>
      <c r="O1198">
        <v>1308</v>
      </c>
      <c r="P1198">
        <v>39.119999999999997</v>
      </c>
      <c r="Q1198">
        <v>-3432</v>
      </c>
    </row>
    <row r="1199" spans="1:17" x14ac:dyDescent="0.45">
      <c r="A1199">
        <v>437</v>
      </c>
      <c r="B1199" t="s">
        <v>1278</v>
      </c>
      <c r="C1199">
        <v>110</v>
      </c>
      <c r="D1199">
        <v>2</v>
      </c>
      <c r="E1199">
        <v>58.2</v>
      </c>
      <c r="F1199">
        <v>0</v>
      </c>
      <c r="G1199">
        <v>193.2</v>
      </c>
      <c r="H1199">
        <v>3</v>
      </c>
      <c r="I1199">
        <v>26.41</v>
      </c>
      <c r="J1199">
        <v>26</v>
      </c>
      <c r="K1199">
        <v>36</v>
      </c>
      <c r="L1199">
        <v>2</v>
      </c>
      <c r="M1199">
        <v>4</v>
      </c>
      <c r="N1199">
        <v>0</v>
      </c>
      <c r="O1199">
        <v>2498</v>
      </c>
      <c r="P1199">
        <v>0</v>
      </c>
      <c r="Q1199">
        <v>-261</v>
      </c>
    </row>
    <row r="1200" spans="1:17" x14ac:dyDescent="0.45">
      <c r="A1200">
        <v>2284</v>
      </c>
      <c r="B1200" t="s">
        <v>1279</v>
      </c>
      <c r="C1200">
        <v>4433</v>
      </c>
      <c r="D1200">
        <v>3</v>
      </c>
      <c r="E1200">
        <v>4158.3</v>
      </c>
      <c r="F1200">
        <v>44.4</v>
      </c>
      <c r="G1200">
        <v>4571.8999999999996</v>
      </c>
      <c r="H1200">
        <v>2</v>
      </c>
      <c r="I1200">
        <v>28.63</v>
      </c>
      <c r="J1200">
        <v>1933</v>
      </c>
      <c r="K1200">
        <v>628</v>
      </c>
      <c r="L1200">
        <v>212</v>
      </c>
      <c r="M1200">
        <v>300</v>
      </c>
      <c r="N1200">
        <v>0</v>
      </c>
      <c r="O1200">
        <v>4048</v>
      </c>
      <c r="P1200">
        <v>0</v>
      </c>
      <c r="Q1200">
        <v>-401</v>
      </c>
    </row>
    <row r="1201" spans="1:17" x14ac:dyDescent="0.45">
      <c r="A1201">
        <v>5491</v>
      </c>
      <c r="B1201" t="s">
        <v>1272</v>
      </c>
      <c r="C1201">
        <v>502</v>
      </c>
      <c r="D1201">
        <v>3</v>
      </c>
      <c r="E1201">
        <v>583.70000000000005</v>
      </c>
      <c r="F1201">
        <v>233.3</v>
      </c>
      <c r="G1201">
        <v>372.2</v>
      </c>
      <c r="H1201">
        <v>3</v>
      </c>
      <c r="I1201">
        <v>35.86</v>
      </c>
      <c r="J1201">
        <v>171</v>
      </c>
      <c r="K1201">
        <v>73</v>
      </c>
      <c r="L1201">
        <v>18</v>
      </c>
      <c r="M1201">
        <v>44</v>
      </c>
      <c r="N1201">
        <v>0</v>
      </c>
      <c r="O1201">
        <v>1838</v>
      </c>
      <c r="P1201">
        <v>44.3</v>
      </c>
      <c r="Q1201">
        <v>-2007</v>
      </c>
    </row>
    <row r="1202" spans="1:17" x14ac:dyDescent="0.45">
      <c r="A1202">
        <v>5859</v>
      </c>
      <c r="B1202" t="s">
        <v>1277</v>
      </c>
      <c r="C1202">
        <v>2767</v>
      </c>
      <c r="D1202">
        <v>3</v>
      </c>
      <c r="E1202">
        <v>1747.5</v>
      </c>
      <c r="F1202">
        <v>2185.1</v>
      </c>
      <c r="G1202">
        <v>1220.5</v>
      </c>
      <c r="H1202">
        <v>2</v>
      </c>
      <c r="I1202">
        <v>26.72</v>
      </c>
      <c r="J1202">
        <v>996</v>
      </c>
      <c r="K1202">
        <v>340</v>
      </c>
      <c r="L1202">
        <v>77</v>
      </c>
      <c r="M1202">
        <v>211</v>
      </c>
      <c r="N1202">
        <v>0</v>
      </c>
      <c r="O1202">
        <v>858</v>
      </c>
      <c r="P1202">
        <v>0</v>
      </c>
      <c r="Q1202">
        <v>-100</v>
      </c>
    </row>
    <row r="1203" spans="1:17" x14ac:dyDescent="0.45">
      <c r="A1203">
        <v>2029</v>
      </c>
      <c r="B1203" t="s">
        <v>1262</v>
      </c>
      <c r="C1203">
        <v>2932</v>
      </c>
      <c r="D1203">
        <v>3</v>
      </c>
      <c r="E1203">
        <v>2585</v>
      </c>
      <c r="F1203">
        <v>77.2</v>
      </c>
      <c r="G1203">
        <v>4412.2</v>
      </c>
      <c r="H1203">
        <v>3</v>
      </c>
      <c r="I1203">
        <v>36.93</v>
      </c>
      <c r="J1203">
        <v>1290</v>
      </c>
      <c r="K1203">
        <v>386</v>
      </c>
      <c r="L1203">
        <v>75</v>
      </c>
      <c r="M1203">
        <v>172</v>
      </c>
      <c r="N1203">
        <v>0</v>
      </c>
      <c r="O1203">
        <v>6107</v>
      </c>
      <c r="P1203">
        <v>149.16</v>
      </c>
      <c r="Q1203">
        <v>-1164</v>
      </c>
    </row>
    <row r="1204" spans="1:17" x14ac:dyDescent="0.45">
      <c r="A1204">
        <v>5922</v>
      </c>
      <c r="B1204" t="s">
        <v>1263</v>
      </c>
      <c r="C1204">
        <v>772</v>
      </c>
      <c r="D1204">
        <v>3</v>
      </c>
      <c r="E1204">
        <v>953.4</v>
      </c>
      <c r="F1204">
        <v>734.3</v>
      </c>
      <c r="G1204">
        <v>2379.1</v>
      </c>
      <c r="H1204">
        <v>1</v>
      </c>
      <c r="I1204">
        <v>19.809999999999999</v>
      </c>
      <c r="J1204">
        <v>416</v>
      </c>
      <c r="K1204">
        <v>112</v>
      </c>
      <c r="L1204">
        <v>45</v>
      </c>
      <c r="M1204">
        <v>473</v>
      </c>
      <c r="N1204">
        <v>0</v>
      </c>
      <c r="O1204">
        <v>675</v>
      </c>
      <c r="P1204">
        <v>0</v>
      </c>
      <c r="Q1204">
        <v>-40</v>
      </c>
    </row>
    <row r="1205" spans="1:17" x14ac:dyDescent="0.45">
      <c r="A1205">
        <v>5693</v>
      </c>
      <c r="B1205" t="s">
        <v>1264</v>
      </c>
      <c r="C1205">
        <v>2819</v>
      </c>
      <c r="D1205">
        <v>3</v>
      </c>
      <c r="E1205">
        <v>3845.7</v>
      </c>
      <c r="F1205">
        <v>2006.7</v>
      </c>
      <c r="G1205">
        <v>5773.8</v>
      </c>
      <c r="H1205">
        <v>3</v>
      </c>
      <c r="I1205">
        <v>35.86</v>
      </c>
      <c r="J1205">
        <v>1201</v>
      </c>
      <c r="K1205">
        <v>363</v>
      </c>
      <c r="L1205">
        <v>94</v>
      </c>
      <c r="M1205">
        <v>182</v>
      </c>
      <c r="N1205">
        <v>0</v>
      </c>
      <c r="O1205">
        <v>8634</v>
      </c>
      <c r="P1205">
        <v>142.47</v>
      </c>
      <c r="Q1205">
        <v>-1646</v>
      </c>
    </row>
    <row r="1206" spans="1:17" x14ac:dyDescent="0.45">
      <c r="A1206">
        <v>5756</v>
      </c>
      <c r="B1206" t="s">
        <v>1265</v>
      </c>
      <c r="C1206">
        <v>496</v>
      </c>
      <c r="D1206">
        <v>3</v>
      </c>
      <c r="E1206">
        <v>310.60000000000002</v>
      </c>
      <c r="F1206">
        <v>628.29999999999995</v>
      </c>
      <c r="G1206">
        <v>386.1</v>
      </c>
      <c r="H1206">
        <v>3</v>
      </c>
      <c r="I1206">
        <v>35.86</v>
      </c>
      <c r="J1206">
        <v>187</v>
      </c>
      <c r="K1206">
        <v>53</v>
      </c>
      <c r="L1206">
        <v>14</v>
      </c>
      <c r="M1206">
        <v>28</v>
      </c>
      <c r="N1206">
        <v>0</v>
      </c>
      <c r="O1206">
        <v>1354</v>
      </c>
      <c r="P1206">
        <v>0</v>
      </c>
      <c r="Q1206">
        <v>-201</v>
      </c>
    </row>
    <row r="1207" spans="1:17" x14ac:dyDescent="0.45">
      <c r="A1207">
        <v>5238</v>
      </c>
      <c r="B1207" t="s">
        <v>1266</v>
      </c>
      <c r="C1207">
        <v>4688</v>
      </c>
      <c r="D1207">
        <v>3</v>
      </c>
      <c r="E1207">
        <v>3932.6</v>
      </c>
      <c r="F1207">
        <v>927.4</v>
      </c>
      <c r="G1207">
        <v>4605.3999999999996</v>
      </c>
      <c r="H1207">
        <v>2</v>
      </c>
      <c r="I1207">
        <v>22.12</v>
      </c>
      <c r="J1207">
        <v>2050</v>
      </c>
      <c r="K1207">
        <v>721</v>
      </c>
      <c r="L1207">
        <v>136</v>
      </c>
      <c r="M1207">
        <v>433</v>
      </c>
      <c r="N1207">
        <v>0</v>
      </c>
      <c r="O1207">
        <v>342</v>
      </c>
      <c r="P1207">
        <v>19.18</v>
      </c>
      <c r="Q1207">
        <v>-5379</v>
      </c>
    </row>
    <row r="1208" spans="1:17" x14ac:dyDescent="0.45">
      <c r="A1208">
        <v>2089</v>
      </c>
      <c r="B1208" t="s">
        <v>1267</v>
      </c>
      <c r="C1208">
        <v>493</v>
      </c>
      <c r="D1208">
        <v>3</v>
      </c>
      <c r="E1208">
        <v>402.7</v>
      </c>
      <c r="F1208">
        <v>0</v>
      </c>
      <c r="G1208">
        <v>496.4</v>
      </c>
      <c r="H1208">
        <v>3</v>
      </c>
      <c r="I1208">
        <v>36.93</v>
      </c>
      <c r="J1208">
        <v>215</v>
      </c>
      <c r="K1208">
        <v>76</v>
      </c>
      <c r="L1208">
        <v>26</v>
      </c>
      <c r="M1208">
        <v>50</v>
      </c>
      <c r="N1208">
        <v>0</v>
      </c>
      <c r="O1208">
        <v>269</v>
      </c>
      <c r="P1208">
        <v>0</v>
      </c>
      <c r="Q1208">
        <v>-80</v>
      </c>
    </row>
    <row r="1209" spans="1:17" x14ac:dyDescent="0.45">
      <c r="A1209">
        <v>6751</v>
      </c>
      <c r="B1209" t="s">
        <v>1268</v>
      </c>
      <c r="C1209">
        <v>551</v>
      </c>
      <c r="D1209">
        <v>3</v>
      </c>
      <c r="E1209">
        <v>1430.3</v>
      </c>
      <c r="F1209">
        <v>0</v>
      </c>
      <c r="G1209">
        <v>1591.6</v>
      </c>
      <c r="H1209">
        <v>3</v>
      </c>
      <c r="I1209">
        <v>27.66</v>
      </c>
      <c r="J1209">
        <v>250</v>
      </c>
      <c r="K1209">
        <v>90</v>
      </c>
      <c r="L1209">
        <v>12</v>
      </c>
      <c r="M1209">
        <v>28</v>
      </c>
      <c r="N1209">
        <v>0</v>
      </c>
      <c r="O1209">
        <v>4824</v>
      </c>
      <c r="P1209">
        <v>60.56</v>
      </c>
      <c r="Q1209">
        <v>-923</v>
      </c>
    </row>
    <row r="1210" spans="1:17" x14ac:dyDescent="0.45">
      <c r="A1210">
        <v>6153</v>
      </c>
      <c r="B1210" t="s">
        <v>1270</v>
      </c>
      <c r="C1210">
        <v>18446</v>
      </c>
      <c r="D1210">
        <v>3</v>
      </c>
      <c r="E1210">
        <v>10450.700000000001</v>
      </c>
      <c r="F1210">
        <v>10807.7</v>
      </c>
      <c r="G1210">
        <v>8037.6</v>
      </c>
      <c r="H1210">
        <v>1</v>
      </c>
      <c r="I1210">
        <v>24.74</v>
      </c>
      <c r="J1210">
        <v>7758</v>
      </c>
      <c r="K1210">
        <v>2908</v>
      </c>
      <c r="L1210">
        <v>329</v>
      </c>
      <c r="M1210">
        <v>948</v>
      </c>
      <c r="N1210">
        <v>0</v>
      </c>
      <c r="O1210">
        <v>716</v>
      </c>
      <c r="P1210">
        <v>85620.65</v>
      </c>
      <c r="Q1210">
        <v>-2549</v>
      </c>
    </row>
    <row r="1211" spans="1:17" x14ac:dyDescent="0.45">
      <c r="A1211">
        <v>5540</v>
      </c>
      <c r="B1211" t="s">
        <v>1271</v>
      </c>
      <c r="C1211">
        <v>1894</v>
      </c>
      <c r="D1211">
        <v>3</v>
      </c>
      <c r="E1211">
        <v>1324.4</v>
      </c>
      <c r="F1211">
        <v>1611.1</v>
      </c>
      <c r="G1211">
        <v>1558.5</v>
      </c>
      <c r="H1211">
        <v>3</v>
      </c>
      <c r="I1211">
        <v>35.86</v>
      </c>
      <c r="J1211">
        <v>848</v>
      </c>
      <c r="K1211">
        <v>210</v>
      </c>
      <c r="L1211">
        <v>46</v>
      </c>
      <c r="M1211">
        <v>132</v>
      </c>
      <c r="N1211">
        <v>0</v>
      </c>
      <c r="O1211">
        <v>5604</v>
      </c>
      <c r="P1211">
        <v>19.18</v>
      </c>
      <c r="Q1211">
        <v>-522</v>
      </c>
    </row>
    <row r="1212" spans="1:17" x14ac:dyDescent="0.45">
      <c r="A1212">
        <v>5792</v>
      </c>
      <c r="B1212" t="s">
        <v>1274</v>
      </c>
      <c r="C1212">
        <v>661</v>
      </c>
      <c r="D1212">
        <v>3</v>
      </c>
      <c r="E1212">
        <v>767.8</v>
      </c>
      <c r="F1212">
        <v>107.2</v>
      </c>
      <c r="G1212">
        <v>574.4</v>
      </c>
      <c r="H1212">
        <v>3</v>
      </c>
      <c r="I1212">
        <v>35.86</v>
      </c>
      <c r="J1212">
        <v>243</v>
      </c>
      <c r="K1212">
        <v>70</v>
      </c>
      <c r="L1212">
        <v>28</v>
      </c>
      <c r="M1212">
        <v>53</v>
      </c>
      <c r="N1212">
        <v>0</v>
      </c>
      <c r="O1212">
        <v>481</v>
      </c>
      <c r="P1212">
        <v>14.75</v>
      </c>
      <c r="Q1212">
        <v>-421</v>
      </c>
    </row>
    <row r="1213" spans="1:17" x14ac:dyDescent="0.45">
      <c r="A1213">
        <v>5886</v>
      </c>
      <c r="B1213" t="s">
        <v>1275</v>
      </c>
      <c r="C1213">
        <v>26230</v>
      </c>
      <c r="D1213">
        <v>3</v>
      </c>
      <c r="E1213">
        <v>18687.099999999999</v>
      </c>
      <c r="F1213">
        <v>39915.599999999999</v>
      </c>
      <c r="G1213">
        <v>5206.6000000000004</v>
      </c>
      <c r="H1213">
        <v>1</v>
      </c>
      <c r="I1213">
        <v>19.809999999999999</v>
      </c>
      <c r="J1213">
        <v>7002</v>
      </c>
      <c r="K1213">
        <v>2510</v>
      </c>
      <c r="L1213">
        <v>396</v>
      </c>
      <c r="M1213">
        <v>1444</v>
      </c>
      <c r="N1213">
        <v>0</v>
      </c>
      <c r="O1213">
        <v>1351</v>
      </c>
      <c r="P1213">
        <v>2757.68</v>
      </c>
      <c r="Q1213">
        <v>-3352</v>
      </c>
    </row>
    <row r="1214" spans="1:17" x14ac:dyDescent="0.45">
      <c r="A1214">
        <v>5492</v>
      </c>
      <c r="B1214" t="s">
        <v>1276</v>
      </c>
      <c r="C1214">
        <v>979</v>
      </c>
      <c r="D1214">
        <v>3</v>
      </c>
      <c r="E1214">
        <v>682.5</v>
      </c>
      <c r="F1214">
        <v>1038.0999999999999</v>
      </c>
      <c r="G1214">
        <v>1778.8</v>
      </c>
      <c r="H1214">
        <v>3</v>
      </c>
      <c r="I1214">
        <v>35.86</v>
      </c>
      <c r="J1214">
        <v>419</v>
      </c>
      <c r="K1214">
        <v>164</v>
      </c>
      <c r="L1214">
        <v>22</v>
      </c>
      <c r="M1214">
        <v>72</v>
      </c>
      <c r="N1214">
        <v>0</v>
      </c>
      <c r="O1214">
        <v>4462</v>
      </c>
      <c r="P1214">
        <v>62.77</v>
      </c>
      <c r="Q1214">
        <v>-2970</v>
      </c>
    </row>
    <row r="1215" spans="1:17" x14ac:dyDescent="0.45">
      <c r="A1215">
        <v>4277</v>
      </c>
      <c r="B1215" t="s">
        <v>1280</v>
      </c>
      <c r="C1215">
        <v>919</v>
      </c>
      <c r="D1215">
        <v>3</v>
      </c>
      <c r="E1215">
        <v>840.7</v>
      </c>
      <c r="F1215">
        <v>102.9</v>
      </c>
      <c r="G1215">
        <v>1022.1</v>
      </c>
      <c r="H1215">
        <v>3</v>
      </c>
      <c r="I1215">
        <v>23.9</v>
      </c>
      <c r="J1215">
        <v>435</v>
      </c>
      <c r="K1215">
        <v>169</v>
      </c>
      <c r="L1215">
        <v>23</v>
      </c>
      <c r="M1215">
        <v>27</v>
      </c>
      <c r="N1215">
        <v>0</v>
      </c>
      <c r="O1215">
        <v>1054</v>
      </c>
      <c r="P1215">
        <v>0</v>
      </c>
      <c r="Q1215">
        <v>-201</v>
      </c>
    </row>
    <row r="1216" spans="1:17" x14ac:dyDescent="0.45">
      <c r="A1216">
        <v>544</v>
      </c>
      <c r="B1216" t="s">
        <v>1281</v>
      </c>
      <c r="C1216">
        <v>4113</v>
      </c>
      <c r="D1216">
        <v>2</v>
      </c>
      <c r="E1216">
        <v>3703.2</v>
      </c>
      <c r="F1216">
        <v>2768.2</v>
      </c>
      <c r="G1216">
        <v>7622.4</v>
      </c>
      <c r="H1216">
        <v>1</v>
      </c>
      <c r="I1216">
        <v>16.760000000000002</v>
      </c>
      <c r="J1216">
        <v>1346</v>
      </c>
      <c r="K1216">
        <v>805</v>
      </c>
      <c r="L1216">
        <v>105</v>
      </c>
      <c r="M1216">
        <v>242</v>
      </c>
      <c r="N1216">
        <v>0</v>
      </c>
      <c r="O1216">
        <v>1400</v>
      </c>
      <c r="P1216">
        <v>0</v>
      </c>
      <c r="Q1216">
        <v>-462</v>
      </c>
    </row>
    <row r="1217" spans="1:17" x14ac:dyDescent="0.45">
      <c r="A1217">
        <v>5257</v>
      </c>
      <c r="B1217" t="s">
        <v>1282</v>
      </c>
      <c r="C1217">
        <v>4371</v>
      </c>
      <c r="D1217">
        <v>2</v>
      </c>
      <c r="E1217">
        <v>2866.5</v>
      </c>
      <c r="F1217">
        <v>3392.8</v>
      </c>
      <c r="G1217">
        <v>2939.8</v>
      </c>
      <c r="H1217">
        <v>1</v>
      </c>
      <c r="I1217">
        <v>18.600000000000001</v>
      </c>
      <c r="J1217">
        <v>1778</v>
      </c>
      <c r="K1217">
        <v>568</v>
      </c>
      <c r="L1217">
        <v>88</v>
      </c>
      <c r="M1217">
        <v>354</v>
      </c>
      <c r="N1217">
        <v>0</v>
      </c>
      <c r="O1217">
        <v>11</v>
      </c>
      <c r="P1217">
        <v>0</v>
      </c>
      <c r="Q1217">
        <v>-80</v>
      </c>
    </row>
    <row r="1218" spans="1:17" x14ac:dyDescent="0.45">
      <c r="A1218">
        <v>5203</v>
      </c>
      <c r="B1218" t="s">
        <v>1283</v>
      </c>
      <c r="C1218">
        <v>714</v>
      </c>
      <c r="D1218">
        <v>3</v>
      </c>
      <c r="E1218">
        <v>1762.7</v>
      </c>
      <c r="F1218">
        <v>66.2</v>
      </c>
      <c r="G1218">
        <v>323</v>
      </c>
      <c r="H1218">
        <v>3</v>
      </c>
      <c r="I1218">
        <v>25.45</v>
      </c>
      <c r="J1218">
        <v>402</v>
      </c>
      <c r="K1218">
        <v>94</v>
      </c>
      <c r="L1218">
        <v>20</v>
      </c>
      <c r="M1218">
        <v>73</v>
      </c>
      <c r="N1218">
        <v>0</v>
      </c>
      <c r="O1218">
        <v>0</v>
      </c>
      <c r="P1218">
        <v>180.88</v>
      </c>
      <c r="Q1218">
        <v>-442</v>
      </c>
    </row>
    <row r="1219" spans="1:17" x14ac:dyDescent="0.45">
      <c r="A1219">
        <v>5642</v>
      </c>
      <c r="B1219" t="s">
        <v>1285</v>
      </c>
      <c r="C1219">
        <v>17529</v>
      </c>
      <c r="D1219">
        <v>2</v>
      </c>
      <c r="E1219">
        <v>7004.6</v>
      </c>
      <c r="F1219">
        <v>15107.2</v>
      </c>
      <c r="G1219">
        <v>6075.3</v>
      </c>
      <c r="H1219">
        <v>1</v>
      </c>
      <c r="I1219">
        <v>19.809999999999999</v>
      </c>
      <c r="J1219">
        <v>4794</v>
      </c>
      <c r="K1219">
        <v>1680</v>
      </c>
      <c r="L1219">
        <v>452</v>
      </c>
      <c r="M1219">
        <v>996</v>
      </c>
      <c r="N1219">
        <v>0</v>
      </c>
      <c r="O1219">
        <v>80</v>
      </c>
      <c r="P1219">
        <v>2000.9</v>
      </c>
      <c r="Q1219">
        <v>-40</v>
      </c>
    </row>
    <row r="1220" spans="1:17" x14ac:dyDescent="0.45">
      <c r="A1220">
        <v>2143</v>
      </c>
      <c r="B1220" t="s">
        <v>1288</v>
      </c>
      <c r="C1220">
        <v>661</v>
      </c>
      <c r="D1220">
        <v>3</v>
      </c>
      <c r="E1220">
        <v>714.4</v>
      </c>
      <c r="F1220">
        <v>55.8</v>
      </c>
      <c r="G1220">
        <v>633.6</v>
      </c>
      <c r="H1220">
        <v>1</v>
      </c>
      <c r="I1220">
        <v>23.82</v>
      </c>
      <c r="J1220">
        <v>295</v>
      </c>
      <c r="K1220">
        <v>73</v>
      </c>
      <c r="L1220">
        <v>29</v>
      </c>
      <c r="M1220">
        <v>62</v>
      </c>
      <c r="N1220">
        <v>0</v>
      </c>
      <c r="O1220">
        <v>925</v>
      </c>
      <c r="P1220">
        <v>0</v>
      </c>
      <c r="Q1220">
        <v>-100</v>
      </c>
    </row>
    <row r="1221" spans="1:17" x14ac:dyDescent="0.45">
      <c r="A1221">
        <v>5527</v>
      </c>
      <c r="B1221" t="s">
        <v>1289</v>
      </c>
      <c r="C1221">
        <v>1172</v>
      </c>
      <c r="D1221">
        <v>3</v>
      </c>
      <c r="E1221">
        <v>947.1</v>
      </c>
      <c r="F1221">
        <v>388.8</v>
      </c>
      <c r="G1221">
        <v>894.5</v>
      </c>
      <c r="H1221">
        <v>2</v>
      </c>
      <c r="I1221">
        <v>26.72</v>
      </c>
      <c r="J1221">
        <v>465</v>
      </c>
      <c r="K1221">
        <v>119</v>
      </c>
      <c r="L1221">
        <v>55</v>
      </c>
      <c r="M1221">
        <v>72</v>
      </c>
      <c r="N1221">
        <v>0</v>
      </c>
      <c r="O1221">
        <v>1017</v>
      </c>
      <c r="P1221">
        <v>58.3</v>
      </c>
      <c r="Q1221">
        <v>-140</v>
      </c>
    </row>
    <row r="1222" spans="1:17" x14ac:dyDescent="0.45">
      <c r="A1222">
        <v>1366</v>
      </c>
      <c r="B1222" t="s">
        <v>1290</v>
      </c>
      <c r="C1222">
        <v>1206</v>
      </c>
      <c r="D1222">
        <v>3</v>
      </c>
      <c r="E1222">
        <v>2415.1</v>
      </c>
      <c r="F1222">
        <v>0</v>
      </c>
      <c r="G1222">
        <v>1216.4000000000001</v>
      </c>
      <c r="H1222">
        <v>3</v>
      </c>
      <c r="I1222">
        <v>30.7</v>
      </c>
      <c r="J1222">
        <v>439</v>
      </c>
      <c r="K1222">
        <v>254</v>
      </c>
      <c r="L1222">
        <v>34</v>
      </c>
      <c r="M1222">
        <v>67</v>
      </c>
      <c r="N1222">
        <v>0</v>
      </c>
      <c r="O1222">
        <v>3008</v>
      </c>
      <c r="P1222">
        <v>0</v>
      </c>
      <c r="Q1222">
        <v>-1345</v>
      </c>
    </row>
    <row r="1223" spans="1:17" x14ac:dyDescent="0.45">
      <c r="A1223">
        <v>3394</v>
      </c>
      <c r="B1223" t="s">
        <v>1292</v>
      </c>
      <c r="C1223">
        <v>2920</v>
      </c>
      <c r="D1223">
        <v>3</v>
      </c>
      <c r="E1223">
        <v>1594.3</v>
      </c>
      <c r="F1223">
        <v>0</v>
      </c>
      <c r="G1223">
        <v>4335.8</v>
      </c>
      <c r="H1223">
        <v>3</v>
      </c>
      <c r="I1223">
        <v>30.49</v>
      </c>
      <c r="J1223">
        <v>1109</v>
      </c>
      <c r="K1223">
        <v>575</v>
      </c>
      <c r="L1223">
        <v>65</v>
      </c>
      <c r="M1223">
        <v>70</v>
      </c>
      <c r="N1223">
        <v>0</v>
      </c>
      <c r="O1223">
        <v>16534</v>
      </c>
      <c r="P1223">
        <v>0</v>
      </c>
      <c r="Q1223">
        <v>-4395</v>
      </c>
    </row>
    <row r="1224" spans="1:17" x14ac:dyDescent="0.45">
      <c r="A1224">
        <v>5678</v>
      </c>
      <c r="B1224" t="s">
        <v>1293</v>
      </c>
      <c r="C1224">
        <v>6124</v>
      </c>
      <c r="D1224">
        <v>3</v>
      </c>
      <c r="E1224">
        <v>4824.3999999999996</v>
      </c>
      <c r="F1224">
        <v>4558.5</v>
      </c>
      <c r="G1224">
        <v>5675.2</v>
      </c>
      <c r="H1224">
        <v>2</v>
      </c>
      <c r="I1224">
        <v>26.72</v>
      </c>
      <c r="J1224">
        <v>1945</v>
      </c>
      <c r="K1224">
        <v>908</v>
      </c>
      <c r="L1224">
        <v>97</v>
      </c>
      <c r="M1224">
        <v>285</v>
      </c>
      <c r="N1224">
        <v>0</v>
      </c>
      <c r="O1224">
        <v>3571</v>
      </c>
      <c r="P1224">
        <v>0</v>
      </c>
      <c r="Q1224">
        <v>-1064</v>
      </c>
    </row>
    <row r="1225" spans="1:17" x14ac:dyDescent="0.45">
      <c r="A1225">
        <v>700</v>
      </c>
      <c r="B1225" t="s">
        <v>1294</v>
      </c>
      <c r="C1225">
        <v>7189</v>
      </c>
      <c r="D1225">
        <v>1</v>
      </c>
      <c r="E1225">
        <v>15374.8</v>
      </c>
      <c r="F1225">
        <v>96.9</v>
      </c>
      <c r="G1225">
        <v>2930.1</v>
      </c>
      <c r="H1225">
        <v>2</v>
      </c>
      <c r="I1225">
        <v>24.84</v>
      </c>
      <c r="J1225">
        <v>2599</v>
      </c>
      <c r="K1225">
        <v>802</v>
      </c>
      <c r="L1225">
        <v>82</v>
      </c>
      <c r="M1225">
        <v>355</v>
      </c>
      <c r="N1225">
        <v>0</v>
      </c>
      <c r="O1225">
        <v>2666</v>
      </c>
      <c r="P1225">
        <v>0</v>
      </c>
      <c r="Q1225">
        <v>-2027</v>
      </c>
    </row>
    <row r="1226" spans="1:17" x14ac:dyDescent="0.45">
      <c r="A1226">
        <v>6718</v>
      </c>
      <c r="B1226" t="s">
        <v>1295</v>
      </c>
      <c r="C1226">
        <v>425</v>
      </c>
      <c r="D1226">
        <v>3</v>
      </c>
      <c r="E1226">
        <v>827.2</v>
      </c>
      <c r="F1226">
        <v>0</v>
      </c>
      <c r="G1226">
        <v>1036.5999999999999</v>
      </c>
      <c r="H1226">
        <v>3</v>
      </c>
      <c r="I1226">
        <v>27.66</v>
      </c>
      <c r="J1226">
        <v>183</v>
      </c>
      <c r="K1226">
        <v>77</v>
      </c>
      <c r="L1226">
        <v>7</v>
      </c>
      <c r="M1226">
        <v>19</v>
      </c>
      <c r="N1226">
        <v>0</v>
      </c>
      <c r="O1226">
        <v>2548</v>
      </c>
      <c r="P1226">
        <v>33.229999999999997</v>
      </c>
      <c r="Q1226">
        <v>-783</v>
      </c>
    </row>
    <row r="1227" spans="1:17" x14ac:dyDescent="0.45">
      <c r="A1227">
        <v>4009</v>
      </c>
      <c r="B1227" t="s">
        <v>1296</v>
      </c>
      <c r="C1227">
        <v>4049</v>
      </c>
      <c r="D1227">
        <v>3</v>
      </c>
      <c r="E1227">
        <v>3808.9</v>
      </c>
      <c r="F1227">
        <v>1052.5999999999999</v>
      </c>
      <c r="G1227">
        <v>4866</v>
      </c>
      <c r="H1227">
        <v>1</v>
      </c>
      <c r="I1227">
        <v>20.87</v>
      </c>
      <c r="J1227">
        <v>1638</v>
      </c>
      <c r="K1227">
        <v>631</v>
      </c>
      <c r="L1227">
        <v>114</v>
      </c>
      <c r="M1227">
        <v>231</v>
      </c>
      <c r="N1227">
        <v>0</v>
      </c>
      <c r="O1227">
        <v>2157</v>
      </c>
      <c r="P1227">
        <v>0</v>
      </c>
      <c r="Q1227">
        <v>-562</v>
      </c>
    </row>
    <row r="1228" spans="1:17" x14ac:dyDescent="0.45">
      <c r="A1228">
        <v>4255</v>
      </c>
      <c r="B1228" t="s">
        <v>1302</v>
      </c>
      <c r="C1228">
        <v>1541</v>
      </c>
      <c r="D1228">
        <v>3</v>
      </c>
      <c r="E1228">
        <v>1637.2</v>
      </c>
      <c r="F1228">
        <v>0</v>
      </c>
      <c r="G1228">
        <v>640.5</v>
      </c>
      <c r="H1228">
        <v>1</v>
      </c>
      <c r="I1228">
        <v>20.87</v>
      </c>
      <c r="J1228">
        <v>560</v>
      </c>
      <c r="K1228">
        <v>260</v>
      </c>
      <c r="L1228">
        <v>48</v>
      </c>
      <c r="M1228">
        <v>116</v>
      </c>
      <c r="N1228">
        <v>0</v>
      </c>
      <c r="O1228">
        <v>542</v>
      </c>
      <c r="P1228">
        <v>0</v>
      </c>
      <c r="Q1228">
        <v>-281</v>
      </c>
    </row>
    <row r="1229" spans="1:17" x14ac:dyDescent="0.45">
      <c r="A1229">
        <v>2274</v>
      </c>
      <c r="B1229" t="s">
        <v>1310</v>
      </c>
      <c r="C1229">
        <v>956</v>
      </c>
      <c r="D1229">
        <v>2</v>
      </c>
      <c r="E1229">
        <v>706.1</v>
      </c>
      <c r="F1229">
        <v>409.3</v>
      </c>
      <c r="G1229">
        <v>922.4</v>
      </c>
      <c r="H1229">
        <v>1</v>
      </c>
      <c r="I1229">
        <v>23.82</v>
      </c>
      <c r="J1229">
        <v>356</v>
      </c>
      <c r="K1229">
        <v>148</v>
      </c>
      <c r="L1229">
        <v>38</v>
      </c>
      <c r="M1229">
        <v>46</v>
      </c>
      <c r="N1229">
        <v>0</v>
      </c>
      <c r="O1229">
        <v>77</v>
      </c>
      <c r="P1229">
        <v>1107.5</v>
      </c>
      <c r="Q1229">
        <v>-80</v>
      </c>
    </row>
    <row r="1230" spans="1:17" x14ac:dyDescent="0.45">
      <c r="A1230">
        <v>3715</v>
      </c>
      <c r="B1230" t="s">
        <v>1311</v>
      </c>
      <c r="C1230">
        <v>383</v>
      </c>
      <c r="D1230">
        <v>3</v>
      </c>
      <c r="E1230">
        <v>141.80000000000001</v>
      </c>
      <c r="F1230">
        <v>1.2</v>
      </c>
      <c r="G1230">
        <v>814.6</v>
      </c>
      <c r="H1230">
        <v>3</v>
      </c>
      <c r="I1230">
        <v>29.04</v>
      </c>
      <c r="J1230">
        <v>91</v>
      </c>
      <c r="K1230">
        <v>112</v>
      </c>
      <c r="L1230">
        <v>12</v>
      </c>
      <c r="M1230">
        <v>8</v>
      </c>
      <c r="N1230">
        <v>0</v>
      </c>
      <c r="O1230">
        <v>5134</v>
      </c>
      <c r="P1230">
        <v>0</v>
      </c>
      <c r="Q1230">
        <v>-1686</v>
      </c>
    </row>
    <row r="1231" spans="1:17" x14ac:dyDescent="0.45">
      <c r="A1231">
        <v>3202</v>
      </c>
      <c r="B1231" t="s">
        <v>1313</v>
      </c>
      <c r="C1231">
        <v>1253</v>
      </c>
      <c r="D1231">
        <v>1</v>
      </c>
      <c r="E1231">
        <v>850.9</v>
      </c>
      <c r="F1231">
        <v>18.7</v>
      </c>
      <c r="G1231">
        <v>2305.4</v>
      </c>
      <c r="H1231">
        <v>3</v>
      </c>
      <c r="I1231">
        <v>30.49</v>
      </c>
      <c r="J1231">
        <v>482</v>
      </c>
      <c r="K1231">
        <v>181</v>
      </c>
      <c r="L1231">
        <v>28</v>
      </c>
      <c r="M1231">
        <v>49</v>
      </c>
      <c r="N1231">
        <v>0</v>
      </c>
      <c r="O1231">
        <v>8083</v>
      </c>
      <c r="P1231">
        <v>0</v>
      </c>
      <c r="Q1231">
        <v>-140</v>
      </c>
    </row>
    <row r="1232" spans="1:17" x14ac:dyDescent="0.45">
      <c r="A1232">
        <v>1367</v>
      </c>
      <c r="B1232" t="s">
        <v>1314</v>
      </c>
      <c r="C1232">
        <v>3516</v>
      </c>
      <c r="D1232">
        <v>3</v>
      </c>
      <c r="E1232">
        <v>2461.6999999999998</v>
      </c>
      <c r="F1232">
        <v>0</v>
      </c>
      <c r="G1232">
        <v>4085.7</v>
      </c>
      <c r="H1232">
        <v>2</v>
      </c>
      <c r="I1232">
        <v>15.72</v>
      </c>
      <c r="J1232">
        <v>1505</v>
      </c>
      <c r="K1232">
        <v>584</v>
      </c>
      <c r="L1232">
        <v>48</v>
      </c>
      <c r="M1232">
        <v>120</v>
      </c>
      <c r="N1232">
        <v>0</v>
      </c>
      <c r="O1232">
        <v>7856</v>
      </c>
      <c r="P1232">
        <v>387.63</v>
      </c>
      <c r="Q1232">
        <v>-7326</v>
      </c>
    </row>
    <row r="1233" spans="1:17" x14ac:dyDescent="0.45">
      <c r="A1233">
        <v>5120</v>
      </c>
      <c r="B1233" t="s">
        <v>1315</v>
      </c>
      <c r="C1233">
        <v>2579</v>
      </c>
      <c r="D1233">
        <v>2</v>
      </c>
      <c r="E1233">
        <v>5496.9</v>
      </c>
      <c r="F1233">
        <v>63</v>
      </c>
      <c r="G1233">
        <v>621.5</v>
      </c>
      <c r="H1233">
        <v>1</v>
      </c>
      <c r="I1233">
        <v>18.600000000000001</v>
      </c>
      <c r="J1233">
        <v>902</v>
      </c>
      <c r="K1233">
        <v>256</v>
      </c>
      <c r="L1233">
        <v>44</v>
      </c>
      <c r="M1233">
        <v>158</v>
      </c>
      <c r="N1233">
        <v>0</v>
      </c>
      <c r="O1233">
        <v>0</v>
      </c>
      <c r="P1233">
        <v>0</v>
      </c>
      <c r="Q1233">
        <v>0</v>
      </c>
    </row>
    <row r="1234" spans="1:17" x14ac:dyDescent="0.45">
      <c r="A1234">
        <v>4279</v>
      </c>
      <c r="B1234" t="s">
        <v>1316</v>
      </c>
      <c r="C1234">
        <v>3064</v>
      </c>
      <c r="D1234">
        <v>3</v>
      </c>
      <c r="E1234">
        <v>3937.3</v>
      </c>
      <c r="F1234">
        <v>217.5</v>
      </c>
      <c r="G1234">
        <v>3618.5</v>
      </c>
      <c r="H1234">
        <v>3</v>
      </c>
      <c r="I1234">
        <v>23.9</v>
      </c>
      <c r="J1234">
        <v>1297</v>
      </c>
      <c r="K1234">
        <v>555</v>
      </c>
      <c r="L1234">
        <v>50</v>
      </c>
      <c r="M1234">
        <v>154</v>
      </c>
      <c r="N1234">
        <v>0</v>
      </c>
      <c r="O1234">
        <v>3170</v>
      </c>
      <c r="P1234">
        <v>0</v>
      </c>
      <c r="Q1234">
        <v>-2328</v>
      </c>
    </row>
    <row r="1235" spans="1:17" x14ac:dyDescent="0.45">
      <c r="A1235">
        <v>4236</v>
      </c>
      <c r="B1235" t="s">
        <v>1317</v>
      </c>
      <c r="C1235">
        <v>8381</v>
      </c>
      <c r="D1235">
        <v>3</v>
      </c>
      <c r="E1235">
        <v>7379.5</v>
      </c>
      <c r="F1235">
        <v>0</v>
      </c>
      <c r="G1235">
        <v>11975.2</v>
      </c>
      <c r="H1235">
        <v>2</v>
      </c>
      <c r="I1235">
        <v>23.46</v>
      </c>
      <c r="J1235">
        <v>3268</v>
      </c>
      <c r="K1235">
        <v>1330</v>
      </c>
      <c r="L1235">
        <v>238</v>
      </c>
      <c r="M1235">
        <v>437</v>
      </c>
      <c r="N1235">
        <v>0</v>
      </c>
      <c r="O1235">
        <v>5152</v>
      </c>
      <c r="P1235">
        <v>516.85</v>
      </c>
      <c r="Q1235">
        <v>-502</v>
      </c>
    </row>
    <row r="1236" spans="1:17" x14ac:dyDescent="0.45">
      <c r="A1236">
        <v>356</v>
      </c>
      <c r="B1236" t="s">
        <v>1318</v>
      </c>
      <c r="C1236">
        <v>13317</v>
      </c>
      <c r="D1236">
        <v>2</v>
      </c>
      <c r="E1236">
        <v>12098</v>
      </c>
      <c r="F1236">
        <v>8723.2000000000007</v>
      </c>
      <c r="G1236">
        <v>7070.1</v>
      </c>
      <c r="H1236">
        <v>1</v>
      </c>
      <c r="I1236">
        <v>16.760000000000002</v>
      </c>
      <c r="J1236">
        <v>4424</v>
      </c>
      <c r="K1236">
        <v>1632</v>
      </c>
      <c r="L1236">
        <v>342</v>
      </c>
      <c r="M1236">
        <v>789</v>
      </c>
      <c r="N1236">
        <v>0</v>
      </c>
      <c r="O1236">
        <v>522</v>
      </c>
      <c r="P1236">
        <v>0</v>
      </c>
      <c r="Q1236">
        <v>-341</v>
      </c>
    </row>
    <row r="1237" spans="1:17" x14ac:dyDescent="0.45">
      <c r="A1237">
        <v>6753</v>
      </c>
      <c r="B1237" t="s">
        <v>1319</v>
      </c>
      <c r="C1237">
        <v>511</v>
      </c>
      <c r="D1237">
        <v>3</v>
      </c>
      <c r="E1237">
        <v>1744.1</v>
      </c>
      <c r="F1237">
        <v>29.7</v>
      </c>
      <c r="G1237">
        <v>535.20000000000005</v>
      </c>
      <c r="H1237">
        <v>3</v>
      </c>
      <c r="I1237">
        <v>27.66</v>
      </c>
      <c r="J1237">
        <v>203</v>
      </c>
      <c r="K1237">
        <v>94</v>
      </c>
      <c r="L1237">
        <v>10</v>
      </c>
      <c r="M1237">
        <v>23</v>
      </c>
      <c r="N1237">
        <v>0</v>
      </c>
      <c r="O1237">
        <v>5336</v>
      </c>
      <c r="P1237">
        <v>0</v>
      </c>
      <c r="Q1237">
        <v>-963</v>
      </c>
    </row>
    <row r="1238" spans="1:17" x14ac:dyDescent="0.45">
      <c r="A1238">
        <v>2275</v>
      </c>
      <c r="B1238" t="s">
        <v>1320</v>
      </c>
      <c r="C1238">
        <v>9414</v>
      </c>
      <c r="D1238">
        <v>3</v>
      </c>
      <c r="E1238">
        <v>7374.4</v>
      </c>
      <c r="F1238">
        <v>570.4</v>
      </c>
      <c r="G1238">
        <v>9508.7000000000007</v>
      </c>
      <c r="H1238">
        <v>1</v>
      </c>
      <c r="I1238">
        <v>23.82</v>
      </c>
      <c r="J1238">
        <v>3478</v>
      </c>
      <c r="K1238">
        <v>1616</v>
      </c>
      <c r="L1238">
        <v>261</v>
      </c>
      <c r="M1238">
        <v>516</v>
      </c>
      <c r="N1238">
        <v>0</v>
      </c>
      <c r="O1238">
        <v>8134</v>
      </c>
      <c r="P1238">
        <v>0</v>
      </c>
      <c r="Q1238">
        <v>-1646</v>
      </c>
    </row>
    <row r="1239" spans="1:17" x14ac:dyDescent="0.45">
      <c r="A1239">
        <v>5563</v>
      </c>
      <c r="B1239" t="s">
        <v>1321</v>
      </c>
      <c r="C1239">
        <v>151</v>
      </c>
      <c r="D1239">
        <v>3</v>
      </c>
      <c r="E1239">
        <v>253.7</v>
      </c>
      <c r="F1239">
        <v>0</v>
      </c>
      <c r="G1239">
        <v>96.5</v>
      </c>
      <c r="H1239">
        <v>3</v>
      </c>
      <c r="I1239">
        <v>35.86</v>
      </c>
      <c r="J1239">
        <v>65</v>
      </c>
      <c r="K1239">
        <v>29</v>
      </c>
      <c r="L1239">
        <v>6</v>
      </c>
      <c r="M1239">
        <v>5</v>
      </c>
      <c r="N1239">
        <v>0</v>
      </c>
      <c r="O1239">
        <v>1066</v>
      </c>
      <c r="P1239">
        <v>12.54</v>
      </c>
      <c r="Q1239">
        <v>-401</v>
      </c>
    </row>
    <row r="1240" spans="1:17" x14ac:dyDescent="0.45">
      <c r="A1240">
        <v>2770</v>
      </c>
      <c r="B1240" t="s">
        <v>1322</v>
      </c>
      <c r="C1240">
        <v>17917</v>
      </c>
      <c r="D1240">
        <v>1</v>
      </c>
      <c r="E1240">
        <v>7763.3</v>
      </c>
      <c r="F1240">
        <v>17221.3</v>
      </c>
      <c r="G1240">
        <v>12208.2</v>
      </c>
      <c r="H1240">
        <v>1</v>
      </c>
      <c r="I1240">
        <v>14.25</v>
      </c>
      <c r="J1240">
        <v>5444</v>
      </c>
      <c r="K1240">
        <v>2068</v>
      </c>
      <c r="L1240">
        <v>355</v>
      </c>
      <c r="M1240">
        <v>944</v>
      </c>
      <c r="N1240">
        <v>197</v>
      </c>
      <c r="O1240">
        <v>758</v>
      </c>
      <c r="P1240">
        <v>0</v>
      </c>
      <c r="Q1240">
        <v>-1305</v>
      </c>
    </row>
    <row r="1241" spans="1:17" x14ac:dyDescent="0.45">
      <c r="A1241">
        <v>5205</v>
      </c>
      <c r="B1241" t="s">
        <v>1323</v>
      </c>
      <c r="C1241">
        <v>814</v>
      </c>
      <c r="D1241">
        <v>2</v>
      </c>
      <c r="E1241">
        <v>1092.5</v>
      </c>
      <c r="F1241">
        <v>621.1</v>
      </c>
      <c r="G1241">
        <v>1371.9</v>
      </c>
      <c r="H1241">
        <v>1</v>
      </c>
      <c r="I1241">
        <v>18.600000000000001</v>
      </c>
      <c r="J1241">
        <v>340</v>
      </c>
      <c r="K1241">
        <v>132</v>
      </c>
      <c r="L1241">
        <v>32</v>
      </c>
      <c r="M1241">
        <v>99</v>
      </c>
      <c r="N1241">
        <v>0</v>
      </c>
      <c r="O1241">
        <v>30</v>
      </c>
      <c r="P1241">
        <v>0</v>
      </c>
      <c r="Q1241">
        <v>-60</v>
      </c>
    </row>
    <row r="1242" spans="1:17" x14ac:dyDescent="0.45">
      <c r="A1242">
        <v>4032</v>
      </c>
      <c r="B1242" t="s">
        <v>1178</v>
      </c>
      <c r="C1242">
        <v>2194</v>
      </c>
      <c r="D1242">
        <v>3</v>
      </c>
      <c r="E1242">
        <v>1662.8</v>
      </c>
      <c r="F1242">
        <v>885.7</v>
      </c>
      <c r="G1242">
        <v>3349.9</v>
      </c>
      <c r="H1242">
        <v>2</v>
      </c>
      <c r="I1242">
        <v>23.46</v>
      </c>
      <c r="J1242">
        <v>873</v>
      </c>
      <c r="K1242">
        <v>549</v>
      </c>
      <c r="L1242">
        <v>72</v>
      </c>
      <c r="M1242">
        <v>135</v>
      </c>
      <c r="N1242">
        <v>0</v>
      </c>
      <c r="O1242">
        <v>854</v>
      </c>
      <c r="P1242">
        <v>0</v>
      </c>
      <c r="Q1242">
        <v>-221</v>
      </c>
    </row>
    <row r="1243" spans="1:17" x14ac:dyDescent="0.45">
      <c r="A1243">
        <v>155</v>
      </c>
      <c r="B1243" t="s">
        <v>1187</v>
      </c>
      <c r="C1243">
        <v>11437</v>
      </c>
      <c r="D1243">
        <v>3</v>
      </c>
      <c r="E1243">
        <v>6720.8</v>
      </c>
      <c r="F1243">
        <v>7709.8</v>
      </c>
      <c r="G1243">
        <v>3816.5</v>
      </c>
      <c r="H1243">
        <v>1</v>
      </c>
      <c r="I1243">
        <v>15.69</v>
      </c>
      <c r="J1243">
        <v>3504</v>
      </c>
      <c r="K1243">
        <v>1185</v>
      </c>
      <c r="L1243">
        <v>349</v>
      </c>
      <c r="M1243">
        <v>580</v>
      </c>
      <c r="N1243">
        <v>0</v>
      </c>
      <c r="O1243">
        <v>270</v>
      </c>
      <c r="P1243">
        <v>801.08</v>
      </c>
      <c r="Q1243">
        <v>-221</v>
      </c>
    </row>
    <row r="1244" spans="1:17" x14ac:dyDescent="0.45">
      <c r="A1244">
        <v>4941</v>
      </c>
      <c r="B1244" t="s">
        <v>1194</v>
      </c>
      <c r="C1244">
        <v>2927</v>
      </c>
      <c r="D1244">
        <v>3</v>
      </c>
      <c r="E1244">
        <v>2199.5</v>
      </c>
      <c r="F1244">
        <v>2255.6</v>
      </c>
      <c r="G1244">
        <v>5453.7</v>
      </c>
      <c r="H1244">
        <v>3</v>
      </c>
      <c r="I1244">
        <v>26.04</v>
      </c>
      <c r="J1244">
        <v>1307</v>
      </c>
      <c r="K1244">
        <v>547</v>
      </c>
      <c r="L1244">
        <v>71</v>
      </c>
      <c r="M1244">
        <v>159</v>
      </c>
      <c r="N1244">
        <v>0</v>
      </c>
      <c r="O1244">
        <v>3230</v>
      </c>
      <c r="P1244">
        <v>274.66000000000003</v>
      </c>
      <c r="Q1244">
        <v>-401</v>
      </c>
    </row>
    <row r="1245" spans="1:17" x14ac:dyDescent="0.45">
      <c r="A1245">
        <v>2027</v>
      </c>
      <c r="B1245" t="s">
        <v>1230</v>
      </c>
      <c r="C1245">
        <v>437</v>
      </c>
      <c r="D1245">
        <v>3</v>
      </c>
      <c r="E1245">
        <v>387.4</v>
      </c>
      <c r="F1245">
        <v>105.5</v>
      </c>
      <c r="G1245">
        <v>557.1</v>
      </c>
      <c r="H1245">
        <v>3</v>
      </c>
      <c r="I1245">
        <v>36.93</v>
      </c>
      <c r="J1245">
        <v>193</v>
      </c>
      <c r="K1245">
        <v>66</v>
      </c>
      <c r="L1245">
        <v>8</v>
      </c>
      <c r="M1245">
        <v>31</v>
      </c>
      <c r="N1245">
        <v>0</v>
      </c>
      <c r="O1245">
        <v>676</v>
      </c>
      <c r="P1245">
        <v>0</v>
      </c>
      <c r="Q1245">
        <v>-140</v>
      </c>
    </row>
    <row r="1246" spans="1:17" x14ac:dyDescent="0.45">
      <c r="A1246">
        <v>2087</v>
      </c>
      <c r="B1246" t="s">
        <v>1248</v>
      </c>
      <c r="C1246">
        <v>1081</v>
      </c>
      <c r="D1246">
        <v>3</v>
      </c>
      <c r="E1246">
        <v>1205.4000000000001</v>
      </c>
      <c r="F1246">
        <v>23.9</v>
      </c>
      <c r="G1246">
        <v>1348.4</v>
      </c>
      <c r="H1246">
        <v>3</v>
      </c>
      <c r="I1246">
        <v>36.93</v>
      </c>
      <c r="J1246">
        <v>531</v>
      </c>
      <c r="K1246">
        <v>145</v>
      </c>
      <c r="L1246">
        <v>29</v>
      </c>
      <c r="M1246">
        <v>68</v>
      </c>
      <c r="N1246">
        <v>0</v>
      </c>
      <c r="O1246">
        <v>4636</v>
      </c>
      <c r="P1246">
        <v>0</v>
      </c>
      <c r="Q1246">
        <v>-221</v>
      </c>
    </row>
    <row r="1247" spans="1:17" x14ac:dyDescent="0.45">
      <c r="A1247">
        <v>4254</v>
      </c>
      <c r="B1247" t="s">
        <v>1257</v>
      </c>
      <c r="C1247">
        <v>11231</v>
      </c>
      <c r="D1247">
        <v>3</v>
      </c>
      <c r="E1247">
        <v>11093.2</v>
      </c>
      <c r="F1247">
        <v>582.9</v>
      </c>
      <c r="G1247">
        <v>9977</v>
      </c>
      <c r="H1247">
        <v>1</v>
      </c>
      <c r="I1247">
        <v>20.87</v>
      </c>
      <c r="J1247">
        <v>3923</v>
      </c>
      <c r="K1247">
        <v>1738</v>
      </c>
      <c r="L1247">
        <v>214</v>
      </c>
      <c r="M1247">
        <v>576</v>
      </c>
      <c r="N1247">
        <v>0</v>
      </c>
      <c r="O1247">
        <v>3573</v>
      </c>
      <c r="P1247">
        <v>1107.5</v>
      </c>
      <c r="Q1247">
        <v>-1345</v>
      </c>
    </row>
    <row r="1248" spans="1:17" x14ac:dyDescent="0.45">
      <c r="A1248">
        <v>196</v>
      </c>
      <c r="B1248" t="s">
        <v>1261</v>
      </c>
      <c r="C1248">
        <v>4118</v>
      </c>
      <c r="D1248">
        <v>3</v>
      </c>
      <c r="E1248">
        <v>3090.1</v>
      </c>
      <c r="F1248">
        <v>194.2</v>
      </c>
      <c r="G1248">
        <v>3652.9</v>
      </c>
      <c r="H1248">
        <v>2</v>
      </c>
      <c r="I1248">
        <v>24.61</v>
      </c>
      <c r="J1248">
        <v>1393</v>
      </c>
      <c r="K1248">
        <v>598</v>
      </c>
      <c r="L1248">
        <v>113</v>
      </c>
      <c r="M1248">
        <v>229</v>
      </c>
      <c r="N1248">
        <v>0</v>
      </c>
      <c r="O1248">
        <v>2081</v>
      </c>
      <c r="P1248">
        <v>177.2</v>
      </c>
      <c r="Q1248">
        <v>-181</v>
      </c>
    </row>
    <row r="1249" spans="1:17" x14ac:dyDescent="0.45">
      <c r="A1249">
        <v>4106</v>
      </c>
      <c r="B1249" t="s">
        <v>1269</v>
      </c>
      <c r="C1249">
        <v>396</v>
      </c>
      <c r="D1249">
        <v>3</v>
      </c>
      <c r="E1249">
        <v>531.70000000000005</v>
      </c>
      <c r="F1249">
        <v>0</v>
      </c>
      <c r="G1249">
        <v>266.89999999999998</v>
      </c>
      <c r="H1249">
        <v>3</v>
      </c>
      <c r="I1249">
        <v>23.9</v>
      </c>
      <c r="J1249">
        <v>200</v>
      </c>
      <c r="K1249">
        <v>69</v>
      </c>
      <c r="L1249">
        <v>11</v>
      </c>
      <c r="M1249">
        <v>21</v>
      </c>
      <c r="N1249">
        <v>0</v>
      </c>
      <c r="O1249">
        <v>624</v>
      </c>
      <c r="P1249">
        <v>0</v>
      </c>
      <c r="Q1249">
        <v>-341</v>
      </c>
    </row>
    <row r="1250" spans="1:17" x14ac:dyDescent="0.45">
      <c r="A1250">
        <v>6203</v>
      </c>
      <c r="B1250" t="s">
        <v>1284</v>
      </c>
      <c r="C1250">
        <v>720</v>
      </c>
      <c r="D1250">
        <v>3</v>
      </c>
      <c r="E1250">
        <v>969.2</v>
      </c>
      <c r="F1250">
        <v>6.7</v>
      </c>
      <c r="G1250">
        <v>944.2</v>
      </c>
      <c r="H1250">
        <v>3</v>
      </c>
      <c r="I1250">
        <v>30.8</v>
      </c>
      <c r="J1250">
        <v>227</v>
      </c>
      <c r="K1250">
        <v>124</v>
      </c>
      <c r="L1250">
        <v>21</v>
      </c>
      <c r="M1250">
        <v>38</v>
      </c>
      <c r="N1250">
        <v>0</v>
      </c>
      <c r="O1250">
        <v>303</v>
      </c>
      <c r="P1250">
        <v>0</v>
      </c>
      <c r="Q1250">
        <v>-883</v>
      </c>
    </row>
    <row r="1251" spans="1:17" x14ac:dyDescent="0.45">
      <c r="A1251">
        <v>742</v>
      </c>
      <c r="B1251" t="s">
        <v>1286</v>
      </c>
      <c r="C1251">
        <v>890</v>
      </c>
      <c r="D1251">
        <v>2</v>
      </c>
      <c r="E1251">
        <v>1363.9</v>
      </c>
      <c r="F1251">
        <v>20.6</v>
      </c>
      <c r="G1251">
        <v>929.8</v>
      </c>
      <c r="H1251">
        <v>2</v>
      </c>
      <c r="I1251">
        <v>24.84</v>
      </c>
      <c r="J1251">
        <v>379</v>
      </c>
      <c r="K1251">
        <v>116</v>
      </c>
      <c r="L1251">
        <v>34</v>
      </c>
      <c r="M1251">
        <v>46</v>
      </c>
      <c r="N1251">
        <v>0</v>
      </c>
      <c r="O1251">
        <v>331</v>
      </c>
      <c r="P1251">
        <v>0</v>
      </c>
      <c r="Q1251">
        <v>-80</v>
      </c>
    </row>
    <row r="1252" spans="1:17" x14ac:dyDescent="0.45">
      <c r="A1252">
        <v>4203</v>
      </c>
      <c r="B1252" t="s">
        <v>1287</v>
      </c>
      <c r="C1252">
        <v>4676</v>
      </c>
      <c r="D1252">
        <v>3</v>
      </c>
      <c r="E1252">
        <v>2918.9</v>
      </c>
      <c r="F1252">
        <v>1431.4</v>
      </c>
      <c r="G1252">
        <v>4240.3</v>
      </c>
      <c r="H1252">
        <v>1</v>
      </c>
      <c r="I1252">
        <v>20.87</v>
      </c>
      <c r="J1252">
        <v>1915</v>
      </c>
      <c r="K1252">
        <v>716</v>
      </c>
      <c r="L1252">
        <v>131</v>
      </c>
      <c r="M1252">
        <v>267</v>
      </c>
      <c r="N1252">
        <v>297243</v>
      </c>
      <c r="O1252">
        <v>1662</v>
      </c>
      <c r="P1252">
        <v>3691.65</v>
      </c>
      <c r="Q1252">
        <v>-482</v>
      </c>
    </row>
    <row r="1253" spans="1:17" x14ac:dyDescent="0.45">
      <c r="A1253">
        <v>3214</v>
      </c>
      <c r="B1253" t="s">
        <v>1291</v>
      </c>
      <c r="C1253">
        <v>3619</v>
      </c>
      <c r="D1253">
        <v>3</v>
      </c>
      <c r="E1253">
        <v>3724.2</v>
      </c>
      <c r="F1253">
        <v>49.8</v>
      </c>
      <c r="G1253">
        <v>5615.8</v>
      </c>
      <c r="H1253">
        <v>2</v>
      </c>
      <c r="I1253">
        <v>22.8</v>
      </c>
      <c r="J1253">
        <v>1312</v>
      </c>
      <c r="K1253">
        <v>564</v>
      </c>
      <c r="L1253">
        <v>152</v>
      </c>
      <c r="M1253">
        <v>211</v>
      </c>
      <c r="N1253">
        <v>0</v>
      </c>
      <c r="O1253">
        <v>5626</v>
      </c>
      <c r="P1253">
        <v>0</v>
      </c>
      <c r="Q1253">
        <v>-401</v>
      </c>
    </row>
    <row r="1254" spans="1:17" x14ac:dyDescent="0.45">
      <c r="A1254">
        <v>4235</v>
      </c>
      <c r="B1254" t="s">
        <v>1297</v>
      </c>
      <c r="C1254">
        <v>1259</v>
      </c>
      <c r="D1254">
        <v>3</v>
      </c>
      <c r="E1254">
        <v>1127.5</v>
      </c>
      <c r="F1254">
        <v>0</v>
      </c>
      <c r="G1254">
        <v>2368.5</v>
      </c>
      <c r="H1254">
        <v>3</v>
      </c>
      <c r="I1254">
        <v>23.9</v>
      </c>
      <c r="J1254">
        <v>534</v>
      </c>
      <c r="K1254">
        <v>238</v>
      </c>
      <c r="L1254">
        <v>34</v>
      </c>
      <c r="M1254">
        <v>64</v>
      </c>
      <c r="N1254">
        <v>0</v>
      </c>
      <c r="O1254">
        <v>3541</v>
      </c>
      <c r="P1254">
        <v>62.02</v>
      </c>
      <c r="Q1254">
        <v>-140</v>
      </c>
    </row>
    <row r="1255" spans="1:17" x14ac:dyDescent="0.45">
      <c r="A1255">
        <v>668</v>
      </c>
      <c r="B1255" t="s">
        <v>1298</v>
      </c>
      <c r="C1255">
        <v>3074</v>
      </c>
      <c r="D1255">
        <v>3</v>
      </c>
      <c r="E1255">
        <v>3592.2</v>
      </c>
      <c r="F1255">
        <v>28.2</v>
      </c>
      <c r="G1255">
        <v>4878.8999999999996</v>
      </c>
      <c r="H1255">
        <v>3</v>
      </c>
      <c r="I1255">
        <v>26.41</v>
      </c>
      <c r="J1255">
        <v>1440</v>
      </c>
      <c r="K1255">
        <v>521</v>
      </c>
      <c r="L1255">
        <v>91</v>
      </c>
      <c r="M1255">
        <v>204</v>
      </c>
      <c r="N1255">
        <v>0</v>
      </c>
      <c r="O1255">
        <v>9627</v>
      </c>
      <c r="P1255">
        <v>0</v>
      </c>
      <c r="Q1255">
        <v>-1666</v>
      </c>
    </row>
    <row r="1256" spans="1:17" x14ac:dyDescent="0.45">
      <c r="A1256">
        <v>4831</v>
      </c>
      <c r="B1256" t="s">
        <v>1299</v>
      </c>
      <c r="C1256">
        <v>3218</v>
      </c>
      <c r="D1256">
        <v>3</v>
      </c>
      <c r="E1256">
        <v>2285.1</v>
      </c>
      <c r="F1256">
        <v>2532.6999999999998</v>
      </c>
      <c r="G1256">
        <v>4938</v>
      </c>
      <c r="H1256">
        <v>2</v>
      </c>
      <c r="I1256">
        <v>21.63</v>
      </c>
      <c r="J1256">
        <v>1394</v>
      </c>
      <c r="K1256">
        <v>616</v>
      </c>
      <c r="L1256">
        <v>86</v>
      </c>
      <c r="M1256">
        <v>171</v>
      </c>
      <c r="N1256">
        <v>0</v>
      </c>
      <c r="O1256">
        <v>1390</v>
      </c>
      <c r="P1256">
        <v>382.44</v>
      </c>
      <c r="Q1256">
        <v>-502</v>
      </c>
    </row>
    <row r="1257" spans="1:17" x14ac:dyDescent="0.45">
      <c r="A1257">
        <v>4107</v>
      </c>
      <c r="B1257" t="s">
        <v>1300</v>
      </c>
      <c r="C1257">
        <v>1110</v>
      </c>
      <c r="D1257">
        <v>3</v>
      </c>
      <c r="E1257">
        <v>866.5</v>
      </c>
      <c r="F1257">
        <v>361.1</v>
      </c>
      <c r="G1257">
        <v>1448.6</v>
      </c>
      <c r="H1257">
        <v>2</v>
      </c>
      <c r="I1257">
        <v>23.46</v>
      </c>
      <c r="J1257">
        <v>430</v>
      </c>
      <c r="K1257">
        <v>175</v>
      </c>
      <c r="L1257">
        <v>20</v>
      </c>
      <c r="M1257">
        <v>44</v>
      </c>
      <c r="N1257">
        <v>0</v>
      </c>
      <c r="O1257">
        <v>322</v>
      </c>
      <c r="P1257">
        <v>0</v>
      </c>
      <c r="Q1257">
        <v>-201</v>
      </c>
    </row>
    <row r="1258" spans="1:17" x14ac:dyDescent="0.45">
      <c r="A1258">
        <v>2428</v>
      </c>
      <c r="B1258" t="s">
        <v>1301</v>
      </c>
      <c r="C1258">
        <v>2381</v>
      </c>
      <c r="D1258">
        <v>2</v>
      </c>
      <c r="E1258">
        <v>3721</v>
      </c>
      <c r="F1258">
        <v>2</v>
      </c>
      <c r="G1258">
        <v>1087</v>
      </c>
      <c r="H1258">
        <v>3</v>
      </c>
      <c r="I1258">
        <v>28.59</v>
      </c>
      <c r="J1258">
        <v>970</v>
      </c>
      <c r="K1258">
        <v>416</v>
      </c>
      <c r="L1258">
        <v>37</v>
      </c>
      <c r="M1258">
        <v>119</v>
      </c>
      <c r="N1258">
        <v>0</v>
      </c>
      <c r="O1258">
        <v>9518</v>
      </c>
      <c r="P1258">
        <v>0</v>
      </c>
      <c r="Q1258">
        <v>-2990</v>
      </c>
    </row>
    <row r="1259" spans="1:17" x14ac:dyDescent="0.45">
      <c r="A1259">
        <v>546</v>
      </c>
      <c r="B1259" t="s">
        <v>1303</v>
      </c>
      <c r="C1259">
        <v>10419</v>
      </c>
      <c r="D1259">
        <v>2</v>
      </c>
      <c r="E1259">
        <v>10722.3</v>
      </c>
      <c r="F1259">
        <v>528.4</v>
      </c>
      <c r="G1259">
        <v>6630</v>
      </c>
      <c r="H1259">
        <v>2</v>
      </c>
      <c r="I1259">
        <v>24.84</v>
      </c>
      <c r="J1259">
        <v>2750</v>
      </c>
      <c r="K1259">
        <v>1170</v>
      </c>
      <c r="L1259">
        <v>156</v>
      </c>
      <c r="M1259">
        <v>311</v>
      </c>
      <c r="N1259">
        <v>0</v>
      </c>
      <c r="O1259">
        <v>2494</v>
      </c>
      <c r="P1259">
        <v>0</v>
      </c>
      <c r="Q1259">
        <v>-602</v>
      </c>
    </row>
    <row r="1260" spans="1:17" x14ac:dyDescent="0.45">
      <c r="A1260">
        <v>2769</v>
      </c>
      <c r="B1260" t="s">
        <v>1304</v>
      </c>
      <c r="C1260">
        <v>12102</v>
      </c>
      <c r="D1260">
        <v>1</v>
      </c>
      <c r="E1260">
        <v>4936.5</v>
      </c>
      <c r="F1260">
        <v>12432.4</v>
      </c>
      <c r="G1260">
        <v>8485.2999999999993</v>
      </c>
      <c r="H1260">
        <v>1</v>
      </c>
      <c r="I1260">
        <v>14.25</v>
      </c>
      <c r="J1260">
        <v>3651</v>
      </c>
      <c r="K1260">
        <v>1479</v>
      </c>
      <c r="L1260">
        <v>279</v>
      </c>
      <c r="M1260">
        <v>625</v>
      </c>
      <c r="N1260">
        <v>0</v>
      </c>
      <c r="O1260">
        <v>535</v>
      </c>
      <c r="P1260">
        <v>0</v>
      </c>
      <c r="Q1260">
        <v>-381</v>
      </c>
    </row>
    <row r="1261" spans="1:17" x14ac:dyDescent="0.45">
      <c r="A1261">
        <v>669</v>
      </c>
      <c r="B1261" t="s">
        <v>1305</v>
      </c>
      <c r="C1261">
        <v>559</v>
      </c>
      <c r="D1261">
        <v>3</v>
      </c>
      <c r="E1261">
        <v>693.2</v>
      </c>
      <c r="F1261">
        <v>4.5999999999999996</v>
      </c>
      <c r="G1261">
        <v>498.8</v>
      </c>
      <c r="H1261">
        <v>1</v>
      </c>
      <c r="I1261">
        <v>16.760000000000002</v>
      </c>
      <c r="J1261">
        <v>214</v>
      </c>
      <c r="K1261">
        <v>89</v>
      </c>
      <c r="L1261">
        <v>12</v>
      </c>
      <c r="M1261">
        <v>23</v>
      </c>
      <c r="N1261">
        <v>0</v>
      </c>
      <c r="O1261">
        <v>1815</v>
      </c>
      <c r="P1261">
        <v>0</v>
      </c>
      <c r="Q1261">
        <v>-100</v>
      </c>
    </row>
    <row r="1262" spans="1:17" x14ac:dyDescent="0.45">
      <c r="A1262">
        <v>4172</v>
      </c>
      <c r="B1262" t="s">
        <v>1306</v>
      </c>
      <c r="C1262">
        <v>1034</v>
      </c>
      <c r="D1262">
        <v>3</v>
      </c>
      <c r="E1262">
        <v>795.8</v>
      </c>
      <c r="F1262">
        <v>0</v>
      </c>
      <c r="G1262">
        <v>810.9</v>
      </c>
      <c r="H1262">
        <v>1</v>
      </c>
      <c r="I1262">
        <v>20.87</v>
      </c>
      <c r="J1262">
        <v>436</v>
      </c>
      <c r="K1262">
        <v>185</v>
      </c>
      <c r="L1262">
        <v>32</v>
      </c>
      <c r="M1262">
        <v>51</v>
      </c>
      <c r="N1262">
        <v>0</v>
      </c>
      <c r="O1262">
        <v>213</v>
      </c>
      <c r="P1262">
        <v>0</v>
      </c>
      <c r="Q1262">
        <v>-140</v>
      </c>
    </row>
    <row r="1263" spans="1:17" x14ac:dyDescent="0.45">
      <c r="A1263">
        <v>4746</v>
      </c>
      <c r="B1263" t="s">
        <v>1307</v>
      </c>
      <c r="C1263">
        <v>5854</v>
      </c>
      <c r="D1263">
        <v>3</v>
      </c>
      <c r="E1263">
        <v>3841.6</v>
      </c>
      <c r="F1263">
        <v>3244.1</v>
      </c>
      <c r="G1263">
        <v>8305.6</v>
      </c>
      <c r="H1263">
        <v>1</v>
      </c>
      <c r="I1263">
        <v>21</v>
      </c>
      <c r="J1263">
        <v>2281</v>
      </c>
      <c r="K1263">
        <v>999</v>
      </c>
      <c r="L1263">
        <v>168</v>
      </c>
      <c r="M1263">
        <v>324</v>
      </c>
      <c r="N1263">
        <v>0</v>
      </c>
      <c r="O1263">
        <v>3594</v>
      </c>
      <c r="P1263">
        <v>922.9</v>
      </c>
      <c r="Q1263">
        <v>-140</v>
      </c>
    </row>
    <row r="1264" spans="1:17" x14ac:dyDescent="0.45">
      <c r="A1264">
        <v>616</v>
      </c>
      <c r="B1264" t="s">
        <v>1308</v>
      </c>
      <c r="C1264">
        <v>13045</v>
      </c>
      <c r="D1264">
        <v>3</v>
      </c>
      <c r="E1264">
        <v>11632.7</v>
      </c>
      <c r="F1264">
        <v>155.80000000000001</v>
      </c>
      <c r="G1264">
        <v>13100</v>
      </c>
      <c r="H1264">
        <v>1</v>
      </c>
      <c r="I1264">
        <v>16.760000000000002</v>
      </c>
      <c r="J1264">
        <v>3933</v>
      </c>
      <c r="K1264">
        <v>1543</v>
      </c>
      <c r="L1264">
        <v>276</v>
      </c>
      <c r="M1264">
        <v>478</v>
      </c>
      <c r="N1264">
        <v>0</v>
      </c>
      <c r="O1264">
        <v>4294</v>
      </c>
      <c r="P1264">
        <v>1683.4</v>
      </c>
      <c r="Q1264">
        <v>-462</v>
      </c>
    </row>
    <row r="1265" spans="1:17" x14ac:dyDescent="0.45">
      <c r="A1265">
        <v>4691</v>
      </c>
      <c r="B1265" t="s">
        <v>1309</v>
      </c>
      <c r="C1265">
        <v>3522</v>
      </c>
      <c r="D1265">
        <v>3</v>
      </c>
      <c r="E1265">
        <v>2456.9</v>
      </c>
      <c r="F1265">
        <v>1751.7</v>
      </c>
      <c r="G1265">
        <v>3429.3</v>
      </c>
      <c r="H1265">
        <v>3</v>
      </c>
      <c r="I1265">
        <v>26.04</v>
      </c>
      <c r="J1265">
        <v>1341</v>
      </c>
      <c r="K1265">
        <v>595</v>
      </c>
      <c r="L1265">
        <v>97</v>
      </c>
      <c r="M1265">
        <v>178</v>
      </c>
      <c r="N1265">
        <v>0</v>
      </c>
      <c r="O1265">
        <v>1410</v>
      </c>
      <c r="P1265">
        <v>775.25</v>
      </c>
      <c r="Q1265">
        <v>-221</v>
      </c>
    </row>
    <row r="1266" spans="1:17" x14ac:dyDescent="0.45">
      <c r="A1266">
        <v>498</v>
      </c>
      <c r="B1266" t="s">
        <v>1312</v>
      </c>
      <c r="C1266">
        <v>1609</v>
      </c>
      <c r="D1266">
        <v>2</v>
      </c>
      <c r="E1266">
        <v>1723.4</v>
      </c>
      <c r="F1266">
        <v>0</v>
      </c>
      <c r="G1266">
        <v>3215</v>
      </c>
      <c r="H1266">
        <v>3</v>
      </c>
      <c r="I1266">
        <v>26.41</v>
      </c>
      <c r="J1266">
        <v>576</v>
      </c>
      <c r="K1266">
        <v>323</v>
      </c>
      <c r="L1266">
        <v>31</v>
      </c>
      <c r="M1266">
        <v>69</v>
      </c>
      <c r="N1266">
        <v>0</v>
      </c>
      <c r="O1266">
        <v>515</v>
      </c>
      <c r="P1266">
        <v>0</v>
      </c>
      <c r="Q1266">
        <v>-20</v>
      </c>
    </row>
    <row r="1267" spans="1:17" x14ac:dyDescent="0.45">
      <c r="A1267">
        <v>6007</v>
      </c>
      <c r="B1267" t="s">
        <v>1324</v>
      </c>
      <c r="C1267">
        <v>10484</v>
      </c>
      <c r="D1267">
        <v>3</v>
      </c>
      <c r="E1267">
        <v>15354</v>
      </c>
      <c r="F1267">
        <v>889.4</v>
      </c>
      <c r="G1267">
        <v>5197.7</v>
      </c>
      <c r="H1267">
        <v>1</v>
      </c>
      <c r="I1267">
        <v>24.74</v>
      </c>
      <c r="J1267">
        <v>3092</v>
      </c>
      <c r="K1267">
        <v>1703</v>
      </c>
      <c r="L1267">
        <v>164</v>
      </c>
      <c r="M1267">
        <v>395</v>
      </c>
      <c r="N1267">
        <v>0</v>
      </c>
      <c r="O1267">
        <v>2233</v>
      </c>
      <c r="P1267">
        <v>0</v>
      </c>
      <c r="Q1267">
        <v>-3392</v>
      </c>
    </row>
    <row r="1268" spans="1:17" x14ac:dyDescent="0.45">
      <c r="A1268">
        <v>1137</v>
      </c>
      <c r="B1268" t="s">
        <v>1325</v>
      </c>
      <c r="C1268">
        <v>2766</v>
      </c>
      <c r="D1268">
        <v>3</v>
      </c>
      <c r="E1268">
        <v>2601.3000000000002</v>
      </c>
      <c r="F1268">
        <v>90.4</v>
      </c>
      <c r="G1268">
        <v>5989</v>
      </c>
      <c r="H1268">
        <v>2</v>
      </c>
      <c r="I1268">
        <v>28.41</v>
      </c>
      <c r="J1268">
        <v>1033</v>
      </c>
      <c r="K1268">
        <v>506</v>
      </c>
      <c r="L1268">
        <v>112</v>
      </c>
      <c r="M1268">
        <v>155</v>
      </c>
      <c r="N1268">
        <v>0</v>
      </c>
      <c r="O1268">
        <v>1567</v>
      </c>
      <c r="P1268">
        <v>0</v>
      </c>
      <c r="Q1268">
        <v>-301</v>
      </c>
    </row>
    <row r="1269" spans="1:17" x14ac:dyDescent="0.45">
      <c r="A1269">
        <v>3396</v>
      </c>
      <c r="B1269" t="s">
        <v>1326</v>
      </c>
      <c r="C1269">
        <v>6324</v>
      </c>
      <c r="D1269">
        <v>3</v>
      </c>
      <c r="E1269">
        <v>5748.6</v>
      </c>
      <c r="F1269">
        <v>128.1</v>
      </c>
      <c r="G1269">
        <v>11657.1</v>
      </c>
      <c r="H1269">
        <v>3</v>
      </c>
      <c r="I1269">
        <v>30.49</v>
      </c>
      <c r="J1269">
        <v>2174</v>
      </c>
      <c r="K1269">
        <v>1009</v>
      </c>
      <c r="L1269">
        <v>86</v>
      </c>
      <c r="M1269">
        <v>184</v>
      </c>
      <c r="N1269">
        <v>0</v>
      </c>
      <c r="O1269">
        <v>31484</v>
      </c>
      <c r="P1269">
        <v>371.37</v>
      </c>
      <c r="Q1269">
        <v>-5700</v>
      </c>
    </row>
    <row r="1270" spans="1:17" x14ac:dyDescent="0.45">
      <c r="A1270">
        <v>88</v>
      </c>
      <c r="B1270" t="s">
        <v>1327</v>
      </c>
      <c r="C1270">
        <v>3314</v>
      </c>
      <c r="D1270">
        <v>3</v>
      </c>
      <c r="E1270">
        <v>3664.4</v>
      </c>
      <c r="F1270">
        <v>0</v>
      </c>
      <c r="G1270">
        <v>1467.6</v>
      </c>
      <c r="H1270">
        <v>2</v>
      </c>
      <c r="I1270">
        <v>24.61</v>
      </c>
      <c r="J1270">
        <v>1452</v>
      </c>
      <c r="K1270">
        <v>487</v>
      </c>
      <c r="L1270">
        <v>136</v>
      </c>
      <c r="M1270">
        <v>266</v>
      </c>
      <c r="N1270">
        <v>0</v>
      </c>
      <c r="O1270">
        <v>2306</v>
      </c>
      <c r="P1270">
        <v>0</v>
      </c>
      <c r="Q1270">
        <v>-80</v>
      </c>
    </row>
    <row r="1271" spans="1:17" x14ac:dyDescent="0.45">
      <c r="A1271">
        <v>223</v>
      </c>
      <c r="B1271" t="s">
        <v>1328</v>
      </c>
      <c r="C1271">
        <v>5761</v>
      </c>
      <c r="D1271">
        <v>3</v>
      </c>
      <c r="E1271">
        <v>5310.2</v>
      </c>
      <c r="F1271">
        <v>0</v>
      </c>
      <c r="G1271">
        <v>4832.7</v>
      </c>
      <c r="H1271">
        <v>1</v>
      </c>
      <c r="I1271">
        <v>15.69</v>
      </c>
      <c r="J1271">
        <v>2107</v>
      </c>
      <c r="K1271">
        <v>828</v>
      </c>
      <c r="L1271">
        <v>180</v>
      </c>
      <c r="M1271">
        <v>311</v>
      </c>
      <c r="N1271">
        <v>0</v>
      </c>
      <c r="O1271">
        <v>3752</v>
      </c>
      <c r="P1271">
        <v>0</v>
      </c>
      <c r="Q1271">
        <v>-863</v>
      </c>
    </row>
    <row r="1272" spans="1:17" x14ac:dyDescent="0.45">
      <c r="A1272">
        <v>5206</v>
      </c>
      <c r="B1272" t="s">
        <v>1329</v>
      </c>
      <c r="C1272">
        <v>322</v>
      </c>
      <c r="D1272">
        <v>3</v>
      </c>
      <c r="E1272">
        <v>452.7</v>
      </c>
      <c r="F1272">
        <v>6.3</v>
      </c>
      <c r="G1272">
        <v>293.3</v>
      </c>
      <c r="H1272">
        <v>1</v>
      </c>
      <c r="I1272">
        <v>18.600000000000001</v>
      </c>
      <c r="J1272">
        <v>141</v>
      </c>
      <c r="K1272">
        <v>42</v>
      </c>
      <c r="L1272">
        <v>6</v>
      </c>
      <c r="M1272">
        <v>21</v>
      </c>
      <c r="N1272">
        <v>0</v>
      </c>
      <c r="O1272">
        <v>4</v>
      </c>
      <c r="P1272">
        <v>0</v>
      </c>
      <c r="Q1272">
        <v>-100</v>
      </c>
    </row>
    <row r="1273" spans="1:17" x14ac:dyDescent="0.45">
      <c r="A1273">
        <v>6024</v>
      </c>
      <c r="B1273" t="s">
        <v>1330</v>
      </c>
      <c r="C1273">
        <v>6943</v>
      </c>
      <c r="D1273">
        <v>3</v>
      </c>
      <c r="E1273">
        <v>8880.7000000000007</v>
      </c>
      <c r="F1273">
        <v>5142.3</v>
      </c>
      <c r="G1273">
        <v>4168.5</v>
      </c>
      <c r="H1273">
        <v>2</v>
      </c>
      <c r="I1273">
        <v>30.34</v>
      </c>
      <c r="J1273">
        <v>3427</v>
      </c>
      <c r="K1273">
        <v>1340</v>
      </c>
      <c r="L1273">
        <v>178</v>
      </c>
      <c r="M1273">
        <v>354</v>
      </c>
      <c r="N1273">
        <v>0</v>
      </c>
      <c r="O1273">
        <v>4592</v>
      </c>
      <c r="P1273">
        <v>1292.0999999999999</v>
      </c>
      <c r="Q1273">
        <v>-4997</v>
      </c>
    </row>
    <row r="1274" spans="1:17" x14ac:dyDescent="0.45">
      <c r="A1274">
        <v>2789</v>
      </c>
      <c r="B1274" t="s">
        <v>1331</v>
      </c>
      <c r="C1274">
        <v>464</v>
      </c>
      <c r="D1274">
        <v>1</v>
      </c>
      <c r="E1274">
        <v>604.29999999999995</v>
      </c>
      <c r="F1274">
        <v>0</v>
      </c>
      <c r="G1274">
        <v>492.6</v>
      </c>
      <c r="H1274">
        <v>3</v>
      </c>
      <c r="I1274">
        <v>22.09</v>
      </c>
      <c r="J1274">
        <v>213</v>
      </c>
      <c r="K1274">
        <v>75</v>
      </c>
      <c r="L1274">
        <v>9</v>
      </c>
      <c r="M1274">
        <v>15</v>
      </c>
      <c r="N1274">
        <v>0</v>
      </c>
      <c r="O1274">
        <v>668</v>
      </c>
      <c r="P1274">
        <v>0</v>
      </c>
      <c r="Q1274">
        <v>-341</v>
      </c>
    </row>
    <row r="1275" spans="1:17" x14ac:dyDescent="0.45">
      <c r="A1275">
        <v>3360</v>
      </c>
      <c r="B1275" t="s">
        <v>1332</v>
      </c>
      <c r="C1275">
        <v>3733</v>
      </c>
      <c r="D1275">
        <v>3</v>
      </c>
      <c r="E1275">
        <v>2579.6</v>
      </c>
      <c r="F1275">
        <v>8.1</v>
      </c>
      <c r="G1275">
        <v>5250.3</v>
      </c>
      <c r="H1275">
        <v>3</v>
      </c>
      <c r="I1275">
        <v>30.49</v>
      </c>
      <c r="J1275">
        <v>1414</v>
      </c>
      <c r="K1275">
        <v>822</v>
      </c>
      <c r="L1275">
        <v>43</v>
      </c>
      <c r="M1275">
        <v>123</v>
      </c>
      <c r="N1275">
        <v>0</v>
      </c>
      <c r="O1275">
        <v>20584</v>
      </c>
      <c r="P1275">
        <v>793.72</v>
      </c>
      <c r="Q1275">
        <v>-5981</v>
      </c>
    </row>
    <row r="1276" spans="1:17" x14ac:dyDescent="0.45">
      <c r="A1276">
        <v>6458</v>
      </c>
      <c r="B1276" t="s">
        <v>1333</v>
      </c>
      <c r="C1276">
        <v>44597</v>
      </c>
      <c r="D1276">
        <v>2</v>
      </c>
      <c r="E1276">
        <v>37461.4</v>
      </c>
      <c r="F1276">
        <v>44340.7</v>
      </c>
      <c r="G1276">
        <v>19612.099999999999</v>
      </c>
      <c r="H1276">
        <v>1</v>
      </c>
      <c r="I1276">
        <v>20.88</v>
      </c>
      <c r="J1276">
        <v>14158</v>
      </c>
      <c r="K1276">
        <v>4371</v>
      </c>
      <c r="L1276">
        <v>691</v>
      </c>
      <c r="M1276">
        <v>1994</v>
      </c>
      <c r="N1276">
        <v>0</v>
      </c>
      <c r="O1276">
        <v>3234</v>
      </c>
      <c r="P1276">
        <v>4257.9399999999996</v>
      </c>
      <c r="Q1276">
        <v>-3131</v>
      </c>
    </row>
    <row r="1277" spans="1:17" x14ac:dyDescent="0.45">
      <c r="A1277">
        <v>2404</v>
      </c>
      <c r="B1277" t="s">
        <v>1334</v>
      </c>
      <c r="C1277">
        <v>2372</v>
      </c>
      <c r="D1277">
        <v>3</v>
      </c>
      <c r="E1277">
        <v>2356.6999999999998</v>
      </c>
      <c r="F1277">
        <v>103.4</v>
      </c>
      <c r="G1277">
        <v>12186.7</v>
      </c>
      <c r="H1277">
        <v>3</v>
      </c>
      <c r="I1277">
        <v>28.59</v>
      </c>
      <c r="J1277">
        <v>930</v>
      </c>
      <c r="K1277">
        <v>394</v>
      </c>
      <c r="L1277">
        <v>51</v>
      </c>
      <c r="M1277">
        <v>135</v>
      </c>
      <c r="N1277">
        <v>0</v>
      </c>
      <c r="O1277">
        <v>1737</v>
      </c>
      <c r="P1277">
        <v>0</v>
      </c>
      <c r="Q1277">
        <v>-462</v>
      </c>
    </row>
    <row r="1278" spans="1:17" x14ac:dyDescent="0.45">
      <c r="A1278">
        <v>670</v>
      </c>
      <c r="B1278" t="s">
        <v>1335</v>
      </c>
      <c r="C1278">
        <v>5656</v>
      </c>
      <c r="D1278">
        <v>3</v>
      </c>
      <c r="E1278">
        <v>5687.3</v>
      </c>
      <c r="F1278">
        <v>111</v>
      </c>
      <c r="G1278">
        <v>4756.7</v>
      </c>
      <c r="H1278">
        <v>2</v>
      </c>
      <c r="I1278">
        <v>24.84</v>
      </c>
      <c r="J1278">
        <v>1720</v>
      </c>
      <c r="K1278">
        <v>668</v>
      </c>
      <c r="L1278">
        <v>105</v>
      </c>
      <c r="M1278">
        <v>226</v>
      </c>
      <c r="N1278">
        <v>0</v>
      </c>
      <c r="O1278">
        <v>6632</v>
      </c>
      <c r="P1278">
        <v>0</v>
      </c>
      <c r="Q1278">
        <v>-1626</v>
      </c>
    </row>
    <row r="1279" spans="1:17" x14ac:dyDescent="0.45">
      <c r="A1279">
        <v>4034</v>
      </c>
      <c r="B1279" t="s">
        <v>1336</v>
      </c>
      <c r="C1279">
        <v>8972</v>
      </c>
      <c r="D1279">
        <v>3</v>
      </c>
      <c r="E1279">
        <v>6622.7</v>
      </c>
      <c r="F1279">
        <v>3646.1</v>
      </c>
      <c r="G1279">
        <v>1209.2</v>
      </c>
      <c r="H1279">
        <v>1</v>
      </c>
      <c r="I1279">
        <v>20.87</v>
      </c>
      <c r="J1279">
        <v>2480</v>
      </c>
      <c r="K1279">
        <v>1489</v>
      </c>
      <c r="L1279">
        <v>87</v>
      </c>
      <c r="M1279">
        <v>351</v>
      </c>
      <c r="N1279">
        <v>0</v>
      </c>
      <c r="O1279">
        <v>195</v>
      </c>
      <c r="P1279">
        <v>0</v>
      </c>
      <c r="Q1279">
        <v>-542</v>
      </c>
    </row>
    <row r="1280" spans="1:17" x14ac:dyDescent="0.45">
      <c r="A1280">
        <v>1093</v>
      </c>
      <c r="B1280" t="s">
        <v>1337</v>
      </c>
      <c r="C1280">
        <v>7183</v>
      </c>
      <c r="D1280">
        <v>2</v>
      </c>
      <c r="E1280">
        <v>4493.2</v>
      </c>
      <c r="F1280">
        <v>18.3</v>
      </c>
      <c r="G1280">
        <v>11643.8</v>
      </c>
      <c r="H1280">
        <v>2</v>
      </c>
      <c r="I1280">
        <v>28.41</v>
      </c>
      <c r="J1280">
        <v>2674</v>
      </c>
      <c r="K1280">
        <v>1216</v>
      </c>
      <c r="L1280">
        <v>178</v>
      </c>
      <c r="M1280">
        <v>284</v>
      </c>
      <c r="N1280">
        <v>0</v>
      </c>
      <c r="O1280">
        <v>15521</v>
      </c>
      <c r="P1280">
        <v>0</v>
      </c>
      <c r="Q1280">
        <v>-943</v>
      </c>
    </row>
    <row r="1281" spans="1:17" x14ac:dyDescent="0.45">
      <c r="A1281">
        <v>2937</v>
      </c>
      <c r="B1281" t="s">
        <v>1338</v>
      </c>
      <c r="C1281">
        <v>10893</v>
      </c>
      <c r="D1281">
        <v>3</v>
      </c>
      <c r="E1281">
        <v>6497.3</v>
      </c>
      <c r="F1281">
        <v>7888.6</v>
      </c>
      <c r="G1281">
        <v>3404.8</v>
      </c>
      <c r="H1281">
        <v>1</v>
      </c>
      <c r="I1281">
        <v>14.31</v>
      </c>
      <c r="J1281">
        <v>3480</v>
      </c>
      <c r="K1281">
        <v>1786</v>
      </c>
      <c r="L1281">
        <v>151</v>
      </c>
      <c r="M1281">
        <v>436</v>
      </c>
      <c r="N1281">
        <v>0</v>
      </c>
      <c r="O1281">
        <v>841</v>
      </c>
      <c r="P1281">
        <v>3028.66</v>
      </c>
      <c r="Q1281">
        <v>-803</v>
      </c>
    </row>
    <row r="1282" spans="1:17" x14ac:dyDescent="0.45">
      <c r="A1282">
        <v>1705</v>
      </c>
      <c r="B1282" t="s">
        <v>1339</v>
      </c>
      <c r="C1282">
        <v>2340</v>
      </c>
      <c r="D1282">
        <v>3</v>
      </c>
      <c r="E1282">
        <v>3599</v>
      </c>
      <c r="F1282">
        <v>0</v>
      </c>
      <c r="G1282">
        <v>1726.5</v>
      </c>
      <c r="H1282">
        <v>2</v>
      </c>
      <c r="I1282">
        <v>24.17</v>
      </c>
      <c r="J1282">
        <v>897</v>
      </c>
      <c r="K1282">
        <v>463</v>
      </c>
      <c r="L1282">
        <v>92</v>
      </c>
      <c r="M1282">
        <v>164</v>
      </c>
      <c r="N1282">
        <v>0</v>
      </c>
      <c r="O1282">
        <v>3589</v>
      </c>
      <c r="P1282">
        <v>121.83</v>
      </c>
      <c r="Q1282">
        <v>-261</v>
      </c>
    </row>
    <row r="1283" spans="1:17" x14ac:dyDescent="0.45">
      <c r="A1283">
        <v>4601</v>
      </c>
      <c r="B1283" t="s">
        <v>1340</v>
      </c>
      <c r="C1283">
        <v>1088</v>
      </c>
      <c r="D1283">
        <v>3</v>
      </c>
      <c r="E1283">
        <v>983.5</v>
      </c>
      <c r="F1283">
        <v>9.1</v>
      </c>
      <c r="G1283">
        <v>1713.3</v>
      </c>
      <c r="H1283">
        <v>3</v>
      </c>
      <c r="I1283">
        <v>26.04</v>
      </c>
      <c r="J1283">
        <v>546</v>
      </c>
      <c r="K1283">
        <v>183</v>
      </c>
      <c r="L1283">
        <v>29</v>
      </c>
      <c r="M1283">
        <v>67</v>
      </c>
      <c r="N1283">
        <v>0</v>
      </c>
      <c r="O1283">
        <v>3094</v>
      </c>
      <c r="P1283">
        <v>0</v>
      </c>
      <c r="Q1283">
        <v>-562</v>
      </c>
    </row>
    <row r="1284" spans="1:17" x14ac:dyDescent="0.45">
      <c r="A1284">
        <v>2904</v>
      </c>
      <c r="B1284" t="s">
        <v>1341</v>
      </c>
      <c r="C1284">
        <v>2506</v>
      </c>
      <c r="D1284">
        <v>3</v>
      </c>
      <c r="E1284">
        <v>2813.8</v>
      </c>
      <c r="F1284">
        <v>0</v>
      </c>
      <c r="G1284">
        <v>2562.1</v>
      </c>
      <c r="H1284">
        <v>2</v>
      </c>
      <c r="I1284">
        <v>20.54</v>
      </c>
      <c r="J1284">
        <v>1013</v>
      </c>
      <c r="K1284">
        <v>421</v>
      </c>
      <c r="L1284">
        <v>56</v>
      </c>
      <c r="M1284">
        <v>109</v>
      </c>
      <c r="N1284">
        <v>0</v>
      </c>
      <c r="O1284">
        <v>3155</v>
      </c>
      <c r="P1284">
        <v>0</v>
      </c>
      <c r="Q1284">
        <v>-1606</v>
      </c>
    </row>
    <row r="1285" spans="1:17" x14ac:dyDescent="0.45">
      <c r="A1285">
        <v>2211</v>
      </c>
      <c r="B1285" t="s">
        <v>1342</v>
      </c>
      <c r="C1285">
        <v>2837</v>
      </c>
      <c r="D1285">
        <v>3</v>
      </c>
      <c r="E1285">
        <v>1876.9</v>
      </c>
      <c r="F1285">
        <v>249.4</v>
      </c>
      <c r="G1285">
        <v>2794</v>
      </c>
      <c r="H1285">
        <v>2</v>
      </c>
      <c r="I1285">
        <v>28.63</v>
      </c>
      <c r="J1285">
        <v>1030</v>
      </c>
      <c r="K1285">
        <v>284</v>
      </c>
      <c r="L1285">
        <v>84</v>
      </c>
      <c r="M1285">
        <v>262</v>
      </c>
      <c r="N1285">
        <v>0</v>
      </c>
      <c r="O1285">
        <v>1041</v>
      </c>
      <c r="P1285">
        <v>0</v>
      </c>
      <c r="Q1285">
        <v>-281</v>
      </c>
    </row>
    <row r="1286" spans="1:17" x14ac:dyDescent="0.45">
      <c r="A1286">
        <v>743</v>
      </c>
      <c r="B1286" t="s">
        <v>1343</v>
      </c>
      <c r="C1286">
        <v>7118</v>
      </c>
      <c r="D1286">
        <v>1</v>
      </c>
      <c r="E1286">
        <v>5671.2</v>
      </c>
      <c r="F1286">
        <v>4161.3</v>
      </c>
      <c r="G1286">
        <v>2553.6999999999998</v>
      </c>
      <c r="H1286">
        <v>1</v>
      </c>
      <c r="I1286">
        <v>16.760000000000002</v>
      </c>
      <c r="J1286">
        <v>1886</v>
      </c>
      <c r="K1286">
        <v>742</v>
      </c>
      <c r="L1286">
        <v>66</v>
      </c>
      <c r="M1286">
        <v>213</v>
      </c>
      <c r="N1286">
        <v>0</v>
      </c>
      <c r="O1286">
        <v>0</v>
      </c>
      <c r="P1286">
        <v>0</v>
      </c>
      <c r="Q1286">
        <v>0</v>
      </c>
    </row>
    <row r="1287" spans="1:17" x14ac:dyDescent="0.45">
      <c r="A1287">
        <v>981</v>
      </c>
      <c r="B1287" t="s">
        <v>1344</v>
      </c>
      <c r="C1287">
        <v>5185</v>
      </c>
      <c r="D1287">
        <v>2</v>
      </c>
      <c r="E1287">
        <v>6391.6</v>
      </c>
      <c r="F1287">
        <v>597.4</v>
      </c>
      <c r="G1287">
        <v>10871.7</v>
      </c>
      <c r="H1287">
        <v>1</v>
      </c>
      <c r="I1287">
        <v>16.760000000000002</v>
      </c>
      <c r="J1287">
        <v>2046</v>
      </c>
      <c r="K1287">
        <v>1027</v>
      </c>
      <c r="L1287">
        <v>89</v>
      </c>
      <c r="M1287">
        <v>244</v>
      </c>
      <c r="N1287">
        <v>0</v>
      </c>
      <c r="O1287">
        <v>5886</v>
      </c>
      <c r="P1287">
        <v>1391.02</v>
      </c>
      <c r="Q1287">
        <v>-1425</v>
      </c>
    </row>
    <row r="1288" spans="1:17" x14ac:dyDescent="0.45">
      <c r="A1288">
        <v>2405</v>
      </c>
      <c r="B1288" t="s">
        <v>1345</v>
      </c>
      <c r="C1288">
        <v>1274</v>
      </c>
      <c r="D1288">
        <v>3</v>
      </c>
      <c r="E1288">
        <v>990</v>
      </c>
      <c r="F1288">
        <v>318.10000000000002</v>
      </c>
      <c r="G1288">
        <v>1178.5999999999999</v>
      </c>
      <c r="H1288">
        <v>3</v>
      </c>
      <c r="I1288">
        <v>28.59</v>
      </c>
      <c r="J1288">
        <v>544</v>
      </c>
      <c r="K1288">
        <v>209</v>
      </c>
      <c r="L1288">
        <v>30</v>
      </c>
      <c r="M1288">
        <v>81</v>
      </c>
      <c r="N1288">
        <v>0</v>
      </c>
      <c r="O1288">
        <v>2689</v>
      </c>
      <c r="P1288">
        <v>0</v>
      </c>
      <c r="Q1288">
        <v>-381</v>
      </c>
    </row>
    <row r="1289" spans="1:17" x14ac:dyDescent="0.45">
      <c r="A1289">
        <v>3422</v>
      </c>
      <c r="B1289" t="s">
        <v>1346</v>
      </c>
      <c r="C1289">
        <v>1527</v>
      </c>
      <c r="D1289">
        <v>3</v>
      </c>
      <c r="E1289">
        <v>1150</v>
      </c>
      <c r="F1289">
        <v>0</v>
      </c>
      <c r="G1289">
        <v>3698.2</v>
      </c>
      <c r="H1289">
        <v>3</v>
      </c>
      <c r="I1289">
        <v>30.49</v>
      </c>
      <c r="J1289">
        <v>593</v>
      </c>
      <c r="K1289">
        <v>264</v>
      </c>
      <c r="L1289">
        <v>29</v>
      </c>
      <c r="M1289">
        <v>45</v>
      </c>
      <c r="N1289">
        <v>0</v>
      </c>
      <c r="O1289">
        <v>11703</v>
      </c>
      <c r="P1289">
        <v>454.08</v>
      </c>
      <c r="Q1289">
        <v>-723</v>
      </c>
    </row>
    <row r="1290" spans="1:17" x14ac:dyDescent="0.45">
      <c r="A1290">
        <v>2891</v>
      </c>
      <c r="B1290" t="s">
        <v>1347</v>
      </c>
      <c r="C1290">
        <v>1791</v>
      </c>
      <c r="D1290">
        <v>1</v>
      </c>
      <c r="E1290">
        <v>2559.6</v>
      </c>
      <c r="F1290">
        <v>0</v>
      </c>
      <c r="G1290">
        <v>1864.8</v>
      </c>
      <c r="H1290">
        <v>2</v>
      </c>
      <c r="I1290">
        <v>20.72</v>
      </c>
      <c r="J1290">
        <v>691</v>
      </c>
      <c r="K1290">
        <v>293</v>
      </c>
      <c r="L1290">
        <v>30</v>
      </c>
      <c r="M1290">
        <v>75</v>
      </c>
      <c r="N1290">
        <v>0</v>
      </c>
      <c r="O1290">
        <v>1091</v>
      </c>
      <c r="P1290">
        <v>537.49</v>
      </c>
      <c r="Q1290">
        <v>-221</v>
      </c>
    </row>
    <row r="1291" spans="1:17" x14ac:dyDescent="0.45">
      <c r="A1291">
        <v>6198</v>
      </c>
      <c r="B1291" t="s">
        <v>1348</v>
      </c>
      <c r="C1291">
        <v>743</v>
      </c>
      <c r="D1291">
        <v>3</v>
      </c>
      <c r="E1291">
        <v>785.8</v>
      </c>
      <c r="F1291">
        <v>9.5</v>
      </c>
      <c r="G1291">
        <v>913.5</v>
      </c>
      <c r="H1291">
        <v>2</v>
      </c>
      <c r="I1291">
        <v>30.34</v>
      </c>
      <c r="J1291">
        <v>311</v>
      </c>
      <c r="K1291">
        <v>149</v>
      </c>
      <c r="L1291">
        <v>19</v>
      </c>
      <c r="M1291">
        <v>19</v>
      </c>
      <c r="N1291">
        <v>0</v>
      </c>
      <c r="O1291">
        <v>266</v>
      </c>
      <c r="P1291">
        <v>0</v>
      </c>
      <c r="Q1291">
        <v>-943</v>
      </c>
    </row>
    <row r="1292" spans="1:17" x14ac:dyDescent="0.45">
      <c r="A1292">
        <v>89</v>
      </c>
      <c r="B1292" t="s">
        <v>1349</v>
      </c>
      <c r="C1292">
        <v>5180</v>
      </c>
      <c r="D1292">
        <v>3</v>
      </c>
      <c r="E1292">
        <v>5496.2</v>
      </c>
      <c r="F1292">
        <v>173.4</v>
      </c>
      <c r="G1292">
        <v>2412.5</v>
      </c>
      <c r="H1292">
        <v>1</v>
      </c>
      <c r="I1292">
        <v>15.69</v>
      </c>
      <c r="J1292">
        <v>1975</v>
      </c>
      <c r="K1292">
        <v>851</v>
      </c>
      <c r="L1292">
        <v>107</v>
      </c>
      <c r="M1292">
        <v>302</v>
      </c>
      <c r="N1292">
        <v>0</v>
      </c>
      <c r="O1292">
        <v>1151</v>
      </c>
      <c r="P1292">
        <v>1447.15</v>
      </c>
      <c r="Q1292">
        <v>-40</v>
      </c>
    </row>
    <row r="1293" spans="1:17" x14ac:dyDescent="0.45">
      <c r="A1293">
        <v>2495</v>
      </c>
      <c r="B1293" t="s">
        <v>1350</v>
      </c>
      <c r="C1293">
        <v>4099</v>
      </c>
      <c r="D1293">
        <v>2</v>
      </c>
      <c r="E1293">
        <v>4333</v>
      </c>
      <c r="F1293">
        <v>318.7</v>
      </c>
      <c r="G1293">
        <v>2579</v>
      </c>
      <c r="H1293">
        <v>1</v>
      </c>
      <c r="I1293">
        <v>19.07</v>
      </c>
      <c r="J1293">
        <v>1505</v>
      </c>
      <c r="K1293">
        <v>619</v>
      </c>
      <c r="L1293">
        <v>76</v>
      </c>
      <c r="M1293">
        <v>193</v>
      </c>
      <c r="N1293">
        <v>0</v>
      </c>
      <c r="O1293">
        <v>614</v>
      </c>
      <c r="P1293">
        <v>0</v>
      </c>
      <c r="Q1293">
        <v>-321</v>
      </c>
    </row>
    <row r="1294" spans="1:17" x14ac:dyDescent="0.45">
      <c r="A1294">
        <v>90</v>
      </c>
      <c r="B1294" t="s">
        <v>1351</v>
      </c>
      <c r="C1294">
        <v>9497</v>
      </c>
      <c r="D1294">
        <v>3</v>
      </c>
      <c r="E1294">
        <v>9722.7999999999993</v>
      </c>
      <c r="F1294">
        <v>512.6</v>
      </c>
      <c r="G1294">
        <v>6940.1</v>
      </c>
      <c r="H1294">
        <v>1</v>
      </c>
      <c r="I1294">
        <v>15.69</v>
      </c>
      <c r="J1294">
        <v>3293</v>
      </c>
      <c r="K1294">
        <v>1359</v>
      </c>
      <c r="L1294">
        <v>248</v>
      </c>
      <c r="M1294">
        <v>567</v>
      </c>
      <c r="N1294">
        <v>0</v>
      </c>
      <c r="O1294">
        <v>2821</v>
      </c>
      <c r="P1294">
        <v>0</v>
      </c>
      <c r="Q1294">
        <v>-482</v>
      </c>
    </row>
    <row r="1295" spans="1:17" x14ac:dyDescent="0.45">
      <c r="A1295">
        <v>3423</v>
      </c>
      <c r="B1295" t="s">
        <v>1352</v>
      </c>
      <c r="C1295">
        <v>3201</v>
      </c>
      <c r="D1295">
        <v>3</v>
      </c>
      <c r="E1295">
        <v>2130.6</v>
      </c>
      <c r="F1295">
        <v>1957.5</v>
      </c>
      <c r="G1295">
        <v>10512.1</v>
      </c>
      <c r="H1295">
        <v>3</v>
      </c>
      <c r="I1295">
        <v>30.49</v>
      </c>
      <c r="J1295">
        <v>1306</v>
      </c>
      <c r="K1295">
        <v>484</v>
      </c>
      <c r="L1295">
        <v>115</v>
      </c>
      <c r="M1295">
        <v>124</v>
      </c>
      <c r="N1295">
        <v>0</v>
      </c>
      <c r="O1295">
        <v>11959</v>
      </c>
      <c r="P1295">
        <v>0</v>
      </c>
      <c r="Q1295">
        <v>-642</v>
      </c>
    </row>
    <row r="1296" spans="1:17" x14ac:dyDescent="0.45">
      <c r="A1296">
        <v>617</v>
      </c>
      <c r="B1296" t="s">
        <v>1353</v>
      </c>
      <c r="C1296">
        <v>710</v>
      </c>
      <c r="D1296">
        <v>2</v>
      </c>
      <c r="E1296">
        <v>531.1</v>
      </c>
      <c r="F1296">
        <v>0</v>
      </c>
      <c r="G1296">
        <v>827.2</v>
      </c>
      <c r="H1296">
        <v>2</v>
      </c>
      <c r="I1296">
        <v>24.84</v>
      </c>
      <c r="J1296">
        <v>263</v>
      </c>
      <c r="K1296">
        <v>106</v>
      </c>
      <c r="L1296">
        <v>10</v>
      </c>
      <c r="M1296">
        <v>27</v>
      </c>
      <c r="N1296">
        <v>0</v>
      </c>
      <c r="O1296">
        <v>1169</v>
      </c>
      <c r="P1296">
        <v>0</v>
      </c>
      <c r="Q1296">
        <v>-462</v>
      </c>
    </row>
    <row r="1297" spans="1:17" x14ac:dyDescent="0.45">
      <c r="A1297">
        <v>4204</v>
      </c>
      <c r="B1297" t="s">
        <v>1354</v>
      </c>
      <c r="C1297">
        <v>4781</v>
      </c>
      <c r="D1297">
        <v>3</v>
      </c>
      <c r="E1297">
        <v>2711.4</v>
      </c>
      <c r="F1297">
        <v>3046.7</v>
      </c>
      <c r="G1297">
        <v>3155.7</v>
      </c>
      <c r="H1297">
        <v>1</v>
      </c>
      <c r="I1297">
        <v>20.87</v>
      </c>
      <c r="J1297">
        <v>1660</v>
      </c>
      <c r="K1297">
        <v>733</v>
      </c>
      <c r="L1297">
        <v>115</v>
      </c>
      <c r="M1297">
        <v>215</v>
      </c>
      <c r="N1297">
        <v>0</v>
      </c>
      <c r="O1297">
        <v>444</v>
      </c>
      <c r="P1297">
        <v>0</v>
      </c>
      <c r="Q1297">
        <v>-181</v>
      </c>
    </row>
    <row r="1298" spans="1:17" x14ac:dyDescent="0.45">
      <c r="A1298">
        <v>877</v>
      </c>
      <c r="B1298" t="s">
        <v>1355</v>
      </c>
      <c r="C1298">
        <v>509</v>
      </c>
      <c r="D1298">
        <v>3</v>
      </c>
      <c r="E1298">
        <v>553.9</v>
      </c>
      <c r="F1298">
        <v>0</v>
      </c>
      <c r="G1298">
        <v>570.6</v>
      </c>
      <c r="H1298">
        <v>3</v>
      </c>
      <c r="I1298">
        <v>26.41</v>
      </c>
      <c r="J1298">
        <v>247</v>
      </c>
      <c r="K1298">
        <v>105</v>
      </c>
      <c r="L1298">
        <v>11</v>
      </c>
      <c r="M1298">
        <v>22</v>
      </c>
      <c r="N1298">
        <v>0</v>
      </c>
      <c r="O1298">
        <v>3618</v>
      </c>
      <c r="P1298">
        <v>0</v>
      </c>
      <c r="Q1298">
        <v>-221</v>
      </c>
    </row>
    <row r="1299" spans="1:17" x14ac:dyDescent="0.45">
      <c r="A1299">
        <v>588</v>
      </c>
      <c r="B1299" t="s">
        <v>1357</v>
      </c>
      <c r="C1299">
        <v>370</v>
      </c>
      <c r="D1299">
        <v>3</v>
      </c>
      <c r="E1299">
        <v>728.8</v>
      </c>
      <c r="F1299">
        <v>2.4</v>
      </c>
      <c r="G1299">
        <v>420.4</v>
      </c>
      <c r="H1299">
        <v>3</v>
      </c>
      <c r="I1299">
        <v>26.41</v>
      </c>
      <c r="J1299">
        <v>113</v>
      </c>
      <c r="K1299">
        <v>70</v>
      </c>
      <c r="L1299">
        <v>8</v>
      </c>
      <c r="M1299">
        <v>15</v>
      </c>
      <c r="N1299">
        <v>0</v>
      </c>
      <c r="O1299">
        <v>137</v>
      </c>
      <c r="P1299">
        <v>39.119999999999997</v>
      </c>
      <c r="Q1299">
        <v>-442</v>
      </c>
    </row>
    <row r="1300" spans="1:17" x14ac:dyDescent="0.45">
      <c r="A1300">
        <v>4035</v>
      </c>
      <c r="B1300" t="s">
        <v>1358</v>
      </c>
      <c r="C1300">
        <v>4498</v>
      </c>
      <c r="D1300">
        <v>3</v>
      </c>
      <c r="E1300">
        <v>2608</v>
      </c>
      <c r="F1300">
        <v>75.400000000000006</v>
      </c>
      <c r="G1300">
        <v>2153.9</v>
      </c>
      <c r="H1300">
        <v>1</v>
      </c>
      <c r="I1300">
        <v>20.87</v>
      </c>
      <c r="J1300">
        <v>1676</v>
      </c>
      <c r="K1300">
        <v>580</v>
      </c>
      <c r="L1300">
        <v>133</v>
      </c>
      <c r="M1300">
        <v>267</v>
      </c>
      <c r="N1300">
        <v>0</v>
      </c>
      <c r="O1300">
        <v>679</v>
      </c>
      <c r="P1300">
        <v>0</v>
      </c>
      <c r="Q1300">
        <v>-181</v>
      </c>
    </row>
    <row r="1301" spans="1:17" x14ac:dyDescent="0.45">
      <c r="A1301">
        <v>91</v>
      </c>
      <c r="B1301" t="s">
        <v>1359</v>
      </c>
      <c r="C1301">
        <v>3082</v>
      </c>
      <c r="D1301">
        <v>3</v>
      </c>
      <c r="E1301">
        <v>1960.3</v>
      </c>
      <c r="F1301">
        <v>27.1</v>
      </c>
      <c r="G1301">
        <v>3073.1</v>
      </c>
      <c r="H1301">
        <v>2</v>
      </c>
      <c r="I1301">
        <v>24.61</v>
      </c>
      <c r="J1301">
        <v>1055</v>
      </c>
      <c r="K1301">
        <v>463</v>
      </c>
      <c r="L1301">
        <v>130</v>
      </c>
      <c r="M1301">
        <v>207</v>
      </c>
      <c r="N1301">
        <v>0</v>
      </c>
      <c r="O1301">
        <v>1857</v>
      </c>
      <c r="P1301">
        <v>0</v>
      </c>
      <c r="Q1301">
        <v>-522</v>
      </c>
    </row>
    <row r="1302" spans="1:17" x14ac:dyDescent="0.45">
      <c r="A1302">
        <v>4072</v>
      </c>
      <c r="B1302" t="s">
        <v>1360</v>
      </c>
      <c r="C1302">
        <v>3005</v>
      </c>
      <c r="D1302">
        <v>3</v>
      </c>
      <c r="E1302">
        <v>2886.7</v>
      </c>
      <c r="F1302">
        <v>26.6</v>
      </c>
      <c r="G1302">
        <v>3711.9</v>
      </c>
      <c r="H1302">
        <v>2</v>
      </c>
      <c r="I1302">
        <v>23.46</v>
      </c>
      <c r="J1302">
        <v>1259</v>
      </c>
      <c r="K1302">
        <v>479</v>
      </c>
      <c r="L1302">
        <v>81</v>
      </c>
      <c r="M1302">
        <v>156</v>
      </c>
      <c r="N1302">
        <v>0</v>
      </c>
      <c r="O1302">
        <v>1158</v>
      </c>
      <c r="P1302">
        <v>0</v>
      </c>
      <c r="Q1302">
        <v>-361</v>
      </c>
    </row>
    <row r="1303" spans="1:17" x14ac:dyDescent="0.45">
      <c r="A1303">
        <v>982</v>
      </c>
      <c r="B1303" t="s">
        <v>1356</v>
      </c>
      <c r="C1303">
        <v>1769</v>
      </c>
      <c r="D1303">
        <v>1</v>
      </c>
      <c r="E1303">
        <v>1006.7</v>
      </c>
      <c r="F1303">
        <v>889.1</v>
      </c>
      <c r="G1303">
        <v>2033</v>
      </c>
      <c r="H1303">
        <v>1</v>
      </c>
      <c r="I1303">
        <v>16.760000000000002</v>
      </c>
      <c r="J1303">
        <v>657</v>
      </c>
      <c r="K1303">
        <v>232</v>
      </c>
      <c r="L1303">
        <v>35</v>
      </c>
      <c r="M1303">
        <v>74</v>
      </c>
      <c r="N1303">
        <v>0</v>
      </c>
      <c r="O1303">
        <v>991</v>
      </c>
      <c r="P1303">
        <v>0</v>
      </c>
      <c r="Q1303">
        <v>-161</v>
      </c>
    </row>
    <row r="1304" spans="1:17" x14ac:dyDescent="0.45">
      <c r="A1304">
        <v>6254</v>
      </c>
      <c r="B1304" t="s">
        <v>1361</v>
      </c>
      <c r="C1304">
        <v>4635</v>
      </c>
      <c r="D1304">
        <v>3</v>
      </c>
      <c r="E1304">
        <v>2750.7</v>
      </c>
      <c r="F1304">
        <v>3258.8</v>
      </c>
      <c r="G1304">
        <v>5507</v>
      </c>
      <c r="H1304">
        <v>1</v>
      </c>
      <c r="I1304">
        <v>24.74</v>
      </c>
      <c r="J1304">
        <v>1999</v>
      </c>
      <c r="K1304">
        <v>661</v>
      </c>
      <c r="L1304">
        <v>125</v>
      </c>
      <c r="M1304">
        <v>266</v>
      </c>
      <c r="N1304">
        <v>0</v>
      </c>
      <c r="O1304">
        <v>593</v>
      </c>
      <c r="P1304">
        <v>0</v>
      </c>
      <c r="Q1304">
        <v>-281</v>
      </c>
    </row>
    <row r="1305" spans="1:17" x14ac:dyDescent="0.45">
      <c r="A1305">
        <v>724</v>
      </c>
      <c r="B1305" t="s">
        <v>1362</v>
      </c>
      <c r="C1305">
        <v>804</v>
      </c>
      <c r="D1305">
        <v>2</v>
      </c>
      <c r="E1305">
        <v>1495.1</v>
      </c>
      <c r="F1305">
        <v>31.7</v>
      </c>
      <c r="G1305">
        <v>1166.5999999999999</v>
      </c>
      <c r="H1305">
        <v>3</v>
      </c>
      <c r="I1305">
        <v>26.41</v>
      </c>
      <c r="J1305">
        <v>315</v>
      </c>
      <c r="K1305">
        <v>134</v>
      </c>
      <c r="L1305">
        <v>19</v>
      </c>
      <c r="M1305">
        <v>52</v>
      </c>
      <c r="N1305">
        <v>0</v>
      </c>
      <c r="O1305">
        <v>4843</v>
      </c>
      <c r="P1305">
        <v>44.3</v>
      </c>
      <c r="Q1305">
        <v>-2589</v>
      </c>
    </row>
    <row r="1306" spans="1:17" x14ac:dyDescent="0.45">
      <c r="A1306">
        <v>1094</v>
      </c>
      <c r="B1306" t="s">
        <v>1363</v>
      </c>
      <c r="C1306">
        <v>4091</v>
      </c>
      <c r="D1306">
        <v>3</v>
      </c>
      <c r="E1306">
        <v>2433.1999999999998</v>
      </c>
      <c r="F1306">
        <v>0</v>
      </c>
      <c r="G1306">
        <v>6047.5</v>
      </c>
      <c r="H1306">
        <v>3</v>
      </c>
      <c r="I1306">
        <v>26.39</v>
      </c>
      <c r="J1306">
        <v>1439</v>
      </c>
      <c r="K1306">
        <v>551</v>
      </c>
      <c r="L1306">
        <v>83</v>
      </c>
      <c r="M1306">
        <v>199</v>
      </c>
      <c r="N1306">
        <v>0</v>
      </c>
      <c r="O1306">
        <v>6691</v>
      </c>
      <c r="P1306">
        <v>0</v>
      </c>
      <c r="Q1306">
        <v>-161</v>
      </c>
    </row>
    <row r="1307" spans="1:17" x14ac:dyDescent="0.45">
      <c r="A1307">
        <v>5207</v>
      </c>
      <c r="B1307" t="s">
        <v>1364</v>
      </c>
      <c r="C1307">
        <v>827</v>
      </c>
      <c r="D1307">
        <v>3</v>
      </c>
      <c r="E1307">
        <v>1011.6</v>
      </c>
      <c r="F1307">
        <v>8.5</v>
      </c>
      <c r="G1307">
        <v>779.6</v>
      </c>
      <c r="H1307">
        <v>2</v>
      </c>
      <c r="I1307">
        <v>22.12</v>
      </c>
      <c r="J1307">
        <v>323</v>
      </c>
      <c r="K1307">
        <v>101</v>
      </c>
      <c r="L1307">
        <v>16</v>
      </c>
      <c r="M1307">
        <v>48</v>
      </c>
      <c r="N1307">
        <v>0</v>
      </c>
      <c r="O1307">
        <v>220</v>
      </c>
      <c r="P1307">
        <v>0</v>
      </c>
      <c r="Q1307">
        <v>-622</v>
      </c>
    </row>
    <row r="1308" spans="1:17" x14ac:dyDescent="0.45">
      <c r="A1308">
        <v>5564</v>
      </c>
      <c r="B1308" t="s">
        <v>1365</v>
      </c>
      <c r="C1308">
        <v>99</v>
      </c>
      <c r="D1308">
        <v>3</v>
      </c>
      <c r="E1308">
        <v>174</v>
      </c>
      <c r="F1308">
        <v>0</v>
      </c>
      <c r="G1308">
        <v>40.6</v>
      </c>
      <c r="H1308">
        <v>3</v>
      </c>
      <c r="I1308">
        <v>35.86</v>
      </c>
      <c r="J1308">
        <v>42</v>
      </c>
      <c r="K1308">
        <v>20</v>
      </c>
      <c r="L1308">
        <v>2</v>
      </c>
      <c r="M1308">
        <v>4</v>
      </c>
      <c r="N1308">
        <v>0</v>
      </c>
      <c r="O1308">
        <v>702</v>
      </c>
      <c r="P1308">
        <v>0</v>
      </c>
      <c r="Q1308">
        <v>-201</v>
      </c>
    </row>
    <row r="1309" spans="1:17" x14ac:dyDescent="0.45">
      <c r="A1309">
        <v>5260</v>
      </c>
      <c r="B1309" t="s">
        <v>1366</v>
      </c>
      <c r="C1309">
        <v>2346</v>
      </c>
      <c r="D1309">
        <v>1</v>
      </c>
      <c r="E1309">
        <v>2053.3000000000002</v>
      </c>
      <c r="F1309">
        <v>2241.3000000000002</v>
      </c>
      <c r="G1309">
        <v>8650.2999999999993</v>
      </c>
      <c r="H1309">
        <v>1</v>
      </c>
      <c r="I1309">
        <v>18.600000000000001</v>
      </c>
      <c r="J1309">
        <v>1053</v>
      </c>
      <c r="K1309">
        <v>313</v>
      </c>
      <c r="L1309">
        <v>65</v>
      </c>
      <c r="M1309">
        <v>219</v>
      </c>
      <c r="N1309">
        <v>0</v>
      </c>
      <c r="O1309">
        <v>927</v>
      </c>
      <c r="P1309">
        <v>0</v>
      </c>
      <c r="Q1309">
        <v>-321</v>
      </c>
    </row>
    <row r="1310" spans="1:17" x14ac:dyDescent="0.45">
      <c r="A1310">
        <v>5408</v>
      </c>
      <c r="B1310" t="s">
        <v>1367</v>
      </c>
      <c r="C1310">
        <v>1169</v>
      </c>
      <c r="D1310">
        <v>3</v>
      </c>
      <c r="E1310">
        <v>921.2</v>
      </c>
      <c r="F1310">
        <v>406.2</v>
      </c>
      <c r="G1310">
        <v>2583</v>
      </c>
      <c r="H1310">
        <v>1</v>
      </c>
      <c r="I1310">
        <v>19.809999999999999</v>
      </c>
      <c r="J1310">
        <v>470</v>
      </c>
      <c r="K1310">
        <v>163</v>
      </c>
      <c r="L1310">
        <v>35</v>
      </c>
      <c r="M1310">
        <v>89</v>
      </c>
      <c r="N1310">
        <v>0</v>
      </c>
      <c r="O1310">
        <v>2111</v>
      </c>
      <c r="P1310">
        <v>0</v>
      </c>
      <c r="Q1310">
        <v>-743</v>
      </c>
    </row>
    <row r="1311" spans="1:17" x14ac:dyDescent="0.45">
      <c r="A1311">
        <v>2478</v>
      </c>
      <c r="B1311" t="s">
        <v>1368</v>
      </c>
      <c r="C1311">
        <v>1542</v>
      </c>
      <c r="D1311">
        <v>2</v>
      </c>
      <c r="E1311">
        <v>1867.5</v>
      </c>
      <c r="F1311">
        <v>0</v>
      </c>
      <c r="G1311">
        <v>1101.5</v>
      </c>
      <c r="H1311">
        <v>3</v>
      </c>
      <c r="I1311">
        <v>28.59</v>
      </c>
      <c r="J1311">
        <v>576</v>
      </c>
      <c r="K1311">
        <v>198</v>
      </c>
      <c r="L1311">
        <v>30</v>
      </c>
      <c r="M1311">
        <v>77</v>
      </c>
      <c r="N1311">
        <v>0</v>
      </c>
      <c r="O1311">
        <v>320</v>
      </c>
      <c r="P1311">
        <v>78.23</v>
      </c>
      <c r="Q1311">
        <v>-502</v>
      </c>
    </row>
    <row r="1312" spans="1:17" x14ac:dyDescent="0.45">
      <c r="A1312">
        <v>2621</v>
      </c>
      <c r="B1312" t="s">
        <v>1369</v>
      </c>
      <c r="C1312">
        <v>1969</v>
      </c>
      <c r="D1312">
        <v>2</v>
      </c>
      <c r="E1312">
        <v>2700.6</v>
      </c>
      <c r="F1312">
        <v>13</v>
      </c>
      <c r="G1312">
        <v>2512.6</v>
      </c>
      <c r="H1312">
        <v>2</v>
      </c>
      <c r="I1312">
        <v>26.37</v>
      </c>
      <c r="J1312">
        <v>869</v>
      </c>
      <c r="K1312">
        <v>314</v>
      </c>
      <c r="L1312">
        <v>52</v>
      </c>
      <c r="M1312">
        <v>90</v>
      </c>
      <c r="N1312">
        <v>0</v>
      </c>
      <c r="O1312">
        <v>1448</v>
      </c>
      <c r="P1312">
        <v>138.79</v>
      </c>
      <c r="Q1312">
        <v>-1024</v>
      </c>
    </row>
    <row r="1313" spans="1:17" x14ac:dyDescent="0.45">
      <c r="A1313">
        <v>2854</v>
      </c>
      <c r="B1313" t="s">
        <v>1371</v>
      </c>
      <c r="C1313">
        <v>276</v>
      </c>
      <c r="D1313">
        <v>1</v>
      </c>
      <c r="E1313">
        <v>202.9</v>
      </c>
      <c r="F1313">
        <v>0</v>
      </c>
      <c r="G1313">
        <v>299.3</v>
      </c>
      <c r="H1313">
        <v>3</v>
      </c>
      <c r="I1313">
        <v>22.09</v>
      </c>
      <c r="J1313">
        <v>111</v>
      </c>
      <c r="K1313">
        <v>49</v>
      </c>
      <c r="L1313">
        <v>14</v>
      </c>
      <c r="M1313">
        <v>14</v>
      </c>
      <c r="N1313">
        <v>0</v>
      </c>
      <c r="O1313">
        <v>394</v>
      </c>
      <c r="P1313">
        <v>14.04</v>
      </c>
      <c r="Q1313">
        <v>-140</v>
      </c>
    </row>
    <row r="1314" spans="1:17" x14ac:dyDescent="0.45">
      <c r="A1314">
        <v>2035</v>
      </c>
      <c r="B1314" t="s">
        <v>1372</v>
      </c>
      <c r="C1314">
        <v>487</v>
      </c>
      <c r="D1314">
        <v>3</v>
      </c>
      <c r="E1314">
        <v>348.6</v>
      </c>
      <c r="F1314">
        <v>10</v>
      </c>
      <c r="G1314">
        <v>779.2</v>
      </c>
      <c r="H1314">
        <v>3</v>
      </c>
      <c r="I1314">
        <v>36.93</v>
      </c>
      <c r="J1314">
        <v>195</v>
      </c>
      <c r="K1314">
        <v>75</v>
      </c>
      <c r="L1314">
        <v>17</v>
      </c>
      <c r="M1314">
        <v>33</v>
      </c>
      <c r="N1314">
        <v>0</v>
      </c>
      <c r="O1314">
        <v>2727</v>
      </c>
      <c r="P1314">
        <v>0</v>
      </c>
      <c r="Q1314">
        <v>-120</v>
      </c>
    </row>
    <row r="1315" spans="1:17" x14ac:dyDescent="0.45">
      <c r="A1315">
        <v>5724</v>
      </c>
      <c r="B1315" t="s">
        <v>1373</v>
      </c>
      <c r="C1315">
        <v>22465</v>
      </c>
      <c r="D1315">
        <v>3</v>
      </c>
      <c r="E1315">
        <v>26221.4</v>
      </c>
      <c r="F1315">
        <v>30207.7</v>
      </c>
      <c r="G1315">
        <v>7894.1</v>
      </c>
      <c r="H1315">
        <v>1</v>
      </c>
      <c r="I1315">
        <v>19.809999999999999</v>
      </c>
      <c r="J1315">
        <v>6895</v>
      </c>
      <c r="K1315">
        <v>2307</v>
      </c>
      <c r="L1315">
        <v>497</v>
      </c>
      <c r="M1315">
        <v>1681</v>
      </c>
      <c r="N1315">
        <v>0</v>
      </c>
      <c r="O1315">
        <v>969</v>
      </c>
      <c r="P1315">
        <v>2215</v>
      </c>
      <c r="Q1315">
        <v>-120</v>
      </c>
    </row>
    <row r="1316" spans="1:17" x14ac:dyDescent="0.45">
      <c r="A1316">
        <v>64</v>
      </c>
      <c r="B1316" t="s">
        <v>1370</v>
      </c>
      <c r="C1316">
        <v>5710</v>
      </c>
      <c r="D1316">
        <v>3</v>
      </c>
      <c r="E1316">
        <v>5936.8</v>
      </c>
      <c r="F1316">
        <v>71.900000000000006</v>
      </c>
      <c r="G1316">
        <v>3205.7</v>
      </c>
      <c r="H1316">
        <v>2</v>
      </c>
      <c r="I1316">
        <v>24.61</v>
      </c>
      <c r="J1316">
        <v>2357</v>
      </c>
      <c r="K1316">
        <v>783</v>
      </c>
      <c r="L1316">
        <v>169</v>
      </c>
      <c r="M1316">
        <v>430</v>
      </c>
      <c r="N1316">
        <v>0</v>
      </c>
      <c r="O1316">
        <v>1646</v>
      </c>
      <c r="P1316">
        <v>0</v>
      </c>
      <c r="Q1316">
        <v>-622</v>
      </c>
    </row>
    <row r="1317" spans="1:17" x14ac:dyDescent="0.45">
      <c r="A1317">
        <v>357</v>
      </c>
      <c r="B1317" t="s">
        <v>1375</v>
      </c>
      <c r="C1317">
        <v>856</v>
      </c>
      <c r="D1317">
        <v>3</v>
      </c>
      <c r="E1317">
        <v>597.4</v>
      </c>
      <c r="F1317">
        <v>0</v>
      </c>
      <c r="G1317">
        <v>1198.9000000000001</v>
      </c>
      <c r="H1317">
        <v>3</v>
      </c>
      <c r="I1317">
        <v>26.41</v>
      </c>
      <c r="J1317">
        <v>332</v>
      </c>
      <c r="K1317">
        <v>122</v>
      </c>
      <c r="L1317">
        <v>11</v>
      </c>
      <c r="M1317">
        <v>21</v>
      </c>
      <c r="N1317">
        <v>0</v>
      </c>
      <c r="O1317">
        <v>5934</v>
      </c>
      <c r="P1317">
        <v>0</v>
      </c>
      <c r="Q1317">
        <v>-522</v>
      </c>
    </row>
    <row r="1318" spans="1:17" x14ac:dyDescent="0.45">
      <c r="A1318">
        <v>983</v>
      </c>
      <c r="B1318" t="s">
        <v>1376</v>
      </c>
      <c r="C1318">
        <v>1826</v>
      </c>
      <c r="D1318">
        <v>2</v>
      </c>
      <c r="E1318">
        <v>1956.6</v>
      </c>
      <c r="F1318">
        <v>86.3</v>
      </c>
      <c r="G1318">
        <v>3397.5</v>
      </c>
      <c r="H1318">
        <v>3</v>
      </c>
      <c r="I1318">
        <v>26.41</v>
      </c>
      <c r="J1318">
        <v>701</v>
      </c>
      <c r="K1318">
        <v>336</v>
      </c>
      <c r="L1318">
        <v>51</v>
      </c>
      <c r="M1318">
        <v>82</v>
      </c>
      <c r="N1318">
        <v>0</v>
      </c>
      <c r="O1318">
        <v>2108</v>
      </c>
      <c r="P1318">
        <v>0</v>
      </c>
      <c r="Q1318">
        <v>-642</v>
      </c>
    </row>
    <row r="1319" spans="1:17" x14ac:dyDescent="0.45">
      <c r="A1319">
        <v>2406</v>
      </c>
      <c r="B1319" t="s">
        <v>1377</v>
      </c>
      <c r="C1319">
        <v>2345</v>
      </c>
      <c r="D1319">
        <v>2</v>
      </c>
      <c r="E1319">
        <v>2045.2</v>
      </c>
      <c r="F1319">
        <v>809.6</v>
      </c>
      <c r="G1319">
        <v>4112.8</v>
      </c>
      <c r="H1319">
        <v>3</v>
      </c>
      <c r="I1319">
        <v>28.59</v>
      </c>
      <c r="J1319">
        <v>945</v>
      </c>
      <c r="K1319">
        <v>431</v>
      </c>
      <c r="L1319">
        <v>40</v>
      </c>
      <c r="M1319">
        <v>140</v>
      </c>
      <c r="N1319">
        <v>0</v>
      </c>
      <c r="O1319">
        <v>333</v>
      </c>
      <c r="P1319">
        <v>0</v>
      </c>
      <c r="Q1319">
        <v>-903</v>
      </c>
    </row>
    <row r="1320" spans="1:17" x14ac:dyDescent="0.45">
      <c r="A1320">
        <v>418</v>
      </c>
      <c r="B1320" t="s">
        <v>1379</v>
      </c>
      <c r="C1320">
        <v>2936</v>
      </c>
      <c r="D1320">
        <v>1</v>
      </c>
      <c r="E1320">
        <v>1955.8</v>
      </c>
      <c r="F1320">
        <v>1670.4</v>
      </c>
      <c r="G1320">
        <v>1702.8</v>
      </c>
      <c r="H1320">
        <v>1</v>
      </c>
      <c r="I1320">
        <v>16.760000000000002</v>
      </c>
      <c r="J1320">
        <v>1307</v>
      </c>
      <c r="K1320">
        <v>541</v>
      </c>
      <c r="L1320">
        <v>49</v>
      </c>
      <c r="M1320">
        <v>133</v>
      </c>
      <c r="N1320">
        <v>0</v>
      </c>
      <c r="O1320">
        <v>6308</v>
      </c>
      <c r="P1320">
        <v>0</v>
      </c>
      <c r="Q1320">
        <v>-943</v>
      </c>
    </row>
    <row r="1321" spans="1:17" x14ac:dyDescent="0.45">
      <c r="A1321">
        <v>3424</v>
      </c>
      <c r="B1321" t="s">
        <v>1378</v>
      </c>
      <c r="C1321">
        <v>4588</v>
      </c>
      <c r="D1321">
        <v>1</v>
      </c>
      <c r="E1321">
        <v>3174.7</v>
      </c>
      <c r="F1321">
        <v>1454</v>
      </c>
      <c r="G1321">
        <v>13306.8</v>
      </c>
      <c r="H1321">
        <v>1</v>
      </c>
      <c r="I1321">
        <v>22.7</v>
      </c>
      <c r="J1321">
        <v>2005</v>
      </c>
      <c r="K1321">
        <v>990</v>
      </c>
      <c r="L1321">
        <v>149</v>
      </c>
      <c r="M1321">
        <v>236</v>
      </c>
      <c r="N1321">
        <v>0</v>
      </c>
      <c r="O1321">
        <v>10206</v>
      </c>
      <c r="P1321">
        <v>166.13</v>
      </c>
      <c r="Q1321">
        <v>-682</v>
      </c>
    </row>
    <row r="1322" spans="1:17" x14ac:dyDescent="0.45">
      <c r="A1322">
        <v>619</v>
      </c>
      <c r="B1322" t="s">
        <v>1380</v>
      </c>
      <c r="C1322">
        <v>3572</v>
      </c>
      <c r="D1322">
        <v>2</v>
      </c>
      <c r="E1322">
        <v>3950.1</v>
      </c>
      <c r="F1322">
        <v>14.9</v>
      </c>
      <c r="G1322">
        <v>3769.3</v>
      </c>
      <c r="H1322">
        <v>2</v>
      </c>
      <c r="I1322">
        <v>24.84</v>
      </c>
      <c r="J1322">
        <v>1397</v>
      </c>
      <c r="K1322">
        <v>601</v>
      </c>
      <c r="L1322">
        <v>66</v>
      </c>
      <c r="M1322">
        <v>132</v>
      </c>
      <c r="N1322">
        <v>0</v>
      </c>
      <c r="O1322">
        <v>5145</v>
      </c>
      <c r="P1322">
        <v>16.97</v>
      </c>
      <c r="Q1322">
        <v>-1244</v>
      </c>
    </row>
    <row r="1323" spans="1:17" x14ac:dyDescent="0.45">
      <c r="A1323">
        <v>2892</v>
      </c>
      <c r="B1323" t="s">
        <v>1381</v>
      </c>
      <c r="C1323">
        <v>2426</v>
      </c>
      <c r="D1323">
        <v>1</v>
      </c>
      <c r="E1323">
        <v>3362.5</v>
      </c>
      <c r="F1323">
        <v>5.5</v>
      </c>
      <c r="G1323">
        <v>2223.1</v>
      </c>
      <c r="H1323">
        <v>2</v>
      </c>
      <c r="I1323">
        <v>20.72</v>
      </c>
      <c r="J1323">
        <v>789</v>
      </c>
      <c r="K1323">
        <v>378</v>
      </c>
      <c r="L1323">
        <v>43</v>
      </c>
      <c r="M1323">
        <v>123</v>
      </c>
      <c r="N1323">
        <v>0</v>
      </c>
      <c r="O1323">
        <v>970</v>
      </c>
      <c r="P1323">
        <v>0</v>
      </c>
      <c r="Q1323">
        <v>-522</v>
      </c>
    </row>
    <row r="1324" spans="1:17" x14ac:dyDescent="0.45">
      <c r="A1324">
        <v>1508</v>
      </c>
      <c r="B1324" t="s">
        <v>1382</v>
      </c>
      <c r="C1324">
        <v>3093</v>
      </c>
      <c r="D1324">
        <v>3</v>
      </c>
      <c r="E1324">
        <v>2183.1</v>
      </c>
      <c r="F1324">
        <v>13.4</v>
      </c>
      <c r="G1324">
        <v>5015.6000000000004</v>
      </c>
      <c r="H1324">
        <v>1</v>
      </c>
      <c r="I1324">
        <v>31.4</v>
      </c>
      <c r="J1324">
        <v>1070</v>
      </c>
      <c r="K1324">
        <v>550</v>
      </c>
      <c r="L1324">
        <v>63</v>
      </c>
      <c r="M1324">
        <v>132</v>
      </c>
      <c r="N1324">
        <v>0</v>
      </c>
      <c r="O1324">
        <v>6177</v>
      </c>
      <c r="P1324">
        <v>0</v>
      </c>
      <c r="Q1324">
        <v>-1204</v>
      </c>
    </row>
    <row r="1325" spans="1:17" x14ac:dyDescent="0.45">
      <c r="A1325">
        <v>2553</v>
      </c>
      <c r="B1325" t="s">
        <v>1383</v>
      </c>
      <c r="C1325">
        <v>1844</v>
      </c>
      <c r="D1325">
        <v>2</v>
      </c>
      <c r="E1325">
        <v>1456.5</v>
      </c>
      <c r="F1325">
        <v>912.4</v>
      </c>
      <c r="G1325">
        <v>2060.3000000000002</v>
      </c>
      <c r="H1325">
        <v>1</v>
      </c>
      <c r="I1325">
        <v>19.07</v>
      </c>
      <c r="J1325">
        <v>664</v>
      </c>
      <c r="K1325">
        <v>209</v>
      </c>
      <c r="L1325">
        <v>73</v>
      </c>
      <c r="M1325">
        <v>85</v>
      </c>
      <c r="N1325">
        <v>0</v>
      </c>
      <c r="O1325">
        <v>2442</v>
      </c>
      <c r="P1325">
        <v>0</v>
      </c>
      <c r="Q1325">
        <v>-1586</v>
      </c>
    </row>
    <row r="1326" spans="1:17" x14ac:dyDescent="0.45">
      <c r="A1326">
        <v>3111</v>
      </c>
      <c r="B1326" t="s">
        <v>1384</v>
      </c>
      <c r="C1326">
        <v>1928</v>
      </c>
      <c r="D1326">
        <v>3</v>
      </c>
      <c r="E1326">
        <v>1775.6</v>
      </c>
      <c r="F1326">
        <v>994</v>
      </c>
      <c r="G1326">
        <v>4548.2</v>
      </c>
      <c r="H1326">
        <v>3</v>
      </c>
      <c r="I1326">
        <v>25.09</v>
      </c>
      <c r="J1326">
        <v>783</v>
      </c>
      <c r="K1326">
        <v>354</v>
      </c>
      <c r="L1326">
        <v>43</v>
      </c>
      <c r="M1326">
        <v>62</v>
      </c>
      <c r="N1326">
        <v>0</v>
      </c>
      <c r="O1326">
        <v>5388</v>
      </c>
      <c r="P1326">
        <v>0</v>
      </c>
      <c r="Q1326">
        <v>-1124</v>
      </c>
    </row>
    <row r="1327" spans="1:17" x14ac:dyDescent="0.45">
      <c r="A1327">
        <v>65</v>
      </c>
      <c r="B1327" t="s">
        <v>1385</v>
      </c>
      <c r="C1327">
        <v>1092</v>
      </c>
      <c r="D1327">
        <v>3</v>
      </c>
      <c r="E1327">
        <v>1028</v>
      </c>
      <c r="F1327">
        <v>0</v>
      </c>
      <c r="G1327">
        <v>1025.8</v>
      </c>
      <c r="H1327">
        <v>3</v>
      </c>
      <c r="I1327">
        <v>25.15</v>
      </c>
      <c r="J1327">
        <v>456</v>
      </c>
      <c r="K1327">
        <v>193</v>
      </c>
      <c r="L1327">
        <v>29</v>
      </c>
      <c r="M1327">
        <v>61</v>
      </c>
      <c r="N1327">
        <v>0</v>
      </c>
      <c r="O1327">
        <v>2881</v>
      </c>
      <c r="P1327">
        <v>0</v>
      </c>
      <c r="Q1327">
        <v>-682</v>
      </c>
    </row>
    <row r="1328" spans="1:17" x14ac:dyDescent="0.45">
      <c r="A1328">
        <v>6112</v>
      </c>
      <c r="B1328" t="s">
        <v>1386</v>
      </c>
      <c r="C1328">
        <v>127</v>
      </c>
      <c r="D1328">
        <v>3</v>
      </c>
      <c r="E1328">
        <v>57</v>
      </c>
      <c r="F1328">
        <v>0</v>
      </c>
      <c r="G1328">
        <v>162.19999999999999</v>
      </c>
      <c r="H1328">
        <v>3</v>
      </c>
      <c r="I1328">
        <v>30.8</v>
      </c>
      <c r="J1328">
        <v>41</v>
      </c>
      <c r="K1328">
        <v>30</v>
      </c>
      <c r="L1328">
        <v>4</v>
      </c>
      <c r="M1328">
        <v>7</v>
      </c>
      <c r="N1328">
        <v>0</v>
      </c>
      <c r="O1328">
        <v>427</v>
      </c>
      <c r="P1328">
        <v>0</v>
      </c>
      <c r="Q1328">
        <v>-2067</v>
      </c>
    </row>
    <row r="1329" spans="1:17" x14ac:dyDescent="0.45">
      <c r="A1329">
        <v>245</v>
      </c>
      <c r="B1329" t="s">
        <v>1387</v>
      </c>
      <c r="C1329">
        <v>6810</v>
      </c>
      <c r="D1329">
        <v>3</v>
      </c>
      <c r="E1329">
        <v>5936.2</v>
      </c>
      <c r="F1329">
        <v>2786.6</v>
      </c>
      <c r="G1329">
        <v>1050.5999999999999</v>
      </c>
      <c r="H1329">
        <v>1</v>
      </c>
      <c r="I1329">
        <v>15.69</v>
      </c>
      <c r="J1329">
        <v>1990</v>
      </c>
      <c r="K1329">
        <v>774</v>
      </c>
      <c r="L1329">
        <v>96</v>
      </c>
      <c r="M1329">
        <v>338</v>
      </c>
      <c r="N1329">
        <v>0</v>
      </c>
      <c r="O1329">
        <v>4</v>
      </c>
      <c r="P1329">
        <v>0</v>
      </c>
      <c r="Q1329">
        <v>-100</v>
      </c>
    </row>
    <row r="1330" spans="1:17" x14ac:dyDescent="0.45">
      <c r="A1330">
        <v>4010</v>
      </c>
      <c r="B1330" t="s">
        <v>1388</v>
      </c>
      <c r="C1330">
        <v>8760</v>
      </c>
      <c r="D1330">
        <v>3</v>
      </c>
      <c r="E1330">
        <v>5689</v>
      </c>
      <c r="F1330">
        <v>4327.8999999999996</v>
      </c>
      <c r="G1330">
        <v>4985.5</v>
      </c>
      <c r="H1330">
        <v>1</v>
      </c>
      <c r="I1330">
        <v>20.87</v>
      </c>
      <c r="J1330">
        <v>2879</v>
      </c>
      <c r="K1330">
        <v>1352</v>
      </c>
      <c r="L1330">
        <v>132</v>
      </c>
      <c r="M1330">
        <v>477</v>
      </c>
      <c r="N1330">
        <v>0</v>
      </c>
      <c r="O1330">
        <v>1181</v>
      </c>
      <c r="P1330">
        <v>0</v>
      </c>
      <c r="Q1330">
        <v>-602</v>
      </c>
    </row>
    <row r="1331" spans="1:17" x14ac:dyDescent="0.45">
      <c r="A1331">
        <v>2528</v>
      </c>
      <c r="B1331" t="s">
        <v>1389</v>
      </c>
      <c r="C1331">
        <v>1246</v>
      </c>
      <c r="D1331">
        <v>2</v>
      </c>
      <c r="E1331">
        <v>597.20000000000005</v>
      </c>
      <c r="F1331">
        <v>1058</v>
      </c>
      <c r="G1331">
        <v>6714.1</v>
      </c>
      <c r="H1331">
        <v>2</v>
      </c>
      <c r="I1331">
        <v>26.37</v>
      </c>
      <c r="J1331">
        <v>544</v>
      </c>
      <c r="K1331">
        <v>227</v>
      </c>
      <c r="L1331">
        <v>28</v>
      </c>
      <c r="M1331">
        <v>56</v>
      </c>
      <c r="N1331">
        <v>0</v>
      </c>
      <c r="O1331">
        <v>542</v>
      </c>
      <c r="P1331">
        <v>0</v>
      </c>
      <c r="Q1331">
        <v>-60</v>
      </c>
    </row>
    <row r="1332" spans="1:17" x14ac:dyDescent="0.45">
      <c r="A1332">
        <v>92</v>
      </c>
      <c r="B1332" t="s">
        <v>1390</v>
      </c>
      <c r="C1332">
        <v>7520</v>
      </c>
      <c r="D1332">
        <v>3</v>
      </c>
      <c r="E1332">
        <v>6848</v>
      </c>
      <c r="F1332">
        <v>0</v>
      </c>
      <c r="G1332">
        <v>4816.2</v>
      </c>
      <c r="H1332">
        <v>1</v>
      </c>
      <c r="I1332">
        <v>15.69</v>
      </c>
      <c r="J1332">
        <v>2247</v>
      </c>
      <c r="K1332">
        <v>1117</v>
      </c>
      <c r="L1332">
        <v>105</v>
      </c>
      <c r="M1332">
        <v>376</v>
      </c>
      <c r="N1332">
        <v>0</v>
      </c>
      <c r="O1332">
        <v>587</v>
      </c>
      <c r="P1332">
        <v>0</v>
      </c>
      <c r="Q1332">
        <v>-181</v>
      </c>
    </row>
    <row r="1333" spans="1:17" x14ac:dyDescent="0.45">
      <c r="A1333">
        <v>6076</v>
      </c>
      <c r="B1333" t="s">
        <v>1391</v>
      </c>
      <c r="C1333">
        <v>640</v>
      </c>
      <c r="D1333">
        <v>3</v>
      </c>
      <c r="E1333">
        <v>2373.8000000000002</v>
      </c>
      <c r="F1333">
        <v>17.399999999999999</v>
      </c>
      <c r="G1333">
        <v>323.10000000000002</v>
      </c>
      <c r="H1333">
        <v>3</v>
      </c>
      <c r="I1333">
        <v>30.8</v>
      </c>
      <c r="J1333">
        <v>225</v>
      </c>
      <c r="K1333">
        <v>140</v>
      </c>
      <c r="L1333">
        <v>10</v>
      </c>
      <c r="M1333">
        <v>23</v>
      </c>
      <c r="N1333">
        <v>0</v>
      </c>
      <c r="O1333">
        <v>2679</v>
      </c>
      <c r="P1333">
        <v>0</v>
      </c>
      <c r="Q1333">
        <v>-3392</v>
      </c>
    </row>
    <row r="1334" spans="1:17" x14ac:dyDescent="0.45">
      <c r="A1334">
        <v>2497</v>
      </c>
      <c r="B1334" t="s">
        <v>1392</v>
      </c>
      <c r="C1334">
        <v>2436</v>
      </c>
      <c r="D1334">
        <v>2</v>
      </c>
      <c r="E1334">
        <v>2410.8000000000002</v>
      </c>
      <c r="F1334">
        <v>813.8</v>
      </c>
      <c r="G1334">
        <v>1429.2</v>
      </c>
      <c r="H1334">
        <v>1</v>
      </c>
      <c r="I1334">
        <v>19.07</v>
      </c>
      <c r="J1334">
        <v>922</v>
      </c>
      <c r="K1334">
        <v>348</v>
      </c>
      <c r="L1334">
        <v>43</v>
      </c>
      <c r="M1334">
        <v>98</v>
      </c>
      <c r="N1334">
        <v>0</v>
      </c>
      <c r="O1334">
        <v>927</v>
      </c>
      <c r="P1334">
        <v>0</v>
      </c>
      <c r="Q1334">
        <v>-201</v>
      </c>
    </row>
    <row r="1335" spans="1:17" x14ac:dyDescent="0.45">
      <c r="A1335">
        <v>2972</v>
      </c>
      <c r="B1335" t="s">
        <v>1393</v>
      </c>
      <c r="C1335">
        <v>429</v>
      </c>
      <c r="D1335">
        <v>3</v>
      </c>
      <c r="E1335">
        <v>359.1</v>
      </c>
      <c r="F1335">
        <v>0</v>
      </c>
      <c r="G1335">
        <v>660.5</v>
      </c>
      <c r="H1335">
        <v>3</v>
      </c>
      <c r="I1335">
        <v>19.850000000000001</v>
      </c>
      <c r="J1335">
        <v>184</v>
      </c>
      <c r="K1335">
        <v>99</v>
      </c>
      <c r="L1335">
        <v>4</v>
      </c>
      <c r="M1335">
        <v>15</v>
      </c>
      <c r="N1335">
        <v>0</v>
      </c>
      <c r="O1335">
        <v>2396</v>
      </c>
      <c r="P1335">
        <v>0</v>
      </c>
      <c r="Q1335">
        <v>-241</v>
      </c>
    </row>
    <row r="1336" spans="1:17" x14ac:dyDescent="0.45">
      <c r="A1336">
        <v>4173</v>
      </c>
      <c r="B1336" t="s">
        <v>1394</v>
      </c>
      <c r="C1336">
        <v>576</v>
      </c>
      <c r="D1336">
        <v>3</v>
      </c>
      <c r="E1336">
        <v>577.79999999999995</v>
      </c>
      <c r="F1336">
        <v>0</v>
      </c>
      <c r="G1336">
        <v>953.7</v>
      </c>
      <c r="H1336">
        <v>3</v>
      </c>
      <c r="I1336">
        <v>23.9</v>
      </c>
      <c r="J1336">
        <v>203</v>
      </c>
      <c r="K1336">
        <v>121</v>
      </c>
      <c r="L1336">
        <v>22</v>
      </c>
      <c r="M1336">
        <v>15</v>
      </c>
      <c r="N1336">
        <v>0</v>
      </c>
      <c r="O1336">
        <v>2410</v>
      </c>
      <c r="P1336">
        <v>0</v>
      </c>
      <c r="Q1336">
        <v>-682</v>
      </c>
    </row>
    <row r="1337" spans="1:17" x14ac:dyDescent="0.45">
      <c r="A1337">
        <v>934</v>
      </c>
      <c r="B1337" t="s">
        <v>1395</v>
      </c>
      <c r="C1337">
        <v>2465</v>
      </c>
      <c r="D1337">
        <v>2</v>
      </c>
      <c r="E1337">
        <v>2816.3</v>
      </c>
      <c r="F1337">
        <v>1817.4</v>
      </c>
      <c r="G1337">
        <v>1659</v>
      </c>
      <c r="H1337">
        <v>1</v>
      </c>
      <c r="I1337">
        <v>16.760000000000002</v>
      </c>
      <c r="J1337">
        <v>814</v>
      </c>
      <c r="K1337">
        <v>303</v>
      </c>
      <c r="L1337">
        <v>71</v>
      </c>
      <c r="M1337">
        <v>115</v>
      </c>
      <c r="N1337">
        <v>0</v>
      </c>
      <c r="O1337">
        <v>312</v>
      </c>
      <c r="P1337">
        <v>0</v>
      </c>
      <c r="Q1337">
        <v>-281</v>
      </c>
    </row>
    <row r="1338" spans="1:17" x14ac:dyDescent="0.45">
      <c r="A1338">
        <v>629</v>
      </c>
      <c r="B1338" t="s">
        <v>1396</v>
      </c>
      <c r="C1338">
        <v>320</v>
      </c>
      <c r="D1338">
        <v>2</v>
      </c>
      <c r="E1338">
        <v>205.9</v>
      </c>
      <c r="F1338">
        <v>0</v>
      </c>
      <c r="G1338">
        <v>722.6</v>
      </c>
      <c r="H1338">
        <v>3</v>
      </c>
      <c r="I1338">
        <v>26.41</v>
      </c>
      <c r="J1338">
        <v>137</v>
      </c>
      <c r="K1338">
        <v>62</v>
      </c>
      <c r="L1338">
        <v>5</v>
      </c>
      <c r="M1338">
        <v>10</v>
      </c>
      <c r="N1338">
        <v>0</v>
      </c>
      <c r="O1338">
        <v>1505</v>
      </c>
      <c r="P1338">
        <v>0</v>
      </c>
      <c r="Q1338">
        <v>-682</v>
      </c>
    </row>
    <row r="1339" spans="1:17" x14ac:dyDescent="0.45">
      <c r="A1339">
        <v>1368</v>
      </c>
      <c r="B1339" t="s">
        <v>1397</v>
      </c>
      <c r="C1339">
        <v>867</v>
      </c>
      <c r="D1339">
        <v>3</v>
      </c>
      <c r="E1339">
        <v>1900.1</v>
      </c>
      <c r="F1339">
        <v>9.1</v>
      </c>
      <c r="G1339">
        <v>798.8</v>
      </c>
      <c r="H1339">
        <v>3</v>
      </c>
      <c r="I1339">
        <v>30.7</v>
      </c>
      <c r="J1339">
        <v>354</v>
      </c>
      <c r="K1339">
        <v>149</v>
      </c>
      <c r="L1339">
        <v>20</v>
      </c>
      <c r="M1339">
        <v>64</v>
      </c>
      <c r="N1339">
        <v>0</v>
      </c>
      <c r="O1339">
        <v>2701</v>
      </c>
      <c r="P1339">
        <v>0</v>
      </c>
      <c r="Q1339">
        <v>-2208</v>
      </c>
    </row>
    <row r="1340" spans="1:17" x14ac:dyDescent="0.45">
      <c r="A1340">
        <v>1095</v>
      </c>
      <c r="B1340" t="s">
        <v>1398</v>
      </c>
      <c r="C1340">
        <v>5068</v>
      </c>
      <c r="D1340">
        <v>3</v>
      </c>
      <c r="E1340">
        <v>1725.9</v>
      </c>
      <c r="F1340">
        <v>0</v>
      </c>
      <c r="G1340">
        <v>8925.5</v>
      </c>
      <c r="H1340">
        <v>1</v>
      </c>
      <c r="I1340">
        <v>19.39</v>
      </c>
      <c r="J1340">
        <v>1383</v>
      </c>
      <c r="K1340">
        <v>574</v>
      </c>
      <c r="L1340">
        <v>175</v>
      </c>
      <c r="M1340">
        <v>182</v>
      </c>
      <c r="N1340">
        <v>0</v>
      </c>
      <c r="O1340">
        <v>4370</v>
      </c>
      <c r="P1340">
        <v>0</v>
      </c>
      <c r="Q1340">
        <v>-181</v>
      </c>
    </row>
    <row r="1341" spans="1:17" x14ac:dyDescent="0.45">
      <c r="A1341">
        <v>4140</v>
      </c>
      <c r="B1341" t="s">
        <v>1399</v>
      </c>
      <c r="C1341">
        <v>2863</v>
      </c>
      <c r="D1341">
        <v>3</v>
      </c>
      <c r="E1341">
        <v>2912.3</v>
      </c>
      <c r="F1341">
        <v>174</v>
      </c>
      <c r="G1341">
        <v>1918.9</v>
      </c>
      <c r="H1341">
        <v>3</v>
      </c>
      <c r="I1341">
        <v>23.9</v>
      </c>
      <c r="J1341">
        <v>1142</v>
      </c>
      <c r="K1341">
        <v>453</v>
      </c>
      <c r="L1341">
        <v>34</v>
      </c>
      <c r="M1341">
        <v>138</v>
      </c>
      <c r="N1341">
        <v>0</v>
      </c>
      <c r="O1341">
        <v>2104</v>
      </c>
      <c r="P1341">
        <v>0</v>
      </c>
      <c r="Q1341">
        <v>-662</v>
      </c>
    </row>
    <row r="1342" spans="1:17" x14ac:dyDescent="0.45">
      <c r="A1342">
        <v>935</v>
      </c>
      <c r="B1342" t="s">
        <v>1400</v>
      </c>
      <c r="C1342">
        <v>465</v>
      </c>
      <c r="D1342">
        <v>3</v>
      </c>
      <c r="E1342">
        <v>374.9</v>
      </c>
      <c r="F1342">
        <v>86.9</v>
      </c>
      <c r="G1342">
        <v>690</v>
      </c>
      <c r="H1342">
        <v>3</v>
      </c>
      <c r="I1342">
        <v>26.41</v>
      </c>
      <c r="J1342">
        <v>266</v>
      </c>
      <c r="K1342">
        <v>165</v>
      </c>
      <c r="L1342">
        <v>16</v>
      </c>
      <c r="M1342">
        <v>14</v>
      </c>
      <c r="N1342">
        <v>0</v>
      </c>
      <c r="O1342">
        <v>3104</v>
      </c>
      <c r="P1342">
        <v>0</v>
      </c>
      <c r="Q1342">
        <v>-903</v>
      </c>
    </row>
    <row r="1343" spans="1:17" x14ac:dyDescent="0.45">
      <c r="A1343">
        <v>4073</v>
      </c>
      <c r="B1343" t="s">
        <v>1401</v>
      </c>
      <c r="C1343">
        <v>2096</v>
      </c>
      <c r="D1343">
        <v>3</v>
      </c>
      <c r="E1343">
        <v>2360.9</v>
      </c>
      <c r="F1343">
        <v>0</v>
      </c>
      <c r="G1343">
        <v>3042.3</v>
      </c>
      <c r="H1343">
        <v>2</v>
      </c>
      <c r="I1343">
        <v>23.46</v>
      </c>
      <c r="J1343">
        <v>840</v>
      </c>
      <c r="K1343">
        <v>283</v>
      </c>
      <c r="L1343">
        <v>85</v>
      </c>
      <c r="M1343">
        <v>141</v>
      </c>
      <c r="N1343">
        <v>0</v>
      </c>
      <c r="O1343">
        <v>1032</v>
      </c>
      <c r="P1343">
        <v>0</v>
      </c>
      <c r="Q1343">
        <v>-161</v>
      </c>
    </row>
    <row r="1344" spans="1:17" x14ac:dyDescent="0.45">
      <c r="A1344">
        <v>4256</v>
      </c>
      <c r="B1344" t="s">
        <v>1402</v>
      </c>
      <c r="C1344">
        <v>1076</v>
      </c>
      <c r="D1344">
        <v>3</v>
      </c>
      <c r="E1344">
        <v>1330.7</v>
      </c>
      <c r="F1344">
        <v>12.2</v>
      </c>
      <c r="G1344">
        <v>818.7</v>
      </c>
      <c r="H1344">
        <v>3</v>
      </c>
      <c r="I1344">
        <v>23.9</v>
      </c>
      <c r="J1344">
        <v>452</v>
      </c>
      <c r="K1344">
        <v>166</v>
      </c>
      <c r="L1344">
        <v>25</v>
      </c>
      <c r="M1344">
        <v>63</v>
      </c>
      <c r="N1344">
        <v>0</v>
      </c>
      <c r="O1344">
        <v>1699</v>
      </c>
      <c r="P1344">
        <v>0</v>
      </c>
      <c r="Q1344">
        <v>-341</v>
      </c>
    </row>
    <row r="1345" spans="1:17" x14ac:dyDescent="0.45">
      <c r="A1345">
        <v>589</v>
      </c>
      <c r="B1345" t="s">
        <v>1403</v>
      </c>
      <c r="C1345">
        <v>474</v>
      </c>
      <c r="D1345">
        <v>3</v>
      </c>
      <c r="E1345">
        <v>877.2</v>
      </c>
      <c r="F1345">
        <v>0</v>
      </c>
      <c r="G1345">
        <v>485.1</v>
      </c>
      <c r="H1345">
        <v>3</v>
      </c>
      <c r="I1345">
        <v>26.41</v>
      </c>
      <c r="J1345">
        <v>163</v>
      </c>
      <c r="K1345">
        <v>56</v>
      </c>
      <c r="L1345">
        <v>11</v>
      </c>
      <c r="M1345">
        <v>20</v>
      </c>
      <c r="N1345">
        <v>0</v>
      </c>
      <c r="O1345">
        <v>581</v>
      </c>
      <c r="P1345">
        <v>85.63</v>
      </c>
      <c r="Q1345">
        <v>-1686</v>
      </c>
    </row>
    <row r="1346" spans="1:17" x14ac:dyDescent="0.45">
      <c r="A1346">
        <v>137</v>
      </c>
      <c r="B1346" t="s">
        <v>1404</v>
      </c>
      <c r="C1346">
        <v>5289</v>
      </c>
      <c r="D1346">
        <v>3</v>
      </c>
      <c r="E1346">
        <v>2993.1</v>
      </c>
      <c r="F1346">
        <v>4062.2</v>
      </c>
      <c r="G1346">
        <v>1556.8</v>
      </c>
      <c r="H1346">
        <v>1</v>
      </c>
      <c r="I1346">
        <v>15.69</v>
      </c>
      <c r="J1346">
        <v>1654</v>
      </c>
      <c r="K1346">
        <v>561</v>
      </c>
      <c r="L1346">
        <v>135</v>
      </c>
      <c r="M1346">
        <v>279</v>
      </c>
      <c r="N1346">
        <v>0</v>
      </c>
      <c r="O1346">
        <v>0</v>
      </c>
      <c r="P1346">
        <v>0</v>
      </c>
      <c r="Q1346">
        <v>-241</v>
      </c>
    </row>
    <row r="1347" spans="1:17" x14ac:dyDescent="0.45">
      <c r="A1347">
        <v>3254</v>
      </c>
      <c r="B1347" t="s">
        <v>1405</v>
      </c>
      <c r="C1347">
        <v>9180</v>
      </c>
      <c r="D1347">
        <v>3</v>
      </c>
      <c r="E1347">
        <v>8323.4</v>
      </c>
      <c r="F1347">
        <v>2113.1</v>
      </c>
      <c r="G1347">
        <v>19410.599999999999</v>
      </c>
      <c r="H1347">
        <v>2</v>
      </c>
      <c r="I1347">
        <v>22.8</v>
      </c>
      <c r="J1347">
        <v>3672</v>
      </c>
      <c r="K1347">
        <v>2159</v>
      </c>
      <c r="L1347">
        <v>218</v>
      </c>
      <c r="M1347">
        <v>383</v>
      </c>
      <c r="N1347">
        <v>0</v>
      </c>
      <c r="O1347">
        <v>14223</v>
      </c>
      <c r="P1347">
        <v>664.5</v>
      </c>
      <c r="Q1347">
        <v>-1726</v>
      </c>
    </row>
    <row r="1348" spans="1:17" x14ac:dyDescent="0.45">
      <c r="A1348">
        <v>4037</v>
      </c>
      <c r="B1348" t="s">
        <v>1406</v>
      </c>
      <c r="C1348">
        <v>4165</v>
      </c>
      <c r="D1348">
        <v>3</v>
      </c>
      <c r="E1348">
        <v>5819.4</v>
      </c>
      <c r="F1348">
        <v>26.7</v>
      </c>
      <c r="G1348">
        <v>2118.8000000000002</v>
      </c>
      <c r="H1348">
        <v>1</v>
      </c>
      <c r="I1348">
        <v>20.87</v>
      </c>
      <c r="J1348">
        <v>1544</v>
      </c>
      <c r="K1348">
        <v>641</v>
      </c>
      <c r="L1348">
        <v>141</v>
      </c>
      <c r="M1348">
        <v>254</v>
      </c>
      <c r="N1348">
        <v>0</v>
      </c>
      <c r="O1348">
        <v>202</v>
      </c>
      <c r="P1348">
        <v>0</v>
      </c>
      <c r="Q1348">
        <v>-321</v>
      </c>
    </row>
    <row r="1349" spans="1:17" x14ac:dyDescent="0.45">
      <c r="A1349">
        <v>4237</v>
      </c>
      <c r="B1349" t="s">
        <v>1407</v>
      </c>
      <c r="C1349">
        <v>1594</v>
      </c>
      <c r="D1349">
        <v>3</v>
      </c>
      <c r="E1349">
        <v>948.5</v>
      </c>
      <c r="F1349">
        <v>36.4</v>
      </c>
      <c r="G1349">
        <v>2333.5</v>
      </c>
      <c r="H1349">
        <v>3</v>
      </c>
      <c r="I1349">
        <v>23.9</v>
      </c>
      <c r="J1349">
        <v>576</v>
      </c>
      <c r="K1349">
        <v>205</v>
      </c>
      <c r="L1349">
        <v>34</v>
      </c>
      <c r="M1349">
        <v>77</v>
      </c>
      <c r="N1349">
        <v>0</v>
      </c>
      <c r="O1349">
        <v>4203</v>
      </c>
      <c r="P1349">
        <v>72.34</v>
      </c>
      <c r="Q1349">
        <v>-181</v>
      </c>
    </row>
    <row r="1350" spans="1:17" x14ac:dyDescent="0.45">
      <c r="A1350">
        <v>3988</v>
      </c>
      <c r="B1350" t="s">
        <v>1408</v>
      </c>
      <c r="C1350">
        <v>1138</v>
      </c>
      <c r="D1350">
        <v>3</v>
      </c>
      <c r="E1350">
        <v>3863.7</v>
      </c>
      <c r="F1350">
        <v>5.7</v>
      </c>
      <c r="G1350">
        <v>1686.6</v>
      </c>
      <c r="H1350">
        <v>3</v>
      </c>
      <c r="I1350">
        <v>29.04</v>
      </c>
      <c r="J1350">
        <v>344</v>
      </c>
      <c r="K1350">
        <v>319</v>
      </c>
      <c r="L1350">
        <v>16</v>
      </c>
      <c r="M1350">
        <v>36</v>
      </c>
      <c r="N1350">
        <v>0</v>
      </c>
      <c r="O1350">
        <v>5687</v>
      </c>
      <c r="P1350">
        <v>337.43</v>
      </c>
      <c r="Q1350">
        <v>-3452</v>
      </c>
    </row>
    <row r="1351" spans="1:17" x14ac:dyDescent="0.45">
      <c r="A1351">
        <v>4038</v>
      </c>
      <c r="B1351" t="s">
        <v>1409</v>
      </c>
      <c r="C1351">
        <v>8782</v>
      </c>
      <c r="D1351">
        <v>3</v>
      </c>
      <c r="E1351">
        <v>7417.5</v>
      </c>
      <c r="F1351">
        <v>1834.1</v>
      </c>
      <c r="G1351">
        <v>2818.5</v>
      </c>
      <c r="H1351">
        <v>1</v>
      </c>
      <c r="I1351">
        <v>20.87</v>
      </c>
      <c r="J1351">
        <v>2557</v>
      </c>
      <c r="K1351">
        <v>1136</v>
      </c>
      <c r="L1351">
        <v>160</v>
      </c>
      <c r="M1351">
        <v>401</v>
      </c>
      <c r="N1351">
        <v>0</v>
      </c>
      <c r="O1351">
        <v>1144</v>
      </c>
      <c r="P1351">
        <v>0</v>
      </c>
      <c r="Q1351">
        <v>-702</v>
      </c>
    </row>
    <row r="1352" spans="1:17" x14ac:dyDescent="0.45">
      <c r="A1352">
        <v>620</v>
      </c>
      <c r="B1352" t="s">
        <v>1410</v>
      </c>
      <c r="C1352">
        <v>727</v>
      </c>
      <c r="D1352">
        <v>3</v>
      </c>
      <c r="E1352">
        <v>482.3</v>
      </c>
      <c r="F1352">
        <v>12.9</v>
      </c>
      <c r="G1352">
        <v>902.4</v>
      </c>
      <c r="H1352">
        <v>3</v>
      </c>
      <c r="I1352">
        <v>26.41</v>
      </c>
      <c r="J1352">
        <v>250</v>
      </c>
      <c r="K1352">
        <v>123</v>
      </c>
      <c r="L1352">
        <v>2</v>
      </c>
      <c r="M1352">
        <v>21</v>
      </c>
      <c r="N1352">
        <v>0</v>
      </c>
      <c r="O1352">
        <v>4448</v>
      </c>
      <c r="P1352">
        <v>0</v>
      </c>
      <c r="Q1352">
        <v>-642</v>
      </c>
    </row>
    <row r="1353" spans="1:17" x14ac:dyDescent="0.45">
      <c r="A1353">
        <v>3407</v>
      </c>
      <c r="B1353" t="s">
        <v>1411</v>
      </c>
      <c r="C1353">
        <v>6536</v>
      </c>
      <c r="D1353">
        <v>2</v>
      </c>
      <c r="E1353">
        <v>2680.3</v>
      </c>
      <c r="F1353">
        <v>4158.6000000000004</v>
      </c>
      <c r="G1353">
        <v>5474.4</v>
      </c>
      <c r="H1353">
        <v>1</v>
      </c>
      <c r="I1353">
        <v>22.7</v>
      </c>
      <c r="J1353">
        <v>2290</v>
      </c>
      <c r="K1353">
        <v>960</v>
      </c>
      <c r="L1353">
        <v>135</v>
      </c>
      <c r="M1353">
        <v>306</v>
      </c>
      <c r="N1353">
        <v>0</v>
      </c>
      <c r="O1353">
        <v>6487</v>
      </c>
      <c r="P1353">
        <v>0</v>
      </c>
      <c r="Q1353">
        <v>-682</v>
      </c>
    </row>
    <row r="1354" spans="1:17" x14ac:dyDescent="0.45">
      <c r="A1354">
        <v>93</v>
      </c>
      <c r="B1354" t="s">
        <v>1412</v>
      </c>
      <c r="C1354">
        <v>1883</v>
      </c>
      <c r="D1354">
        <v>3</v>
      </c>
      <c r="E1354">
        <v>1958.1</v>
      </c>
      <c r="F1354">
        <v>0</v>
      </c>
      <c r="G1354">
        <v>874.9</v>
      </c>
      <c r="H1354">
        <v>2</v>
      </c>
      <c r="I1354">
        <v>24.61</v>
      </c>
      <c r="J1354">
        <v>736</v>
      </c>
      <c r="K1354">
        <v>237</v>
      </c>
      <c r="L1354">
        <v>51</v>
      </c>
      <c r="M1354">
        <v>115</v>
      </c>
      <c r="N1354">
        <v>0</v>
      </c>
      <c r="O1354">
        <v>742</v>
      </c>
      <c r="P1354">
        <v>0</v>
      </c>
      <c r="Q1354">
        <v>-542</v>
      </c>
    </row>
    <row r="1355" spans="1:17" x14ac:dyDescent="0.45">
      <c r="A1355">
        <v>2771</v>
      </c>
      <c r="B1355" t="s">
        <v>1413</v>
      </c>
      <c r="C1355">
        <v>11273</v>
      </c>
      <c r="D1355">
        <v>1</v>
      </c>
      <c r="E1355">
        <v>4992.1000000000004</v>
      </c>
      <c r="F1355">
        <v>10861.5</v>
      </c>
      <c r="G1355">
        <v>6952.7</v>
      </c>
      <c r="H1355">
        <v>1</v>
      </c>
      <c r="I1355">
        <v>14.25</v>
      </c>
      <c r="J1355">
        <v>3636</v>
      </c>
      <c r="K1355">
        <v>1144</v>
      </c>
      <c r="L1355">
        <v>227</v>
      </c>
      <c r="M1355">
        <v>582</v>
      </c>
      <c r="N1355">
        <v>0</v>
      </c>
      <c r="O1355">
        <v>912</v>
      </c>
      <c r="P1355">
        <v>0</v>
      </c>
      <c r="Q1355">
        <v>-281</v>
      </c>
    </row>
    <row r="1356" spans="1:17" x14ac:dyDescent="0.45">
      <c r="A1356">
        <v>391</v>
      </c>
      <c r="B1356" t="s">
        <v>1414</v>
      </c>
      <c r="C1356">
        <v>926</v>
      </c>
      <c r="D1356">
        <v>2</v>
      </c>
      <c r="E1356">
        <v>970.3</v>
      </c>
      <c r="F1356">
        <v>16.899999999999999</v>
      </c>
      <c r="G1356">
        <v>1144.9000000000001</v>
      </c>
      <c r="H1356">
        <v>3</v>
      </c>
      <c r="I1356">
        <v>26.41</v>
      </c>
      <c r="J1356">
        <v>336</v>
      </c>
      <c r="K1356">
        <v>176</v>
      </c>
      <c r="L1356">
        <v>15</v>
      </c>
      <c r="M1356">
        <v>44</v>
      </c>
      <c r="N1356">
        <v>0</v>
      </c>
      <c r="O1356">
        <v>1771</v>
      </c>
      <c r="P1356">
        <v>0</v>
      </c>
      <c r="Q1356">
        <v>-482</v>
      </c>
    </row>
    <row r="1357" spans="1:17" x14ac:dyDescent="0.45">
      <c r="A1357">
        <v>766</v>
      </c>
      <c r="B1357" t="s">
        <v>1415</v>
      </c>
      <c r="C1357">
        <v>818</v>
      </c>
      <c r="D1357">
        <v>3</v>
      </c>
      <c r="E1357">
        <v>639.4</v>
      </c>
      <c r="F1357">
        <v>0</v>
      </c>
      <c r="G1357">
        <v>671.8</v>
      </c>
      <c r="H1357">
        <v>3</v>
      </c>
      <c r="I1357">
        <v>26.41</v>
      </c>
      <c r="J1357">
        <v>287</v>
      </c>
      <c r="K1357">
        <v>229</v>
      </c>
      <c r="L1357">
        <v>2</v>
      </c>
      <c r="M1357">
        <v>7</v>
      </c>
      <c r="N1357">
        <v>0</v>
      </c>
      <c r="O1357">
        <v>7674</v>
      </c>
      <c r="P1357">
        <v>0</v>
      </c>
      <c r="Q1357">
        <v>-2770</v>
      </c>
    </row>
    <row r="1358" spans="1:17" x14ac:dyDescent="0.45">
      <c r="A1358">
        <v>4074</v>
      </c>
      <c r="B1358" t="s">
        <v>1416</v>
      </c>
      <c r="C1358">
        <v>2586</v>
      </c>
      <c r="D1358">
        <v>3</v>
      </c>
      <c r="E1358">
        <v>3259.3</v>
      </c>
      <c r="F1358">
        <v>6.6</v>
      </c>
      <c r="G1358">
        <v>2122.1999999999998</v>
      </c>
      <c r="H1358">
        <v>2</v>
      </c>
      <c r="I1358">
        <v>23.46</v>
      </c>
      <c r="J1358">
        <v>1035</v>
      </c>
      <c r="K1358">
        <v>366</v>
      </c>
      <c r="L1358">
        <v>96</v>
      </c>
      <c r="M1358">
        <v>153</v>
      </c>
      <c r="N1358">
        <v>0</v>
      </c>
      <c r="O1358">
        <v>2841</v>
      </c>
      <c r="P1358">
        <v>0</v>
      </c>
      <c r="Q1358">
        <v>-281</v>
      </c>
    </row>
    <row r="1359" spans="1:17" x14ac:dyDescent="0.45">
      <c r="A1359">
        <v>1706</v>
      </c>
      <c r="B1359" t="s">
        <v>1374</v>
      </c>
      <c r="C1359">
        <v>6415</v>
      </c>
      <c r="D1359">
        <v>3</v>
      </c>
      <c r="E1359">
        <v>7229.8</v>
      </c>
      <c r="F1359">
        <v>82.4</v>
      </c>
      <c r="G1359">
        <v>4486.1000000000004</v>
      </c>
      <c r="H1359">
        <v>1</v>
      </c>
      <c r="I1359">
        <v>22.43</v>
      </c>
      <c r="J1359">
        <v>2536</v>
      </c>
      <c r="K1359">
        <v>982</v>
      </c>
      <c r="L1359">
        <v>231</v>
      </c>
      <c r="M1359">
        <v>431</v>
      </c>
      <c r="N1359">
        <v>0</v>
      </c>
      <c r="O1359">
        <v>8249</v>
      </c>
      <c r="P1359">
        <v>0</v>
      </c>
      <c r="Q1359">
        <v>-2770</v>
      </c>
    </row>
    <row r="1360" spans="1:17" x14ac:dyDescent="0.45">
      <c r="A1360">
        <v>10</v>
      </c>
      <c r="B1360" t="s">
        <v>1417</v>
      </c>
      <c r="C1360">
        <v>5787</v>
      </c>
      <c r="D1360">
        <v>3</v>
      </c>
      <c r="E1360">
        <v>3816.2</v>
      </c>
      <c r="F1360">
        <v>585.9</v>
      </c>
      <c r="G1360">
        <v>6672.5</v>
      </c>
      <c r="H1360">
        <v>2</v>
      </c>
      <c r="I1360">
        <v>24.61</v>
      </c>
      <c r="J1360">
        <v>1943</v>
      </c>
      <c r="K1360">
        <v>884</v>
      </c>
      <c r="L1360">
        <v>178</v>
      </c>
      <c r="M1360">
        <v>282</v>
      </c>
      <c r="N1360">
        <v>0</v>
      </c>
      <c r="O1360">
        <v>1937</v>
      </c>
      <c r="P1360">
        <v>387.63</v>
      </c>
      <c r="Q1360">
        <v>-301</v>
      </c>
    </row>
    <row r="1361" spans="1:17" x14ac:dyDescent="0.45">
      <c r="A1361">
        <v>985</v>
      </c>
      <c r="B1361" t="s">
        <v>1418</v>
      </c>
      <c r="C1361">
        <v>536</v>
      </c>
      <c r="D1361">
        <v>3</v>
      </c>
      <c r="E1361">
        <v>214.3</v>
      </c>
      <c r="F1361">
        <v>33.6</v>
      </c>
      <c r="G1361">
        <v>642.20000000000005</v>
      </c>
      <c r="H1361">
        <v>3</v>
      </c>
      <c r="I1361">
        <v>26.41</v>
      </c>
      <c r="J1361">
        <v>299</v>
      </c>
      <c r="K1361">
        <v>100</v>
      </c>
      <c r="L1361">
        <v>3</v>
      </c>
      <c r="M1361">
        <v>22</v>
      </c>
      <c r="N1361">
        <v>0</v>
      </c>
      <c r="O1361">
        <v>5324</v>
      </c>
      <c r="P1361">
        <v>0</v>
      </c>
      <c r="Q1361">
        <v>-763</v>
      </c>
    </row>
    <row r="1362" spans="1:17" x14ac:dyDescent="0.45">
      <c r="A1362">
        <v>2529</v>
      </c>
      <c r="B1362" t="s">
        <v>1419</v>
      </c>
      <c r="C1362">
        <v>890</v>
      </c>
      <c r="D1362">
        <v>3</v>
      </c>
      <c r="E1362">
        <v>728</v>
      </c>
      <c r="F1362">
        <v>6.3</v>
      </c>
      <c r="G1362">
        <v>925.9</v>
      </c>
      <c r="H1362">
        <v>2</v>
      </c>
      <c r="I1362">
        <v>26.37</v>
      </c>
      <c r="J1362">
        <v>403</v>
      </c>
      <c r="K1362">
        <v>136</v>
      </c>
      <c r="L1362">
        <v>19</v>
      </c>
      <c r="M1362">
        <v>43</v>
      </c>
      <c r="N1362">
        <v>0</v>
      </c>
      <c r="O1362">
        <v>942</v>
      </c>
      <c r="P1362">
        <v>0</v>
      </c>
      <c r="Q1362">
        <v>-100</v>
      </c>
    </row>
    <row r="1363" spans="1:17" x14ac:dyDescent="0.45">
      <c r="A1363">
        <v>2407</v>
      </c>
      <c r="B1363" t="s">
        <v>1420</v>
      </c>
      <c r="C1363">
        <v>6607</v>
      </c>
      <c r="D1363">
        <v>2</v>
      </c>
      <c r="E1363">
        <v>5099.8</v>
      </c>
      <c r="F1363">
        <v>2390.5</v>
      </c>
      <c r="G1363">
        <v>6085.8</v>
      </c>
      <c r="H1363">
        <v>1</v>
      </c>
      <c r="I1363">
        <v>19.07</v>
      </c>
      <c r="J1363">
        <v>2329</v>
      </c>
      <c r="K1363">
        <v>1359</v>
      </c>
      <c r="L1363">
        <v>146</v>
      </c>
      <c r="M1363">
        <v>357</v>
      </c>
      <c r="N1363">
        <v>0</v>
      </c>
      <c r="O1363">
        <v>820</v>
      </c>
      <c r="P1363">
        <v>2534.71</v>
      </c>
      <c r="Q1363">
        <v>-863</v>
      </c>
    </row>
    <row r="1364" spans="1:17" x14ac:dyDescent="0.45">
      <c r="A1364">
        <v>335</v>
      </c>
      <c r="B1364" t="s">
        <v>1421</v>
      </c>
      <c r="C1364">
        <v>223</v>
      </c>
      <c r="D1364">
        <v>3</v>
      </c>
      <c r="E1364">
        <v>166.1</v>
      </c>
      <c r="F1364">
        <v>0</v>
      </c>
      <c r="G1364">
        <v>268.5</v>
      </c>
      <c r="H1364">
        <v>3</v>
      </c>
      <c r="I1364">
        <v>26.41</v>
      </c>
      <c r="J1364">
        <v>159</v>
      </c>
      <c r="K1364">
        <v>48</v>
      </c>
      <c r="L1364">
        <v>1</v>
      </c>
      <c r="M1364">
        <v>6</v>
      </c>
      <c r="N1364">
        <v>0</v>
      </c>
      <c r="O1364">
        <v>1696</v>
      </c>
      <c r="P1364">
        <v>0</v>
      </c>
      <c r="Q1364">
        <v>-221</v>
      </c>
    </row>
    <row r="1365" spans="1:17" x14ac:dyDescent="0.45">
      <c r="A1365">
        <v>4175</v>
      </c>
      <c r="B1365" t="s">
        <v>1422</v>
      </c>
      <c r="C1365">
        <v>1150</v>
      </c>
      <c r="D1365">
        <v>3</v>
      </c>
      <c r="E1365">
        <v>980</v>
      </c>
      <c r="F1365">
        <v>0</v>
      </c>
      <c r="G1365">
        <v>2255.6</v>
      </c>
      <c r="H1365">
        <v>1</v>
      </c>
      <c r="I1365">
        <v>20.87</v>
      </c>
      <c r="J1365">
        <v>474</v>
      </c>
      <c r="K1365">
        <v>218</v>
      </c>
      <c r="L1365">
        <v>38</v>
      </c>
      <c r="M1365">
        <v>70</v>
      </c>
      <c r="N1365">
        <v>0</v>
      </c>
      <c r="O1365">
        <v>1241</v>
      </c>
      <c r="P1365">
        <v>0</v>
      </c>
      <c r="Q1365">
        <v>-161</v>
      </c>
    </row>
    <row r="1366" spans="1:17" x14ac:dyDescent="0.45">
      <c r="A1366">
        <v>157</v>
      </c>
      <c r="B1366" t="s">
        <v>1423</v>
      </c>
      <c r="C1366">
        <v>4947</v>
      </c>
      <c r="D1366">
        <v>3</v>
      </c>
      <c r="E1366">
        <v>4915.5</v>
      </c>
      <c r="F1366">
        <v>112.7</v>
      </c>
      <c r="G1366">
        <v>2413</v>
      </c>
      <c r="H1366">
        <v>2</v>
      </c>
      <c r="I1366">
        <v>24.61</v>
      </c>
      <c r="J1366">
        <v>1826</v>
      </c>
      <c r="K1366">
        <v>801</v>
      </c>
      <c r="L1366">
        <v>120</v>
      </c>
      <c r="M1366">
        <v>278</v>
      </c>
      <c r="N1366">
        <v>0</v>
      </c>
      <c r="O1366">
        <v>1982</v>
      </c>
      <c r="P1366">
        <v>0</v>
      </c>
      <c r="Q1366">
        <v>-140</v>
      </c>
    </row>
    <row r="1367" spans="1:17" x14ac:dyDescent="0.45">
      <c r="A1367">
        <v>246</v>
      </c>
      <c r="B1367" t="s">
        <v>1424</v>
      </c>
      <c r="C1367">
        <v>2560</v>
      </c>
      <c r="D1367">
        <v>3</v>
      </c>
      <c r="E1367">
        <v>3625.7</v>
      </c>
      <c r="F1367">
        <v>34.6</v>
      </c>
      <c r="G1367">
        <v>685.7</v>
      </c>
      <c r="H1367">
        <v>1</v>
      </c>
      <c r="I1367">
        <v>15.69</v>
      </c>
      <c r="J1367">
        <v>1077</v>
      </c>
      <c r="K1367">
        <v>326</v>
      </c>
      <c r="L1367">
        <v>78</v>
      </c>
      <c r="M1367">
        <v>178</v>
      </c>
      <c r="N1367">
        <v>0</v>
      </c>
      <c r="O1367">
        <v>772</v>
      </c>
      <c r="P1367">
        <v>0</v>
      </c>
      <c r="Q1367">
        <v>-201</v>
      </c>
    </row>
    <row r="1368" spans="1:17" x14ac:dyDescent="0.45">
      <c r="A1368">
        <v>4280</v>
      </c>
      <c r="B1368" t="s">
        <v>1425</v>
      </c>
      <c r="C1368">
        <v>15020</v>
      </c>
      <c r="D1368">
        <v>3</v>
      </c>
      <c r="E1368">
        <v>11820.2</v>
      </c>
      <c r="F1368">
        <v>6131.6</v>
      </c>
      <c r="G1368">
        <v>8774.2000000000007</v>
      </c>
      <c r="H1368">
        <v>1</v>
      </c>
      <c r="I1368">
        <v>20.87</v>
      </c>
      <c r="J1368">
        <v>5116</v>
      </c>
      <c r="K1368">
        <v>2703</v>
      </c>
      <c r="L1368">
        <v>286</v>
      </c>
      <c r="M1368">
        <v>938</v>
      </c>
      <c r="N1368">
        <v>0</v>
      </c>
      <c r="O1368">
        <v>3122</v>
      </c>
      <c r="P1368">
        <v>44419</v>
      </c>
      <c r="Q1368">
        <v>-843</v>
      </c>
    </row>
    <row r="1369" spans="1:17" x14ac:dyDescent="0.45">
      <c r="A1369">
        <v>5680</v>
      </c>
      <c r="B1369" t="s">
        <v>1426</v>
      </c>
      <c r="C1369">
        <v>324</v>
      </c>
      <c r="D1369">
        <v>3</v>
      </c>
      <c r="E1369">
        <v>151.69999999999999</v>
      </c>
      <c r="F1369">
        <v>521.79999999999995</v>
      </c>
      <c r="G1369">
        <v>288.2</v>
      </c>
      <c r="H1369">
        <v>3</v>
      </c>
      <c r="I1369">
        <v>35.86</v>
      </c>
      <c r="J1369">
        <v>136</v>
      </c>
      <c r="K1369">
        <v>69</v>
      </c>
      <c r="L1369">
        <v>12</v>
      </c>
      <c r="M1369">
        <v>26</v>
      </c>
      <c r="N1369">
        <v>0</v>
      </c>
      <c r="O1369">
        <v>444</v>
      </c>
      <c r="P1369">
        <v>16.97</v>
      </c>
      <c r="Q1369">
        <v>-221</v>
      </c>
    </row>
    <row r="1370" spans="1:17" x14ac:dyDescent="0.45">
      <c r="A1370">
        <v>5409</v>
      </c>
      <c r="B1370" t="s">
        <v>1427</v>
      </c>
      <c r="C1370">
        <v>7968</v>
      </c>
      <c r="D1370">
        <v>3</v>
      </c>
      <c r="E1370">
        <v>8793.9</v>
      </c>
      <c r="F1370">
        <v>16842.7</v>
      </c>
      <c r="G1370">
        <v>9373.9</v>
      </c>
      <c r="H1370">
        <v>2</v>
      </c>
      <c r="I1370">
        <v>26.72</v>
      </c>
      <c r="J1370">
        <v>2699</v>
      </c>
      <c r="K1370">
        <v>988</v>
      </c>
      <c r="L1370">
        <v>208</v>
      </c>
      <c r="M1370">
        <v>543</v>
      </c>
      <c r="N1370">
        <v>0</v>
      </c>
      <c r="O1370">
        <v>4679</v>
      </c>
      <c r="P1370">
        <v>609.13</v>
      </c>
      <c r="Q1370">
        <v>-5298</v>
      </c>
    </row>
    <row r="1371" spans="1:17" x14ac:dyDescent="0.45">
      <c r="A1371">
        <v>4257</v>
      </c>
      <c r="B1371" t="s">
        <v>1428</v>
      </c>
      <c r="C1371">
        <v>361</v>
      </c>
      <c r="D1371">
        <v>3</v>
      </c>
      <c r="E1371">
        <v>452.9</v>
      </c>
      <c r="F1371">
        <v>0</v>
      </c>
      <c r="G1371">
        <v>325.10000000000002</v>
      </c>
      <c r="H1371">
        <v>3</v>
      </c>
      <c r="I1371">
        <v>23.9</v>
      </c>
      <c r="J1371">
        <v>163</v>
      </c>
      <c r="K1371">
        <v>73</v>
      </c>
      <c r="L1371">
        <v>12</v>
      </c>
      <c r="M1371">
        <v>28</v>
      </c>
      <c r="N1371">
        <v>0</v>
      </c>
      <c r="O1371">
        <v>544</v>
      </c>
      <c r="P1371">
        <v>0</v>
      </c>
      <c r="Q1371">
        <v>-562</v>
      </c>
    </row>
    <row r="1372" spans="1:17" x14ac:dyDescent="0.45">
      <c r="A1372">
        <v>2581</v>
      </c>
      <c r="B1372" t="s">
        <v>1429</v>
      </c>
      <c r="C1372">
        <v>18339</v>
      </c>
      <c r="D1372">
        <v>1</v>
      </c>
      <c r="E1372">
        <v>14403.1</v>
      </c>
      <c r="F1372">
        <v>23039.9</v>
      </c>
      <c r="G1372">
        <v>6256.6</v>
      </c>
      <c r="H1372">
        <v>1</v>
      </c>
      <c r="I1372">
        <v>19.07</v>
      </c>
      <c r="J1372">
        <v>4809</v>
      </c>
      <c r="K1372">
        <v>1995</v>
      </c>
      <c r="L1372">
        <v>312</v>
      </c>
      <c r="M1372">
        <v>740</v>
      </c>
      <c r="N1372">
        <v>0</v>
      </c>
      <c r="O1372">
        <v>287</v>
      </c>
      <c r="P1372">
        <v>0</v>
      </c>
      <c r="Q1372">
        <v>-963</v>
      </c>
    </row>
    <row r="1373" spans="1:17" x14ac:dyDescent="0.45">
      <c r="A1373">
        <v>2855</v>
      </c>
      <c r="B1373" t="s">
        <v>1430</v>
      </c>
      <c r="C1373">
        <v>524</v>
      </c>
      <c r="D1373">
        <v>1</v>
      </c>
      <c r="E1373">
        <v>233.9</v>
      </c>
      <c r="F1373">
        <v>2.6</v>
      </c>
      <c r="G1373">
        <v>666.6</v>
      </c>
      <c r="H1373">
        <v>3</v>
      </c>
      <c r="I1373">
        <v>22.09</v>
      </c>
      <c r="J1373">
        <v>135</v>
      </c>
      <c r="K1373">
        <v>96</v>
      </c>
      <c r="L1373">
        <v>21</v>
      </c>
      <c r="M1373">
        <v>16</v>
      </c>
      <c r="N1373">
        <v>0</v>
      </c>
      <c r="O1373">
        <v>1851</v>
      </c>
      <c r="P1373">
        <v>28.04</v>
      </c>
      <c r="Q1373">
        <v>-482</v>
      </c>
    </row>
    <row r="1374" spans="1:17" x14ac:dyDescent="0.45">
      <c r="A1374">
        <v>6631</v>
      </c>
      <c r="B1374" t="s">
        <v>1431</v>
      </c>
      <c r="C1374">
        <v>18773</v>
      </c>
      <c r="D1374">
        <v>3</v>
      </c>
      <c r="E1374">
        <v>3919.6</v>
      </c>
      <c r="F1374">
        <v>3901.3</v>
      </c>
      <c r="G1374">
        <v>3258.1</v>
      </c>
      <c r="H1374">
        <v>1</v>
      </c>
      <c r="I1374">
        <v>10.3</v>
      </c>
      <c r="J1374">
        <v>4913</v>
      </c>
      <c r="K1374">
        <v>1509</v>
      </c>
      <c r="L1374">
        <v>105</v>
      </c>
      <c r="M1374">
        <v>677</v>
      </c>
      <c r="N1374">
        <v>0</v>
      </c>
      <c r="O1374">
        <v>10</v>
      </c>
      <c r="P1374">
        <v>0</v>
      </c>
      <c r="Q1374">
        <v>-100</v>
      </c>
    </row>
    <row r="1375" spans="1:17" x14ac:dyDescent="0.45">
      <c r="A1375">
        <v>5565</v>
      </c>
      <c r="B1375" t="s">
        <v>1432</v>
      </c>
      <c r="C1375">
        <v>495</v>
      </c>
      <c r="D1375">
        <v>3</v>
      </c>
      <c r="E1375">
        <v>696.8</v>
      </c>
      <c r="F1375">
        <v>6.2</v>
      </c>
      <c r="G1375">
        <v>8803.5</v>
      </c>
      <c r="H1375">
        <v>3</v>
      </c>
      <c r="I1375">
        <v>35.86</v>
      </c>
      <c r="J1375">
        <v>202</v>
      </c>
      <c r="K1375">
        <v>65</v>
      </c>
      <c r="L1375">
        <v>13</v>
      </c>
      <c r="M1375">
        <v>32</v>
      </c>
      <c r="N1375">
        <v>0</v>
      </c>
      <c r="O1375">
        <v>425</v>
      </c>
      <c r="P1375">
        <v>44.3</v>
      </c>
      <c r="Q1375">
        <v>-502</v>
      </c>
    </row>
    <row r="1376" spans="1:17" x14ac:dyDescent="0.45">
      <c r="A1376">
        <v>5136</v>
      </c>
      <c r="B1376" t="s">
        <v>1433</v>
      </c>
      <c r="C1376">
        <v>675</v>
      </c>
      <c r="D1376">
        <v>3</v>
      </c>
      <c r="E1376">
        <v>302.3</v>
      </c>
      <c r="F1376">
        <v>26.6</v>
      </c>
      <c r="G1376">
        <v>507.1</v>
      </c>
      <c r="H1376">
        <v>3</v>
      </c>
      <c r="I1376">
        <v>25.45</v>
      </c>
      <c r="J1376">
        <v>250</v>
      </c>
      <c r="K1376">
        <v>90</v>
      </c>
      <c r="L1376">
        <v>5</v>
      </c>
      <c r="M1376">
        <v>32</v>
      </c>
      <c r="N1376">
        <v>0</v>
      </c>
      <c r="O1376">
        <v>241</v>
      </c>
      <c r="P1376">
        <v>28.04</v>
      </c>
      <c r="Q1376">
        <v>-12905</v>
      </c>
    </row>
    <row r="1377" spans="1:17" x14ac:dyDescent="0.45">
      <c r="A1377">
        <v>66</v>
      </c>
      <c r="B1377" t="s">
        <v>1434</v>
      </c>
      <c r="C1377">
        <v>21213</v>
      </c>
      <c r="D1377">
        <v>3</v>
      </c>
      <c r="E1377">
        <v>12599.5</v>
      </c>
      <c r="F1377">
        <v>5778.3</v>
      </c>
      <c r="G1377">
        <v>4841.5</v>
      </c>
      <c r="H1377">
        <v>1</v>
      </c>
      <c r="I1377">
        <v>15.69</v>
      </c>
      <c r="J1377">
        <v>6044</v>
      </c>
      <c r="K1377">
        <v>4102</v>
      </c>
      <c r="L1377">
        <v>980</v>
      </c>
      <c r="M1377">
        <v>3590</v>
      </c>
      <c r="N1377">
        <v>0</v>
      </c>
      <c r="O1377">
        <v>293</v>
      </c>
      <c r="P1377">
        <v>2658</v>
      </c>
      <c r="Q1377">
        <v>-201</v>
      </c>
    </row>
    <row r="1378" spans="1:17" x14ac:dyDescent="0.45">
      <c r="A1378">
        <v>5923</v>
      </c>
      <c r="B1378" t="s">
        <v>1435</v>
      </c>
      <c r="C1378">
        <v>203</v>
      </c>
      <c r="D1378">
        <v>3</v>
      </c>
      <c r="E1378">
        <v>402.2</v>
      </c>
      <c r="F1378">
        <v>8.1</v>
      </c>
      <c r="G1378">
        <v>552.6</v>
      </c>
      <c r="H1378">
        <v>3</v>
      </c>
      <c r="I1378">
        <v>35.86</v>
      </c>
      <c r="J1378">
        <v>83</v>
      </c>
      <c r="K1378">
        <v>41</v>
      </c>
      <c r="L1378">
        <v>4</v>
      </c>
      <c r="M1378">
        <v>5</v>
      </c>
      <c r="N1378">
        <v>0</v>
      </c>
      <c r="O1378">
        <v>1159</v>
      </c>
      <c r="P1378">
        <v>13.29</v>
      </c>
      <c r="Q1378">
        <v>-201</v>
      </c>
    </row>
    <row r="1379" spans="1:17" x14ac:dyDescent="0.45">
      <c r="A1379">
        <v>622</v>
      </c>
      <c r="B1379" t="s">
        <v>1436</v>
      </c>
      <c r="C1379">
        <v>640</v>
      </c>
      <c r="D1379">
        <v>2</v>
      </c>
      <c r="E1379">
        <v>671.5</v>
      </c>
      <c r="F1379">
        <v>0</v>
      </c>
      <c r="G1379">
        <v>735.5</v>
      </c>
      <c r="H1379">
        <v>2</v>
      </c>
      <c r="I1379">
        <v>24.84</v>
      </c>
      <c r="J1379">
        <v>285</v>
      </c>
      <c r="K1379">
        <v>114</v>
      </c>
      <c r="L1379">
        <v>14</v>
      </c>
      <c r="M1379">
        <v>25</v>
      </c>
      <c r="N1379">
        <v>0</v>
      </c>
      <c r="O1379">
        <v>1018</v>
      </c>
      <c r="P1379">
        <v>0</v>
      </c>
      <c r="Q1379">
        <v>-201</v>
      </c>
    </row>
    <row r="1380" spans="1:17" x14ac:dyDescent="0.45">
      <c r="A1380">
        <v>5757</v>
      </c>
      <c r="B1380" t="s">
        <v>1437</v>
      </c>
      <c r="C1380">
        <v>7613</v>
      </c>
      <c r="D1380">
        <v>3</v>
      </c>
      <c r="E1380">
        <v>2362.8000000000002</v>
      </c>
      <c r="F1380">
        <v>8846.6</v>
      </c>
      <c r="G1380">
        <v>9965.6</v>
      </c>
      <c r="H1380">
        <v>2</v>
      </c>
      <c r="I1380">
        <v>26.72</v>
      </c>
      <c r="J1380">
        <v>2775</v>
      </c>
      <c r="K1380">
        <v>884</v>
      </c>
      <c r="L1380">
        <v>105</v>
      </c>
      <c r="M1380">
        <v>454</v>
      </c>
      <c r="N1380">
        <v>0</v>
      </c>
      <c r="O1380">
        <v>2965</v>
      </c>
      <c r="P1380">
        <v>479.19</v>
      </c>
      <c r="Q1380">
        <v>-80</v>
      </c>
    </row>
    <row r="1381" spans="1:17" x14ac:dyDescent="0.45">
      <c r="A1381">
        <v>5924</v>
      </c>
      <c r="B1381" t="s">
        <v>1438</v>
      </c>
      <c r="C1381">
        <v>406</v>
      </c>
      <c r="D1381">
        <v>3</v>
      </c>
      <c r="E1381">
        <v>407.7</v>
      </c>
      <c r="F1381">
        <v>48.6</v>
      </c>
      <c r="G1381">
        <v>592.20000000000005</v>
      </c>
      <c r="H1381">
        <v>3</v>
      </c>
      <c r="I1381">
        <v>35.86</v>
      </c>
      <c r="J1381">
        <v>165</v>
      </c>
      <c r="K1381">
        <v>48</v>
      </c>
      <c r="L1381">
        <v>10</v>
      </c>
      <c r="M1381">
        <v>30</v>
      </c>
      <c r="N1381">
        <v>0</v>
      </c>
      <c r="O1381">
        <v>960</v>
      </c>
      <c r="P1381">
        <v>14.75</v>
      </c>
      <c r="Q1381">
        <v>-100</v>
      </c>
    </row>
    <row r="1382" spans="1:17" x14ac:dyDescent="0.45">
      <c r="A1382">
        <v>5208</v>
      </c>
      <c r="B1382" t="s">
        <v>1439</v>
      </c>
      <c r="C1382">
        <v>1512</v>
      </c>
      <c r="D1382">
        <v>3</v>
      </c>
      <c r="E1382">
        <v>1426.6</v>
      </c>
      <c r="F1382">
        <v>303</v>
      </c>
      <c r="G1382">
        <v>807.6</v>
      </c>
      <c r="H1382">
        <v>2</v>
      </c>
      <c r="I1382">
        <v>22.12</v>
      </c>
      <c r="J1382">
        <v>587</v>
      </c>
      <c r="K1382">
        <v>182</v>
      </c>
      <c r="L1382">
        <v>42</v>
      </c>
      <c r="M1382">
        <v>110</v>
      </c>
      <c r="N1382">
        <v>0</v>
      </c>
      <c r="O1382">
        <v>115</v>
      </c>
      <c r="P1382">
        <v>0</v>
      </c>
      <c r="Q1382">
        <v>-201</v>
      </c>
    </row>
    <row r="1383" spans="1:17" x14ac:dyDescent="0.45">
      <c r="A1383">
        <v>2856</v>
      </c>
      <c r="B1383" t="s">
        <v>1440</v>
      </c>
      <c r="C1383">
        <v>2330</v>
      </c>
      <c r="D1383">
        <v>1</v>
      </c>
      <c r="E1383">
        <v>2147.1</v>
      </c>
      <c r="F1383">
        <v>0</v>
      </c>
      <c r="G1383">
        <v>4081.5</v>
      </c>
      <c r="H1383">
        <v>2</v>
      </c>
      <c r="I1383">
        <v>20.72</v>
      </c>
      <c r="J1383">
        <v>860</v>
      </c>
      <c r="K1383">
        <v>317</v>
      </c>
      <c r="L1383">
        <v>88</v>
      </c>
      <c r="M1383">
        <v>109</v>
      </c>
      <c r="N1383">
        <v>0</v>
      </c>
      <c r="O1383">
        <v>3194</v>
      </c>
      <c r="P1383">
        <v>0</v>
      </c>
      <c r="Q1383">
        <v>-482</v>
      </c>
    </row>
    <row r="1384" spans="1:17" x14ac:dyDescent="0.45">
      <c r="A1384">
        <v>5410</v>
      </c>
      <c r="B1384" t="s">
        <v>1441</v>
      </c>
      <c r="C1384">
        <v>1175</v>
      </c>
      <c r="D1384">
        <v>3</v>
      </c>
      <c r="E1384">
        <v>3403.9</v>
      </c>
      <c r="F1384">
        <v>22.1</v>
      </c>
      <c r="G1384">
        <v>813.8</v>
      </c>
      <c r="H1384">
        <v>3</v>
      </c>
      <c r="I1384">
        <v>35.86</v>
      </c>
      <c r="J1384">
        <v>447</v>
      </c>
      <c r="K1384">
        <v>199</v>
      </c>
      <c r="L1384">
        <v>18</v>
      </c>
      <c r="M1384">
        <v>63</v>
      </c>
      <c r="N1384">
        <v>0</v>
      </c>
      <c r="O1384">
        <v>3253</v>
      </c>
      <c r="P1384">
        <v>335.93</v>
      </c>
      <c r="Q1384">
        <v>-5158</v>
      </c>
    </row>
    <row r="1385" spans="1:17" x14ac:dyDescent="0.45">
      <c r="A1385">
        <v>5411</v>
      </c>
      <c r="B1385" t="s">
        <v>1442</v>
      </c>
      <c r="C1385">
        <v>1424</v>
      </c>
      <c r="D1385">
        <v>3</v>
      </c>
      <c r="E1385">
        <v>5455.2</v>
      </c>
      <c r="F1385">
        <v>53.6</v>
      </c>
      <c r="G1385">
        <v>663.9</v>
      </c>
      <c r="H1385">
        <v>3</v>
      </c>
      <c r="I1385">
        <v>35.86</v>
      </c>
      <c r="J1385">
        <v>549</v>
      </c>
      <c r="K1385">
        <v>244</v>
      </c>
      <c r="L1385">
        <v>44</v>
      </c>
      <c r="M1385">
        <v>96</v>
      </c>
      <c r="N1385">
        <v>0</v>
      </c>
      <c r="O1385">
        <v>1643</v>
      </c>
      <c r="P1385">
        <v>332.25</v>
      </c>
      <c r="Q1385">
        <v>-3994</v>
      </c>
    </row>
    <row r="1386" spans="1:17" x14ac:dyDescent="0.45">
      <c r="A1386">
        <v>5493</v>
      </c>
      <c r="B1386" t="s">
        <v>1443</v>
      </c>
      <c r="C1386">
        <v>486</v>
      </c>
      <c r="D1386">
        <v>3</v>
      </c>
      <c r="E1386">
        <v>329.7</v>
      </c>
      <c r="F1386">
        <v>311.2</v>
      </c>
      <c r="G1386">
        <v>469.4</v>
      </c>
      <c r="H1386">
        <v>3</v>
      </c>
      <c r="I1386">
        <v>35.86</v>
      </c>
      <c r="J1386">
        <v>184</v>
      </c>
      <c r="K1386">
        <v>67</v>
      </c>
      <c r="L1386">
        <v>8</v>
      </c>
      <c r="M1386">
        <v>28</v>
      </c>
      <c r="N1386">
        <v>0</v>
      </c>
      <c r="O1386">
        <v>2026</v>
      </c>
      <c r="P1386">
        <v>26.58</v>
      </c>
      <c r="Q1386">
        <v>-181</v>
      </c>
    </row>
    <row r="1387" spans="1:17" x14ac:dyDescent="0.45">
      <c r="A1387">
        <v>5805</v>
      </c>
      <c r="B1387" t="s">
        <v>1444</v>
      </c>
      <c r="C1387">
        <v>6114</v>
      </c>
      <c r="D1387">
        <v>3</v>
      </c>
      <c r="E1387">
        <v>6957.4</v>
      </c>
      <c r="F1387">
        <v>2244.6</v>
      </c>
      <c r="G1387">
        <v>7440.6</v>
      </c>
      <c r="H1387">
        <v>2</v>
      </c>
      <c r="I1387">
        <v>26.72</v>
      </c>
      <c r="J1387">
        <v>2258</v>
      </c>
      <c r="K1387">
        <v>779</v>
      </c>
      <c r="L1387">
        <v>101</v>
      </c>
      <c r="M1387">
        <v>431</v>
      </c>
      <c r="N1387">
        <v>0</v>
      </c>
      <c r="O1387">
        <v>10942</v>
      </c>
      <c r="P1387">
        <v>22.15</v>
      </c>
      <c r="Q1387">
        <v>-943</v>
      </c>
    </row>
    <row r="1388" spans="1:17" x14ac:dyDescent="0.45">
      <c r="A1388">
        <v>744</v>
      </c>
      <c r="B1388" t="s">
        <v>1445</v>
      </c>
      <c r="C1388">
        <v>3255</v>
      </c>
      <c r="D1388">
        <v>1</v>
      </c>
      <c r="E1388">
        <v>3031.6</v>
      </c>
      <c r="F1388">
        <v>508.7</v>
      </c>
      <c r="G1388">
        <v>8281</v>
      </c>
      <c r="H1388">
        <v>2</v>
      </c>
      <c r="I1388">
        <v>24.84</v>
      </c>
      <c r="J1388">
        <v>1145</v>
      </c>
      <c r="K1388">
        <v>438</v>
      </c>
      <c r="L1388">
        <v>43</v>
      </c>
      <c r="M1388">
        <v>139</v>
      </c>
      <c r="N1388">
        <v>0</v>
      </c>
      <c r="O1388">
        <v>819</v>
      </c>
      <c r="P1388">
        <v>0</v>
      </c>
      <c r="Q1388">
        <v>-281</v>
      </c>
    </row>
    <row r="1389" spans="1:17" x14ac:dyDescent="0.45">
      <c r="A1389">
        <v>5121</v>
      </c>
      <c r="B1389" t="s">
        <v>1446</v>
      </c>
      <c r="C1389">
        <v>701</v>
      </c>
      <c r="D1389">
        <v>3</v>
      </c>
      <c r="E1389">
        <v>2674.2</v>
      </c>
      <c r="F1389">
        <v>20.5</v>
      </c>
      <c r="G1389">
        <v>2085.1999999999998</v>
      </c>
      <c r="H1389">
        <v>1</v>
      </c>
      <c r="I1389">
        <v>18.600000000000001</v>
      </c>
      <c r="J1389">
        <v>306</v>
      </c>
      <c r="K1389">
        <v>89</v>
      </c>
      <c r="L1389">
        <v>21</v>
      </c>
      <c r="M1389">
        <v>46</v>
      </c>
      <c r="N1389">
        <v>0</v>
      </c>
      <c r="O1389">
        <v>0</v>
      </c>
      <c r="P1389">
        <v>0</v>
      </c>
      <c r="Q1389">
        <v>-281</v>
      </c>
    </row>
    <row r="1390" spans="1:17" x14ac:dyDescent="0.45">
      <c r="A1390">
        <v>6034</v>
      </c>
      <c r="B1390" t="s">
        <v>1447</v>
      </c>
      <c r="C1390">
        <v>3237</v>
      </c>
      <c r="D1390">
        <v>3</v>
      </c>
      <c r="E1390">
        <v>2995.5</v>
      </c>
      <c r="F1390">
        <v>66.2</v>
      </c>
      <c r="G1390">
        <v>2409.8000000000002</v>
      </c>
      <c r="H1390">
        <v>3</v>
      </c>
      <c r="I1390">
        <v>30.8</v>
      </c>
      <c r="J1390">
        <v>1393</v>
      </c>
      <c r="K1390">
        <v>620</v>
      </c>
      <c r="L1390">
        <v>68</v>
      </c>
      <c r="M1390">
        <v>136</v>
      </c>
      <c r="N1390">
        <v>0</v>
      </c>
      <c r="O1390">
        <v>4495</v>
      </c>
      <c r="P1390">
        <v>0</v>
      </c>
      <c r="Q1390">
        <v>-8610</v>
      </c>
    </row>
    <row r="1391" spans="1:17" x14ac:dyDescent="0.45">
      <c r="A1391">
        <v>438</v>
      </c>
      <c r="B1391" t="s">
        <v>1448</v>
      </c>
      <c r="C1391">
        <v>1236</v>
      </c>
      <c r="D1391">
        <v>3</v>
      </c>
      <c r="E1391">
        <v>2192.6</v>
      </c>
      <c r="F1391">
        <v>31.4</v>
      </c>
      <c r="G1391">
        <v>835</v>
      </c>
      <c r="H1391">
        <v>3</v>
      </c>
      <c r="I1391">
        <v>26.41</v>
      </c>
      <c r="J1391">
        <v>471</v>
      </c>
      <c r="K1391">
        <v>211</v>
      </c>
      <c r="L1391">
        <v>14</v>
      </c>
      <c r="M1391">
        <v>50</v>
      </c>
      <c r="N1391">
        <v>0</v>
      </c>
      <c r="O1391">
        <v>2779</v>
      </c>
      <c r="P1391">
        <v>0</v>
      </c>
      <c r="Q1391">
        <v>-2288</v>
      </c>
    </row>
    <row r="1392" spans="1:17" x14ac:dyDescent="0.45">
      <c r="A1392">
        <v>5925</v>
      </c>
      <c r="B1392" t="s">
        <v>1449</v>
      </c>
      <c r="C1392">
        <v>208</v>
      </c>
      <c r="D1392">
        <v>3</v>
      </c>
      <c r="E1392">
        <v>655.9</v>
      </c>
      <c r="F1392">
        <v>0</v>
      </c>
      <c r="G1392">
        <v>966.9</v>
      </c>
      <c r="H1392">
        <v>3</v>
      </c>
      <c r="I1392">
        <v>35.86</v>
      </c>
      <c r="J1392">
        <v>100</v>
      </c>
      <c r="K1392">
        <v>24</v>
      </c>
      <c r="L1392">
        <v>6</v>
      </c>
      <c r="M1392">
        <v>12</v>
      </c>
      <c r="N1392">
        <v>0</v>
      </c>
      <c r="O1392">
        <v>551</v>
      </c>
      <c r="P1392">
        <v>16.260000000000002</v>
      </c>
      <c r="Q1392">
        <v>-140</v>
      </c>
    </row>
    <row r="1393" spans="1:17" x14ac:dyDescent="0.45">
      <c r="A1393">
        <v>37</v>
      </c>
      <c r="B1393" t="s">
        <v>1450</v>
      </c>
      <c r="C1393">
        <v>1710</v>
      </c>
      <c r="D1393">
        <v>3</v>
      </c>
      <c r="E1393">
        <v>1430.4</v>
      </c>
      <c r="F1393">
        <v>7.9</v>
      </c>
      <c r="G1393">
        <v>2369.5</v>
      </c>
      <c r="H1393">
        <v>3</v>
      </c>
      <c r="I1393">
        <v>25.15</v>
      </c>
      <c r="J1393">
        <v>672</v>
      </c>
      <c r="K1393">
        <v>259</v>
      </c>
      <c r="L1393">
        <v>43</v>
      </c>
      <c r="M1393">
        <v>62</v>
      </c>
      <c r="N1393">
        <v>0</v>
      </c>
      <c r="O1393">
        <v>4475</v>
      </c>
      <c r="P1393">
        <v>132.9</v>
      </c>
      <c r="Q1393">
        <v>-743</v>
      </c>
    </row>
    <row r="1394" spans="1:17" x14ac:dyDescent="0.45">
      <c r="A1394">
        <v>363</v>
      </c>
      <c r="B1394" t="s">
        <v>1451</v>
      </c>
      <c r="C1394">
        <v>17884</v>
      </c>
      <c r="D1394">
        <v>2</v>
      </c>
      <c r="E1394">
        <v>14085</v>
      </c>
      <c r="F1394">
        <v>5342.9</v>
      </c>
      <c r="G1394">
        <v>7030</v>
      </c>
      <c r="H1394">
        <v>1</v>
      </c>
      <c r="I1394">
        <v>16.760000000000002</v>
      </c>
      <c r="J1394">
        <v>4282</v>
      </c>
      <c r="K1394">
        <v>1880</v>
      </c>
      <c r="L1394">
        <v>224</v>
      </c>
      <c r="M1394">
        <v>596</v>
      </c>
      <c r="N1394">
        <v>0</v>
      </c>
      <c r="O1394">
        <v>628</v>
      </c>
      <c r="P1394">
        <v>0</v>
      </c>
      <c r="Q1394">
        <v>-281</v>
      </c>
    </row>
    <row r="1395" spans="1:17" x14ac:dyDescent="0.45">
      <c r="A1395">
        <v>94</v>
      </c>
      <c r="B1395" t="s">
        <v>1452</v>
      </c>
      <c r="C1395">
        <v>2946</v>
      </c>
      <c r="D1395">
        <v>3</v>
      </c>
      <c r="E1395">
        <v>3937.4</v>
      </c>
      <c r="F1395">
        <v>11.1</v>
      </c>
      <c r="G1395">
        <v>3962.5</v>
      </c>
      <c r="H1395">
        <v>2</v>
      </c>
      <c r="I1395">
        <v>24.61</v>
      </c>
      <c r="J1395">
        <v>1081</v>
      </c>
      <c r="K1395">
        <v>642</v>
      </c>
      <c r="L1395">
        <v>91</v>
      </c>
      <c r="M1395">
        <v>214</v>
      </c>
      <c r="N1395">
        <v>0</v>
      </c>
      <c r="O1395">
        <v>1515</v>
      </c>
      <c r="P1395">
        <v>415.67</v>
      </c>
      <c r="Q1395">
        <v>-502</v>
      </c>
    </row>
    <row r="1396" spans="1:17" x14ac:dyDescent="0.45">
      <c r="A1396">
        <v>4205</v>
      </c>
      <c r="B1396" t="s">
        <v>1453</v>
      </c>
      <c r="C1396">
        <v>3096</v>
      </c>
      <c r="D1396">
        <v>3</v>
      </c>
      <c r="E1396">
        <v>2219.4</v>
      </c>
      <c r="F1396">
        <v>772.5</v>
      </c>
      <c r="G1396">
        <v>2563.6999999999998</v>
      </c>
      <c r="H1396">
        <v>2</v>
      </c>
      <c r="I1396">
        <v>23.46</v>
      </c>
      <c r="J1396">
        <v>1180</v>
      </c>
      <c r="K1396">
        <v>568</v>
      </c>
      <c r="L1396">
        <v>99</v>
      </c>
      <c r="M1396">
        <v>171</v>
      </c>
      <c r="N1396">
        <v>0</v>
      </c>
      <c r="O1396">
        <v>974</v>
      </c>
      <c r="P1396">
        <v>0</v>
      </c>
      <c r="Q1396">
        <v>-401</v>
      </c>
    </row>
    <row r="1397" spans="1:17" x14ac:dyDescent="0.45">
      <c r="A1397">
        <v>11</v>
      </c>
      <c r="B1397" t="s">
        <v>1454</v>
      </c>
      <c r="C1397">
        <v>2858</v>
      </c>
      <c r="D1397">
        <v>3</v>
      </c>
      <c r="E1397">
        <v>2310</v>
      </c>
      <c r="F1397">
        <v>183</v>
      </c>
      <c r="G1397">
        <v>2360.1999999999998</v>
      </c>
      <c r="H1397">
        <v>2</v>
      </c>
      <c r="I1397">
        <v>24.61</v>
      </c>
      <c r="J1397">
        <v>1035</v>
      </c>
      <c r="K1397">
        <v>446</v>
      </c>
      <c r="L1397">
        <v>117</v>
      </c>
      <c r="M1397">
        <v>200</v>
      </c>
      <c r="N1397">
        <v>0</v>
      </c>
      <c r="O1397">
        <v>717</v>
      </c>
      <c r="P1397">
        <v>236.25</v>
      </c>
      <c r="Q1397">
        <v>-181</v>
      </c>
    </row>
    <row r="1398" spans="1:17" x14ac:dyDescent="0.45">
      <c r="A1398">
        <v>5529</v>
      </c>
      <c r="B1398" t="s">
        <v>1455</v>
      </c>
      <c r="C1398">
        <v>606</v>
      </c>
      <c r="D1398">
        <v>3</v>
      </c>
      <c r="E1398">
        <v>964.8</v>
      </c>
      <c r="F1398">
        <v>65.7</v>
      </c>
      <c r="G1398">
        <v>479.7</v>
      </c>
      <c r="H1398">
        <v>3</v>
      </c>
      <c r="I1398">
        <v>35.86</v>
      </c>
      <c r="J1398">
        <v>289</v>
      </c>
      <c r="K1398">
        <v>74</v>
      </c>
      <c r="L1398">
        <v>29</v>
      </c>
      <c r="M1398">
        <v>40</v>
      </c>
      <c r="N1398">
        <v>0</v>
      </c>
      <c r="O1398">
        <v>1023</v>
      </c>
      <c r="P1398">
        <v>0</v>
      </c>
      <c r="Q1398">
        <v>-301</v>
      </c>
    </row>
    <row r="1399" spans="1:17" x14ac:dyDescent="0.45">
      <c r="A1399">
        <v>5530</v>
      </c>
      <c r="B1399" t="s">
        <v>1456</v>
      </c>
      <c r="C1399">
        <v>566</v>
      </c>
      <c r="D1399">
        <v>3</v>
      </c>
      <c r="E1399">
        <v>758.4</v>
      </c>
      <c r="F1399">
        <v>644.29999999999995</v>
      </c>
      <c r="G1399">
        <v>1502.5</v>
      </c>
      <c r="H1399">
        <v>3</v>
      </c>
      <c r="I1399">
        <v>35.86</v>
      </c>
      <c r="J1399">
        <v>236</v>
      </c>
      <c r="K1399">
        <v>62</v>
      </c>
      <c r="L1399">
        <v>23</v>
      </c>
      <c r="M1399">
        <v>48</v>
      </c>
      <c r="N1399">
        <v>0</v>
      </c>
      <c r="O1399">
        <v>2656</v>
      </c>
      <c r="P1399">
        <v>23.61</v>
      </c>
      <c r="Q1399">
        <v>-201</v>
      </c>
    </row>
    <row r="1400" spans="1:17" x14ac:dyDescent="0.45">
      <c r="A1400">
        <v>5210</v>
      </c>
      <c r="B1400" t="s">
        <v>1457</v>
      </c>
      <c r="C1400">
        <v>4624</v>
      </c>
      <c r="D1400">
        <v>2</v>
      </c>
      <c r="E1400">
        <v>4899.8999999999996</v>
      </c>
      <c r="F1400">
        <v>3566.4</v>
      </c>
      <c r="G1400">
        <v>808.9</v>
      </c>
      <c r="H1400">
        <v>1</v>
      </c>
      <c r="I1400">
        <v>18.600000000000001</v>
      </c>
      <c r="J1400">
        <v>1476</v>
      </c>
      <c r="K1400">
        <v>677</v>
      </c>
      <c r="L1400">
        <v>119</v>
      </c>
      <c r="M1400">
        <v>442</v>
      </c>
      <c r="N1400">
        <v>0</v>
      </c>
      <c r="O1400">
        <v>0</v>
      </c>
      <c r="P1400">
        <v>0</v>
      </c>
      <c r="Q1400">
        <v>-60</v>
      </c>
    </row>
    <row r="1401" spans="1:17" x14ac:dyDescent="0.45">
      <c r="A1401">
        <v>5588</v>
      </c>
      <c r="B1401" t="s">
        <v>1458</v>
      </c>
      <c r="C1401">
        <v>1550</v>
      </c>
      <c r="D1401">
        <v>3</v>
      </c>
      <c r="E1401">
        <v>1226.9000000000001</v>
      </c>
      <c r="F1401">
        <v>1458.2</v>
      </c>
      <c r="G1401">
        <v>339.5</v>
      </c>
      <c r="H1401">
        <v>1</v>
      </c>
      <c r="I1401">
        <v>19.809999999999999</v>
      </c>
      <c r="J1401">
        <v>529</v>
      </c>
      <c r="K1401">
        <v>119</v>
      </c>
      <c r="L1401">
        <v>32</v>
      </c>
      <c r="M1401">
        <v>106</v>
      </c>
      <c r="N1401">
        <v>0</v>
      </c>
      <c r="O1401">
        <v>1</v>
      </c>
      <c r="P1401">
        <v>0</v>
      </c>
      <c r="Q1401">
        <v>0</v>
      </c>
    </row>
    <row r="1402" spans="1:17" x14ac:dyDescent="0.45">
      <c r="A1402">
        <v>5822</v>
      </c>
      <c r="B1402" t="s">
        <v>1459</v>
      </c>
      <c r="C1402">
        <v>10342</v>
      </c>
      <c r="D1402">
        <v>3</v>
      </c>
      <c r="E1402">
        <v>10877.5</v>
      </c>
      <c r="F1402">
        <v>6402.6</v>
      </c>
      <c r="G1402">
        <v>19222.8</v>
      </c>
      <c r="H1402">
        <v>1</v>
      </c>
      <c r="I1402">
        <v>19.809999999999999</v>
      </c>
      <c r="J1402">
        <v>3306</v>
      </c>
      <c r="K1402">
        <v>1450</v>
      </c>
      <c r="L1402">
        <v>195</v>
      </c>
      <c r="M1402">
        <v>605</v>
      </c>
      <c r="N1402">
        <v>0</v>
      </c>
      <c r="O1402">
        <v>4703</v>
      </c>
      <c r="P1402">
        <v>830.63</v>
      </c>
      <c r="Q1402">
        <v>-723</v>
      </c>
    </row>
    <row r="1403" spans="1:17" x14ac:dyDescent="0.45">
      <c r="A1403">
        <v>5495</v>
      </c>
      <c r="B1403" t="s">
        <v>1460</v>
      </c>
      <c r="C1403">
        <v>3209</v>
      </c>
      <c r="D1403">
        <v>3</v>
      </c>
      <c r="E1403">
        <v>1173</v>
      </c>
      <c r="F1403">
        <v>2769.4</v>
      </c>
      <c r="G1403">
        <v>1409.2</v>
      </c>
      <c r="H1403">
        <v>2</v>
      </c>
      <c r="I1403">
        <v>26.72</v>
      </c>
      <c r="J1403">
        <v>1198</v>
      </c>
      <c r="K1403">
        <v>332</v>
      </c>
      <c r="L1403">
        <v>56</v>
      </c>
      <c r="M1403">
        <v>217</v>
      </c>
      <c r="N1403">
        <v>0</v>
      </c>
      <c r="O1403">
        <v>276</v>
      </c>
      <c r="P1403">
        <v>0</v>
      </c>
      <c r="Q1403">
        <v>-140</v>
      </c>
    </row>
    <row r="1404" spans="1:17" x14ac:dyDescent="0.45">
      <c r="A1404">
        <v>5496</v>
      </c>
      <c r="B1404" t="s">
        <v>1461</v>
      </c>
      <c r="C1404">
        <v>1923</v>
      </c>
      <c r="D1404">
        <v>3</v>
      </c>
      <c r="E1404">
        <v>706.3</v>
      </c>
      <c r="F1404">
        <v>1836.4</v>
      </c>
      <c r="G1404">
        <v>1679</v>
      </c>
      <c r="H1404">
        <v>2</v>
      </c>
      <c r="I1404">
        <v>26.72</v>
      </c>
      <c r="J1404">
        <v>774</v>
      </c>
      <c r="K1404">
        <v>266</v>
      </c>
      <c r="L1404">
        <v>61</v>
      </c>
      <c r="M1404">
        <v>162</v>
      </c>
      <c r="N1404">
        <v>0</v>
      </c>
      <c r="O1404">
        <v>527</v>
      </c>
      <c r="P1404">
        <v>471.04</v>
      </c>
      <c r="Q1404">
        <v>-100</v>
      </c>
    </row>
    <row r="1405" spans="1:17" x14ac:dyDescent="0.45">
      <c r="A1405">
        <v>5531</v>
      </c>
      <c r="B1405" t="s">
        <v>1462</v>
      </c>
      <c r="C1405">
        <v>431</v>
      </c>
      <c r="D1405">
        <v>3</v>
      </c>
      <c r="E1405">
        <v>755.7</v>
      </c>
      <c r="F1405">
        <v>11.7</v>
      </c>
      <c r="G1405">
        <v>696.2</v>
      </c>
      <c r="H1405">
        <v>3</v>
      </c>
      <c r="I1405">
        <v>35.86</v>
      </c>
      <c r="J1405">
        <v>200</v>
      </c>
      <c r="K1405">
        <v>50</v>
      </c>
      <c r="L1405">
        <v>17</v>
      </c>
      <c r="M1405">
        <v>33</v>
      </c>
      <c r="N1405">
        <v>0</v>
      </c>
      <c r="O1405">
        <v>878</v>
      </c>
      <c r="P1405">
        <v>0</v>
      </c>
      <c r="Q1405">
        <v>-341</v>
      </c>
    </row>
    <row r="1406" spans="1:17" x14ac:dyDescent="0.45">
      <c r="A1406">
        <v>6632</v>
      </c>
      <c r="B1406" t="s">
        <v>1463</v>
      </c>
      <c r="C1406">
        <v>3141</v>
      </c>
      <c r="D1406">
        <v>3</v>
      </c>
      <c r="E1406">
        <v>1618.7</v>
      </c>
      <c r="F1406">
        <v>2345.5</v>
      </c>
      <c r="G1406">
        <v>1740.2</v>
      </c>
      <c r="H1406">
        <v>1</v>
      </c>
      <c r="I1406">
        <v>10.3</v>
      </c>
      <c r="J1406">
        <v>1341</v>
      </c>
      <c r="K1406">
        <v>307</v>
      </c>
      <c r="L1406">
        <v>50</v>
      </c>
      <c r="M1406">
        <v>229</v>
      </c>
      <c r="N1406">
        <v>0</v>
      </c>
      <c r="O1406">
        <v>301</v>
      </c>
      <c r="P1406">
        <v>0</v>
      </c>
      <c r="Q1406">
        <v>-20</v>
      </c>
    </row>
    <row r="1407" spans="1:17" x14ac:dyDescent="0.45">
      <c r="A1407">
        <v>701</v>
      </c>
      <c r="B1407" t="s">
        <v>1464</v>
      </c>
      <c r="C1407">
        <v>472</v>
      </c>
      <c r="D1407">
        <v>1</v>
      </c>
      <c r="E1407">
        <v>1135.5</v>
      </c>
      <c r="F1407">
        <v>5.4</v>
      </c>
      <c r="G1407">
        <v>437.2</v>
      </c>
      <c r="H1407">
        <v>3</v>
      </c>
      <c r="I1407">
        <v>26.41</v>
      </c>
      <c r="J1407">
        <v>218</v>
      </c>
      <c r="K1407">
        <v>65</v>
      </c>
      <c r="L1407">
        <v>10</v>
      </c>
      <c r="M1407">
        <v>25</v>
      </c>
      <c r="N1407">
        <v>0</v>
      </c>
      <c r="O1407">
        <v>1207</v>
      </c>
      <c r="P1407">
        <v>0</v>
      </c>
      <c r="Q1407">
        <v>-1064</v>
      </c>
    </row>
    <row r="1408" spans="1:17" x14ac:dyDescent="0.45">
      <c r="A1408">
        <v>5860</v>
      </c>
      <c r="B1408" t="s">
        <v>1465</v>
      </c>
      <c r="C1408">
        <v>1547</v>
      </c>
      <c r="D1408">
        <v>3</v>
      </c>
      <c r="E1408">
        <v>959.3</v>
      </c>
      <c r="F1408">
        <v>2082.6999999999998</v>
      </c>
      <c r="G1408">
        <v>1686.3</v>
      </c>
      <c r="H1408">
        <v>2</v>
      </c>
      <c r="I1408">
        <v>26.72</v>
      </c>
      <c r="J1408">
        <v>619</v>
      </c>
      <c r="K1408">
        <v>205</v>
      </c>
      <c r="L1408">
        <v>59</v>
      </c>
      <c r="M1408">
        <v>156</v>
      </c>
      <c r="N1408">
        <v>0</v>
      </c>
      <c r="O1408">
        <v>488</v>
      </c>
      <c r="P1408">
        <v>194.17</v>
      </c>
      <c r="Q1408">
        <v>-40</v>
      </c>
    </row>
    <row r="1409" spans="1:17" x14ac:dyDescent="0.45">
      <c r="A1409">
        <v>5076</v>
      </c>
      <c r="B1409" t="s">
        <v>1466</v>
      </c>
      <c r="C1409">
        <v>308</v>
      </c>
      <c r="D1409">
        <v>3</v>
      </c>
      <c r="E1409">
        <v>189.1</v>
      </c>
      <c r="F1409">
        <v>2.5</v>
      </c>
      <c r="G1409">
        <v>918.6</v>
      </c>
      <c r="H1409">
        <v>3</v>
      </c>
      <c r="I1409">
        <v>25.45</v>
      </c>
      <c r="J1409">
        <v>151</v>
      </c>
      <c r="K1409">
        <v>62</v>
      </c>
      <c r="L1409">
        <v>6</v>
      </c>
      <c r="M1409">
        <v>15</v>
      </c>
      <c r="N1409">
        <v>0</v>
      </c>
      <c r="O1409">
        <v>241</v>
      </c>
      <c r="P1409">
        <v>0</v>
      </c>
      <c r="Q1409">
        <v>-5198</v>
      </c>
    </row>
    <row r="1410" spans="1:17" x14ac:dyDescent="0.45">
      <c r="A1410">
        <v>716</v>
      </c>
      <c r="B1410" t="s">
        <v>1468</v>
      </c>
      <c r="C1410">
        <v>410</v>
      </c>
      <c r="D1410">
        <v>2</v>
      </c>
      <c r="E1410">
        <v>553.5</v>
      </c>
      <c r="F1410">
        <v>1</v>
      </c>
      <c r="G1410">
        <v>805.4</v>
      </c>
      <c r="H1410">
        <v>3</v>
      </c>
      <c r="I1410">
        <v>26.41</v>
      </c>
      <c r="J1410">
        <v>163</v>
      </c>
      <c r="K1410">
        <v>75</v>
      </c>
      <c r="L1410">
        <v>9</v>
      </c>
      <c r="M1410">
        <v>14</v>
      </c>
      <c r="N1410">
        <v>0</v>
      </c>
      <c r="O1410">
        <v>5247</v>
      </c>
      <c r="P1410">
        <v>31.76</v>
      </c>
      <c r="Q1410">
        <v>-2308</v>
      </c>
    </row>
    <row r="1411" spans="1:17" x14ac:dyDescent="0.45">
      <c r="A1411">
        <v>1139</v>
      </c>
      <c r="B1411" t="s">
        <v>1471</v>
      </c>
      <c r="C1411">
        <v>2714</v>
      </c>
      <c r="D1411">
        <v>2</v>
      </c>
      <c r="E1411">
        <v>1843.2</v>
      </c>
      <c r="F1411">
        <v>489.4</v>
      </c>
      <c r="G1411">
        <v>4287.7</v>
      </c>
      <c r="H1411">
        <v>3</v>
      </c>
      <c r="I1411">
        <v>26.39</v>
      </c>
      <c r="J1411">
        <v>996</v>
      </c>
      <c r="K1411">
        <v>461</v>
      </c>
      <c r="L1411">
        <v>73</v>
      </c>
      <c r="M1411">
        <v>137</v>
      </c>
      <c r="N1411">
        <v>0</v>
      </c>
      <c r="O1411">
        <v>8102</v>
      </c>
      <c r="P1411">
        <v>0</v>
      </c>
      <c r="Q1411">
        <v>-863</v>
      </c>
    </row>
    <row r="1412" spans="1:17" x14ac:dyDescent="0.45">
      <c r="A1412">
        <v>2772</v>
      </c>
      <c r="B1412" t="s">
        <v>1472</v>
      </c>
      <c r="C1412">
        <v>2400</v>
      </c>
      <c r="D1412">
        <v>1</v>
      </c>
      <c r="E1412">
        <v>1731.8</v>
      </c>
      <c r="F1412">
        <v>2002.3</v>
      </c>
      <c r="G1412">
        <v>2873.4</v>
      </c>
      <c r="H1412">
        <v>1</v>
      </c>
      <c r="I1412">
        <v>14.25</v>
      </c>
      <c r="J1412">
        <v>907</v>
      </c>
      <c r="K1412">
        <v>302</v>
      </c>
      <c r="L1412">
        <v>90</v>
      </c>
      <c r="M1412">
        <v>172</v>
      </c>
      <c r="N1412">
        <v>0</v>
      </c>
      <c r="O1412">
        <v>781</v>
      </c>
      <c r="P1412">
        <v>0</v>
      </c>
      <c r="Q1412">
        <v>-482</v>
      </c>
    </row>
    <row r="1413" spans="1:17" x14ac:dyDescent="0.45">
      <c r="A1413">
        <v>224</v>
      </c>
      <c r="B1413" t="s">
        <v>1473</v>
      </c>
      <c r="C1413">
        <v>4053</v>
      </c>
      <c r="D1413">
        <v>3</v>
      </c>
      <c r="E1413">
        <v>2614.1999999999998</v>
      </c>
      <c r="F1413">
        <v>1607.8</v>
      </c>
      <c r="G1413">
        <v>3403.8</v>
      </c>
      <c r="H1413">
        <v>2</v>
      </c>
      <c r="I1413">
        <v>24.61</v>
      </c>
      <c r="J1413">
        <v>1399</v>
      </c>
      <c r="K1413">
        <v>600</v>
      </c>
      <c r="L1413">
        <v>94</v>
      </c>
      <c r="M1413">
        <v>214</v>
      </c>
      <c r="N1413">
        <v>0</v>
      </c>
      <c r="O1413">
        <v>560</v>
      </c>
      <c r="P1413">
        <v>443</v>
      </c>
      <c r="Q1413">
        <v>-401</v>
      </c>
    </row>
    <row r="1414" spans="1:17" x14ac:dyDescent="0.45">
      <c r="A1414">
        <v>4841</v>
      </c>
      <c r="B1414" t="s">
        <v>1474</v>
      </c>
      <c r="C1414">
        <v>2208</v>
      </c>
      <c r="D1414">
        <v>3</v>
      </c>
      <c r="E1414">
        <v>1955.4</v>
      </c>
      <c r="F1414">
        <v>1427.2</v>
      </c>
      <c r="G1414">
        <v>2206.6999999999998</v>
      </c>
      <c r="H1414">
        <v>3</v>
      </c>
      <c r="I1414">
        <v>26.04</v>
      </c>
      <c r="J1414">
        <v>1008</v>
      </c>
      <c r="K1414">
        <v>381</v>
      </c>
      <c r="L1414">
        <v>55</v>
      </c>
      <c r="M1414">
        <v>94</v>
      </c>
      <c r="N1414">
        <v>0</v>
      </c>
      <c r="O1414">
        <v>3776</v>
      </c>
      <c r="P1414">
        <v>155.05000000000001</v>
      </c>
      <c r="Q1414">
        <v>-763</v>
      </c>
    </row>
    <row r="1415" spans="1:17" x14ac:dyDescent="0.45">
      <c r="A1415">
        <v>3294</v>
      </c>
      <c r="B1415" t="s">
        <v>1469</v>
      </c>
      <c r="C1415">
        <v>1563</v>
      </c>
      <c r="D1415">
        <v>3</v>
      </c>
      <c r="E1415">
        <v>2516.6999999999998</v>
      </c>
      <c r="F1415">
        <v>68.400000000000006</v>
      </c>
      <c r="G1415">
        <v>998.8</v>
      </c>
      <c r="H1415">
        <v>3</v>
      </c>
      <c r="I1415">
        <v>30.49</v>
      </c>
      <c r="J1415">
        <v>471</v>
      </c>
      <c r="K1415">
        <v>391</v>
      </c>
      <c r="L1415">
        <v>23</v>
      </c>
      <c r="M1415">
        <v>48</v>
      </c>
      <c r="N1415">
        <v>0</v>
      </c>
      <c r="O1415">
        <v>4971</v>
      </c>
      <c r="P1415">
        <v>55.38</v>
      </c>
      <c r="Q1415">
        <v>-7867</v>
      </c>
    </row>
    <row r="1416" spans="1:17" x14ac:dyDescent="0.45">
      <c r="A1416">
        <v>177</v>
      </c>
      <c r="B1416" t="s">
        <v>1470</v>
      </c>
      <c r="C1416">
        <v>12379</v>
      </c>
      <c r="D1416">
        <v>3</v>
      </c>
      <c r="E1416">
        <v>12511</v>
      </c>
      <c r="F1416">
        <v>1696.8</v>
      </c>
      <c r="G1416">
        <v>8815.7000000000007</v>
      </c>
      <c r="H1416">
        <v>1</v>
      </c>
      <c r="I1416">
        <v>15.69</v>
      </c>
      <c r="J1416">
        <v>4169</v>
      </c>
      <c r="K1416">
        <v>1535</v>
      </c>
      <c r="L1416">
        <v>318</v>
      </c>
      <c r="M1416">
        <v>604</v>
      </c>
      <c r="N1416">
        <v>0</v>
      </c>
      <c r="O1416">
        <v>4258</v>
      </c>
      <c r="P1416">
        <v>627.6</v>
      </c>
      <c r="Q1416">
        <v>-863</v>
      </c>
    </row>
    <row r="1417" spans="1:17" x14ac:dyDescent="0.45">
      <c r="A1417">
        <v>2216</v>
      </c>
      <c r="B1417" t="s">
        <v>1475</v>
      </c>
      <c r="C1417">
        <v>154</v>
      </c>
      <c r="D1417">
        <v>3</v>
      </c>
      <c r="E1417">
        <v>264.60000000000002</v>
      </c>
      <c r="F1417">
        <v>41.4</v>
      </c>
      <c r="G1417">
        <v>530</v>
      </c>
      <c r="H1417">
        <v>3</v>
      </c>
      <c r="I1417">
        <v>36.93</v>
      </c>
      <c r="J1417">
        <v>54</v>
      </c>
      <c r="K1417">
        <v>21</v>
      </c>
      <c r="L1417">
        <v>8</v>
      </c>
      <c r="M1417">
        <v>6</v>
      </c>
      <c r="N1417">
        <v>0</v>
      </c>
      <c r="O1417">
        <v>5027</v>
      </c>
      <c r="P1417">
        <v>0</v>
      </c>
      <c r="Q1417">
        <v>-201</v>
      </c>
    </row>
    <row r="1418" spans="1:17" x14ac:dyDescent="0.45">
      <c r="A1418">
        <v>392</v>
      </c>
      <c r="B1418" t="s">
        <v>1476</v>
      </c>
      <c r="C1418">
        <v>5059</v>
      </c>
      <c r="D1418">
        <v>2</v>
      </c>
      <c r="E1418">
        <v>4359</v>
      </c>
      <c r="F1418">
        <v>11.3</v>
      </c>
      <c r="G1418">
        <v>3795.3</v>
      </c>
      <c r="H1418">
        <v>2</v>
      </c>
      <c r="I1418">
        <v>24.84</v>
      </c>
      <c r="J1418">
        <v>1724</v>
      </c>
      <c r="K1418">
        <v>766</v>
      </c>
      <c r="L1418">
        <v>75</v>
      </c>
      <c r="M1418">
        <v>209</v>
      </c>
      <c r="N1418">
        <v>0</v>
      </c>
      <c r="O1418">
        <v>1087</v>
      </c>
      <c r="P1418">
        <v>0</v>
      </c>
      <c r="Q1418">
        <v>-803</v>
      </c>
    </row>
    <row r="1419" spans="1:17" x14ac:dyDescent="0.45">
      <c r="A1419">
        <v>2299</v>
      </c>
      <c r="B1419" t="s">
        <v>1477</v>
      </c>
      <c r="C1419">
        <v>3619</v>
      </c>
      <c r="D1419">
        <v>3</v>
      </c>
      <c r="E1419">
        <v>2799.4</v>
      </c>
      <c r="F1419">
        <v>13.2</v>
      </c>
      <c r="G1419">
        <v>3679.7</v>
      </c>
      <c r="H1419">
        <v>2</v>
      </c>
      <c r="I1419">
        <v>28.63</v>
      </c>
      <c r="J1419">
        <v>1589</v>
      </c>
      <c r="K1419">
        <v>563</v>
      </c>
      <c r="L1419">
        <v>63</v>
      </c>
      <c r="M1419">
        <v>156</v>
      </c>
      <c r="N1419">
        <v>0</v>
      </c>
      <c r="O1419">
        <v>8264</v>
      </c>
      <c r="P1419">
        <v>609.13</v>
      </c>
      <c r="Q1419">
        <v>-4676</v>
      </c>
    </row>
    <row r="1420" spans="1:17" x14ac:dyDescent="0.45">
      <c r="A1420">
        <v>6633</v>
      </c>
      <c r="B1420" t="s">
        <v>1478</v>
      </c>
      <c r="C1420">
        <v>12088</v>
      </c>
      <c r="D1420">
        <v>3</v>
      </c>
      <c r="E1420">
        <v>2909.1</v>
      </c>
      <c r="F1420">
        <v>7955.5</v>
      </c>
      <c r="G1420">
        <v>10967.7</v>
      </c>
      <c r="H1420">
        <v>1</v>
      </c>
      <c r="I1420">
        <v>10.3</v>
      </c>
      <c r="J1420">
        <v>4015</v>
      </c>
      <c r="K1420">
        <v>1108</v>
      </c>
      <c r="L1420">
        <v>219</v>
      </c>
      <c r="M1420">
        <v>843</v>
      </c>
      <c r="N1420">
        <v>0</v>
      </c>
      <c r="O1420">
        <v>522</v>
      </c>
      <c r="P1420">
        <v>0</v>
      </c>
      <c r="Q1420">
        <v>-80</v>
      </c>
    </row>
    <row r="1421" spans="1:17" x14ac:dyDescent="0.45">
      <c r="A1421">
        <v>2300</v>
      </c>
      <c r="B1421" t="s">
        <v>1479</v>
      </c>
      <c r="C1421">
        <v>1038</v>
      </c>
      <c r="D1421">
        <v>3</v>
      </c>
      <c r="E1421">
        <v>908.6</v>
      </c>
      <c r="F1421">
        <v>7.5</v>
      </c>
      <c r="G1421">
        <v>1388.3</v>
      </c>
      <c r="H1421">
        <v>3</v>
      </c>
      <c r="I1421">
        <v>36.93</v>
      </c>
      <c r="J1421">
        <v>464</v>
      </c>
      <c r="K1421">
        <v>171</v>
      </c>
      <c r="L1421">
        <v>15</v>
      </c>
      <c r="M1421">
        <v>53</v>
      </c>
      <c r="N1421">
        <v>0</v>
      </c>
      <c r="O1421">
        <v>1564</v>
      </c>
      <c r="P1421">
        <v>0</v>
      </c>
      <c r="Q1421">
        <v>-1947</v>
      </c>
    </row>
    <row r="1422" spans="1:17" x14ac:dyDescent="0.45">
      <c r="A1422">
        <v>726</v>
      </c>
      <c r="B1422" t="s">
        <v>1480</v>
      </c>
      <c r="C1422">
        <v>2118</v>
      </c>
      <c r="D1422">
        <v>2</v>
      </c>
      <c r="E1422">
        <v>3831</v>
      </c>
      <c r="F1422">
        <v>58.5</v>
      </c>
      <c r="G1422">
        <v>2484.1</v>
      </c>
      <c r="H1422">
        <v>3</v>
      </c>
      <c r="I1422">
        <v>26.41</v>
      </c>
      <c r="J1422">
        <v>922</v>
      </c>
      <c r="K1422">
        <v>323</v>
      </c>
      <c r="L1422">
        <v>43</v>
      </c>
      <c r="M1422">
        <v>124</v>
      </c>
      <c r="N1422">
        <v>0</v>
      </c>
      <c r="O1422">
        <v>4635</v>
      </c>
      <c r="P1422">
        <v>88.6</v>
      </c>
      <c r="Q1422">
        <v>-2067</v>
      </c>
    </row>
    <row r="1423" spans="1:17" x14ac:dyDescent="0.45">
      <c r="A1423">
        <v>6719</v>
      </c>
      <c r="B1423" t="s">
        <v>1481</v>
      </c>
      <c r="C1423">
        <v>350</v>
      </c>
      <c r="D1423">
        <v>3</v>
      </c>
      <c r="E1423">
        <v>503.1</v>
      </c>
      <c r="F1423">
        <v>10.199999999999999</v>
      </c>
      <c r="G1423">
        <v>498.8</v>
      </c>
      <c r="H1423">
        <v>3</v>
      </c>
      <c r="I1423">
        <v>27.66</v>
      </c>
      <c r="J1423">
        <v>149</v>
      </c>
      <c r="K1423">
        <v>64</v>
      </c>
      <c r="L1423">
        <v>7</v>
      </c>
      <c r="M1423">
        <v>18</v>
      </c>
      <c r="N1423">
        <v>0</v>
      </c>
      <c r="O1423">
        <v>5348</v>
      </c>
      <c r="P1423">
        <v>28.04</v>
      </c>
      <c r="Q1423">
        <v>-1686</v>
      </c>
    </row>
    <row r="1424" spans="1:17" x14ac:dyDescent="0.45">
      <c r="A1424">
        <v>936</v>
      </c>
      <c r="B1424" t="s">
        <v>1482</v>
      </c>
      <c r="C1424">
        <v>230</v>
      </c>
      <c r="D1424">
        <v>2</v>
      </c>
      <c r="E1424">
        <v>294.7</v>
      </c>
      <c r="F1424">
        <v>7.3</v>
      </c>
      <c r="G1424">
        <v>298.10000000000002</v>
      </c>
      <c r="H1424">
        <v>3</v>
      </c>
      <c r="I1424">
        <v>26.41</v>
      </c>
      <c r="J1424">
        <v>128</v>
      </c>
      <c r="K1424">
        <v>37</v>
      </c>
      <c r="L1424">
        <v>2</v>
      </c>
      <c r="M1424">
        <v>11</v>
      </c>
      <c r="N1424">
        <v>0</v>
      </c>
      <c r="O1424">
        <v>1249</v>
      </c>
      <c r="P1424">
        <v>0</v>
      </c>
      <c r="Q1424">
        <v>-843</v>
      </c>
    </row>
    <row r="1425" spans="1:17" x14ac:dyDescent="0.45">
      <c r="A1425">
        <v>5533</v>
      </c>
      <c r="B1425" t="s">
        <v>1483</v>
      </c>
      <c r="C1425">
        <v>846</v>
      </c>
      <c r="D1425">
        <v>3</v>
      </c>
      <c r="E1425">
        <v>635.9</v>
      </c>
      <c r="F1425">
        <v>797.5</v>
      </c>
      <c r="G1425">
        <v>561.79999999999995</v>
      </c>
      <c r="H1425">
        <v>3</v>
      </c>
      <c r="I1425">
        <v>35.86</v>
      </c>
      <c r="J1425">
        <v>388</v>
      </c>
      <c r="K1425">
        <v>95</v>
      </c>
      <c r="L1425">
        <v>25</v>
      </c>
      <c r="M1425">
        <v>64</v>
      </c>
      <c r="N1425">
        <v>0</v>
      </c>
      <c r="O1425">
        <v>1187</v>
      </c>
      <c r="P1425">
        <v>44.3</v>
      </c>
      <c r="Q1425">
        <v>-361</v>
      </c>
    </row>
    <row r="1426" spans="1:17" x14ac:dyDescent="0.45">
      <c r="A1426">
        <v>5077</v>
      </c>
      <c r="B1426" t="s">
        <v>1484</v>
      </c>
      <c r="C1426">
        <v>844</v>
      </c>
      <c r="D1426">
        <v>2</v>
      </c>
      <c r="E1426">
        <v>593.6</v>
      </c>
      <c r="F1426">
        <v>22.1</v>
      </c>
      <c r="G1426">
        <v>582.79999999999995</v>
      </c>
      <c r="H1426">
        <v>2</v>
      </c>
      <c r="I1426">
        <v>22.12</v>
      </c>
      <c r="J1426">
        <v>368</v>
      </c>
      <c r="K1426">
        <v>194</v>
      </c>
      <c r="L1426">
        <v>12</v>
      </c>
      <c r="M1426">
        <v>42</v>
      </c>
      <c r="N1426">
        <v>0</v>
      </c>
      <c r="O1426">
        <v>493</v>
      </c>
      <c r="P1426">
        <v>0</v>
      </c>
      <c r="Q1426">
        <v>-763</v>
      </c>
    </row>
    <row r="1427" spans="1:17" x14ac:dyDescent="0.45">
      <c r="A1427">
        <v>5497</v>
      </c>
      <c r="B1427" t="s">
        <v>1485</v>
      </c>
      <c r="C1427">
        <v>858</v>
      </c>
      <c r="D1427">
        <v>3</v>
      </c>
      <c r="E1427">
        <v>584.70000000000005</v>
      </c>
      <c r="F1427">
        <v>81.2</v>
      </c>
      <c r="G1427">
        <v>505.2</v>
      </c>
      <c r="H1427">
        <v>3</v>
      </c>
      <c r="I1427">
        <v>35.86</v>
      </c>
      <c r="J1427">
        <v>316</v>
      </c>
      <c r="K1427">
        <v>95</v>
      </c>
      <c r="L1427">
        <v>14</v>
      </c>
      <c r="M1427">
        <v>51</v>
      </c>
      <c r="N1427">
        <v>0</v>
      </c>
      <c r="O1427">
        <v>903</v>
      </c>
      <c r="P1427">
        <v>0</v>
      </c>
      <c r="Q1427">
        <v>-140</v>
      </c>
    </row>
    <row r="1428" spans="1:17" x14ac:dyDescent="0.45">
      <c r="A1428">
        <v>5926</v>
      </c>
      <c r="B1428" t="s">
        <v>1486</v>
      </c>
      <c r="C1428">
        <v>864</v>
      </c>
      <c r="D1428">
        <v>3</v>
      </c>
      <c r="E1428">
        <v>1058.9000000000001</v>
      </c>
      <c r="F1428">
        <v>753.1</v>
      </c>
      <c r="G1428">
        <v>1653.4</v>
      </c>
      <c r="H1428">
        <v>3</v>
      </c>
      <c r="I1428">
        <v>35.86</v>
      </c>
      <c r="J1428">
        <v>333</v>
      </c>
      <c r="K1428">
        <v>88</v>
      </c>
      <c r="L1428">
        <v>35</v>
      </c>
      <c r="M1428">
        <v>50</v>
      </c>
      <c r="N1428">
        <v>0</v>
      </c>
      <c r="O1428">
        <v>1575</v>
      </c>
      <c r="P1428">
        <v>0</v>
      </c>
      <c r="Q1428">
        <v>-181</v>
      </c>
    </row>
    <row r="1429" spans="1:17" x14ac:dyDescent="0.45">
      <c r="A1429">
        <v>2122</v>
      </c>
      <c r="B1429" t="s">
        <v>1488</v>
      </c>
      <c r="C1429">
        <v>1973</v>
      </c>
      <c r="D1429">
        <v>3</v>
      </c>
      <c r="E1429">
        <v>1748.9</v>
      </c>
      <c r="F1429">
        <v>133.19999999999999</v>
      </c>
      <c r="G1429">
        <v>4240.6000000000004</v>
      </c>
      <c r="H1429">
        <v>3</v>
      </c>
      <c r="I1429">
        <v>36.93</v>
      </c>
      <c r="J1429">
        <v>869</v>
      </c>
      <c r="K1429">
        <v>251</v>
      </c>
      <c r="L1429">
        <v>73</v>
      </c>
      <c r="M1429">
        <v>150</v>
      </c>
      <c r="N1429">
        <v>0</v>
      </c>
      <c r="O1429">
        <v>4568</v>
      </c>
      <c r="P1429">
        <v>0</v>
      </c>
      <c r="Q1429">
        <v>-442</v>
      </c>
    </row>
    <row r="1430" spans="1:17" x14ac:dyDescent="0.45">
      <c r="A1430">
        <v>2147</v>
      </c>
      <c r="B1430" t="s">
        <v>1490</v>
      </c>
      <c r="C1430">
        <v>630</v>
      </c>
      <c r="D1430">
        <v>3</v>
      </c>
      <c r="E1430">
        <v>619</v>
      </c>
      <c r="F1430">
        <v>44.1</v>
      </c>
      <c r="G1430">
        <v>644.29999999999995</v>
      </c>
      <c r="H1430">
        <v>3</v>
      </c>
      <c r="I1430">
        <v>36.93</v>
      </c>
      <c r="J1430">
        <v>268</v>
      </c>
      <c r="K1430">
        <v>76</v>
      </c>
      <c r="L1430">
        <v>16</v>
      </c>
      <c r="M1430">
        <v>40</v>
      </c>
      <c r="N1430">
        <v>0</v>
      </c>
      <c r="O1430">
        <v>2668</v>
      </c>
      <c r="P1430">
        <v>0</v>
      </c>
      <c r="Q1430">
        <v>-140</v>
      </c>
    </row>
    <row r="1431" spans="1:17" x14ac:dyDescent="0.45">
      <c r="A1431">
        <v>5212</v>
      </c>
      <c r="B1431" t="s">
        <v>1487</v>
      </c>
      <c r="C1431">
        <v>1922</v>
      </c>
      <c r="D1431">
        <v>2</v>
      </c>
      <c r="E1431">
        <v>2332</v>
      </c>
      <c r="F1431">
        <v>56.9</v>
      </c>
      <c r="G1431">
        <v>1536.4</v>
      </c>
      <c r="H1431">
        <v>2</v>
      </c>
      <c r="I1431">
        <v>22.12</v>
      </c>
      <c r="J1431">
        <v>756</v>
      </c>
      <c r="K1431">
        <v>222</v>
      </c>
      <c r="L1431">
        <v>46</v>
      </c>
      <c r="M1431">
        <v>153</v>
      </c>
      <c r="N1431">
        <v>0</v>
      </c>
      <c r="O1431">
        <v>115</v>
      </c>
      <c r="P1431">
        <v>0</v>
      </c>
      <c r="Q1431">
        <v>-622</v>
      </c>
    </row>
    <row r="1432" spans="1:17" x14ac:dyDescent="0.45">
      <c r="A1432">
        <v>2217</v>
      </c>
      <c r="B1432" t="s">
        <v>1489</v>
      </c>
      <c r="C1432">
        <v>796</v>
      </c>
      <c r="D1432">
        <v>3</v>
      </c>
      <c r="E1432">
        <v>710</v>
      </c>
      <c r="F1432">
        <v>4.3</v>
      </c>
      <c r="G1432">
        <v>1519.3</v>
      </c>
      <c r="H1432">
        <v>3</v>
      </c>
      <c r="I1432">
        <v>36.93</v>
      </c>
      <c r="J1432">
        <v>317</v>
      </c>
      <c r="K1432">
        <v>97</v>
      </c>
      <c r="L1432">
        <v>25</v>
      </c>
      <c r="M1432">
        <v>94</v>
      </c>
      <c r="N1432">
        <v>0</v>
      </c>
      <c r="O1432">
        <v>2489</v>
      </c>
      <c r="P1432">
        <v>0</v>
      </c>
      <c r="Q1432">
        <v>-261</v>
      </c>
    </row>
    <row r="1433" spans="1:17" x14ac:dyDescent="0.45">
      <c r="A1433">
        <v>3784</v>
      </c>
      <c r="B1433" t="s">
        <v>1491</v>
      </c>
      <c r="C1433">
        <v>2100</v>
      </c>
      <c r="D1433">
        <v>3</v>
      </c>
      <c r="E1433">
        <v>9428</v>
      </c>
      <c r="F1433">
        <v>0</v>
      </c>
      <c r="G1433">
        <v>618.29999999999995</v>
      </c>
      <c r="H1433">
        <v>2</v>
      </c>
      <c r="I1433">
        <v>21.73</v>
      </c>
      <c r="J1433">
        <v>807</v>
      </c>
      <c r="K1433">
        <v>481</v>
      </c>
      <c r="L1433">
        <v>42</v>
      </c>
      <c r="M1433">
        <v>96</v>
      </c>
      <c r="N1433">
        <v>0</v>
      </c>
      <c r="O1433">
        <v>254</v>
      </c>
      <c r="P1433">
        <v>0</v>
      </c>
      <c r="Q1433">
        <v>-1967</v>
      </c>
    </row>
    <row r="1434" spans="1:17" x14ac:dyDescent="0.45">
      <c r="A1434">
        <v>6800</v>
      </c>
      <c r="B1434" t="s">
        <v>1492</v>
      </c>
      <c r="C1434">
        <v>6441</v>
      </c>
      <c r="D1434">
        <v>3</v>
      </c>
      <c r="E1434">
        <v>6908.2</v>
      </c>
      <c r="F1434">
        <v>12.2</v>
      </c>
      <c r="G1434">
        <v>7811.4</v>
      </c>
      <c r="H1434">
        <v>1</v>
      </c>
      <c r="I1434">
        <v>20.95</v>
      </c>
      <c r="J1434">
        <v>2506</v>
      </c>
      <c r="K1434">
        <v>653</v>
      </c>
      <c r="L1434">
        <v>127</v>
      </c>
      <c r="M1434">
        <v>354</v>
      </c>
      <c r="N1434">
        <v>0</v>
      </c>
      <c r="O1434">
        <v>3181</v>
      </c>
      <c r="P1434">
        <v>1107.5</v>
      </c>
      <c r="Q1434">
        <v>-1204</v>
      </c>
    </row>
    <row r="1435" spans="1:17" x14ac:dyDescent="0.45">
      <c r="A1435">
        <v>745</v>
      </c>
      <c r="B1435" t="s">
        <v>1493</v>
      </c>
      <c r="C1435">
        <v>3882</v>
      </c>
      <c r="D1435">
        <v>2</v>
      </c>
      <c r="E1435">
        <v>2607.6</v>
      </c>
      <c r="F1435">
        <v>617.5</v>
      </c>
      <c r="G1435">
        <v>2228.1999999999998</v>
      </c>
      <c r="H1435">
        <v>1</v>
      </c>
      <c r="I1435">
        <v>16.760000000000002</v>
      </c>
      <c r="J1435">
        <v>1255</v>
      </c>
      <c r="K1435">
        <v>430</v>
      </c>
      <c r="L1435">
        <v>74</v>
      </c>
      <c r="M1435">
        <v>180</v>
      </c>
      <c r="N1435">
        <v>0</v>
      </c>
      <c r="O1435">
        <v>183</v>
      </c>
      <c r="P1435">
        <v>0</v>
      </c>
      <c r="Q1435">
        <v>-140</v>
      </c>
    </row>
    <row r="1436" spans="1:17" x14ac:dyDescent="0.45">
      <c r="A1436">
        <v>6154</v>
      </c>
      <c r="B1436" t="s">
        <v>1494</v>
      </c>
      <c r="C1436">
        <v>4397</v>
      </c>
      <c r="D1436">
        <v>3</v>
      </c>
      <c r="E1436">
        <v>3116.4</v>
      </c>
      <c r="F1436">
        <v>1266.0999999999999</v>
      </c>
      <c r="G1436">
        <v>2136.5</v>
      </c>
      <c r="H1436">
        <v>3</v>
      </c>
      <c r="I1436">
        <v>30.8</v>
      </c>
      <c r="J1436">
        <v>1891</v>
      </c>
      <c r="K1436">
        <v>704</v>
      </c>
      <c r="L1436">
        <v>129</v>
      </c>
      <c r="M1436">
        <v>284</v>
      </c>
      <c r="N1436">
        <v>0</v>
      </c>
      <c r="O1436">
        <v>918</v>
      </c>
      <c r="P1436">
        <v>138.79</v>
      </c>
      <c r="Q1436">
        <v>-1485</v>
      </c>
    </row>
    <row r="1437" spans="1:17" x14ac:dyDescent="0.45">
      <c r="A1437">
        <v>5214</v>
      </c>
      <c r="B1437" t="s">
        <v>1495</v>
      </c>
      <c r="C1437">
        <v>1595</v>
      </c>
      <c r="D1437">
        <v>2</v>
      </c>
      <c r="E1437">
        <v>1140</v>
      </c>
      <c r="F1437">
        <v>1177.9000000000001</v>
      </c>
      <c r="G1437">
        <v>1790.1</v>
      </c>
      <c r="H1437">
        <v>1</v>
      </c>
      <c r="I1437">
        <v>18.600000000000001</v>
      </c>
      <c r="J1437">
        <v>786</v>
      </c>
      <c r="K1437">
        <v>237</v>
      </c>
      <c r="L1437">
        <v>67</v>
      </c>
      <c r="M1437">
        <v>166</v>
      </c>
      <c r="N1437">
        <v>0</v>
      </c>
      <c r="O1437">
        <v>37</v>
      </c>
      <c r="P1437">
        <v>0</v>
      </c>
      <c r="Q1437">
        <v>-120</v>
      </c>
    </row>
    <row r="1438" spans="1:17" x14ac:dyDescent="0.45">
      <c r="A1438">
        <v>3561</v>
      </c>
      <c r="B1438" t="s">
        <v>1496</v>
      </c>
      <c r="C1438">
        <v>3460</v>
      </c>
      <c r="D1438">
        <v>3</v>
      </c>
      <c r="E1438">
        <v>4291.3</v>
      </c>
      <c r="F1438">
        <v>10.1</v>
      </c>
      <c r="G1438">
        <v>3349.2</v>
      </c>
      <c r="H1438">
        <v>2</v>
      </c>
      <c r="I1438">
        <v>21.73</v>
      </c>
      <c r="J1438">
        <v>1001</v>
      </c>
      <c r="K1438">
        <v>1038</v>
      </c>
      <c r="L1438">
        <v>156</v>
      </c>
      <c r="M1438">
        <v>111</v>
      </c>
      <c r="N1438">
        <v>0</v>
      </c>
      <c r="O1438">
        <v>5444</v>
      </c>
      <c r="P1438">
        <v>382.44</v>
      </c>
      <c r="Q1438">
        <v>-11922</v>
      </c>
    </row>
    <row r="1439" spans="1:17" x14ac:dyDescent="0.45">
      <c r="A1439">
        <v>5725</v>
      </c>
      <c r="B1439" t="s">
        <v>1497</v>
      </c>
      <c r="C1439">
        <v>4278</v>
      </c>
      <c r="D1439">
        <v>3</v>
      </c>
      <c r="E1439">
        <v>3230.9</v>
      </c>
      <c r="F1439">
        <v>3068.3</v>
      </c>
      <c r="G1439">
        <v>3223.3</v>
      </c>
      <c r="H1439">
        <v>1</v>
      </c>
      <c r="I1439">
        <v>19.809999999999999</v>
      </c>
      <c r="J1439">
        <v>1571</v>
      </c>
      <c r="K1439">
        <v>446</v>
      </c>
      <c r="L1439">
        <v>108</v>
      </c>
      <c r="M1439">
        <v>319</v>
      </c>
      <c r="N1439">
        <v>0</v>
      </c>
      <c r="O1439">
        <v>784</v>
      </c>
      <c r="P1439">
        <v>199.35</v>
      </c>
      <c r="Q1439">
        <v>-161</v>
      </c>
    </row>
    <row r="1440" spans="1:17" x14ac:dyDescent="0.45">
      <c r="A1440">
        <v>5078</v>
      </c>
      <c r="B1440" t="s">
        <v>1498</v>
      </c>
      <c r="C1440">
        <v>381</v>
      </c>
      <c r="D1440">
        <v>3</v>
      </c>
      <c r="E1440">
        <v>590</v>
      </c>
      <c r="F1440">
        <v>11.2</v>
      </c>
      <c r="G1440">
        <v>65.099999999999994</v>
      </c>
      <c r="H1440">
        <v>3</v>
      </c>
      <c r="I1440">
        <v>25.45</v>
      </c>
      <c r="J1440">
        <v>130</v>
      </c>
      <c r="K1440">
        <v>80</v>
      </c>
      <c r="L1440">
        <v>6</v>
      </c>
      <c r="M1440">
        <v>28</v>
      </c>
      <c r="N1440">
        <v>0</v>
      </c>
      <c r="O1440">
        <v>445</v>
      </c>
      <c r="P1440">
        <v>0</v>
      </c>
      <c r="Q1440">
        <v>-1505</v>
      </c>
    </row>
    <row r="1441" spans="1:17" x14ac:dyDescent="0.45">
      <c r="A1441">
        <v>2831</v>
      </c>
      <c r="B1441" t="s">
        <v>1499</v>
      </c>
      <c r="C1441">
        <v>16458</v>
      </c>
      <c r="D1441">
        <v>1</v>
      </c>
      <c r="E1441">
        <v>5716.2</v>
      </c>
      <c r="F1441">
        <v>11181.6</v>
      </c>
      <c r="G1441">
        <v>14115.7</v>
      </c>
      <c r="H1441">
        <v>1</v>
      </c>
      <c r="I1441">
        <v>14.25</v>
      </c>
      <c r="J1441">
        <v>4747</v>
      </c>
      <c r="K1441">
        <v>2538</v>
      </c>
      <c r="L1441">
        <v>329</v>
      </c>
      <c r="M1441">
        <v>768</v>
      </c>
      <c r="N1441">
        <v>0</v>
      </c>
      <c r="O1441">
        <v>1549</v>
      </c>
      <c r="P1441">
        <v>14146.45</v>
      </c>
      <c r="Q1441">
        <v>-562</v>
      </c>
    </row>
    <row r="1442" spans="1:17" x14ac:dyDescent="0.45">
      <c r="A1442">
        <v>6634</v>
      </c>
      <c r="B1442" t="s">
        <v>1500</v>
      </c>
      <c r="C1442">
        <v>3992</v>
      </c>
      <c r="D1442">
        <v>3</v>
      </c>
      <c r="E1442">
        <v>2160.1999999999998</v>
      </c>
      <c r="F1442">
        <v>3150.7</v>
      </c>
      <c r="G1442">
        <v>2296.5</v>
      </c>
      <c r="H1442">
        <v>1</v>
      </c>
      <c r="I1442">
        <v>10.3</v>
      </c>
      <c r="J1442">
        <v>1309</v>
      </c>
      <c r="K1442">
        <v>400</v>
      </c>
      <c r="L1442">
        <v>86</v>
      </c>
      <c r="M1442">
        <v>327</v>
      </c>
      <c r="N1442">
        <v>0</v>
      </c>
      <c r="O1442">
        <v>19</v>
      </c>
      <c r="P1442">
        <v>0</v>
      </c>
      <c r="Q1442">
        <v>-100</v>
      </c>
    </row>
    <row r="1443" spans="1:17" x14ac:dyDescent="0.45">
      <c r="A1443">
        <v>5759</v>
      </c>
      <c r="B1443" t="s">
        <v>1501</v>
      </c>
      <c r="C1443">
        <v>236</v>
      </c>
      <c r="D1443">
        <v>3</v>
      </c>
      <c r="E1443">
        <v>256.3</v>
      </c>
      <c r="F1443">
        <v>0</v>
      </c>
      <c r="G1443">
        <v>184</v>
      </c>
      <c r="H1443">
        <v>3</v>
      </c>
      <c r="I1443">
        <v>35.86</v>
      </c>
      <c r="J1443">
        <v>82</v>
      </c>
      <c r="K1443">
        <v>32</v>
      </c>
      <c r="L1443">
        <v>6</v>
      </c>
      <c r="M1443">
        <v>12</v>
      </c>
      <c r="N1443">
        <v>0</v>
      </c>
      <c r="O1443">
        <v>1710</v>
      </c>
      <c r="P1443">
        <v>0</v>
      </c>
      <c r="Q1443">
        <v>-562</v>
      </c>
    </row>
    <row r="1444" spans="1:17" x14ac:dyDescent="0.45">
      <c r="A1444">
        <v>6635</v>
      </c>
      <c r="B1444" t="s">
        <v>1502</v>
      </c>
      <c r="C1444">
        <v>737</v>
      </c>
      <c r="D1444">
        <v>3</v>
      </c>
      <c r="E1444">
        <v>746.5</v>
      </c>
      <c r="F1444">
        <v>17.5</v>
      </c>
      <c r="G1444">
        <v>584</v>
      </c>
      <c r="H1444">
        <v>3</v>
      </c>
      <c r="I1444">
        <v>27.36</v>
      </c>
      <c r="J1444">
        <v>250</v>
      </c>
      <c r="K1444">
        <v>55</v>
      </c>
      <c r="L1444">
        <v>13</v>
      </c>
      <c r="M1444">
        <v>40</v>
      </c>
      <c r="N1444">
        <v>0</v>
      </c>
      <c r="O1444">
        <v>1320</v>
      </c>
      <c r="P1444">
        <v>0</v>
      </c>
      <c r="Q1444">
        <v>-161</v>
      </c>
    </row>
    <row r="1445" spans="1:17" x14ac:dyDescent="0.45">
      <c r="A1445">
        <v>2237</v>
      </c>
      <c r="B1445" t="s">
        <v>1506</v>
      </c>
      <c r="C1445">
        <v>2454</v>
      </c>
      <c r="D1445">
        <v>3</v>
      </c>
      <c r="E1445">
        <v>1752</v>
      </c>
      <c r="F1445">
        <v>128.4</v>
      </c>
      <c r="G1445">
        <v>5210.7</v>
      </c>
      <c r="H1445">
        <v>3</v>
      </c>
      <c r="I1445">
        <v>36.93</v>
      </c>
      <c r="J1445">
        <v>1001</v>
      </c>
      <c r="K1445">
        <v>277</v>
      </c>
      <c r="L1445">
        <v>70</v>
      </c>
      <c r="M1445">
        <v>177</v>
      </c>
      <c r="N1445">
        <v>0</v>
      </c>
      <c r="O1445">
        <v>8078</v>
      </c>
      <c r="P1445">
        <v>20.69</v>
      </c>
      <c r="Q1445">
        <v>-723</v>
      </c>
    </row>
    <row r="1446" spans="1:17" x14ac:dyDescent="0.45">
      <c r="A1446">
        <v>5589</v>
      </c>
      <c r="B1446" t="s">
        <v>1507</v>
      </c>
      <c r="C1446">
        <v>12294</v>
      </c>
      <c r="D1446">
        <v>2</v>
      </c>
      <c r="E1446">
        <v>6623.7</v>
      </c>
      <c r="F1446">
        <v>5701.9</v>
      </c>
      <c r="G1446">
        <v>2968.2</v>
      </c>
      <c r="H1446">
        <v>1</v>
      </c>
      <c r="I1446">
        <v>19.809999999999999</v>
      </c>
      <c r="J1446">
        <v>3044</v>
      </c>
      <c r="K1446">
        <v>1120</v>
      </c>
      <c r="L1446">
        <v>129</v>
      </c>
      <c r="M1446">
        <v>591</v>
      </c>
      <c r="N1446">
        <v>0</v>
      </c>
      <c r="O1446">
        <v>42</v>
      </c>
      <c r="P1446">
        <v>0</v>
      </c>
      <c r="Q1446">
        <v>-20</v>
      </c>
    </row>
    <row r="1447" spans="1:17" x14ac:dyDescent="0.45">
      <c r="A1447">
        <v>5566</v>
      </c>
      <c r="B1447" t="s">
        <v>1508</v>
      </c>
      <c r="C1447">
        <v>403</v>
      </c>
      <c r="D1447">
        <v>3</v>
      </c>
      <c r="E1447">
        <v>498.5</v>
      </c>
      <c r="F1447">
        <v>41.3</v>
      </c>
      <c r="G1447">
        <v>579.9</v>
      </c>
      <c r="H1447">
        <v>3</v>
      </c>
      <c r="I1447">
        <v>35.86</v>
      </c>
      <c r="J1447">
        <v>159</v>
      </c>
      <c r="K1447">
        <v>78</v>
      </c>
      <c r="L1447">
        <v>14</v>
      </c>
      <c r="M1447">
        <v>13</v>
      </c>
      <c r="N1447">
        <v>0</v>
      </c>
      <c r="O1447">
        <v>5962</v>
      </c>
      <c r="P1447">
        <v>25.12</v>
      </c>
      <c r="Q1447">
        <v>-2368</v>
      </c>
    </row>
    <row r="1448" spans="1:17" x14ac:dyDescent="0.45">
      <c r="A1448">
        <v>5643</v>
      </c>
      <c r="B1448" t="s">
        <v>1503</v>
      </c>
      <c r="C1448">
        <v>5204</v>
      </c>
      <c r="D1448">
        <v>3</v>
      </c>
      <c r="E1448">
        <v>2499.6</v>
      </c>
      <c r="F1448">
        <v>4467.3999999999996</v>
      </c>
      <c r="G1448">
        <v>3057.5</v>
      </c>
      <c r="H1448">
        <v>1</v>
      </c>
      <c r="I1448">
        <v>19.809999999999999</v>
      </c>
      <c r="J1448">
        <v>1902</v>
      </c>
      <c r="K1448">
        <v>525</v>
      </c>
      <c r="L1448">
        <v>144</v>
      </c>
      <c r="M1448">
        <v>353</v>
      </c>
      <c r="N1448">
        <v>0</v>
      </c>
      <c r="O1448">
        <v>34</v>
      </c>
      <c r="P1448">
        <v>0</v>
      </c>
      <c r="Q1448">
        <v>-20</v>
      </c>
    </row>
    <row r="1449" spans="1:17" x14ac:dyDescent="0.45">
      <c r="A1449">
        <v>2038</v>
      </c>
      <c r="B1449" t="s">
        <v>1504</v>
      </c>
      <c r="C1449">
        <v>101</v>
      </c>
      <c r="D1449">
        <v>3</v>
      </c>
      <c r="E1449">
        <v>103.8</v>
      </c>
      <c r="F1449">
        <v>0</v>
      </c>
      <c r="G1449">
        <v>78.8</v>
      </c>
      <c r="H1449">
        <v>3</v>
      </c>
      <c r="I1449">
        <v>36.93</v>
      </c>
      <c r="J1449">
        <v>63</v>
      </c>
      <c r="K1449">
        <v>10</v>
      </c>
      <c r="L1449">
        <v>3</v>
      </c>
      <c r="M1449">
        <v>9</v>
      </c>
      <c r="N1449">
        <v>0</v>
      </c>
      <c r="O1449">
        <v>452</v>
      </c>
      <c r="P1449">
        <v>0</v>
      </c>
      <c r="Q1449">
        <v>-100</v>
      </c>
    </row>
    <row r="1450" spans="1:17" x14ac:dyDescent="0.45">
      <c r="A1450">
        <v>5683</v>
      </c>
      <c r="B1450" t="s">
        <v>1505</v>
      </c>
      <c r="C1450">
        <v>220</v>
      </c>
      <c r="D1450">
        <v>3</v>
      </c>
      <c r="E1450">
        <v>196</v>
      </c>
      <c r="F1450">
        <v>257.3</v>
      </c>
      <c r="G1450">
        <v>364.8</v>
      </c>
      <c r="H1450">
        <v>3</v>
      </c>
      <c r="I1450">
        <v>35.86</v>
      </c>
      <c r="J1450">
        <v>98</v>
      </c>
      <c r="K1450">
        <v>29</v>
      </c>
      <c r="L1450">
        <v>1</v>
      </c>
      <c r="M1450">
        <v>14</v>
      </c>
      <c r="N1450">
        <v>0</v>
      </c>
      <c r="O1450">
        <v>369</v>
      </c>
      <c r="P1450">
        <v>0</v>
      </c>
      <c r="Q1450">
        <v>-40</v>
      </c>
    </row>
    <row r="1451" spans="1:17" x14ac:dyDescent="0.45">
      <c r="A1451">
        <v>5607</v>
      </c>
      <c r="B1451" t="s">
        <v>1509</v>
      </c>
      <c r="C1451">
        <v>2992</v>
      </c>
      <c r="D1451">
        <v>3</v>
      </c>
      <c r="E1451">
        <v>2887.2</v>
      </c>
      <c r="F1451">
        <v>2279.4</v>
      </c>
      <c r="G1451">
        <v>4283.8</v>
      </c>
      <c r="H1451">
        <v>2</v>
      </c>
      <c r="I1451">
        <v>26.72</v>
      </c>
      <c r="J1451">
        <v>1135</v>
      </c>
      <c r="K1451">
        <v>458</v>
      </c>
      <c r="L1451">
        <v>77</v>
      </c>
      <c r="M1451">
        <v>209</v>
      </c>
      <c r="N1451">
        <v>0</v>
      </c>
      <c r="O1451">
        <v>8065</v>
      </c>
      <c r="P1451">
        <v>0</v>
      </c>
      <c r="Q1451">
        <v>-1084</v>
      </c>
    </row>
    <row r="1452" spans="1:17" x14ac:dyDescent="0.45">
      <c r="A1452">
        <v>5590</v>
      </c>
      <c r="B1452" t="s">
        <v>1510</v>
      </c>
      <c r="C1452">
        <v>18984</v>
      </c>
      <c r="D1452">
        <v>2</v>
      </c>
      <c r="E1452">
        <v>15109.6</v>
      </c>
      <c r="F1452">
        <v>17639.3</v>
      </c>
      <c r="G1452">
        <v>2994.3</v>
      </c>
      <c r="H1452">
        <v>1</v>
      </c>
      <c r="I1452">
        <v>19.809999999999999</v>
      </c>
      <c r="J1452">
        <v>5639</v>
      </c>
      <c r="K1452">
        <v>1395</v>
      </c>
      <c r="L1452">
        <v>406</v>
      </c>
      <c r="M1452">
        <v>1272</v>
      </c>
      <c r="N1452">
        <v>0</v>
      </c>
      <c r="O1452">
        <v>1209</v>
      </c>
      <c r="P1452">
        <v>1772</v>
      </c>
      <c r="Q1452">
        <v>-281</v>
      </c>
    </row>
    <row r="1453" spans="1:17" x14ac:dyDescent="0.45">
      <c r="A1453">
        <v>6636</v>
      </c>
      <c r="B1453" t="s">
        <v>1511</v>
      </c>
      <c r="C1453">
        <v>2527</v>
      </c>
      <c r="D1453">
        <v>3</v>
      </c>
      <c r="E1453">
        <v>1580.3</v>
      </c>
      <c r="F1453">
        <v>1116.5</v>
      </c>
      <c r="G1453">
        <v>770.7</v>
      </c>
      <c r="H1453">
        <v>1</v>
      </c>
      <c r="I1453">
        <v>10.3</v>
      </c>
      <c r="J1453">
        <v>911</v>
      </c>
      <c r="K1453">
        <v>206</v>
      </c>
      <c r="L1453">
        <v>37</v>
      </c>
      <c r="M1453">
        <v>156</v>
      </c>
      <c r="N1453">
        <v>0</v>
      </c>
      <c r="O1453">
        <v>424</v>
      </c>
      <c r="P1453">
        <v>0</v>
      </c>
      <c r="Q1453">
        <v>0</v>
      </c>
    </row>
    <row r="1454" spans="1:17" x14ac:dyDescent="0.45">
      <c r="A1454">
        <v>5216</v>
      </c>
      <c r="B1454" t="s">
        <v>1512</v>
      </c>
      <c r="C1454">
        <v>1364</v>
      </c>
      <c r="D1454">
        <v>2</v>
      </c>
      <c r="E1454">
        <v>1998.9</v>
      </c>
      <c r="F1454">
        <v>6.1</v>
      </c>
      <c r="G1454">
        <v>1105.8</v>
      </c>
      <c r="H1454">
        <v>2</v>
      </c>
      <c r="I1454">
        <v>22.12</v>
      </c>
      <c r="J1454">
        <v>543</v>
      </c>
      <c r="K1454">
        <v>166</v>
      </c>
      <c r="L1454">
        <v>30</v>
      </c>
      <c r="M1454">
        <v>125</v>
      </c>
      <c r="N1454">
        <v>0</v>
      </c>
      <c r="O1454">
        <v>8</v>
      </c>
      <c r="P1454">
        <v>0</v>
      </c>
      <c r="Q1454">
        <v>-401</v>
      </c>
    </row>
    <row r="1455" spans="1:17" x14ac:dyDescent="0.45">
      <c r="A1455">
        <v>450</v>
      </c>
      <c r="B1455" t="s">
        <v>1467</v>
      </c>
      <c r="C1455">
        <v>1960</v>
      </c>
      <c r="D1455">
        <v>2</v>
      </c>
      <c r="E1455">
        <v>3473.4</v>
      </c>
      <c r="F1455">
        <v>14.2</v>
      </c>
      <c r="G1455">
        <v>1036.4000000000001</v>
      </c>
      <c r="H1455">
        <v>3</v>
      </c>
      <c r="I1455">
        <v>26.41</v>
      </c>
      <c r="J1455">
        <v>770</v>
      </c>
      <c r="K1455">
        <v>276</v>
      </c>
      <c r="L1455">
        <v>27</v>
      </c>
      <c r="M1455">
        <v>90</v>
      </c>
      <c r="N1455">
        <v>240385</v>
      </c>
      <c r="O1455">
        <v>1283</v>
      </c>
      <c r="P1455">
        <v>0</v>
      </c>
      <c r="Q1455">
        <v>-3031</v>
      </c>
    </row>
    <row r="1456" spans="1:17" x14ac:dyDescent="0.45">
      <c r="A1456">
        <v>3295</v>
      </c>
      <c r="B1456" t="s">
        <v>1513</v>
      </c>
      <c r="C1456">
        <v>3000</v>
      </c>
      <c r="D1456">
        <v>3</v>
      </c>
      <c r="E1456">
        <v>4665.7</v>
      </c>
      <c r="F1456">
        <v>54.2</v>
      </c>
      <c r="G1456">
        <v>3242.1</v>
      </c>
      <c r="H1456">
        <v>3</v>
      </c>
      <c r="I1456">
        <v>30.49</v>
      </c>
      <c r="J1456">
        <v>1000</v>
      </c>
      <c r="K1456">
        <v>622</v>
      </c>
      <c r="L1456">
        <v>76</v>
      </c>
      <c r="M1456">
        <v>131</v>
      </c>
      <c r="N1456">
        <v>0</v>
      </c>
      <c r="O1456">
        <v>4336</v>
      </c>
      <c r="P1456">
        <v>365.48</v>
      </c>
      <c r="Q1456">
        <v>-5539</v>
      </c>
    </row>
    <row r="1457" spans="1:17" x14ac:dyDescent="0.45">
      <c r="A1457">
        <v>5079</v>
      </c>
      <c r="B1457" t="s">
        <v>1514</v>
      </c>
      <c r="C1457">
        <v>951</v>
      </c>
      <c r="D1457">
        <v>3</v>
      </c>
      <c r="E1457">
        <v>1386.6</v>
      </c>
      <c r="F1457">
        <v>37.299999999999997</v>
      </c>
      <c r="G1457">
        <v>1351</v>
      </c>
      <c r="H1457">
        <v>3</v>
      </c>
      <c r="I1457">
        <v>25.45</v>
      </c>
      <c r="J1457">
        <v>386</v>
      </c>
      <c r="K1457">
        <v>204</v>
      </c>
      <c r="L1457">
        <v>19</v>
      </c>
      <c r="M1457">
        <v>80</v>
      </c>
      <c r="N1457">
        <v>0</v>
      </c>
      <c r="O1457">
        <v>2015</v>
      </c>
      <c r="P1457">
        <v>0</v>
      </c>
      <c r="Q1457">
        <v>-4054</v>
      </c>
    </row>
    <row r="1458" spans="1:17" x14ac:dyDescent="0.45">
      <c r="A1458">
        <v>309</v>
      </c>
      <c r="B1458" t="s">
        <v>1515</v>
      </c>
      <c r="C1458">
        <v>1260</v>
      </c>
      <c r="D1458">
        <v>3</v>
      </c>
      <c r="E1458">
        <v>1250.7</v>
      </c>
      <c r="F1458">
        <v>22.4</v>
      </c>
      <c r="G1458">
        <v>1265.5</v>
      </c>
      <c r="H1458">
        <v>3</v>
      </c>
      <c r="I1458">
        <v>26.41</v>
      </c>
      <c r="J1458">
        <v>505</v>
      </c>
      <c r="K1458">
        <v>223</v>
      </c>
      <c r="L1458">
        <v>29</v>
      </c>
      <c r="M1458">
        <v>57</v>
      </c>
      <c r="N1458">
        <v>0</v>
      </c>
      <c r="O1458">
        <v>4136</v>
      </c>
      <c r="P1458">
        <v>0</v>
      </c>
      <c r="Q1458">
        <v>-883</v>
      </c>
    </row>
    <row r="1459" spans="1:17" x14ac:dyDescent="0.45">
      <c r="A1459">
        <v>67</v>
      </c>
      <c r="B1459" t="s">
        <v>1516</v>
      </c>
      <c r="C1459">
        <v>4672</v>
      </c>
      <c r="D1459">
        <v>3</v>
      </c>
      <c r="E1459">
        <v>3583.8</v>
      </c>
      <c r="F1459">
        <v>2.1</v>
      </c>
      <c r="G1459">
        <v>4038.4</v>
      </c>
      <c r="H1459">
        <v>2</v>
      </c>
      <c r="I1459">
        <v>24.61</v>
      </c>
      <c r="J1459">
        <v>1649</v>
      </c>
      <c r="K1459">
        <v>755</v>
      </c>
      <c r="L1459">
        <v>155</v>
      </c>
      <c r="M1459">
        <v>245</v>
      </c>
      <c r="N1459">
        <v>0</v>
      </c>
      <c r="O1459">
        <v>1698</v>
      </c>
      <c r="P1459">
        <v>0</v>
      </c>
      <c r="Q1459">
        <v>-682</v>
      </c>
    </row>
    <row r="1460" spans="1:17" x14ac:dyDescent="0.45">
      <c r="A1460">
        <v>1037</v>
      </c>
      <c r="B1460" t="s">
        <v>1517</v>
      </c>
      <c r="C1460">
        <v>2984</v>
      </c>
      <c r="D1460">
        <v>3</v>
      </c>
      <c r="E1460">
        <v>2327.8000000000002</v>
      </c>
      <c r="F1460">
        <v>0</v>
      </c>
      <c r="G1460">
        <v>5185</v>
      </c>
      <c r="H1460">
        <v>2</v>
      </c>
      <c r="I1460">
        <v>28.41</v>
      </c>
      <c r="J1460">
        <v>1181</v>
      </c>
      <c r="K1460">
        <v>447</v>
      </c>
      <c r="L1460">
        <v>98</v>
      </c>
      <c r="M1460">
        <v>184</v>
      </c>
      <c r="N1460">
        <v>0</v>
      </c>
      <c r="O1460">
        <v>7577</v>
      </c>
      <c r="P1460">
        <v>0</v>
      </c>
      <c r="Q1460">
        <v>-281</v>
      </c>
    </row>
    <row r="1461" spans="1:17" x14ac:dyDescent="0.45">
      <c r="A1461">
        <v>2832</v>
      </c>
      <c r="B1461" t="s">
        <v>1518</v>
      </c>
      <c r="C1461">
        <v>744</v>
      </c>
      <c r="D1461">
        <v>1</v>
      </c>
      <c r="E1461">
        <v>809.1</v>
      </c>
      <c r="F1461">
        <v>6</v>
      </c>
      <c r="G1461">
        <v>756.7</v>
      </c>
      <c r="H1461">
        <v>3</v>
      </c>
      <c r="I1461">
        <v>22.09</v>
      </c>
      <c r="J1461">
        <v>282</v>
      </c>
      <c r="K1461">
        <v>124</v>
      </c>
      <c r="L1461">
        <v>37</v>
      </c>
      <c r="M1461">
        <v>47</v>
      </c>
      <c r="N1461">
        <v>0</v>
      </c>
      <c r="O1461">
        <v>590</v>
      </c>
      <c r="P1461">
        <v>0</v>
      </c>
      <c r="Q1461">
        <v>-201</v>
      </c>
    </row>
    <row r="1462" spans="1:17" x14ac:dyDescent="0.45">
      <c r="A1462">
        <v>2963</v>
      </c>
      <c r="B1462" t="s">
        <v>1519</v>
      </c>
      <c r="C1462">
        <v>1540</v>
      </c>
      <c r="D1462">
        <v>3</v>
      </c>
      <c r="E1462">
        <v>2071.1999999999998</v>
      </c>
      <c r="F1462">
        <v>23.4</v>
      </c>
      <c r="G1462">
        <v>1673.9</v>
      </c>
      <c r="H1462">
        <v>3</v>
      </c>
      <c r="I1462">
        <v>19.850000000000001</v>
      </c>
      <c r="J1462">
        <v>766</v>
      </c>
      <c r="K1462">
        <v>306</v>
      </c>
      <c r="L1462">
        <v>36</v>
      </c>
      <c r="M1462">
        <v>44</v>
      </c>
      <c r="N1462">
        <v>0</v>
      </c>
      <c r="O1462">
        <v>4334</v>
      </c>
      <c r="P1462">
        <v>5891.9</v>
      </c>
      <c r="Q1462">
        <v>-783</v>
      </c>
    </row>
    <row r="1463" spans="1:17" x14ac:dyDescent="0.45">
      <c r="A1463">
        <v>5760</v>
      </c>
      <c r="B1463" t="s">
        <v>1520</v>
      </c>
      <c r="C1463">
        <v>521</v>
      </c>
      <c r="D1463">
        <v>3</v>
      </c>
      <c r="E1463">
        <v>1031.2</v>
      </c>
      <c r="F1463">
        <v>46.1</v>
      </c>
      <c r="G1463">
        <v>712</v>
      </c>
      <c r="H1463">
        <v>3</v>
      </c>
      <c r="I1463">
        <v>35.86</v>
      </c>
      <c r="J1463">
        <v>203</v>
      </c>
      <c r="K1463">
        <v>79</v>
      </c>
      <c r="L1463">
        <v>21</v>
      </c>
      <c r="M1463">
        <v>34</v>
      </c>
      <c r="N1463">
        <v>0</v>
      </c>
      <c r="O1463">
        <v>1995</v>
      </c>
      <c r="P1463">
        <v>147.65</v>
      </c>
      <c r="Q1463">
        <v>-682</v>
      </c>
    </row>
    <row r="1464" spans="1:17" x14ac:dyDescent="0.45">
      <c r="A1464">
        <v>6287</v>
      </c>
      <c r="B1464" t="s">
        <v>1521</v>
      </c>
      <c r="C1464">
        <v>440</v>
      </c>
      <c r="D1464">
        <v>3</v>
      </c>
      <c r="E1464">
        <v>606.29999999999995</v>
      </c>
      <c r="F1464">
        <v>0</v>
      </c>
      <c r="G1464">
        <v>11.5</v>
      </c>
      <c r="H1464">
        <v>3</v>
      </c>
      <c r="I1464">
        <v>30.8</v>
      </c>
      <c r="J1464">
        <v>136</v>
      </c>
      <c r="K1464">
        <v>81</v>
      </c>
      <c r="L1464">
        <v>3</v>
      </c>
      <c r="M1464">
        <v>11</v>
      </c>
      <c r="N1464">
        <v>0</v>
      </c>
      <c r="O1464">
        <v>69</v>
      </c>
      <c r="P1464">
        <v>265.8</v>
      </c>
      <c r="Q1464">
        <v>-943</v>
      </c>
    </row>
    <row r="1465" spans="1:17" x14ac:dyDescent="0.45">
      <c r="A1465">
        <v>4846</v>
      </c>
      <c r="B1465" t="s">
        <v>1522</v>
      </c>
      <c r="C1465">
        <v>435</v>
      </c>
      <c r="D1465">
        <v>3</v>
      </c>
      <c r="E1465">
        <v>543.9</v>
      </c>
      <c r="F1465">
        <v>15.1</v>
      </c>
      <c r="G1465">
        <v>784.5</v>
      </c>
      <c r="H1465">
        <v>3</v>
      </c>
      <c r="I1465">
        <v>26.04</v>
      </c>
      <c r="J1465">
        <v>208</v>
      </c>
      <c r="K1465">
        <v>100</v>
      </c>
      <c r="L1465">
        <v>8</v>
      </c>
      <c r="M1465">
        <v>15</v>
      </c>
      <c r="N1465">
        <v>0</v>
      </c>
      <c r="O1465">
        <v>2613</v>
      </c>
      <c r="P1465">
        <v>0</v>
      </c>
      <c r="Q1465">
        <v>-421</v>
      </c>
    </row>
    <row r="1466" spans="1:17" x14ac:dyDescent="0.45">
      <c r="A1466">
        <v>310</v>
      </c>
      <c r="B1466" t="s">
        <v>1523</v>
      </c>
      <c r="C1466">
        <v>2675</v>
      </c>
      <c r="D1466">
        <v>2</v>
      </c>
      <c r="E1466">
        <v>2925.2</v>
      </c>
      <c r="F1466">
        <v>35.4</v>
      </c>
      <c r="G1466">
        <v>2875</v>
      </c>
      <c r="H1466">
        <v>3</v>
      </c>
      <c r="I1466">
        <v>26.41</v>
      </c>
      <c r="J1466">
        <v>1032</v>
      </c>
      <c r="K1466">
        <v>512</v>
      </c>
      <c r="L1466">
        <v>85</v>
      </c>
      <c r="M1466">
        <v>111</v>
      </c>
      <c r="N1466">
        <v>0</v>
      </c>
      <c r="O1466">
        <v>7279</v>
      </c>
      <c r="P1466">
        <v>0</v>
      </c>
      <c r="Q1466">
        <v>-1244</v>
      </c>
    </row>
    <row r="1467" spans="1:17" x14ac:dyDescent="0.45">
      <c r="A1467">
        <v>3340</v>
      </c>
      <c r="B1467" t="s">
        <v>1524</v>
      </c>
      <c r="C1467">
        <v>28252</v>
      </c>
      <c r="D1467">
        <v>2</v>
      </c>
      <c r="E1467">
        <v>6855</v>
      </c>
      <c r="F1467">
        <v>24631.9</v>
      </c>
      <c r="G1467">
        <v>16605.400000000001</v>
      </c>
      <c r="H1467">
        <v>1</v>
      </c>
      <c r="I1467">
        <v>22.7</v>
      </c>
      <c r="J1467">
        <v>8327</v>
      </c>
      <c r="K1467">
        <v>3610</v>
      </c>
      <c r="L1467">
        <v>758</v>
      </c>
      <c r="M1467">
        <v>1569</v>
      </c>
      <c r="N1467">
        <v>0</v>
      </c>
      <c r="O1467">
        <v>3713</v>
      </c>
      <c r="P1467">
        <v>1402.85</v>
      </c>
      <c r="Q1467">
        <v>-1244</v>
      </c>
    </row>
    <row r="1468" spans="1:17" x14ac:dyDescent="0.45">
      <c r="A1468">
        <v>6199</v>
      </c>
      <c r="B1468" t="s">
        <v>1525</v>
      </c>
      <c r="C1468">
        <v>1955</v>
      </c>
      <c r="D1468">
        <v>3</v>
      </c>
      <c r="E1468">
        <v>2396.5</v>
      </c>
      <c r="F1468">
        <v>117.6</v>
      </c>
      <c r="G1468">
        <v>3634.7</v>
      </c>
      <c r="H1468">
        <v>2</v>
      </c>
      <c r="I1468">
        <v>30.34</v>
      </c>
      <c r="J1468">
        <v>686</v>
      </c>
      <c r="K1468">
        <v>421</v>
      </c>
      <c r="L1468">
        <v>49</v>
      </c>
      <c r="M1468">
        <v>81</v>
      </c>
      <c r="N1468">
        <v>0</v>
      </c>
      <c r="O1468">
        <v>1154</v>
      </c>
      <c r="P1468">
        <v>0</v>
      </c>
      <c r="Q1468">
        <v>-1124</v>
      </c>
    </row>
    <row r="1469" spans="1:17" x14ac:dyDescent="0.45">
      <c r="A1469">
        <v>1212</v>
      </c>
      <c r="B1469" t="s">
        <v>1526</v>
      </c>
      <c r="C1469">
        <v>153</v>
      </c>
      <c r="D1469">
        <v>3</v>
      </c>
      <c r="E1469">
        <v>395.1</v>
      </c>
      <c r="F1469">
        <v>0</v>
      </c>
      <c r="G1469">
        <v>97.7</v>
      </c>
      <c r="H1469">
        <v>3</v>
      </c>
      <c r="I1469">
        <v>24.76</v>
      </c>
      <c r="J1469">
        <v>32</v>
      </c>
      <c r="K1469">
        <v>45</v>
      </c>
      <c r="L1469">
        <v>3</v>
      </c>
      <c r="M1469">
        <v>6</v>
      </c>
      <c r="N1469">
        <v>0</v>
      </c>
      <c r="O1469">
        <v>69</v>
      </c>
      <c r="P1469">
        <v>27.33</v>
      </c>
      <c r="Q1469">
        <v>-622</v>
      </c>
    </row>
    <row r="1470" spans="1:17" x14ac:dyDescent="0.45">
      <c r="A1470">
        <v>3255</v>
      </c>
      <c r="B1470" t="s">
        <v>1528</v>
      </c>
      <c r="C1470">
        <v>4906</v>
      </c>
      <c r="D1470">
        <v>1</v>
      </c>
      <c r="E1470">
        <v>3224.2</v>
      </c>
      <c r="F1470">
        <v>3034.1</v>
      </c>
      <c r="G1470">
        <v>4932.3999999999996</v>
      </c>
      <c r="H1470">
        <v>1</v>
      </c>
      <c r="I1470">
        <v>22.7</v>
      </c>
      <c r="J1470">
        <v>1791</v>
      </c>
      <c r="K1470">
        <v>886</v>
      </c>
      <c r="L1470">
        <v>79</v>
      </c>
      <c r="M1470">
        <v>195</v>
      </c>
      <c r="N1470">
        <v>0</v>
      </c>
      <c r="O1470">
        <v>1314</v>
      </c>
      <c r="P1470">
        <v>0</v>
      </c>
      <c r="Q1470">
        <v>-60</v>
      </c>
    </row>
    <row r="1471" spans="1:17" x14ac:dyDescent="0.45">
      <c r="A1471">
        <v>715</v>
      </c>
      <c r="B1471" t="s">
        <v>1527</v>
      </c>
      <c r="C1471">
        <v>40</v>
      </c>
      <c r="D1471">
        <v>2</v>
      </c>
      <c r="E1471">
        <v>22.1</v>
      </c>
      <c r="F1471">
        <v>0</v>
      </c>
      <c r="G1471">
        <v>91.9</v>
      </c>
      <c r="H1471">
        <v>3</v>
      </c>
      <c r="I1471">
        <v>26.41</v>
      </c>
      <c r="J1471">
        <v>17</v>
      </c>
      <c r="K1471">
        <v>3</v>
      </c>
      <c r="L1471">
        <v>0</v>
      </c>
      <c r="M1471">
        <v>1</v>
      </c>
      <c r="N1471">
        <v>0</v>
      </c>
      <c r="O1471">
        <v>1058</v>
      </c>
      <c r="P1471">
        <v>0</v>
      </c>
      <c r="Q1471">
        <v>-241</v>
      </c>
    </row>
    <row r="1472" spans="1:17" x14ac:dyDescent="0.45">
      <c r="A1472">
        <v>2530</v>
      </c>
      <c r="B1472" t="s">
        <v>1529</v>
      </c>
      <c r="C1472">
        <v>2146</v>
      </c>
      <c r="D1472">
        <v>1</v>
      </c>
      <c r="E1472">
        <v>785.9</v>
      </c>
      <c r="F1472">
        <v>2014.2</v>
      </c>
      <c r="G1472">
        <v>1601</v>
      </c>
      <c r="H1472">
        <v>2</v>
      </c>
      <c r="I1472">
        <v>26.37</v>
      </c>
      <c r="J1472">
        <v>953</v>
      </c>
      <c r="K1472">
        <v>386</v>
      </c>
      <c r="L1472">
        <v>64</v>
      </c>
      <c r="M1472">
        <v>88</v>
      </c>
      <c r="N1472">
        <v>0</v>
      </c>
      <c r="O1472">
        <v>1074</v>
      </c>
      <c r="P1472">
        <v>0</v>
      </c>
      <c r="Q1472">
        <v>-140</v>
      </c>
    </row>
    <row r="1473" spans="1:17" x14ac:dyDescent="0.45">
      <c r="A1473">
        <v>2301</v>
      </c>
      <c r="B1473" t="s">
        <v>1530</v>
      </c>
      <c r="C1473">
        <v>1135</v>
      </c>
      <c r="D1473">
        <v>3</v>
      </c>
      <c r="E1473">
        <v>771</v>
      </c>
      <c r="F1473">
        <v>0</v>
      </c>
      <c r="G1473">
        <v>1225.4000000000001</v>
      </c>
      <c r="H1473">
        <v>3</v>
      </c>
      <c r="I1473">
        <v>36.93</v>
      </c>
      <c r="J1473">
        <v>532</v>
      </c>
      <c r="K1473">
        <v>179</v>
      </c>
      <c r="L1473">
        <v>28</v>
      </c>
      <c r="M1473">
        <v>73</v>
      </c>
      <c r="N1473">
        <v>0</v>
      </c>
      <c r="O1473">
        <v>3045</v>
      </c>
      <c r="P1473">
        <v>0</v>
      </c>
      <c r="Q1473">
        <v>-261</v>
      </c>
    </row>
    <row r="1474" spans="1:17" x14ac:dyDescent="0.45">
      <c r="A1474">
        <v>703</v>
      </c>
      <c r="B1474" t="s">
        <v>1531</v>
      </c>
      <c r="C1474">
        <v>2425</v>
      </c>
      <c r="D1474">
        <v>1</v>
      </c>
      <c r="E1474">
        <v>3857.2</v>
      </c>
      <c r="F1474">
        <v>64.5</v>
      </c>
      <c r="G1474">
        <v>1486.9</v>
      </c>
      <c r="H1474">
        <v>3</v>
      </c>
      <c r="I1474">
        <v>26.41</v>
      </c>
      <c r="J1474">
        <v>984</v>
      </c>
      <c r="K1474">
        <v>308</v>
      </c>
      <c r="L1474">
        <v>33</v>
      </c>
      <c r="M1474">
        <v>124</v>
      </c>
      <c r="N1474">
        <v>0</v>
      </c>
      <c r="O1474">
        <v>1324</v>
      </c>
      <c r="P1474">
        <v>0</v>
      </c>
      <c r="Q1474">
        <v>-582</v>
      </c>
    </row>
    <row r="1475" spans="1:17" x14ac:dyDescent="0.45">
      <c r="A1475">
        <v>95</v>
      </c>
      <c r="B1475" t="s">
        <v>1532</v>
      </c>
      <c r="C1475">
        <v>464</v>
      </c>
      <c r="D1475">
        <v>3</v>
      </c>
      <c r="E1475">
        <v>853.5</v>
      </c>
      <c r="F1475">
        <v>0</v>
      </c>
      <c r="G1475">
        <v>140</v>
      </c>
      <c r="H1475">
        <v>2</v>
      </c>
      <c r="I1475">
        <v>24.61</v>
      </c>
      <c r="J1475">
        <v>169</v>
      </c>
      <c r="K1475">
        <v>75</v>
      </c>
      <c r="L1475">
        <v>6</v>
      </c>
      <c r="M1475">
        <v>30</v>
      </c>
      <c r="N1475">
        <v>0</v>
      </c>
      <c r="O1475">
        <v>382</v>
      </c>
      <c r="P1475">
        <v>0</v>
      </c>
      <c r="Q1475">
        <v>-261</v>
      </c>
    </row>
    <row r="1476" spans="1:17" x14ac:dyDescent="0.45">
      <c r="A1476">
        <v>96</v>
      </c>
      <c r="B1476" t="s">
        <v>1533</v>
      </c>
      <c r="C1476">
        <v>18739</v>
      </c>
      <c r="D1476">
        <v>3</v>
      </c>
      <c r="E1476">
        <v>17366.8</v>
      </c>
      <c r="F1476">
        <v>6020</v>
      </c>
      <c r="G1476">
        <v>11312.5</v>
      </c>
      <c r="H1476">
        <v>1</v>
      </c>
      <c r="I1476">
        <v>15.69</v>
      </c>
      <c r="J1476">
        <v>6070</v>
      </c>
      <c r="K1476">
        <v>3205</v>
      </c>
      <c r="L1476">
        <v>467</v>
      </c>
      <c r="M1476">
        <v>1432</v>
      </c>
      <c r="N1476">
        <v>0</v>
      </c>
      <c r="O1476">
        <v>2825</v>
      </c>
      <c r="P1476">
        <v>1048.45</v>
      </c>
      <c r="Q1476">
        <v>-702</v>
      </c>
    </row>
    <row r="1477" spans="1:17" x14ac:dyDescent="0.45">
      <c r="A1477">
        <v>3034</v>
      </c>
      <c r="B1477" t="s">
        <v>1534</v>
      </c>
      <c r="C1477">
        <v>1726</v>
      </c>
      <c r="D1477">
        <v>3</v>
      </c>
      <c r="E1477">
        <v>1536</v>
      </c>
      <c r="F1477">
        <v>1587.2</v>
      </c>
      <c r="G1477">
        <v>1946.7</v>
      </c>
      <c r="H1477">
        <v>3</v>
      </c>
      <c r="I1477">
        <v>25.09</v>
      </c>
      <c r="J1477">
        <v>546</v>
      </c>
      <c r="K1477">
        <v>275</v>
      </c>
      <c r="L1477">
        <v>44</v>
      </c>
      <c r="M1477">
        <v>70</v>
      </c>
      <c r="N1477">
        <v>0</v>
      </c>
      <c r="O1477">
        <v>2169</v>
      </c>
      <c r="P1477">
        <v>121.83</v>
      </c>
      <c r="Q1477">
        <v>-421</v>
      </c>
    </row>
    <row r="1478" spans="1:17" x14ac:dyDescent="0.45">
      <c r="A1478">
        <v>567</v>
      </c>
      <c r="B1478" t="s">
        <v>1535</v>
      </c>
      <c r="C1478">
        <v>3698</v>
      </c>
      <c r="D1478">
        <v>3</v>
      </c>
      <c r="E1478">
        <v>3165.3</v>
      </c>
      <c r="F1478">
        <v>13</v>
      </c>
      <c r="G1478">
        <v>4897.5</v>
      </c>
      <c r="H1478">
        <v>3</v>
      </c>
      <c r="I1478">
        <v>26.41</v>
      </c>
      <c r="J1478">
        <v>1288</v>
      </c>
      <c r="K1478">
        <v>778</v>
      </c>
      <c r="L1478">
        <v>54</v>
      </c>
      <c r="M1478">
        <v>107</v>
      </c>
      <c r="N1478">
        <v>0</v>
      </c>
      <c r="O1478">
        <v>9939</v>
      </c>
      <c r="P1478">
        <v>44.3</v>
      </c>
      <c r="Q1478">
        <v>-5961</v>
      </c>
    </row>
    <row r="1479" spans="1:17" x14ac:dyDescent="0.45">
      <c r="A1479">
        <v>1345</v>
      </c>
      <c r="B1479" t="s">
        <v>1536</v>
      </c>
      <c r="C1479">
        <v>4063</v>
      </c>
      <c r="D1479">
        <v>3</v>
      </c>
      <c r="E1479">
        <v>3378.8</v>
      </c>
      <c r="F1479">
        <v>1509</v>
      </c>
      <c r="G1479">
        <v>6444.7</v>
      </c>
      <c r="H1479">
        <v>2</v>
      </c>
      <c r="I1479">
        <v>15.72</v>
      </c>
      <c r="J1479">
        <v>1550</v>
      </c>
      <c r="K1479">
        <v>813</v>
      </c>
      <c r="L1479">
        <v>99</v>
      </c>
      <c r="M1479">
        <v>204</v>
      </c>
      <c r="N1479">
        <v>0</v>
      </c>
      <c r="O1479">
        <v>2951</v>
      </c>
      <c r="P1479">
        <v>0</v>
      </c>
      <c r="Q1479">
        <v>-723</v>
      </c>
    </row>
    <row r="1480" spans="1:17" x14ac:dyDescent="0.45">
      <c r="A1480">
        <v>1140</v>
      </c>
      <c r="B1480" t="s">
        <v>1537</v>
      </c>
      <c r="C1480">
        <v>7415</v>
      </c>
      <c r="D1480">
        <v>3</v>
      </c>
      <c r="E1480">
        <v>6076.7</v>
      </c>
      <c r="F1480">
        <v>542.70000000000005</v>
      </c>
      <c r="G1480">
        <v>13231.9</v>
      </c>
      <c r="H1480">
        <v>3</v>
      </c>
      <c r="I1480">
        <v>26.39</v>
      </c>
      <c r="J1480">
        <v>2729</v>
      </c>
      <c r="K1480">
        <v>1348</v>
      </c>
      <c r="L1480">
        <v>141</v>
      </c>
      <c r="M1480">
        <v>353</v>
      </c>
      <c r="N1480">
        <v>0</v>
      </c>
      <c r="O1480">
        <v>8474</v>
      </c>
      <c r="P1480">
        <v>1845.85</v>
      </c>
      <c r="Q1480">
        <v>-1947</v>
      </c>
    </row>
    <row r="1481" spans="1:17" x14ac:dyDescent="0.45">
      <c r="A1481">
        <v>2893</v>
      </c>
      <c r="B1481" t="s">
        <v>1538</v>
      </c>
      <c r="C1481">
        <v>1560</v>
      </c>
      <c r="D1481">
        <v>1</v>
      </c>
      <c r="E1481">
        <v>1932.7</v>
      </c>
      <c r="F1481">
        <v>39</v>
      </c>
      <c r="G1481">
        <v>741</v>
      </c>
      <c r="H1481">
        <v>3</v>
      </c>
      <c r="I1481">
        <v>22.09</v>
      </c>
      <c r="J1481">
        <v>557</v>
      </c>
      <c r="K1481">
        <v>220</v>
      </c>
      <c r="L1481">
        <v>23</v>
      </c>
      <c r="M1481">
        <v>64</v>
      </c>
      <c r="N1481">
        <v>0</v>
      </c>
      <c r="O1481">
        <v>1946</v>
      </c>
      <c r="P1481">
        <v>116.64</v>
      </c>
      <c r="Q1481">
        <v>-783</v>
      </c>
    </row>
    <row r="1482" spans="1:17" x14ac:dyDescent="0.45">
      <c r="A1482">
        <v>4141</v>
      </c>
      <c r="B1482" t="s">
        <v>1539</v>
      </c>
      <c r="C1482">
        <v>9216</v>
      </c>
      <c r="D1482">
        <v>3</v>
      </c>
      <c r="E1482">
        <v>11831.5</v>
      </c>
      <c r="F1482">
        <v>824.2</v>
      </c>
      <c r="G1482">
        <v>9318.6</v>
      </c>
      <c r="H1482">
        <v>1</v>
      </c>
      <c r="I1482">
        <v>20.87</v>
      </c>
      <c r="J1482">
        <v>3510</v>
      </c>
      <c r="K1482">
        <v>1597</v>
      </c>
      <c r="L1482">
        <v>126</v>
      </c>
      <c r="M1482">
        <v>401</v>
      </c>
      <c r="N1482">
        <v>0</v>
      </c>
      <c r="O1482">
        <v>2078</v>
      </c>
      <c r="P1482">
        <v>1993.5</v>
      </c>
      <c r="Q1482">
        <v>-502</v>
      </c>
    </row>
    <row r="1483" spans="1:17" x14ac:dyDescent="0.45">
      <c r="A1483">
        <v>2773</v>
      </c>
      <c r="B1483" t="s">
        <v>1540</v>
      </c>
      <c r="C1483">
        <v>19667</v>
      </c>
      <c r="D1483">
        <v>1</v>
      </c>
      <c r="E1483">
        <v>13481.1</v>
      </c>
      <c r="F1483">
        <v>16870.3</v>
      </c>
      <c r="G1483">
        <v>8103.7</v>
      </c>
      <c r="H1483">
        <v>1</v>
      </c>
      <c r="I1483">
        <v>14.25</v>
      </c>
      <c r="J1483">
        <v>6390</v>
      </c>
      <c r="K1483">
        <v>2341</v>
      </c>
      <c r="L1483">
        <v>395</v>
      </c>
      <c r="M1483">
        <v>1123</v>
      </c>
      <c r="N1483">
        <v>0</v>
      </c>
      <c r="O1483">
        <v>139</v>
      </c>
      <c r="P1483">
        <v>1845.85</v>
      </c>
      <c r="Q1483">
        <v>-221</v>
      </c>
    </row>
    <row r="1484" spans="1:17" x14ac:dyDescent="0.45">
      <c r="A1484">
        <v>336</v>
      </c>
      <c r="B1484" t="s">
        <v>1541</v>
      </c>
      <c r="C1484">
        <v>171</v>
      </c>
      <c r="D1484">
        <v>3</v>
      </c>
      <c r="E1484">
        <v>187</v>
      </c>
      <c r="F1484">
        <v>0</v>
      </c>
      <c r="G1484">
        <v>310.60000000000002</v>
      </c>
      <c r="H1484">
        <v>3</v>
      </c>
      <c r="I1484">
        <v>26.41</v>
      </c>
      <c r="J1484">
        <v>80</v>
      </c>
      <c r="K1484">
        <v>33</v>
      </c>
      <c r="L1484">
        <v>0</v>
      </c>
      <c r="M1484">
        <v>7</v>
      </c>
      <c r="N1484">
        <v>0</v>
      </c>
      <c r="O1484">
        <v>727</v>
      </c>
      <c r="P1484">
        <v>0</v>
      </c>
      <c r="Q1484">
        <v>-120</v>
      </c>
    </row>
    <row r="1485" spans="1:17" x14ac:dyDescent="0.45">
      <c r="A1485">
        <v>4281</v>
      </c>
      <c r="B1485" t="s">
        <v>1542</v>
      </c>
      <c r="C1485">
        <v>1583</v>
      </c>
      <c r="D1485">
        <v>3</v>
      </c>
      <c r="E1485">
        <v>1912.5</v>
      </c>
      <c r="F1485">
        <v>9.9</v>
      </c>
      <c r="G1485">
        <v>2800.1</v>
      </c>
      <c r="H1485">
        <v>3</v>
      </c>
      <c r="I1485">
        <v>23.9</v>
      </c>
      <c r="J1485">
        <v>727</v>
      </c>
      <c r="K1485">
        <v>270</v>
      </c>
      <c r="L1485">
        <v>37</v>
      </c>
      <c r="M1485">
        <v>70</v>
      </c>
      <c r="N1485">
        <v>0</v>
      </c>
      <c r="O1485">
        <v>3310</v>
      </c>
      <c r="P1485">
        <v>221.5</v>
      </c>
      <c r="Q1485">
        <v>-542</v>
      </c>
    </row>
    <row r="1486" spans="1:17" x14ac:dyDescent="0.45">
      <c r="A1486">
        <v>2333</v>
      </c>
      <c r="B1486" t="s">
        <v>1543</v>
      </c>
      <c r="C1486">
        <v>1288</v>
      </c>
      <c r="D1486">
        <v>3</v>
      </c>
      <c r="E1486">
        <v>904.2</v>
      </c>
      <c r="F1486">
        <v>182.2</v>
      </c>
      <c r="G1486">
        <v>1899.7</v>
      </c>
      <c r="H1486">
        <v>2</v>
      </c>
      <c r="I1486">
        <v>28.63</v>
      </c>
      <c r="J1486">
        <v>565</v>
      </c>
      <c r="K1486">
        <v>162</v>
      </c>
      <c r="L1486">
        <v>38</v>
      </c>
      <c r="M1486">
        <v>126</v>
      </c>
      <c r="N1486">
        <v>0</v>
      </c>
      <c r="O1486">
        <v>3557</v>
      </c>
      <c r="P1486">
        <v>0</v>
      </c>
      <c r="Q1486">
        <v>-281</v>
      </c>
    </row>
    <row r="1487" spans="1:17" x14ac:dyDescent="0.45">
      <c r="A1487">
        <v>4039</v>
      </c>
      <c r="B1487" t="s">
        <v>1544</v>
      </c>
      <c r="C1487">
        <v>2070</v>
      </c>
      <c r="D1487">
        <v>3</v>
      </c>
      <c r="E1487">
        <v>2655.8</v>
      </c>
      <c r="F1487">
        <v>17.5</v>
      </c>
      <c r="G1487">
        <v>2558.4</v>
      </c>
      <c r="H1487">
        <v>1</v>
      </c>
      <c r="I1487">
        <v>20.87</v>
      </c>
      <c r="J1487">
        <v>855</v>
      </c>
      <c r="K1487">
        <v>347</v>
      </c>
      <c r="L1487">
        <v>79</v>
      </c>
      <c r="M1487">
        <v>116</v>
      </c>
      <c r="N1487">
        <v>0</v>
      </c>
      <c r="O1487">
        <v>2683</v>
      </c>
      <c r="P1487">
        <v>0</v>
      </c>
      <c r="Q1487">
        <v>-181</v>
      </c>
    </row>
    <row r="1488" spans="1:17" x14ac:dyDescent="0.45">
      <c r="A1488">
        <v>4110</v>
      </c>
      <c r="B1488" t="s">
        <v>1545</v>
      </c>
      <c r="C1488">
        <v>1359</v>
      </c>
      <c r="D1488">
        <v>3</v>
      </c>
      <c r="E1488">
        <v>1116.8</v>
      </c>
      <c r="F1488">
        <v>0</v>
      </c>
      <c r="G1488">
        <v>753.1</v>
      </c>
      <c r="H1488">
        <v>3</v>
      </c>
      <c r="I1488">
        <v>23.9</v>
      </c>
      <c r="J1488">
        <v>562</v>
      </c>
      <c r="K1488">
        <v>228</v>
      </c>
      <c r="L1488">
        <v>31</v>
      </c>
      <c r="M1488">
        <v>63</v>
      </c>
      <c r="N1488">
        <v>0</v>
      </c>
      <c r="O1488">
        <v>815</v>
      </c>
      <c r="P1488">
        <v>0</v>
      </c>
      <c r="Q1488">
        <v>-843</v>
      </c>
    </row>
    <row r="1489" spans="1:17" x14ac:dyDescent="0.45">
      <c r="A1489">
        <v>441</v>
      </c>
      <c r="B1489" t="s">
        <v>1546</v>
      </c>
      <c r="C1489">
        <v>977</v>
      </c>
      <c r="D1489">
        <v>1</v>
      </c>
      <c r="E1489">
        <v>903.7</v>
      </c>
      <c r="F1489">
        <v>56.6</v>
      </c>
      <c r="G1489">
        <v>666.7</v>
      </c>
      <c r="H1489">
        <v>3</v>
      </c>
      <c r="I1489">
        <v>26.41</v>
      </c>
      <c r="J1489">
        <v>412</v>
      </c>
      <c r="K1489">
        <v>135</v>
      </c>
      <c r="L1489">
        <v>20</v>
      </c>
      <c r="M1489">
        <v>45</v>
      </c>
      <c r="N1489">
        <v>0</v>
      </c>
      <c r="O1489">
        <v>3506</v>
      </c>
      <c r="P1489">
        <v>0</v>
      </c>
      <c r="Q1489">
        <v>-743</v>
      </c>
    </row>
    <row r="1490" spans="1:17" x14ac:dyDescent="0.45">
      <c r="A1490">
        <v>5591</v>
      </c>
      <c r="B1490" t="s">
        <v>1547</v>
      </c>
      <c r="C1490">
        <v>21086</v>
      </c>
      <c r="D1490">
        <v>3</v>
      </c>
      <c r="E1490">
        <v>16909</v>
      </c>
      <c r="F1490">
        <v>21151.200000000001</v>
      </c>
      <c r="G1490">
        <v>6687.7</v>
      </c>
      <c r="H1490">
        <v>1</v>
      </c>
      <c r="I1490">
        <v>19.809999999999999</v>
      </c>
      <c r="J1490">
        <v>5104</v>
      </c>
      <c r="K1490">
        <v>2334</v>
      </c>
      <c r="L1490">
        <v>236</v>
      </c>
      <c r="M1490">
        <v>976</v>
      </c>
      <c r="N1490">
        <v>0</v>
      </c>
      <c r="O1490">
        <v>24</v>
      </c>
      <c r="P1490">
        <v>0</v>
      </c>
      <c r="Q1490">
        <v>-20</v>
      </c>
    </row>
    <row r="1491" spans="1:17" x14ac:dyDescent="0.45">
      <c r="A1491">
        <v>5412</v>
      </c>
      <c r="B1491" t="s">
        <v>1548</v>
      </c>
      <c r="C1491">
        <v>925</v>
      </c>
      <c r="D1491">
        <v>3</v>
      </c>
      <c r="E1491">
        <v>253.4</v>
      </c>
      <c r="F1491">
        <v>759.7</v>
      </c>
      <c r="G1491">
        <v>3024.8</v>
      </c>
      <c r="H1491">
        <v>1</v>
      </c>
      <c r="I1491">
        <v>19.809999999999999</v>
      </c>
      <c r="J1491">
        <v>350</v>
      </c>
      <c r="K1491">
        <v>102</v>
      </c>
      <c r="L1491">
        <v>15</v>
      </c>
      <c r="M1491">
        <v>73</v>
      </c>
      <c r="N1491">
        <v>0</v>
      </c>
      <c r="O1491">
        <v>227</v>
      </c>
      <c r="P1491">
        <v>33.229999999999997</v>
      </c>
      <c r="Q1491">
        <v>0</v>
      </c>
    </row>
    <row r="1492" spans="1:17" x14ac:dyDescent="0.45">
      <c r="A1492">
        <v>3035</v>
      </c>
      <c r="B1492" t="s">
        <v>1549</v>
      </c>
      <c r="C1492">
        <v>697</v>
      </c>
      <c r="D1492">
        <v>3</v>
      </c>
      <c r="E1492">
        <v>846.6</v>
      </c>
      <c r="F1492">
        <v>195.1</v>
      </c>
      <c r="G1492">
        <v>682.3</v>
      </c>
      <c r="H1492">
        <v>3</v>
      </c>
      <c r="I1492">
        <v>25.09</v>
      </c>
      <c r="J1492">
        <v>266</v>
      </c>
      <c r="K1492">
        <v>137</v>
      </c>
      <c r="L1492">
        <v>19</v>
      </c>
      <c r="M1492">
        <v>31</v>
      </c>
      <c r="N1492">
        <v>0</v>
      </c>
      <c r="O1492">
        <v>825</v>
      </c>
      <c r="P1492">
        <v>0</v>
      </c>
      <c r="Q1492">
        <v>-502</v>
      </c>
    </row>
    <row r="1493" spans="1:17" x14ac:dyDescent="0.45">
      <c r="A1493">
        <v>767</v>
      </c>
      <c r="B1493" t="s">
        <v>1550</v>
      </c>
      <c r="C1493">
        <v>1351</v>
      </c>
      <c r="D1493">
        <v>3</v>
      </c>
      <c r="E1493">
        <v>1080.9000000000001</v>
      </c>
      <c r="F1493">
        <v>0</v>
      </c>
      <c r="G1493">
        <v>1195.2</v>
      </c>
      <c r="H1493">
        <v>3</v>
      </c>
      <c r="I1493">
        <v>26.41</v>
      </c>
      <c r="J1493">
        <v>529</v>
      </c>
      <c r="K1493">
        <v>190</v>
      </c>
      <c r="L1493">
        <v>28</v>
      </c>
      <c r="M1493">
        <v>41</v>
      </c>
      <c r="N1493">
        <v>0</v>
      </c>
      <c r="O1493">
        <v>3829</v>
      </c>
      <c r="P1493">
        <v>0</v>
      </c>
      <c r="Q1493">
        <v>-1084</v>
      </c>
    </row>
    <row r="1494" spans="1:17" x14ac:dyDescent="0.45">
      <c r="A1494">
        <v>38</v>
      </c>
      <c r="B1494" t="s">
        <v>1552</v>
      </c>
      <c r="C1494">
        <v>1285</v>
      </c>
      <c r="D1494">
        <v>3</v>
      </c>
      <c r="E1494">
        <v>1827.5</v>
      </c>
      <c r="F1494">
        <v>0</v>
      </c>
      <c r="G1494">
        <v>974.1</v>
      </c>
      <c r="H1494">
        <v>3</v>
      </c>
      <c r="I1494">
        <v>25.15</v>
      </c>
      <c r="J1494">
        <v>470</v>
      </c>
      <c r="K1494">
        <v>214</v>
      </c>
      <c r="L1494">
        <v>33</v>
      </c>
      <c r="M1494">
        <v>51</v>
      </c>
      <c r="N1494">
        <v>0</v>
      </c>
      <c r="O1494">
        <v>512</v>
      </c>
      <c r="P1494">
        <v>188.28</v>
      </c>
      <c r="Q1494">
        <v>-983</v>
      </c>
    </row>
    <row r="1495" spans="1:17" x14ac:dyDescent="0.45">
      <c r="A1495">
        <v>3235</v>
      </c>
      <c r="B1495" t="s">
        <v>1553</v>
      </c>
      <c r="C1495">
        <v>3481</v>
      </c>
      <c r="D1495">
        <v>3</v>
      </c>
      <c r="E1495">
        <v>2452</v>
      </c>
      <c r="F1495">
        <v>3177.1</v>
      </c>
      <c r="G1495">
        <v>3354.6</v>
      </c>
      <c r="H1495">
        <v>2</v>
      </c>
      <c r="I1495">
        <v>22.8</v>
      </c>
      <c r="J1495">
        <v>1374</v>
      </c>
      <c r="K1495">
        <v>663</v>
      </c>
      <c r="L1495">
        <v>41</v>
      </c>
      <c r="M1495">
        <v>207</v>
      </c>
      <c r="N1495">
        <v>0</v>
      </c>
      <c r="O1495">
        <v>352</v>
      </c>
      <c r="P1495">
        <v>0</v>
      </c>
      <c r="Q1495">
        <v>-20</v>
      </c>
    </row>
    <row r="1496" spans="1:17" x14ac:dyDescent="0.45">
      <c r="A1496">
        <v>4258</v>
      </c>
      <c r="B1496" t="s">
        <v>1554</v>
      </c>
      <c r="C1496">
        <v>13624</v>
      </c>
      <c r="D1496">
        <v>3</v>
      </c>
      <c r="E1496">
        <v>6445.4</v>
      </c>
      <c r="F1496">
        <v>11283.2</v>
      </c>
      <c r="G1496">
        <v>20809.2</v>
      </c>
      <c r="H1496">
        <v>1</v>
      </c>
      <c r="I1496">
        <v>20.87</v>
      </c>
      <c r="J1496">
        <v>3956</v>
      </c>
      <c r="K1496">
        <v>1846</v>
      </c>
      <c r="L1496">
        <v>288</v>
      </c>
      <c r="M1496">
        <v>619</v>
      </c>
      <c r="N1496">
        <v>0</v>
      </c>
      <c r="O1496">
        <v>1151</v>
      </c>
      <c r="P1496">
        <v>2215</v>
      </c>
      <c r="Q1496">
        <v>-1626</v>
      </c>
    </row>
    <row r="1497" spans="1:17" x14ac:dyDescent="0.45">
      <c r="A1497">
        <v>3714</v>
      </c>
      <c r="B1497" t="s">
        <v>1555</v>
      </c>
      <c r="C1497">
        <v>564</v>
      </c>
      <c r="D1497">
        <v>3</v>
      </c>
      <c r="E1497">
        <v>786.7</v>
      </c>
      <c r="F1497">
        <v>0</v>
      </c>
      <c r="G1497">
        <v>536.29999999999995</v>
      </c>
      <c r="H1497">
        <v>3</v>
      </c>
      <c r="I1497">
        <v>29.04</v>
      </c>
      <c r="J1497">
        <v>148</v>
      </c>
      <c r="K1497">
        <v>144</v>
      </c>
      <c r="L1497">
        <v>5</v>
      </c>
      <c r="M1497">
        <v>17</v>
      </c>
      <c r="N1497">
        <v>0</v>
      </c>
      <c r="O1497">
        <v>3944</v>
      </c>
      <c r="P1497">
        <v>110.75</v>
      </c>
      <c r="Q1497">
        <v>-3934</v>
      </c>
    </row>
    <row r="1498" spans="1:17" x14ac:dyDescent="0.45">
      <c r="A1498">
        <v>3723</v>
      </c>
      <c r="B1498" t="s">
        <v>1551</v>
      </c>
      <c r="C1498">
        <v>1612</v>
      </c>
      <c r="D1498">
        <v>3</v>
      </c>
      <c r="E1498">
        <v>1545.7</v>
      </c>
      <c r="F1498">
        <v>0</v>
      </c>
      <c r="G1498">
        <v>2444</v>
      </c>
      <c r="H1498">
        <v>2</v>
      </c>
      <c r="I1498">
        <v>21.73</v>
      </c>
      <c r="J1498">
        <v>464</v>
      </c>
      <c r="K1498">
        <v>303</v>
      </c>
      <c r="L1498">
        <v>40</v>
      </c>
      <c r="M1498">
        <v>64</v>
      </c>
      <c r="N1498">
        <v>0</v>
      </c>
      <c r="O1498">
        <v>382</v>
      </c>
      <c r="P1498">
        <v>0</v>
      </c>
      <c r="Q1498">
        <v>-1726</v>
      </c>
    </row>
    <row r="1499" spans="1:17" x14ac:dyDescent="0.45">
      <c r="A1499">
        <v>2148</v>
      </c>
      <c r="B1499" t="s">
        <v>1556</v>
      </c>
      <c r="C1499">
        <v>2874</v>
      </c>
      <c r="D1499">
        <v>3</v>
      </c>
      <c r="E1499">
        <v>2657.8</v>
      </c>
      <c r="F1499">
        <v>17.399999999999999</v>
      </c>
      <c r="G1499">
        <v>2299.1999999999998</v>
      </c>
      <c r="H1499">
        <v>1</v>
      </c>
      <c r="I1499">
        <v>23.82</v>
      </c>
      <c r="J1499">
        <v>1149</v>
      </c>
      <c r="K1499">
        <v>348</v>
      </c>
      <c r="L1499">
        <v>66</v>
      </c>
      <c r="M1499">
        <v>232</v>
      </c>
      <c r="N1499">
        <v>0</v>
      </c>
      <c r="O1499">
        <v>2806</v>
      </c>
      <c r="P1499">
        <v>0</v>
      </c>
      <c r="Q1499">
        <v>-381</v>
      </c>
    </row>
    <row r="1500" spans="1:17" x14ac:dyDescent="0.45">
      <c r="A1500">
        <v>138</v>
      </c>
      <c r="B1500" t="s">
        <v>1557</v>
      </c>
      <c r="C1500">
        <v>13987</v>
      </c>
      <c r="D1500">
        <v>2</v>
      </c>
      <c r="E1500">
        <v>6671.7</v>
      </c>
      <c r="F1500">
        <v>11995.7</v>
      </c>
      <c r="G1500">
        <v>5871.9</v>
      </c>
      <c r="H1500">
        <v>1</v>
      </c>
      <c r="I1500">
        <v>15.69</v>
      </c>
      <c r="J1500">
        <v>4417</v>
      </c>
      <c r="K1500">
        <v>1806</v>
      </c>
      <c r="L1500">
        <v>387</v>
      </c>
      <c r="M1500">
        <v>800</v>
      </c>
      <c r="N1500">
        <v>0</v>
      </c>
      <c r="O1500">
        <v>2905</v>
      </c>
      <c r="P1500">
        <v>996.75</v>
      </c>
      <c r="Q1500">
        <v>-120</v>
      </c>
    </row>
    <row r="1501" spans="1:17" x14ac:dyDescent="0.45">
      <c r="A1501">
        <v>2857</v>
      </c>
      <c r="B1501" t="s">
        <v>1558</v>
      </c>
      <c r="C1501">
        <v>581</v>
      </c>
      <c r="D1501">
        <v>1</v>
      </c>
      <c r="E1501">
        <v>655.20000000000005</v>
      </c>
      <c r="F1501">
        <v>0</v>
      </c>
      <c r="G1501">
        <v>597.1</v>
      </c>
      <c r="H1501">
        <v>3</v>
      </c>
      <c r="I1501">
        <v>22.09</v>
      </c>
      <c r="J1501">
        <v>221</v>
      </c>
      <c r="K1501">
        <v>74</v>
      </c>
      <c r="L1501">
        <v>17</v>
      </c>
      <c r="M1501">
        <v>27</v>
      </c>
      <c r="N1501">
        <v>0</v>
      </c>
      <c r="O1501">
        <v>1053</v>
      </c>
      <c r="P1501">
        <v>0</v>
      </c>
      <c r="Q1501">
        <v>-201</v>
      </c>
    </row>
    <row r="1502" spans="1:17" x14ac:dyDescent="0.45">
      <c r="A1502">
        <v>1097</v>
      </c>
      <c r="B1502" t="s">
        <v>1559</v>
      </c>
      <c r="C1502">
        <v>3564</v>
      </c>
      <c r="D1502">
        <v>2</v>
      </c>
      <c r="E1502">
        <v>2855.9</v>
      </c>
      <c r="F1502">
        <v>5.7</v>
      </c>
      <c r="G1502">
        <v>5955</v>
      </c>
      <c r="H1502">
        <v>3</v>
      </c>
      <c r="I1502">
        <v>26.39</v>
      </c>
      <c r="J1502">
        <v>1583</v>
      </c>
      <c r="K1502">
        <v>734</v>
      </c>
      <c r="L1502">
        <v>97</v>
      </c>
      <c r="M1502">
        <v>152</v>
      </c>
      <c r="N1502">
        <v>0</v>
      </c>
      <c r="O1502">
        <v>4890</v>
      </c>
      <c r="P1502">
        <v>0</v>
      </c>
      <c r="Q1502">
        <v>-743</v>
      </c>
    </row>
    <row r="1503" spans="1:17" x14ac:dyDescent="0.45">
      <c r="A1503">
        <v>2582</v>
      </c>
      <c r="B1503" t="s">
        <v>1560</v>
      </c>
      <c r="C1503">
        <v>1135</v>
      </c>
      <c r="D1503">
        <v>3</v>
      </c>
      <c r="E1503">
        <v>872.3</v>
      </c>
      <c r="F1503">
        <v>90.3</v>
      </c>
      <c r="G1503">
        <v>661.9</v>
      </c>
      <c r="H1503">
        <v>1</v>
      </c>
      <c r="I1503">
        <v>19.07</v>
      </c>
      <c r="J1503">
        <v>489</v>
      </c>
      <c r="K1503">
        <v>168</v>
      </c>
      <c r="L1503">
        <v>36</v>
      </c>
      <c r="M1503">
        <v>94</v>
      </c>
      <c r="N1503">
        <v>0</v>
      </c>
      <c r="O1503">
        <v>291</v>
      </c>
      <c r="P1503">
        <v>0</v>
      </c>
      <c r="Q1503">
        <v>-281</v>
      </c>
    </row>
    <row r="1504" spans="1:17" x14ac:dyDescent="0.45">
      <c r="A1504">
        <v>4751</v>
      </c>
      <c r="B1504" t="s">
        <v>1561</v>
      </c>
      <c r="C1504">
        <v>2999</v>
      </c>
      <c r="D1504">
        <v>3</v>
      </c>
      <c r="E1504">
        <v>2559.6</v>
      </c>
      <c r="F1504">
        <v>1683.8</v>
      </c>
      <c r="G1504">
        <v>1945.1</v>
      </c>
      <c r="H1504">
        <v>1</v>
      </c>
      <c r="I1504">
        <v>21</v>
      </c>
      <c r="J1504">
        <v>1041</v>
      </c>
      <c r="K1504">
        <v>530</v>
      </c>
      <c r="L1504">
        <v>48</v>
      </c>
      <c r="M1504">
        <v>130</v>
      </c>
      <c r="N1504">
        <v>0</v>
      </c>
      <c r="O1504">
        <v>58</v>
      </c>
      <c r="P1504">
        <v>0</v>
      </c>
      <c r="Q1504">
        <v>-40</v>
      </c>
    </row>
    <row r="1505" spans="1:17" x14ac:dyDescent="0.45">
      <c r="A1505">
        <v>225</v>
      </c>
      <c r="B1505" t="s">
        <v>1562</v>
      </c>
      <c r="C1505">
        <v>2770</v>
      </c>
      <c r="D1505">
        <v>3</v>
      </c>
      <c r="E1505">
        <v>2914.7</v>
      </c>
      <c r="F1505">
        <v>0</v>
      </c>
      <c r="G1505">
        <v>1583.5</v>
      </c>
      <c r="H1505">
        <v>2</v>
      </c>
      <c r="I1505">
        <v>24.61</v>
      </c>
      <c r="J1505">
        <v>884</v>
      </c>
      <c r="K1505">
        <v>385</v>
      </c>
      <c r="L1505">
        <v>75</v>
      </c>
      <c r="M1505">
        <v>130</v>
      </c>
      <c r="N1505">
        <v>0</v>
      </c>
      <c r="O1505">
        <v>3880</v>
      </c>
      <c r="P1505">
        <v>0</v>
      </c>
      <c r="Q1505">
        <v>-261</v>
      </c>
    </row>
    <row r="1506" spans="1:17" x14ac:dyDescent="0.45">
      <c r="A1506">
        <v>6139</v>
      </c>
      <c r="B1506" t="s">
        <v>1563</v>
      </c>
      <c r="C1506">
        <v>3535</v>
      </c>
      <c r="D1506">
        <v>3</v>
      </c>
      <c r="E1506">
        <v>4766.1000000000004</v>
      </c>
      <c r="F1506">
        <v>218.5</v>
      </c>
      <c r="G1506">
        <v>4108</v>
      </c>
      <c r="H1506">
        <v>2</v>
      </c>
      <c r="I1506">
        <v>30.34</v>
      </c>
      <c r="J1506">
        <v>1567</v>
      </c>
      <c r="K1506">
        <v>687</v>
      </c>
      <c r="L1506">
        <v>67</v>
      </c>
      <c r="M1506">
        <v>170</v>
      </c>
      <c r="N1506">
        <v>0</v>
      </c>
      <c r="O1506">
        <v>884</v>
      </c>
      <c r="P1506">
        <v>387.63</v>
      </c>
      <c r="Q1506">
        <v>-1806</v>
      </c>
    </row>
    <row r="1507" spans="1:17" x14ac:dyDescent="0.45">
      <c r="A1507">
        <v>2276</v>
      </c>
      <c r="B1507" t="s">
        <v>1564</v>
      </c>
      <c r="C1507">
        <v>1223</v>
      </c>
      <c r="D1507">
        <v>3</v>
      </c>
      <c r="E1507">
        <v>1529.4</v>
      </c>
      <c r="F1507">
        <v>0</v>
      </c>
      <c r="G1507">
        <v>4488</v>
      </c>
      <c r="H1507">
        <v>3</v>
      </c>
      <c r="I1507">
        <v>36.93</v>
      </c>
      <c r="J1507">
        <v>529</v>
      </c>
      <c r="K1507">
        <v>212</v>
      </c>
      <c r="L1507">
        <v>31</v>
      </c>
      <c r="M1507">
        <v>64</v>
      </c>
      <c r="N1507">
        <v>0</v>
      </c>
      <c r="O1507">
        <v>1533</v>
      </c>
      <c r="P1507">
        <v>0</v>
      </c>
      <c r="Q1507">
        <v>-100</v>
      </c>
    </row>
    <row r="1508" spans="1:17" x14ac:dyDescent="0.45">
      <c r="A1508">
        <v>6008</v>
      </c>
      <c r="B1508" t="s">
        <v>1565</v>
      </c>
      <c r="C1508">
        <v>2183</v>
      </c>
      <c r="D1508">
        <v>3</v>
      </c>
      <c r="E1508">
        <v>2167.6</v>
      </c>
      <c r="F1508">
        <v>5.6</v>
      </c>
      <c r="G1508">
        <v>2147.8000000000002</v>
      </c>
      <c r="H1508">
        <v>2</v>
      </c>
      <c r="I1508">
        <v>30.34</v>
      </c>
      <c r="J1508">
        <v>717</v>
      </c>
      <c r="K1508">
        <v>423</v>
      </c>
      <c r="L1508">
        <v>48</v>
      </c>
      <c r="M1508">
        <v>74</v>
      </c>
      <c r="N1508">
        <v>0</v>
      </c>
      <c r="O1508">
        <v>1740</v>
      </c>
      <c r="P1508">
        <v>0</v>
      </c>
      <c r="Q1508">
        <v>-3211</v>
      </c>
    </row>
    <row r="1509" spans="1:17" x14ac:dyDescent="0.45">
      <c r="A1509">
        <v>6181</v>
      </c>
      <c r="B1509" t="s">
        <v>1566</v>
      </c>
      <c r="C1509">
        <v>427</v>
      </c>
      <c r="D1509">
        <v>3</v>
      </c>
      <c r="E1509">
        <v>2135.6999999999998</v>
      </c>
      <c r="F1509">
        <v>16.5</v>
      </c>
      <c r="G1509">
        <v>939.8</v>
      </c>
      <c r="H1509">
        <v>3</v>
      </c>
      <c r="I1509">
        <v>30.8</v>
      </c>
      <c r="J1509">
        <v>78</v>
      </c>
      <c r="K1509">
        <v>76</v>
      </c>
      <c r="L1509">
        <v>7</v>
      </c>
      <c r="M1509">
        <v>13</v>
      </c>
      <c r="N1509">
        <v>0</v>
      </c>
      <c r="O1509">
        <v>736</v>
      </c>
      <c r="P1509">
        <v>0</v>
      </c>
      <c r="Q1509">
        <v>-1465</v>
      </c>
    </row>
    <row r="1510" spans="1:17" x14ac:dyDescent="0.45">
      <c r="A1510">
        <v>2554</v>
      </c>
      <c r="B1510" t="s">
        <v>1567</v>
      </c>
      <c r="C1510">
        <v>2288</v>
      </c>
      <c r="D1510">
        <v>3</v>
      </c>
      <c r="E1510">
        <v>2481.4</v>
      </c>
      <c r="F1510">
        <v>156.4</v>
      </c>
      <c r="G1510">
        <v>2664.6</v>
      </c>
      <c r="H1510">
        <v>2</v>
      </c>
      <c r="I1510">
        <v>26.37</v>
      </c>
      <c r="J1510">
        <v>930</v>
      </c>
      <c r="K1510">
        <v>341</v>
      </c>
      <c r="L1510">
        <v>75</v>
      </c>
      <c r="M1510">
        <v>100</v>
      </c>
      <c r="N1510">
        <v>0</v>
      </c>
      <c r="O1510">
        <v>1009</v>
      </c>
      <c r="P1510">
        <v>140.30000000000001</v>
      </c>
      <c r="Q1510">
        <v>-522</v>
      </c>
    </row>
    <row r="1511" spans="1:17" x14ac:dyDescent="0.45">
      <c r="A1511">
        <v>2703</v>
      </c>
      <c r="B1511" t="s">
        <v>1568</v>
      </c>
      <c r="C1511">
        <v>21946</v>
      </c>
      <c r="D1511">
        <v>1</v>
      </c>
      <c r="E1511">
        <v>4107.8999999999996</v>
      </c>
      <c r="F1511">
        <v>13642.1</v>
      </c>
      <c r="G1511">
        <v>8234.9</v>
      </c>
      <c r="H1511">
        <v>1</v>
      </c>
      <c r="I1511">
        <v>9.0299999999999994</v>
      </c>
      <c r="J1511">
        <v>5600</v>
      </c>
      <c r="K1511">
        <v>2023</v>
      </c>
      <c r="L1511">
        <v>305</v>
      </c>
      <c r="M1511">
        <v>857</v>
      </c>
      <c r="N1511">
        <v>0</v>
      </c>
      <c r="O1511">
        <v>526</v>
      </c>
      <c r="P1511">
        <v>0</v>
      </c>
      <c r="Q1511">
        <v>-582</v>
      </c>
    </row>
    <row r="1512" spans="1:17" x14ac:dyDescent="0.45">
      <c r="A1512">
        <v>1369</v>
      </c>
      <c r="B1512" t="s">
        <v>1569</v>
      </c>
      <c r="C1512">
        <v>84</v>
      </c>
      <c r="D1512">
        <v>3</v>
      </c>
      <c r="E1512">
        <v>18.5</v>
      </c>
      <c r="F1512">
        <v>0</v>
      </c>
      <c r="G1512">
        <v>22.3</v>
      </c>
      <c r="H1512">
        <v>3</v>
      </c>
      <c r="I1512">
        <v>30.7</v>
      </c>
      <c r="J1512">
        <v>33</v>
      </c>
      <c r="K1512">
        <v>19</v>
      </c>
      <c r="L1512">
        <v>0</v>
      </c>
      <c r="M1512">
        <v>2</v>
      </c>
      <c r="N1512">
        <v>0</v>
      </c>
      <c r="O1512">
        <v>725</v>
      </c>
      <c r="P1512">
        <v>0</v>
      </c>
      <c r="Q1512">
        <v>-502</v>
      </c>
    </row>
    <row r="1513" spans="1:17" x14ac:dyDescent="0.45">
      <c r="A1513">
        <v>12</v>
      </c>
      <c r="B1513" t="s">
        <v>1570</v>
      </c>
      <c r="C1513">
        <v>1149</v>
      </c>
      <c r="D1513">
        <v>3</v>
      </c>
      <c r="E1513">
        <v>816.3</v>
      </c>
      <c r="F1513">
        <v>60.2</v>
      </c>
      <c r="G1513">
        <v>2143.5</v>
      </c>
      <c r="H1513">
        <v>3</v>
      </c>
      <c r="I1513">
        <v>25.15</v>
      </c>
      <c r="J1513">
        <v>366</v>
      </c>
      <c r="K1513">
        <v>165</v>
      </c>
      <c r="L1513">
        <v>40</v>
      </c>
      <c r="M1513">
        <v>46</v>
      </c>
      <c r="N1513">
        <v>0</v>
      </c>
      <c r="O1513">
        <v>2129</v>
      </c>
      <c r="P1513">
        <v>66.45</v>
      </c>
      <c r="Q1513">
        <v>-301</v>
      </c>
    </row>
    <row r="1514" spans="1:17" x14ac:dyDescent="0.45">
      <c r="A1514">
        <v>879</v>
      </c>
      <c r="B1514" t="s">
        <v>1571</v>
      </c>
      <c r="C1514">
        <v>3086</v>
      </c>
      <c r="D1514">
        <v>3</v>
      </c>
      <c r="E1514">
        <v>3628.3</v>
      </c>
      <c r="F1514">
        <v>0</v>
      </c>
      <c r="G1514">
        <v>3570.2</v>
      </c>
      <c r="H1514">
        <v>2</v>
      </c>
      <c r="I1514">
        <v>24.84</v>
      </c>
      <c r="J1514">
        <v>1240</v>
      </c>
      <c r="K1514">
        <v>489</v>
      </c>
      <c r="L1514">
        <v>48</v>
      </c>
      <c r="M1514">
        <v>118</v>
      </c>
      <c r="N1514">
        <v>0</v>
      </c>
      <c r="O1514">
        <v>8616</v>
      </c>
      <c r="P1514">
        <v>0</v>
      </c>
      <c r="Q1514">
        <v>-3151</v>
      </c>
    </row>
    <row r="1515" spans="1:17" x14ac:dyDescent="0.45">
      <c r="A1515">
        <v>590</v>
      </c>
      <c r="B1515" t="s">
        <v>1572</v>
      </c>
      <c r="C1515">
        <v>2549</v>
      </c>
      <c r="D1515">
        <v>2</v>
      </c>
      <c r="E1515">
        <v>3784.2</v>
      </c>
      <c r="F1515">
        <v>19.600000000000001</v>
      </c>
      <c r="G1515">
        <v>2420.4</v>
      </c>
      <c r="H1515">
        <v>2</v>
      </c>
      <c r="I1515">
        <v>24.84</v>
      </c>
      <c r="J1515">
        <v>875</v>
      </c>
      <c r="K1515">
        <v>361</v>
      </c>
      <c r="L1515">
        <v>49</v>
      </c>
      <c r="M1515">
        <v>89</v>
      </c>
      <c r="N1515">
        <v>0</v>
      </c>
      <c r="O1515">
        <v>807</v>
      </c>
      <c r="P1515">
        <v>0</v>
      </c>
      <c r="Q1515">
        <v>-1024</v>
      </c>
    </row>
    <row r="1516" spans="1:17" x14ac:dyDescent="0.45">
      <c r="A1516">
        <v>4111</v>
      </c>
      <c r="B1516" t="s">
        <v>1573</v>
      </c>
      <c r="C1516">
        <v>1527</v>
      </c>
      <c r="D1516">
        <v>3</v>
      </c>
      <c r="E1516">
        <v>793.8</v>
      </c>
      <c r="F1516">
        <v>0</v>
      </c>
      <c r="G1516">
        <v>695.6</v>
      </c>
      <c r="H1516">
        <v>2</v>
      </c>
      <c r="I1516">
        <v>23.46</v>
      </c>
      <c r="J1516">
        <v>544</v>
      </c>
      <c r="K1516">
        <v>212</v>
      </c>
      <c r="L1516">
        <v>21</v>
      </c>
      <c r="M1516">
        <v>66</v>
      </c>
      <c r="N1516">
        <v>0</v>
      </c>
      <c r="O1516">
        <v>592</v>
      </c>
      <c r="P1516">
        <v>0</v>
      </c>
      <c r="Q1516">
        <v>-542</v>
      </c>
    </row>
    <row r="1517" spans="1:17" x14ac:dyDescent="0.45">
      <c r="A1517">
        <v>1707</v>
      </c>
      <c r="B1517" t="s">
        <v>1574</v>
      </c>
      <c r="C1517">
        <v>11253</v>
      </c>
      <c r="D1517">
        <v>3</v>
      </c>
      <c r="E1517">
        <v>5499.3</v>
      </c>
      <c r="F1517">
        <v>4754.3</v>
      </c>
      <c r="G1517">
        <v>11651.5</v>
      </c>
      <c r="H1517">
        <v>1</v>
      </c>
      <c r="I1517">
        <v>22.43</v>
      </c>
      <c r="J1517">
        <v>6547</v>
      </c>
      <c r="K1517">
        <v>6611</v>
      </c>
      <c r="L1517">
        <v>3722</v>
      </c>
      <c r="M1517">
        <v>6880</v>
      </c>
      <c r="N1517">
        <v>0</v>
      </c>
      <c r="O1517">
        <v>6295</v>
      </c>
      <c r="P1517">
        <v>0</v>
      </c>
      <c r="Q1517">
        <v>-462</v>
      </c>
    </row>
    <row r="1518" spans="1:17" x14ac:dyDescent="0.45">
      <c r="A1518">
        <v>5263</v>
      </c>
      <c r="B1518" t="s">
        <v>1575</v>
      </c>
      <c r="C1518">
        <v>2663</v>
      </c>
      <c r="D1518">
        <v>3</v>
      </c>
      <c r="E1518">
        <v>2481.8000000000002</v>
      </c>
      <c r="F1518">
        <v>1729</v>
      </c>
      <c r="G1518">
        <v>2608</v>
      </c>
      <c r="H1518">
        <v>2</v>
      </c>
      <c r="I1518">
        <v>22.12</v>
      </c>
      <c r="J1518">
        <v>1116</v>
      </c>
      <c r="K1518">
        <v>375</v>
      </c>
      <c r="L1518">
        <v>65</v>
      </c>
      <c r="M1518">
        <v>226</v>
      </c>
      <c r="N1518">
        <v>0</v>
      </c>
      <c r="O1518">
        <v>8</v>
      </c>
      <c r="P1518">
        <v>0</v>
      </c>
      <c r="Q1518">
        <v>-883</v>
      </c>
    </row>
    <row r="1519" spans="1:17" x14ac:dyDescent="0.45">
      <c r="A1519">
        <v>5609</v>
      </c>
      <c r="B1519" t="s">
        <v>1576</v>
      </c>
      <c r="C1519">
        <v>332</v>
      </c>
      <c r="D1519">
        <v>3</v>
      </c>
      <c r="E1519">
        <v>168.4</v>
      </c>
      <c r="F1519">
        <v>672.1</v>
      </c>
      <c r="G1519">
        <v>27.2</v>
      </c>
      <c r="H1519">
        <v>2</v>
      </c>
      <c r="I1519">
        <v>26.72</v>
      </c>
      <c r="J1519">
        <v>130</v>
      </c>
      <c r="K1519">
        <v>31</v>
      </c>
      <c r="L1519">
        <v>5</v>
      </c>
      <c r="M1519">
        <v>21</v>
      </c>
      <c r="N1519">
        <v>0</v>
      </c>
      <c r="O1519">
        <v>60</v>
      </c>
      <c r="P1519">
        <v>0</v>
      </c>
      <c r="Q1519">
        <v>0</v>
      </c>
    </row>
    <row r="1520" spans="1:17" x14ac:dyDescent="0.45">
      <c r="A1520">
        <v>5287</v>
      </c>
      <c r="B1520" t="s">
        <v>1577</v>
      </c>
      <c r="C1520">
        <v>4188</v>
      </c>
      <c r="D1520">
        <v>3</v>
      </c>
      <c r="E1520">
        <v>3249</v>
      </c>
      <c r="F1520">
        <v>137</v>
      </c>
      <c r="G1520">
        <v>6545.2</v>
      </c>
      <c r="H1520">
        <v>2</v>
      </c>
      <c r="I1520">
        <v>22.12</v>
      </c>
      <c r="J1520">
        <v>1717</v>
      </c>
      <c r="K1520">
        <v>764</v>
      </c>
      <c r="L1520">
        <v>75</v>
      </c>
      <c r="M1520">
        <v>274</v>
      </c>
      <c r="N1520">
        <v>0</v>
      </c>
      <c r="O1520">
        <v>809</v>
      </c>
      <c r="P1520">
        <v>0</v>
      </c>
      <c r="Q1520">
        <v>-10818</v>
      </c>
    </row>
    <row r="1521" spans="1:17" x14ac:dyDescent="0.45">
      <c r="A1521">
        <v>5413</v>
      </c>
      <c r="B1521" t="s">
        <v>1578</v>
      </c>
      <c r="C1521">
        <v>1938</v>
      </c>
      <c r="D1521">
        <v>3</v>
      </c>
      <c r="E1521">
        <v>578.4</v>
      </c>
      <c r="F1521">
        <v>1125.2</v>
      </c>
      <c r="G1521">
        <v>2416.5</v>
      </c>
      <c r="H1521">
        <v>2</v>
      </c>
      <c r="I1521">
        <v>26.72</v>
      </c>
      <c r="J1521">
        <v>629</v>
      </c>
      <c r="K1521">
        <v>262</v>
      </c>
      <c r="L1521">
        <v>44</v>
      </c>
      <c r="M1521">
        <v>113</v>
      </c>
      <c r="N1521">
        <v>0</v>
      </c>
      <c r="O1521">
        <v>617</v>
      </c>
      <c r="P1521">
        <v>710.26</v>
      </c>
      <c r="Q1521">
        <v>-381</v>
      </c>
    </row>
    <row r="1522" spans="1:17" x14ac:dyDescent="0.45">
      <c r="A1522">
        <v>6413</v>
      </c>
      <c r="B1522" t="s">
        <v>1579</v>
      </c>
      <c r="C1522">
        <v>1313</v>
      </c>
      <c r="D1522">
        <v>3</v>
      </c>
      <c r="E1522">
        <v>1910.5</v>
      </c>
      <c r="F1522">
        <v>138.5</v>
      </c>
      <c r="G1522">
        <v>1766.6</v>
      </c>
      <c r="H1522">
        <v>3</v>
      </c>
      <c r="I1522">
        <v>36.21</v>
      </c>
      <c r="J1522">
        <v>554</v>
      </c>
      <c r="K1522">
        <v>187</v>
      </c>
      <c r="L1522">
        <v>39</v>
      </c>
      <c r="M1522">
        <v>74</v>
      </c>
      <c r="N1522">
        <v>0</v>
      </c>
      <c r="O1522">
        <v>3200</v>
      </c>
      <c r="P1522">
        <v>44.3</v>
      </c>
      <c r="Q1522">
        <v>-3211</v>
      </c>
    </row>
    <row r="1523" spans="1:17" x14ac:dyDescent="0.45">
      <c r="A1523">
        <v>704</v>
      </c>
      <c r="B1523" t="s">
        <v>1580</v>
      </c>
      <c r="C1523">
        <v>190</v>
      </c>
      <c r="D1523">
        <v>2</v>
      </c>
      <c r="E1523">
        <v>464.7</v>
      </c>
      <c r="F1523">
        <v>0</v>
      </c>
      <c r="G1523">
        <v>1298.4000000000001</v>
      </c>
      <c r="H1523">
        <v>3</v>
      </c>
      <c r="I1523">
        <v>26.41</v>
      </c>
      <c r="J1523">
        <v>94</v>
      </c>
      <c r="K1523">
        <v>36</v>
      </c>
      <c r="L1523">
        <v>2</v>
      </c>
      <c r="M1523">
        <v>8</v>
      </c>
      <c r="N1523">
        <v>0</v>
      </c>
      <c r="O1523">
        <v>986</v>
      </c>
      <c r="P1523">
        <v>1054.3399999999999</v>
      </c>
      <c r="Q1523">
        <v>-1264</v>
      </c>
    </row>
    <row r="1524" spans="1:17" x14ac:dyDescent="0.45">
      <c r="A1524">
        <v>2479</v>
      </c>
      <c r="B1524" t="s">
        <v>1581</v>
      </c>
      <c r="C1524">
        <v>1382</v>
      </c>
      <c r="D1524">
        <v>2</v>
      </c>
      <c r="E1524">
        <v>1992.2</v>
      </c>
      <c r="F1524">
        <v>0</v>
      </c>
      <c r="G1524">
        <v>1448.4</v>
      </c>
      <c r="H1524">
        <v>3</v>
      </c>
      <c r="I1524">
        <v>28.59</v>
      </c>
      <c r="J1524">
        <v>460</v>
      </c>
      <c r="K1524">
        <v>191</v>
      </c>
      <c r="L1524">
        <v>40</v>
      </c>
      <c r="M1524">
        <v>54</v>
      </c>
      <c r="N1524">
        <v>0</v>
      </c>
      <c r="O1524">
        <v>1566</v>
      </c>
      <c r="P1524">
        <v>132.9</v>
      </c>
      <c r="Q1524">
        <v>-341</v>
      </c>
    </row>
    <row r="1525" spans="1:17" x14ac:dyDescent="0.45">
      <c r="A1525">
        <v>2790</v>
      </c>
      <c r="B1525" t="s">
        <v>1582</v>
      </c>
      <c r="C1525">
        <v>264</v>
      </c>
      <c r="D1525">
        <v>1</v>
      </c>
      <c r="E1525">
        <v>587.20000000000005</v>
      </c>
      <c r="F1525">
        <v>0.8</v>
      </c>
      <c r="G1525">
        <v>191.2</v>
      </c>
      <c r="H1525">
        <v>3</v>
      </c>
      <c r="I1525">
        <v>22.09</v>
      </c>
      <c r="J1525">
        <v>114</v>
      </c>
      <c r="K1525">
        <v>47</v>
      </c>
      <c r="L1525">
        <v>4</v>
      </c>
      <c r="M1525">
        <v>9</v>
      </c>
      <c r="N1525">
        <v>0</v>
      </c>
      <c r="O1525">
        <v>1845</v>
      </c>
      <c r="P1525">
        <v>16.97</v>
      </c>
      <c r="Q1525">
        <v>-562</v>
      </c>
    </row>
    <row r="1526" spans="1:17" x14ac:dyDescent="0.45">
      <c r="A1526">
        <v>1142</v>
      </c>
      <c r="B1526" t="s">
        <v>1583</v>
      </c>
      <c r="C1526">
        <v>768</v>
      </c>
      <c r="D1526">
        <v>3</v>
      </c>
      <c r="E1526">
        <v>711.1</v>
      </c>
      <c r="F1526">
        <v>4.0999999999999996</v>
      </c>
      <c r="G1526">
        <v>1048.9000000000001</v>
      </c>
      <c r="H1526">
        <v>3</v>
      </c>
      <c r="I1526">
        <v>26.39</v>
      </c>
      <c r="J1526">
        <v>371</v>
      </c>
      <c r="K1526">
        <v>168</v>
      </c>
      <c r="L1526">
        <v>22</v>
      </c>
      <c r="M1526">
        <v>32</v>
      </c>
      <c r="N1526">
        <v>0</v>
      </c>
      <c r="O1526">
        <v>2610</v>
      </c>
      <c r="P1526">
        <v>0</v>
      </c>
      <c r="Q1526">
        <v>-321</v>
      </c>
    </row>
    <row r="1527" spans="1:17" x14ac:dyDescent="0.45">
      <c r="A1527">
        <v>337</v>
      </c>
      <c r="B1527" t="s">
        <v>1584</v>
      </c>
      <c r="C1527">
        <v>4250</v>
      </c>
      <c r="D1527">
        <v>2</v>
      </c>
      <c r="E1527">
        <v>4678.3999999999996</v>
      </c>
      <c r="F1527">
        <v>0</v>
      </c>
      <c r="G1527">
        <v>3318.8</v>
      </c>
      <c r="H1527">
        <v>3</v>
      </c>
      <c r="I1527">
        <v>26.41</v>
      </c>
      <c r="J1527">
        <v>1586</v>
      </c>
      <c r="K1527">
        <v>581</v>
      </c>
      <c r="L1527">
        <v>88</v>
      </c>
      <c r="M1527">
        <v>179</v>
      </c>
      <c r="N1527">
        <v>0</v>
      </c>
      <c r="O1527">
        <v>863</v>
      </c>
      <c r="P1527">
        <v>0</v>
      </c>
      <c r="Q1527">
        <v>-442</v>
      </c>
    </row>
    <row r="1528" spans="1:17" x14ac:dyDescent="0.45">
      <c r="A1528">
        <v>4431</v>
      </c>
      <c r="B1528" t="s">
        <v>1585</v>
      </c>
      <c r="C1528">
        <v>3358</v>
      </c>
      <c r="D1528">
        <v>3</v>
      </c>
      <c r="E1528">
        <v>3997.8</v>
      </c>
      <c r="F1528">
        <v>556</v>
      </c>
      <c r="G1528">
        <v>7919.9</v>
      </c>
      <c r="H1528">
        <v>1</v>
      </c>
      <c r="I1528">
        <v>21</v>
      </c>
      <c r="J1528">
        <v>1311</v>
      </c>
      <c r="K1528">
        <v>612</v>
      </c>
      <c r="L1528">
        <v>141</v>
      </c>
      <c r="M1528">
        <v>154</v>
      </c>
      <c r="N1528">
        <v>0</v>
      </c>
      <c r="O1528">
        <v>5809</v>
      </c>
      <c r="P1528">
        <v>0</v>
      </c>
      <c r="Q1528">
        <v>-261</v>
      </c>
    </row>
    <row r="1529" spans="1:17" x14ac:dyDescent="0.45">
      <c r="A1529">
        <v>338</v>
      </c>
      <c r="B1529" t="s">
        <v>1586</v>
      </c>
      <c r="C1529">
        <v>1572</v>
      </c>
      <c r="D1529">
        <v>2</v>
      </c>
      <c r="E1529">
        <v>1609.5</v>
      </c>
      <c r="F1529">
        <v>0</v>
      </c>
      <c r="G1529">
        <v>3377.8</v>
      </c>
      <c r="H1529">
        <v>3</v>
      </c>
      <c r="I1529">
        <v>26.41</v>
      </c>
      <c r="J1529">
        <v>734</v>
      </c>
      <c r="K1529">
        <v>233</v>
      </c>
      <c r="L1529">
        <v>23</v>
      </c>
      <c r="M1529">
        <v>63</v>
      </c>
      <c r="N1529">
        <v>0</v>
      </c>
      <c r="O1529">
        <v>1210</v>
      </c>
      <c r="P1529">
        <v>0</v>
      </c>
      <c r="Q1529">
        <v>-161</v>
      </c>
    </row>
    <row r="1530" spans="1:17" x14ac:dyDescent="0.45">
      <c r="A1530">
        <v>339</v>
      </c>
      <c r="B1530" t="s">
        <v>1587</v>
      </c>
      <c r="C1530">
        <v>384</v>
      </c>
      <c r="D1530">
        <v>3</v>
      </c>
      <c r="E1530">
        <v>222.9</v>
      </c>
      <c r="F1530">
        <v>0</v>
      </c>
      <c r="G1530">
        <v>328.5</v>
      </c>
      <c r="H1530">
        <v>3</v>
      </c>
      <c r="I1530">
        <v>26.41</v>
      </c>
      <c r="J1530">
        <v>165</v>
      </c>
      <c r="K1530">
        <v>71</v>
      </c>
      <c r="L1530">
        <v>8</v>
      </c>
      <c r="M1530">
        <v>14</v>
      </c>
      <c r="N1530">
        <v>0</v>
      </c>
      <c r="O1530">
        <v>3443</v>
      </c>
      <c r="P1530">
        <v>0</v>
      </c>
      <c r="Q1530">
        <v>-341</v>
      </c>
    </row>
    <row r="1531" spans="1:17" x14ac:dyDescent="0.45">
      <c r="A1531">
        <v>5861</v>
      </c>
      <c r="B1531" t="s">
        <v>1588</v>
      </c>
      <c r="C1531">
        <v>6322</v>
      </c>
      <c r="D1531">
        <v>3</v>
      </c>
      <c r="E1531">
        <v>2785</v>
      </c>
      <c r="F1531">
        <v>7103.2</v>
      </c>
      <c r="G1531">
        <v>1722.2</v>
      </c>
      <c r="H1531">
        <v>2</v>
      </c>
      <c r="I1531">
        <v>26.72</v>
      </c>
      <c r="J1531">
        <v>2154</v>
      </c>
      <c r="K1531">
        <v>866</v>
      </c>
      <c r="L1531">
        <v>148</v>
      </c>
      <c r="M1531">
        <v>482</v>
      </c>
      <c r="N1531">
        <v>0</v>
      </c>
      <c r="O1531">
        <v>483</v>
      </c>
      <c r="P1531">
        <v>1517.28</v>
      </c>
      <c r="Q1531">
        <v>-20</v>
      </c>
    </row>
    <row r="1532" spans="1:17" x14ac:dyDescent="0.45">
      <c r="A1532">
        <v>5761</v>
      </c>
      <c r="B1532" t="s">
        <v>1589</v>
      </c>
      <c r="C1532">
        <v>559</v>
      </c>
      <c r="D1532">
        <v>3</v>
      </c>
      <c r="E1532">
        <v>578</v>
      </c>
      <c r="F1532">
        <v>543.20000000000005</v>
      </c>
      <c r="G1532">
        <v>653.6</v>
      </c>
      <c r="H1532">
        <v>3</v>
      </c>
      <c r="I1532">
        <v>35.86</v>
      </c>
      <c r="J1532">
        <v>203</v>
      </c>
      <c r="K1532">
        <v>57</v>
      </c>
      <c r="L1532">
        <v>9</v>
      </c>
      <c r="M1532">
        <v>35</v>
      </c>
      <c r="N1532">
        <v>0</v>
      </c>
      <c r="O1532">
        <v>835</v>
      </c>
      <c r="P1532">
        <v>0</v>
      </c>
      <c r="Q1532">
        <v>-943</v>
      </c>
    </row>
    <row r="1533" spans="1:17" x14ac:dyDescent="0.45">
      <c r="A1533">
        <v>5592</v>
      </c>
      <c r="B1533" t="s">
        <v>1590</v>
      </c>
      <c r="C1533">
        <v>3788</v>
      </c>
      <c r="D1533">
        <v>2</v>
      </c>
      <c r="E1533">
        <v>4434.7</v>
      </c>
      <c r="F1533">
        <v>2637.4</v>
      </c>
      <c r="G1533">
        <v>3258.7</v>
      </c>
      <c r="H1533">
        <v>1</v>
      </c>
      <c r="I1533">
        <v>19.809999999999999</v>
      </c>
      <c r="J1533">
        <v>1730</v>
      </c>
      <c r="K1533">
        <v>544</v>
      </c>
      <c r="L1533">
        <v>116</v>
      </c>
      <c r="M1533">
        <v>391</v>
      </c>
      <c r="N1533">
        <v>0</v>
      </c>
      <c r="O1533">
        <v>77</v>
      </c>
      <c r="P1533">
        <v>0</v>
      </c>
      <c r="Q1533">
        <v>-20</v>
      </c>
    </row>
    <row r="1534" spans="1:17" x14ac:dyDescent="0.45">
      <c r="A1534">
        <v>5645</v>
      </c>
      <c r="B1534" t="s">
        <v>1591</v>
      </c>
      <c r="C1534">
        <v>460</v>
      </c>
      <c r="D1534">
        <v>3</v>
      </c>
      <c r="E1534">
        <v>518.4</v>
      </c>
      <c r="F1534">
        <v>167</v>
      </c>
      <c r="G1534">
        <v>771.7</v>
      </c>
      <c r="H1534">
        <v>3</v>
      </c>
      <c r="I1534">
        <v>35.86</v>
      </c>
      <c r="J1534">
        <v>332</v>
      </c>
      <c r="K1534">
        <v>78</v>
      </c>
      <c r="L1534">
        <v>31</v>
      </c>
      <c r="M1534">
        <v>77</v>
      </c>
      <c r="N1534">
        <v>0</v>
      </c>
      <c r="O1534">
        <v>598</v>
      </c>
      <c r="P1534">
        <v>0</v>
      </c>
      <c r="Q1534">
        <v>-60</v>
      </c>
    </row>
    <row r="1535" spans="1:17" x14ac:dyDescent="0.45">
      <c r="A1535">
        <v>4436</v>
      </c>
      <c r="B1535" t="s">
        <v>1592</v>
      </c>
      <c r="C1535">
        <v>11556</v>
      </c>
      <c r="D1535">
        <v>3</v>
      </c>
      <c r="E1535">
        <v>8574.5</v>
      </c>
      <c r="F1535">
        <v>7845.4</v>
      </c>
      <c r="G1535">
        <v>10354.299999999999</v>
      </c>
      <c r="H1535">
        <v>1</v>
      </c>
      <c r="I1535">
        <v>21</v>
      </c>
      <c r="J1535">
        <v>3869</v>
      </c>
      <c r="K1535">
        <v>1684</v>
      </c>
      <c r="L1535">
        <v>194</v>
      </c>
      <c r="M1535">
        <v>446</v>
      </c>
      <c r="N1535">
        <v>0</v>
      </c>
      <c r="O1535">
        <v>1472</v>
      </c>
      <c r="P1535">
        <v>2938.55</v>
      </c>
      <c r="Q1535">
        <v>-401</v>
      </c>
    </row>
    <row r="1536" spans="1:17" x14ac:dyDescent="0.45">
      <c r="A1536">
        <v>442</v>
      </c>
      <c r="B1536" t="s">
        <v>1594</v>
      </c>
      <c r="C1536">
        <v>222</v>
      </c>
      <c r="D1536">
        <v>2</v>
      </c>
      <c r="E1536">
        <v>305.89999999999998</v>
      </c>
      <c r="F1536">
        <v>2.9</v>
      </c>
      <c r="G1536">
        <v>142.1</v>
      </c>
      <c r="H1536">
        <v>3</v>
      </c>
      <c r="I1536">
        <v>26.41</v>
      </c>
      <c r="J1536">
        <v>95</v>
      </c>
      <c r="K1536">
        <v>32</v>
      </c>
      <c r="L1536">
        <v>5</v>
      </c>
      <c r="M1536">
        <v>14</v>
      </c>
      <c r="N1536">
        <v>0</v>
      </c>
      <c r="O1536">
        <v>1044</v>
      </c>
      <c r="P1536">
        <v>0</v>
      </c>
      <c r="Q1536">
        <v>-702</v>
      </c>
    </row>
    <row r="1537" spans="1:17" x14ac:dyDescent="0.45">
      <c r="A1537">
        <v>2096</v>
      </c>
      <c r="B1537" t="s">
        <v>1595</v>
      </c>
      <c r="C1537">
        <v>5593</v>
      </c>
      <c r="D1537">
        <v>3</v>
      </c>
      <c r="E1537">
        <v>3788.7</v>
      </c>
      <c r="F1537">
        <v>787.1</v>
      </c>
      <c r="G1537">
        <v>6451.1</v>
      </c>
      <c r="H1537">
        <v>2</v>
      </c>
      <c r="I1537">
        <v>28.63</v>
      </c>
      <c r="J1537">
        <v>2214</v>
      </c>
      <c r="K1537">
        <v>820</v>
      </c>
      <c r="L1537">
        <v>93</v>
      </c>
      <c r="M1537">
        <v>276</v>
      </c>
      <c r="N1537">
        <v>0</v>
      </c>
      <c r="O1537">
        <v>5571</v>
      </c>
      <c r="P1537">
        <v>664.5</v>
      </c>
      <c r="Q1537">
        <v>-281</v>
      </c>
    </row>
    <row r="1538" spans="1:17" x14ac:dyDescent="0.45">
      <c r="A1538">
        <v>1007</v>
      </c>
      <c r="B1538" t="s">
        <v>1596</v>
      </c>
      <c r="C1538">
        <v>638</v>
      </c>
      <c r="D1538">
        <v>3</v>
      </c>
      <c r="E1538">
        <v>314.89999999999998</v>
      </c>
      <c r="F1538">
        <v>0</v>
      </c>
      <c r="G1538">
        <v>2336.1999999999998</v>
      </c>
      <c r="H1538">
        <v>3</v>
      </c>
      <c r="I1538">
        <v>26.39</v>
      </c>
      <c r="J1538">
        <v>192</v>
      </c>
      <c r="K1538">
        <v>149</v>
      </c>
      <c r="L1538">
        <v>2</v>
      </c>
      <c r="M1538">
        <v>16</v>
      </c>
      <c r="N1538">
        <v>0</v>
      </c>
      <c r="O1538">
        <v>8416</v>
      </c>
      <c r="P1538">
        <v>0</v>
      </c>
      <c r="Q1538">
        <v>-4315</v>
      </c>
    </row>
    <row r="1539" spans="1:17" x14ac:dyDescent="0.45">
      <c r="A1539">
        <v>5125</v>
      </c>
      <c r="B1539" t="s">
        <v>1597</v>
      </c>
      <c r="C1539">
        <v>538</v>
      </c>
      <c r="D1539">
        <v>3</v>
      </c>
      <c r="E1539">
        <v>2241.6999999999998</v>
      </c>
      <c r="F1539">
        <v>41.3</v>
      </c>
      <c r="G1539">
        <v>1317.4</v>
      </c>
      <c r="H1539">
        <v>3</v>
      </c>
      <c r="I1539">
        <v>25.45</v>
      </c>
      <c r="J1539">
        <v>265</v>
      </c>
      <c r="K1539">
        <v>80</v>
      </c>
      <c r="L1539">
        <v>20</v>
      </c>
      <c r="M1539">
        <v>37</v>
      </c>
      <c r="N1539">
        <v>0</v>
      </c>
      <c r="O1539">
        <v>27</v>
      </c>
      <c r="P1539">
        <v>0</v>
      </c>
      <c r="Q1539">
        <v>-763</v>
      </c>
    </row>
    <row r="1540" spans="1:17" x14ac:dyDescent="0.45">
      <c r="A1540">
        <v>3711</v>
      </c>
      <c r="B1540" t="s">
        <v>1598</v>
      </c>
      <c r="C1540">
        <v>59</v>
      </c>
      <c r="D1540">
        <v>3</v>
      </c>
      <c r="E1540">
        <v>16.2</v>
      </c>
      <c r="F1540">
        <v>0</v>
      </c>
      <c r="G1540">
        <v>319.2</v>
      </c>
      <c r="H1540">
        <v>3</v>
      </c>
      <c r="I1540">
        <v>29.04</v>
      </c>
      <c r="J1540">
        <v>16</v>
      </c>
      <c r="K1540">
        <v>22</v>
      </c>
      <c r="L1540">
        <v>6</v>
      </c>
      <c r="M1540">
        <v>3</v>
      </c>
      <c r="N1540">
        <v>0</v>
      </c>
      <c r="O1540">
        <v>255</v>
      </c>
      <c r="P1540">
        <v>0</v>
      </c>
      <c r="Q1540">
        <v>-281</v>
      </c>
    </row>
    <row r="1541" spans="1:17" x14ac:dyDescent="0.45">
      <c r="A1541">
        <v>1065</v>
      </c>
      <c r="B1541" t="s">
        <v>1599</v>
      </c>
      <c r="C1541">
        <v>5498</v>
      </c>
      <c r="D1541">
        <v>2</v>
      </c>
      <c r="E1541">
        <v>3769.1</v>
      </c>
      <c r="F1541">
        <v>47.9</v>
      </c>
      <c r="G1541">
        <v>11336.5</v>
      </c>
      <c r="H1541">
        <v>2</v>
      </c>
      <c r="I1541">
        <v>28.41</v>
      </c>
      <c r="J1541">
        <v>1785</v>
      </c>
      <c r="K1541">
        <v>873</v>
      </c>
      <c r="L1541">
        <v>128</v>
      </c>
      <c r="M1541">
        <v>311</v>
      </c>
      <c r="N1541">
        <v>0</v>
      </c>
      <c r="O1541">
        <v>1598</v>
      </c>
      <c r="P1541">
        <v>154249</v>
      </c>
      <c r="Q1541">
        <v>-442</v>
      </c>
    </row>
    <row r="1542" spans="1:17" x14ac:dyDescent="0.45">
      <c r="A1542">
        <v>5798</v>
      </c>
      <c r="B1542" t="s">
        <v>1600</v>
      </c>
      <c r="C1542">
        <v>527</v>
      </c>
      <c r="D1542">
        <v>3</v>
      </c>
      <c r="E1542">
        <v>523.70000000000005</v>
      </c>
      <c r="F1542">
        <v>357.1</v>
      </c>
      <c r="G1542">
        <v>713.1</v>
      </c>
      <c r="H1542">
        <v>3</v>
      </c>
      <c r="I1542">
        <v>35.86</v>
      </c>
      <c r="J1542">
        <v>207</v>
      </c>
      <c r="K1542">
        <v>75</v>
      </c>
      <c r="L1542">
        <v>16</v>
      </c>
      <c r="M1542">
        <v>48</v>
      </c>
      <c r="N1542">
        <v>0</v>
      </c>
      <c r="O1542">
        <v>1587</v>
      </c>
      <c r="P1542">
        <v>42.09</v>
      </c>
      <c r="Q1542">
        <v>-181</v>
      </c>
    </row>
    <row r="1543" spans="1:17" x14ac:dyDescent="0.45">
      <c r="A1543">
        <v>68</v>
      </c>
      <c r="B1543" t="s">
        <v>1601</v>
      </c>
      <c r="C1543">
        <v>2908</v>
      </c>
      <c r="D1543">
        <v>3</v>
      </c>
      <c r="E1543">
        <v>2903.3</v>
      </c>
      <c r="F1543">
        <v>6</v>
      </c>
      <c r="G1543">
        <v>988.3</v>
      </c>
      <c r="H1543">
        <v>1</v>
      </c>
      <c r="I1543">
        <v>15.69</v>
      </c>
      <c r="J1543">
        <v>1053</v>
      </c>
      <c r="K1543">
        <v>464</v>
      </c>
      <c r="L1543">
        <v>66</v>
      </c>
      <c r="M1543">
        <v>161</v>
      </c>
      <c r="N1543">
        <v>0</v>
      </c>
      <c r="O1543">
        <v>507</v>
      </c>
      <c r="P1543">
        <v>1356.33</v>
      </c>
      <c r="Q1543">
        <v>-381</v>
      </c>
    </row>
    <row r="1544" spans="1:17" x14ac:dyDescent="0.45">
      <c r="A1544">
        <v>3215</v>
      </c>
      <c r="B1544" t="s">
        <v>1602</v>
      </c>
      <c r="C1544">
        <v>9777</v>
      </c>
      <c r="D1544">
        <v>3</v>
      </c>
      <c r="E1544">
        <v>7895.1</v>
      </c>
      <c r="F1544">
        <v>5772.7</v>
      </c>
      <c r="G1544">
        <v>2198</v>
      </c>
      <c r="H1544">
        <v>1</v>
      </c>
      <c r="I1544">
        <v>22.7</v>
      </c>
      <c r="J1544">
        <v>2577</v>
      </c>
      <c r="K1544">
        <v>1473</v>
      </c>
      <c r="L1544">
        <v>141</v>
      </c>
      <c r="M1544">
        <v>344</v>
      </c>
      <c r="N1544">
        <v>0</v>
      </c>
      <c r="O1544">
        <v>0</v>
      </c>
      <c r="P1544">
        <v>0</v>
      </c>
      <c r="Q1544">
        <v>0</v>
      </c>
    </row>
    <row r="1545" spans="1:17" x14ac:dyDescent="0.45">
      <c r="A1545">
        <v>3216</v>
      </c>
      <c r="B1545" t="s">
        <v>1603</v>
      </c>
      <c r="C1545">
        <v>7620</v>
      </c>
      <c r="D1545">
        <v>3</v>
      </c>
      <c r="E1545">
        <v>5215.8999999999996</v>
      </c>
      <c r="F1545">
        <v>5429.8</v>
      </c>
      <c r="G1545">
        <v>4465.5</v>
      </c>
      <c r="H1545">
        <v>1</v>
      </c>
      <c r="I1545">
        <v>22.7</v>
      </c>
      <c r="J1545">
        <v>2619</v>
      </c>
      <c r="K1545">
        <v>1172</v>
      </c>
      <c r="L1545">
        <v>146</v>
      </c>
      <c r="M1545">
        <v>440</v>
      </c>
      <c r="N1545">
        <v>0</v>
      </c>
      <c r="O1545">
        <v>1760</v>
      </c>
      <c r="P1545">
        <v>0</v>
      </c>
      <c r="Q1545">
        <v>-341</v>
      </c>
    </row>
    <row r="1546" spans="1:17" x14ac:dyDescent="0.45">
      <c r="A1546">
        <v>3808</v>
      </c>
      <c r="B1546" t="s">
        <v>1605</v>
      </c>
      <c r="C1546">
        <v>158</v>
      </c>
      <c r="D1546">
        <v>3</v>
      </c>
      <c r="E1546">
        <v>77.400000000000006</v>
      </c>
      <c r="F1546">
        <v>0</v>
      </c>
      <c r="G1546">
        <v>31.7</v>
      </c>
      <c r="H1546">
        <v>3</v>
      </c>
      <c r="I1546">
        <v>29.04</v>
      </c>
      <c r="J1546">
        <v>71</v>
      </c>
      <c r="K1546">
        <v>40</v>
      </c>
      <c r="L1546">
        <v>2</v>
      </c>
      <c r="M1546">
        <v>16</v>
      </c>
      <c r="N1546">
        <v>0</v>
      </c>
      <c r="O1546">
        <v>5</v>
      </c>
      <c r="P1546">
        <v>16.97</v>
      </c>
      <c r="Q1546">
        <v>-5218</v>
      </c>
    </row>
    <row r="1547" spans="1:17" x14ac:dyDescent="0.45">
      <c r="A1547">
        <v>6721</v>
      </c>
      <c r="B1547" t="s">
        <v>1606</v>
      </c>
      <c r="C1547">
        <v>733</v>
      </c>
      <c r="D1547">
        <v>3</v>
      </c>
      <c r="E1547">
        <v>796.7</v>
      </c>
      <c r="F1547">
        <v>373</v>
      </c>
      <c r="G1547">
        <v>1048.0999999999999</v>
      </c>
      <c r="H1547">
        <v>1</v>
      </c>
      <c r="I1547">
        <v>20.95</v>
      </c>
      <c r="J1547">
        <v>297</v>
      </c>
      <c r="K1547">
        <v>84</v>
      </c>
      <c r="L1547">
        <v>18</v>
      </c>
      <c r="M1547">
        <v>50</v>
      </c>
      <c r="N1547">
        <v>0</v>
      </c>
      <c r="O1547">
        <v>1698</v>
      </c>
      <c r="P1547">
        <v>0</v>
      </c>
      <c r="Q1547">
        <v>-60</v>
      </c>
    </row>
    <row r="1548" spans="1:17" x14ac:dyDescent="0.45">
      <c r="A1548">
        <v>5684</v>
      </c>
      <c r="B1548" t="s">
        <v>1607</v>
      </c>
      <c r="C1548">
        <v>92</v>
      </c>
      <c r="D1548">
        <v>3</v>
      </c>
      <c r="E1548">
        <v>127.2</v>
      </c>
      <c r="F1548">
        <v>9.6</v>
      </c>
      <c r="G1548">
        <v>29.9</v>
      </c>
      <c r="H1548">
        <v>3</v>
      </c>
      <c r="I1548">
        <v>35.86</v>
      </c>
      <c r="J1548">
        <v>40</v>
      </c>
      <c r="K1548">
        <v>12</v>
      </c>
      <c r="L1548">
        <v>2</v>
      </c>
      <c r="M1548">
        <v>5</v>
      </c>
      <c r="N1548">
        <v>0</v>
      </c>
      <c r="O1548">
        <v>275</v>
      </c>
      <c r="P1548">
        <v>0</v>
      </c>
      <c r="Q1548">
        <v>0</v>
      </c>
    </row>
    <row r="1549" spans="1:17" x14ac:dyDescent="0.45">
      <c r="A1549">
        <v>5842</v>
      </c>
      <c r="B1549" t="s">
        <v>1608</v>
      </c>
      <c r="C1549">
        <v>532</v>
      </c>
      <c r="D1549">
        <v>3</v>
      </c>
      <c r="E1549">
        <v>818.8</v>
      </c>
      <c r="F1549">
        <v>0</v>
      </c>
      <c r="G1549">
        <v>1101.3</v>
      </c>
      <c r="H1549">
        <v>3</v>
      </c>
      <c r="I1549">
        <v>35.86</v>
      </c>
      <c r="J1549">
        <v>186</v>
      </c>
      <c r="K1549">
        <v>62</v>
      </c>
      <c r="L1549">
        <v>6</v>
      </c>
      <c r="M1549">
        <v>21</v>
      </c>
      <c r="N1549">
        <v>0</v>
      </c>
      <c r="O1549">
        <v>1960</v>
      </c>
      <c r="P1549">
        <v>39.119999999999997</v>
      </c>
      <c r="Q1549">
        <v>-2228</v>
      </c>
    </row>
    <row r="1550" spans="1:17" x14ac:dyDescent="0.45">
      <c r="A1550">
        <v>3637</v>
      </c>
      <c r="B1550" t="s">
        <v>1610</v>
      </c>
      <c r="C1550">
        <v>301</v>
      </c>
      <c r="D1550">
        <v>3</v>
      </c>
      <c r="E1550">
        <v>301.10000000000002</v>
      </c>
      <c r="F1550">
        <v>0</v>
      </c>
      <c r="G1550">
        <v>337.9</v>
      </c>
      <c r="H1550">
        <v>3</v>
      </c>
      <c r="I1550">
        <v>29.04</v>
      </c>
      <c r="J1550">
        <v>89</v>
      </c>
      <c r="K1550">
        <v>90</v>
      </c>
      <c r="L1550">
        <v>0</v>
      </c>
      <c r="M1550">
        <v>8</v>
      </c>
      <c r="N1550">
        <v>0</v>
      </c>
      <c r="O1550">
        <v>396</v>
      </c>
      <c r="P1550">
        <v>0</v>
      </c>
      <c r="Q1550">
        <v>-421</v>
      </c>
    </row>
    <row r="1551" spans="1:17" x14ac:dyDescent="0.45">
      <c r="A1551">
        <v>1040</v>
      </c>
      <c r="B1551" t="s">
        <v>1611</v>
      </c>
      <c r="C1551">
        <v>7859</v>
      </c>
      <c r="D1551">
        <v>3</v>
      </c>
      <c r="E1551">
        <v>3995.4</v>
      </c>
      <c r="F1551">
        <v>2549.1999999999998</v>
      </c>
      <c r="G1551">
        <v>12145.6</v>
      </c>
      <c r="H1551">
        <v>1</v>
      </c>
      <c r="I1551">
        <v>19.39</v>
      </c>
      <c r="J1551">
        <v>2683</v>
      </c>
      <c r="K1551">
        <v>1401</v>
      </c>
      <c r="L1551">
        <v>297</v>
      </c>
      <c r="M1551">
        <v>506</v>
      </c>
      <c r="N1551">
        <v>0</v>
      </c>
      <c r="O1551">
        <v>9892</v>
      </c>
      <c r="P1551">
        <v>0</v>
      </c>
      <c r="Q1551">
        <v>-482</v>
      </c>
    </row>
    <row r="1552" spans="1:17" x14ac:dyDescent="0.45">
      <c r="A1552">
        <v>2858</v>
      </c>
      <c r="B1552" t="s">
        <v>1612</v>
      </c>
      <c r="C1552">
        <v>780</v>
      </c>
      <c r="D1552">
        <v>1</v>
      </c>
      <c r="E1552">
        <v>770.3</v>
      </c>
      <c r="F1552">
        <v>11.7</v>
      </c>
      <c r="G1552">
        <v>579</v>
      </c>
      <c r="H1552">
        <v>3</v>
      </c>
      <c r="I1552">
        <v>22.09</v>
      </c>
      <c r="J1552">
        <v>252</v>
      </c>
      <c r="K1552">
        <v>160</v>
      </c>
      <c r="L1552">
        <v>24</v>
      </c>
      <c r="M1552">
        <v>24</v>
      </c>
      <c r="N1552">
        <v>0</v>
      </c>
      <c r="O1552">
        <v>1178</v>
      </c>
      <c r="P1552">
        <v>0</v>
      </c>
      <c r="Q1552">
        <v>-1204</v>
      </c>
    </row>
    <row r="1553" spans="1:17" x14ac:dyDescent="0.45">
      <c r="A1553">
        <v>1370</v>
      </c>
      <c r="B1553" t="s">
        <v>1613</v>
      </c>
      <c r="C1553">
        <v>2519</v>
      </c>
      <c r="D1553">
        <v>3</v>
      </c>
      <c r="E1553">
        <v>1136.2</v>
      </c>
      <c r="F1553">
        <v>28</v>
      </c>
      <c r="G1553">
        <v>2895.6</v>
      </c>
      <c r="H1553">
        <v>3</v>
      </c>
      <c r="I1553">
        <v>30.7</v>
      </c>
      <c r="J1553">
        <v>994</v>
      </c>
      <c r="K1553">
        <v>519</v>
      </c>
      <c r="L1553">
        <v>36</v>
      </c>
      <c r="M1553">
        <v>111</v>
      </c>
      <c r="N1553">
        <v>0</v>
      </c>
      <c r="O1553">
        <v>6409</v>
      </c>
      <c r="P1553">
        <v>59.81</v>
      </c>
      <c r="Q1553">
        <v>-2168</v>
      </c>
    </row>
    <row r="1554" spans="1:17" x14ac:dyDescent="0.45">
      <c r="A1554">
        <v>4282</v>
      </c>
      <c r="B1554" t="s">
        <v>1614</v>
      </c>
      <c r="C1554">
        <v>9565</v>
      </c>
      <c r="D1554">
        <v>3</v>
      </c>
      <c r="E1554">
        <v>9347.9</v>
      </c>
      <c r="F1554">
        <v>1643</v>
      </c>
      <c r="G1554">
        <v>8424.1</v>
      </c>
      <c r="H1554">
        <v>1</v>
      </c>
      <c r="I1554">
        <v>20.87</v>
      </c>
      <c r="J1554">
        <v>3654</v>
      </c>
      <c r="K1554">
        <v>1763</v>
      </c>
      <c r="L1554">
        <v>213</v>
      </c>
      <c r="M1554">
        <v>526</v>
      </c>
      <c r="N1554">
        <v>549</v>
      </c>
      <c r="O1554">
        <v>1805</v>
      </c>
      <c r="P1554">
        <v>0</v>
      </c>
      <c r="Q1554">
        <v>-763</v>
      </c>
    </row>
    <row r="1555" spans="1:17" x14ac:dyDescent="0.45">
      <c r="A1555">
        <v>4238</v>
      </c>
      <c r="B1555" t="s">
        <v>1615</v>
      </c>
      <c r="C1555">
        <v>913</v>
      </c>
      <c r="D1555">
        <v>3</v>
      </c>
      <c r="E1555">
        <v>1038.2</v>
      </c>
      <c r="F1555">
        <v>0</v>
      </c>
      <c r="G1555">
        <v>1015.5</v>
      </c>
      <c r="H1555">
        <v>3</v>
      </c>
      <c r="I1555">
        <v>23.9</v>
      </c>
      <c r="J1555">
        <v>440</v>
      </c>
      <c r="K1555">
        <v>163</v>
      </c>
      <c r="L1555">
        <v>20</v>
      </c>
      <c r="M1555">
        <v>57</v>
      </c>
      <c r="N1555">
        <v>0</v>
      </c>
      <c r="O1555">
        <v>1644</v>
      </c>
      <c r="P1555">
        <v>0</v>
      </c>
      <c r="Q1555">
        <v>-201</v>
      </c>
    </row>
    <row r="1556" spans="1:17" x14ac:dyDescent="0.45">
      <c r="A1556">
        <v>5843</v>
      </c>
      <c r="B1556" t="s">
        <v>1616</v>
      </c>
      <c r="C1556">
        <v>829</v>
      </c>
      <c r="D1556">
        <v>3</v>
      </c>
      <c r="E1556">
        <v>3046</v>
      </c>
      <c r="F1556">
        <v>27.9</v>
      </c>
      <c r="G1556">
        <v>611.29999999999995</v>
      </c>
      <c r="H1556">
        <v>3</v>
      </c>
      <c r="I1556">
        <v>35.86</v>
      </c>
      <c r="J1556">
        <v>400</v>
      </c>
      <c r="K1556">
        <v>192</v>
      </c>
      <c r="L1556">
        <v>8</v>
      </c>
      <c r="M1556">
        <v>65</v>
      </c>
      <c r="N1556">
        <v>0</v>
      </c>
      <c r="O1556">
        <v>3766</v>
      </c>
      <c r="P1556">
        <v>98.92</v>
      </c>
      <c r="Q1556">
        <v>-3151</v>
      </c>
    </row>
    <row r="1557" spans="1:17" x14ac:dyDescent="0.45">
      <c r="A1557">
        <v>3834</v>
      </c>
      <c r="B1557" t="s">
        <v>1617</v>
      </c>
      <c r="C1557">
        <v>2625</v>
      </c>
      <c r="D1557">
        <v>3</v>
      </c>
      <c r="E1557">
        <v>2526.3000000000002</v>
      </c>
      <c r="F1557">
        <v>26.9</v>
      </c>
      <c r="G1557">
        <v>1474.4</v>
      </c>
      <c r="H1557">
        <v>2</v>
      </c>
      <c r="I1557">
        <v>21.73</v>
      </c>
      <c r="J1557">
        <v>1083</v>
      </c>
      <c r="K1557">
        <v>432</v>
      </c>
      <c r="L1557">
        <v>53</v>
      </c>
      <c r="M1557">
        <v>209</v>
      </c>
      <c r="N1557">
        <v>0</v>
      </c>
      <c r="O1557">
        <v>392</v>
      </c>
      <c r="P1557">
        <v>0</v>
      </c>
      <c r="Q1557">
        <v>-5840</v>
      </c>
    </row>
    <row r="1558" spans="1:17" x14ac:dyDescent="0.45">
      <c r="A1558">
        <v>5928</v>
      </c>
      <c r="B1558" t="s">
        <v>1618</v>
      </c>
      <c r="C1558">
        <v>194</v>
      </c>
      <c r="D1558">
        <v>3</v>
      </c>
      <c r="E1558">
        <v>210.1</v>
      </c>
      <c r="F1558">
        <v>211.1</v>
      </c>
      <c r="G1558">
        <v>2087.9</v>
      </c>
      <c r="H1558">
        <v>3</v>
      </c>
      <c r="I1558">
        <v>35.86</v>
      </c>
      <c r="J1558">
        <v>80</v>
      </c>
      <c r="K1558">
        <v>29</v>
      </c>
      <c r="L1558">
        <v>5</v>
      </c>
      <c r="M1558">
        <v>4</v>
      </c>
      <c r="N1558">
        <v>0</v>
      </c>
      <c r="O1558">
        <v>2951</v>
      </c>
      <c r="P1558">
        <v>0</v>
      </c>
      <c r="Q1558">
        <v>-120</v>
      </c>
    </row>
    <row r="1559" spans="1:17" x14ac:dyDescent="0.45">
      <c r="A1559">
        <v>623</v>
      </c>
      <c r="B1559" t="s">
        <v>1619</v>
      </c>
      <c r="C1559">
        <v>2910</v>
      </c>
      <c r="D1559">
        <v>3</v>
      </c>
      <c r="E1559">
        <v>2603.4</v>
      </c>
      <c r="F1559">
        <v>144.4</v>
      </c>
      <c r="G1559">
        <v>2989.9</v>
      </c>
      <c r="H1559">
        <v>2</v>
      </c>
      <c r="I1559">
        <v>24.84</v>
      </c>
      <c r="J1559">
        <v>1052</v>
      </c>
      <c r="K1559">
        <v>413</v>
      </c>
      <c r="L1559">
        <v>60</v>
      </c>
      <c r="M1559">
        <v>132</v>
      </c>
      <c r="N1559">
        <v>0</v>
      </c>
      <c r="O1559">
        <v>1927</v>
      </c>
      <c r="P1559">
        <v>0</v>
      </c>
      <c r="Q1559">
        <v>-261</v>
      </c>
    </row>
    <row r="1560" spans="1:17" x14ac:dyDescent="0.45">
      <c r="A1560">
        <v>4075</v>
      </c>
      <c r="B1560" t="s">
        <v>1622</v>
      </c>
      <c r="C1560">
        <v>4618</v>
      </c>
      <c r="D1560">
        <v>3</v>
      </c>
      <c r="E1560">
        <v>5555.1</v>
      </c>
      <c r="F1560">
        <v>25.7</v>
      </c>
      <c r="G1560">
        <v>2440.4</v>
      </c>
      <c r="H1560">
        <v>1</v>
      </c>
      <c r="I1560">
        <v>20.87</v>
      </c>
      <c r="J1560">
        <v>1567</v>
      </c>
      <c r="K1560">
        <v>701</v>
      </c>
      <c r="L1560">
        <v>107</v>
      </c>
      <c r="M1560">
        <v>225</v>
      </c>
      <c r="N1560">
        <v>0</v>
      </c>
      <c r="O1560">
        <v>1814</v>
      </c>
      <c r="P1560">
        <v>249.54</v>
      </c>
      <c r="Q1560">
        <v>-261</v>
      </c>
    </row>
    <row r="1561" spans="1:17" x14ac:dyDescent="0.45">
      <c r="A1561">
        <v>2097</v>
      </c>
      <c r="B1561" t="s">
        <v>1624</v>
      </c>
      <c r="C1561">
        <v>1588</v>
      </c>
      <c r="D1561">
        <v>3</v>
      </c>
      <c r="E1561">
        <v>1523.8</v>
      </c>
      <c r="F1561">
        <v>224.6</v>
      </c>
      <c r="G1561">
        <v>2629.3</v>
      </c>
      <c r="H1561">
        <v>3</v>
      </c>
      <c r="I1561">
        <v>36.93</v>
      </c>
      <c r="J1561">
        <v>703</v>
      </c>
      <c r="K1561">
        <v>206</v>
      </c>
      <c r="L1561">
        <v>39</v>
      </c>
      <c r="M1561">
        <v>119</v>
      </c>
      <c r="N1561">
        <v>0</v>
      </c>
      <c r="O1561">
        <v>4833</v>
      </c>
      <c r="P1561">
        <v>0</v>
      </c>
      <c r="Q1561">
        <v>-381</v>
      </c>
    </row>
    <row r="1562" spans="1:17" x14ac:dyDescent="0.45">
      <c r="A1562">
        <v>5534</v>
      </c>
      <c r="B1562" t="s">
        <v>1627</v>
      </c>
      <c r="C1562">
        <v>303</v>
      </c>
      <c r="D1562">
        <v>3</v>
      </c>
      <c r="E1562">
        <v>151.1</v>
      </c>
      <c r="F1562">
        <v>286.39999999999998</v>
      </c>
      <c r="G1562">
        <v>1578.1</v>
      </c>
      <c r="H1562">
        <v>2</v>
      </c>
      <c r="I1562">
        <v>26.72</v>
      </c>
      <c r="J1562">
        <v>122</v>
      </c>
      <c r="K1562">
        <v>36</v>
      </c>
      <c r="L1562">
        <v>8</v>
      </c>
      <c r="M1562">
        <v>30</v>
      </c>
      <c r="N1562">
        <v>0</v>
      </c>
      <c r="O1562">
        <v>828</v>
      </c>
      <c r="P1562">
        <v>0</v>
      </c>
      <c r="Q1562">
        <v>-80</v>
      </c>
    </row>
    <row r="1563" spans="1:17" x14ac:dyDescent="0.45">
      <c r="A1563">
        <v>421</v>
      </c>
      <c r="B1563" t="s">
        <v>1629</v>
      </c>
      <c r="C1563">
        <v>78</v>
      </c>
      <c r="D1563">
        <v>3</v>
      </c>
      <c r="E1563">
        <v>49.8</v>
      </c>
      <c r="F1563">
        <v>0</v>
      </c>
      <c r="G1563">
        <v>60.8</v>
      </c>
      <c r="H1563">
        <v>3</v>
      </c>
      <c r="I1563">
        <v>26.41</v>
      </c>
      <c r="J1563">
        <v>39</v>
      </c>
      <c r="K1563">
        <v>28</v>
      </c>
      <c r="L1563">
        <v>2</v>
      </c>
      <c r="M1563">
        <v>1</v>
      </c>
      <c r="N1563">
        <v>0</v>
      </c>
      <c r="O1563">
        <v>1278</v>
      </c>
      <c r="P1563">
        <v>0</v>
      </c>
      <c r="Q1563">
        <v>-140</v>
      </c>
    </row>
    <row r="1564" spans="1:17" x14ac:dyDescent="0.45">
      <c r="A1564">
        <v>987</v>
      </c>
      <c r="B1564" t="s">
        <v>1630</v>
      </c>
      <c r="C1564">
        <v>510</v>
      </c>
      <c r="D1564">
        <v>2</v>
      </c>
      <c r="E1564">
        <v>647.6</v>
      </c>
      <c r="F1564">
        <v>0</v>
      </c>
      <c r="G1564">
        <v>567.5</v>
      </c>
      <c r="H1564">
        <v>3</v>
      </c>
      <c r="I1564">
        <v>26.41</v>
      </c>
      <c r="J1564">
        <v>211</v>
      </c>
      <c r="K1564">
        <v>107</v>
      </c>
      <c r="L1564">
        <v>13</v>
      </c>
      <c r="M1564">
        <v>14</v>
      </c>
      <c r="N1564">
        <v>0</v>
      </c>
      <c r="O1564">
        <v>1679</v>
      </c>
      <c r="P1564">
        <v>0</v>
      </c>
      <c r="Q1564">
        <v>-361</v>
      </c>
    </row>
    <row r="1565" spans="1:17" x14ac:dyDescent="0.45">
      <c r="A1565">
        <v>4206</v>
      </c>
      <c r="B1565" t="s">
        <v>1634</v>
      </c>
      <c r="C1565">
        <v>5912</v>
      </c>
      <c r="D1565">
        <v>3</v>
      </c>
      <c r="E1565">
        <v>4131.6000000000004</v>
      </c>
      <c r="F1565">
        <v>1489.2</v>
      </c>
      <c r="G1565">
        <v>4881.1000000000004</v>
      </c>
      <c r="H1565">
        <v>2</v>
      </c>
      <c r="I1565">
        <v>23.46</v>
      </c>
      <c r="J1565">
        <v>2299</v>
      </c>
      <c r="K1565">
        <v>947</v>
      </c>
      <c r="L1565">
        <v>163</v>
      </c>
      <c r="M1565">
        <v>287</v>
      </c>
      <c r="N1565">
        <v>0</v>
      </c>
      <c r="O1565">
        <v>437</v>
      </c>
      <c r="P1565">
        <v>620.20000000000005</v>
      </c>
      <c r="Q1565">
        <v>-442</v>
      </c>
    </row>
    <row r="1566" spans="1:17" x14ac:dyDescent="0.45">
      <c r="A1566">
        <v>178</v>
      </c>
      <c r="B1566" t="s">
        <v>1637</v>
      </c>
      <c r="C1566">
        <v>4511</v>
      </c>
      <c r="D1566">
        <v>3</v>
      </c>
      <c r="E1566">
        <v>4491.6000000000004</v>
      </c>
      <c r="F1566">
        <v>9.6999999999999993</v>
      </c>
      <c r="G1566">
        <v>2959.1</v>
      </c>
      <c r="H1566">
        <v>2</v>
      </c>
      <c r="I1566">
        <v>24.61</v>
      </c>
      <c r="J1566">
        <v>1706</v>
      </c>
      <c r="K1566">
        <v>677</v>
      </c>
      <c r="L1566">
        <v>168</v>
      </c>
      <c r="M1566">
        <v>256</v>
      </c>
      <c r="N1566">
        <v>0</v>
      </c>
      <c r="O1566">
        <v>3731</v>
      </c>
      <c r="P1566">
        <v>0</v>
      </c>
      <c r="Q1566">
        <v>-1024</v>
      </c>
    </row>
    <row r="1567" spans="1:17" x14ac:dyDescent="0.45">
      <c r="A1567">
        <v>6637</v>
      </c>
      <c r="B1567" t="s">
        <v>1638</v>
      </c>
      <c r="C1567">
        <v>536</v>
      </c>
      <c r="D1567">
        <v>3</v>
      </c>
      <c r="E1567">
        <v>552.5</v>
      </c>
      <c r="F1567">
        <v>419.8</v>
      </c>
      <c r="G1567">
        <v>1427.2</v>
      </c>
      <c r="H1567">
        <v>3</v>
      </c>
      <c r="I1567">
        <v>27.36</v>
      </c>
      <c r="J1567">
        <v>254</v>
      </c>
      <c r="K1567">
        <v>57</v>
      </c>
      <c r="L1567">
        <v>11</v>
      </c>
      <c r="M1567">
        <v>31</v>
      </c>
      <c r="N1567">
        <v>0</v>
      </c>
      <c r="O1567">
        <v>347</v>
      </c>
      <c r="P1567">
        <v>0</v>
      </c>
      <c r="Q1567">
        <v>-241</v>
      </c>
    </row>
    <row r="1568" spans="1:17" x14ac:dyDescent="0.45">
      <c r="A1568">
        <v>1098</v>
      </c>
      <c r="B1568" t="s">
        <v>1639</v>
      </c>
      <c r="C1568">
        <v>7305</v>
      </c>
      <c r="D1568">
        <v>3</v>
      </c>
      <c r="E1568">
        <v>4416</v>
      </c>
      <c r="F1568">
        <v>894.4</v>
      </c>
      <c r="G1568">
        <v>28086.6</v>
      </c>
      <c r="H1568">
        <v>2</v>
      </c>
      <c r="I1568">
        <v>28.41</v>
      </c>
      <c r="J1568">
        <v>2393</v>
      </c>
      <c r="K1568">
        <v>974</v>
      </c>
      <c r="L1568">
        <v>174</v>
      </c>
      <c r="M1568">
        <v>268</v>
      </c>
      <c r="N1568">
        <v>0</v>
      </c>
      <c r="O1568">
        <v>33551</v>
      </c>
      <c r="P1568">
        <v>420.85</v>
      </c>
      <c r="Q1568">
        <v>-1726</v>
      </c>
    </row>
    <row r="1569" spans="1:17" x14ac:dyDescent="0.45">
      <c r="A1569">
        <v>1039</v>
      </c>
      <c r="B1569" t="s">
        <v>1593</v>
      </c>
      <c r="C1569">
        <v>1770</v>
      </c>
      <c r="D1569">
        <v>2</v>
      </c>
      <c r="E1569">
        <v>1207.5999999999999</v>
      </c>
      <c r="F1569">
        <v>20.5</v>
      </c>
      <c r="G1569">
        <v>4885.5</v>
      </c>
      <c r="H1569">
        <v>3</v>
      </c>
      <c r="I1569">
        <v>26.39</v>
      </c>
      <c r="J1569">
        <v>480</v>
      </c>
      <c r="K1569">
        <v>216</v>
      </c>
      <c r="L1569">
        <v>33</v>
      </c>
      <c r="M1569">
        <v>52</v>
      </c>
      <c r="N1569">
        <v>0</v>
      </c>
      <c r="O1569">
        <v>11614</v>
      </c>
      <c r="P1569">
        <v>0</v>
      </c>
      <c r="Q1569">
        <v>-482</v>
      </c>
    </row>
    <row r="1570" spans="1:17" x14ac:dyDescent="0.45">
      <c r="A1570">
        <v>2791</v>
      </c>
      <c r="B1570" t="s">
        <v>1604</v>
      </c>
      <c r="C1570">
        <v>1878</v>
      </c>
      <c r="D1570">
        <v>1</v>
      </c>
      <c r="E1570">
        <v>2330.6</v>
      </c>
      <c r="F1570">
        <v>1.7</v>
      </c>
      <c r="G1570">
        <v>1497.9</v>
      </c>
      <c r="H1570">
        <v>2</v>
      </c>
      <c r="I1570">
        <v>20.72</v>
      </c>
      <c r="J1570">
        <v>778</v>
      </c>
      <c r="K1570">
        <v>243</v>
      </c>
      <c r="L1570">
        <v>45</v>
      </c>
      <c r="M1570">
        <v>65</v>
      </c>
      <c r="N1570">
        <v>0</v>
      </c>
      <c r="O1570">
        <v>2045</v>
      </c>
      <c r="P1570">
        <v>0</v>
      </c>
      <c r="Q1570">
        <v>-1184</v>
      </c>
    </row>
    <row r="1571" spans="1:17" x14ac:dyDescent="0.45">
      <c r="A1571">
        <v>904</v>
      </c>
      <c r="B1571" t="s">
        <v>1609</v>
      </c>
      <c r="C1571">
        <v>1164</v>
      </c>
      <c r="D1571">
        <v>2</v>
      </c>
      <c r="E1571">
        <v>864.9</v>
      </c>
      <c r="F1571">
        <v>1</v>
      </c>
      <c r="G1571">
        <v>1257.8</v>
      </c>
      <c r="H1571">
        <v>3</v>
      </c>
      <c r="I1571">
        <v>26.41</v>
      </c>
      <c r="J1571">
        <v>599</v>
      </c>
      <c r="K1571">
        <v>397</v>
      </c>
      <c r="L1571">
        <v>8</v>
      </c>
      <c r="M1571">
        <v>25</v>
      </c>
      <c r="N1571">
        <v>0</v>
      </c>
      <c r="O1571">
        <v>10592</v>
      </c>
      <c r="P1571">
        <v>0</v>
      </c>
      <c r="Q1571">
        <v>-3673</v>
      </c>
    </row>
    <row r="1572" spans="1:17" x14ac:dyDescent="0.45">
      <c r="A1572">
        <v>905</v>
      </c>
      <c r="B1572" t="s">
        <v>1620</v>
      </c>
      <c r="C1572">
        <v>2425</v>
      </c>
      <c r="D1572">
        <v>2</v>
      </c>
      <c r="E1572">
        <v>1856.7</v>
      </c>
      <c r="F1572">
        <v>0</v>
      </c>
      <c r="G1572">
        <v>3005.1</v>
      </c>
      <c r="H1572">
        <v>3</v>
      </c>
      <c r="I1572">
        <v>26.41</v>
      </c>
      <c r="J1572">
        <v>427</v>
      </c>
      <c r="K1572">
        <v>188</v>
      </c>
      <c r="L1572">
        <v>8</v>
      </c>
      <c r="M1572">
        <v>39</v>
      </c>
      <c r="N1572">
        <v>0</v>
      </c>
      <c r="O1572">
        <v>8002</v>
      </c>
      <c r="P1572">
        <v>0</v>
      </c>
      <c r="Q1572">
        <v>-783</v>
      </c>
    </row>
    <row r="1573" spans="1:17" x14ac:dyDescent="0.45">
      <c r="A1573">
        <v>2938</v>
      </c>
      <c r="B1573" t="s">
        <v>1621</v>
      </c>
      <c r="C1573">
        <v>809</v>
      </c>
      <c r="D1573">
        <v>3</v>
      </c>
      <c r="E1573">
        <v>952.4</v>
      </c>
      <c r="F1573">
        <v>0</v>
      </c>
      <c r="G1573">
        <v>581.1</v>
      </c>
      <c r="H1573">
        <v>3</v>
      </c>
      <c r="I1573">
        <v>19.850000000000001</v>
      </c>
      <c r="J1573">
        <v>348</v>
      </c>
      <c r="K1573">
        <v>166</v>
      </c>
      <c r="L1573">
        <v>46</v>
      </c>
      <c r="M1573">
        <v>55</v>
      </c>
      <c r="N1573">
        <v>0</v>
      </c>
      <c r="O1573">
        <v>1337</v>
      </c>
      <c r="P1573">
        <v>72.34</v>
      </c>
      <c r="Q1573">
        <v>-341</v>
      </c>
    </row>
    <row r="1574" spans="1:17" x14ac:dyDescent="0.45">
      <c r="A1574">
        <v>420</v>
      </c>
      <c r="B1574" t="s">
        <v>1623</v>
      </c>
      <c r="C1574">
        <v>2459</v>
      </c>
      <c r="D1574">
        <v>2</v>
      </c>
      <c r="E1574">
        <v>1833.5</v>
      </c>
      <c r="F1574">
        <v>881.8</v>
      </c>
      <c r="G1574">
        <v>5383.1</v>
      </c>
      <c r="H1574">
        <v>1</v>
      </c>
      <c r="I1574">
        <v>16.760000000000002</v>
      </c>
      <c r="J1574">
        <v>839</v>
      </c>
      <c r="K1574">
        <v>347</v>
      </c>
      <c r="L1574">
        <v>30</v>
      </c>
      <c r="M1574">
        <v>80</v>
      </c>
      <c r="N1574">
        <v>0</v>
      </c>
      <c r="O1574">
        <v>1108</v>
      </c>
      <c r="P1574">
        <v>0</v>
      </c>
      <c r="Q1574">
        <v>-20</v>
      </c>
    </row>
    <row r="1575" spans="1:17" x14ac:dyDescent="0.45">
      <c r="A1575">
        <v>880</v>
      </c>
      <c r="B1575" t="s">
        <v>1625</v>
      </c>
      <c r="C1575">
        <v>1787</v>
      </c>
      <c r="D1575">
        <v>3</v>
      </c>
      <c r="E1575">
        <v>1455</v>
      </c>
      <c r="F1575">
        <v>5.6</v>
      </c>
      <c r="G1575">
        <v>3020.7</v>
      </c>
      <c r="H1575">
        <v>3</v>
      </c>
      <c r="I1575">
        <v>26.41</v>
      </c>
      <c r="J1575">
        <v>809</v>
      </c>
      <c r="K1575">
        <v>317</v>
      </c>
      <c r="L1575">
        <v>30</v>
      </c>
      <c r="M1575">
        <v>44</v>
      </c>
      <c r="N1575">
        <v>0</v>
      </c>
      <c r="O1575">
        <v>13115</v>
      </c>
      <c r="P1575">
        <v>11.08</v>
      </c>
      <c r="Q1575">
        <v>-1967</v>
      </c>
    </row>
    <row r="1576" spans="1:17" x14ac:dyDescent="0.45">
      <c r="A1576">
        <v>956</v>
      </c>
      <c r="B1576" t="s">
        <v>1626</v>
      </c>
      <c r="C1576">
        <v>3255</v>
      </c>
      <c r="D1576">
        <v>2</v>
      </c>
      <c r="E1576">
        <v>3037.1</v>
      </c>
      <c r="F1576">
        <v>26.3</v>
      </c>
      <c r="G1576">
        <v>3746.4</v>
      </c>
      <c r="H1576">
        <v>2</v>
      </c>
      <c r="I1576">
        <v>24.84</v>
      </c>
      <c r="J1576">
        <v>1303</v>
      </c>
      <c r="K1576">
        <v>549</v>
      </c>
      <c r="L1576">
        <v>45</v>
      </c>
      <c r="M1576">
        <v>183</v>
      </c>
      <c r="N1576">
        <v>0</v>
      </c>
      <c r="O1576">
        <v>7356</v>
      </c>
      <c r="P1576">
        <v>2037.8</v>
      </c>
      <c r="Q1576">
        <v>-662</v>
      </c>
    </row>
    <row r="1577" spans="1:17" x14ac:dyDescent="0.45">
      <c r="A1577">
        <v>4112</v>
      </c>
      <c r="B1577" t="s">
        <v>1628</v>
      </c>
      <c r="C1577">
        <v>856</v>
      </c>
      <c r="D1577">
        <v>3</v>
      </c>
      <c r="E1577">
        <v>261.10000000000002</v>
      </c>
      <c r="F1577">
        <v>248.9</v>
      </c>
      <c r="G1577">
        <v>1206.8</v>
      </c>
      <c r="H1577">
        <v>2</v>
      </c>
      <c r="I1577">
        <v>23.46</v>
      </c>
      <c r="J1577">
        <v>364</v>
      </c>
      <c r="K1577">
        <v>129</v>
      </c>
      <c r="L1577">
        <v>30</v>
      </c>
      <c r="M1577">
        <v>33</v>
      </c>
      <c r="N1577">
        <v>0</v>
      </c>
      <c r="O1577">
        <v>1549</v>
      </c>
      <c r="P1577">
        <v>0</v>
      </c>
      <c r="Q1577">
        <v>-341</v>
      </c>
    </row>
    <row r="1578" spans="1:17" x14ac:dyDescent="0.45">
      <c r="A1578">
        <v>97</v>
      </c>
      <c r="B1578" t="s">
        <v>1631</v>
      </c>
      <c r="C1578">
        <v>8186</v>
      </c>
      <c r="D1578">
        <v>3</v>
      </c>
      <c r="E1578">
        <v>5154.3999999999996</v>
      </c>
      <c r="F1578">
        <v>3774.7</v>
      </c>
      <c r="G1578">
        <v>6921.3</v>
      </c>
      <c r="H1578">
        <v>2</v>
      </c>
      <c r="I1578">
        <v>24.61</v>
      </c>
      <c r="J1578">
        <v>2875</v>
      </c>
      <c r="K1578">
        <v>1576</v>
      </c>
      <c r="L1578">
        <v>196</v>
      </c>
      <c r="M1578">
        <v>1327</v>
      </c>
      <c r="N1578">
        <v>0</v>
      </c>
      <c r="O1578">
        <v>1194</v>
      </c>
      <c r="P1578">
        <v>0</v>
      </c>
      <c r="Q1578">
        <v>-542</v>
      </c>
    </row>
    <row r="1579" spans="1:17" x14ac:dyDescent="0.45">
      <c r="A1579">
        <v>2859</v>
      </c>
      <c r="B1579" t="s">
        <v>1632</v>
      </c>
      <c r="C1579">
        <v>439</v>
      </c>
      <c r="D1579">
        <v>1</v>
      </c>
      <c r="E1579">
        <v>514.79999999999995</v>
      </c>
      <c r="F1579">
        <v>4.0999999999999996</v>
      </c>
      <c r="G1579">
        <v>143.5</v>
      </c>
      <c r="H1579">
        <v>3</v>
      </c>
      <c r="I1579">
        <v>22.09</v>
      </c>
      <c r="J1579">
        <v>150</v>
      </c>
      <c r="K1579">
        <v>90</v>
      </c>
      <c r="L1579">
        <v>8</v>
      </c>
      <c r="M1579">
        <v>24</v>
      </c>
      <c r="N1579">
        <v>0</v>
      </c>
      <c r="O1579">
        <v>610</v>
      </c>
      <c r="P1579">
        <v>0</v>
      </c>
      <c r="Q1579">
        <v>-181</v>
      </c>
    </row>
    <row r="1580" spans="1:17" x14ac:dyDescent="0.45">
      <c r="A1580">
        <v>2860</v>
      </c>
      <c r="B1580" t="s">
        <v>1633</v>
      </c>
      <c r="C1580">
        <v>777</v>
      </c>
      <c r="D1580">
        <v>1</v>
      </c>
      <c r="E1580">
        <v>1154.9000000000001</v>
      </c>
      <c r="F1580">
        <v>37.9</v>
      </c>
      <c r="G1580">
        <v>887.6</v>
      </c>
      <c r="H1580">
        <v>3</v>
      </c>
      <c r="I1580">
        <v>22.09</v>
      </c>
      <c r="J1580">
        <v>291</v>
      </c>
      <c r="K1580">
        <v>111</v>
      </c>
      <c r="L1580">
        <v>26</v>
      </c>
      <c r="M1580">
        <v>35</v>
      </c>
      <c r="N1580">
        <v>0</v>
      </c>
      <c r="O1580">
        <v>802</v>
      </c>
      <c r="P1580">
        <v>42.09</v>
      </c>
      <c r="Q1580">
        <v>-361</v>
      </c>
    </row>
    <row r="1581" spans="1:17" x14ac:dyDescent="0.45">
      <c r="A1581">
        <v>853</v>
      </c>
      <c r="B1581" t="s">
        <v>1635</v>
      </c>
      <c r="C1581">
        <v>1706</v>
      </c>
      <c r="D1581">
        <v>3</v>
      </c>
      <c r="E1581">
        <v>1544.1</v>
      </c>
      <c r="F1581">
        <v>29.3</v>
      </c>
      <c r="G1581">
        <v>1458.9</v>
      </c>
      <c r="H1581">
        <v>3</v>
      </c>
      <c r="I1581">
        <v>26.41</v>
      </c>
      <c r="J1581">
        <v>760</v>
      </c>
      <c r="K1581">
        <v>323</v>
      </c>
      <c r="L1581">
        <v>30</v>
      </c>
      <c r="M1581">
        <v>63</v>
      </c>
      <c r="N1581">
        <v>0</v>
      </c>
      <c r="O1581">
        <v>5409</v>
      </c>
      <c r="P1581">
        <v>0</v>
      </c>
      <c r="Q1581">
        <v>-5459</v>
      </c>
    </row>
    <row r="1582" spans="1:17" x14ac:dyDescent="0.45">
      <c r="A1582">
        <v>139</v>
      </c>
      <c r="B1582" t="s">
        <v>1636</v>
      </c>
      <c r="C1582">
        <v>6218</v>
      </c>
      <c r="D1582">
        <v>3</v>
      </c>
      <c r="E1582">
        <v>6501.7</v>
      </c>
      <c r="F1582">
        <v>3241.6</v>
      </c>
      <c r="G1582">
        <v>1481.6</v>
      </c>
      <c r="H1582">
        <v>1</v>
      </c>
      <c r="I1582">
        <v>15.69</v>
      </c>
      <c r="J1582">
        <v>1942</v>
      </c>
      <c r="K1582">
        <v>690</v>
      </c>
      <c r="L1582">
        <v>225</v>
      </c>
      <c r="M1582">
        <v>430</v>
      </c>
      <c r="N1582">
        <v>0</v>
      </c>
      <c r="O1582">
        <v>229</v>
      </c>
      <c r="P1582">
        <v>0</v>
      </c>
      <c r="Q1582">
        <v>-140</v>
      </c>
    </row>
    <row r="1583" spans="1:17" x14ac:dyDescent="0.45">
      <c r="A1583">
        <v>3256</v>
      </c>
      <c r="B1583" t="s">
        <v>1640</v>
      </c>
      <c r="C1583">
        <v>2472</v>
      </c>
      <c r="D1583">
        <v>3</v>
      </c>
      <c r="E1583">
        <v>2485.4</v>
      </c>
      <c r="F1583">
        <v>316.7</v>
      </c>
      <c r="G1583">
        <v>6108.6</v>
      </c>
      <c r="H1583">
        <v>3</v>
      </c>
      <c r="I1583">
        <v>30.49</v>
      </c>
      <c r="J1583">
        <v>955</v>
      </c>
      <c r="K1583">
        <v>567</v>
      </c>
      <c r="L1583">
        <v>59</v>
      </c>
      <c r="M1583">
        <v>149</v>
      </c>
      <c r="N1583">
        <v>0</v>
      </c>
      <c r="O1583">
        <v>1584</v>
      </c>
      <c r="P1583">
        <v>188.28</v>
      </c>
      <c r="Q1583">
        <v>-542</v>
      </c>
    </row>
    <row r="1584" spans="1:17" x14ac:dyDescent="0.45">
      <c r="A1584">
        <v>118</v>
      </c>
      <c r="B1584" t="s">
        <v>1641</v>
      </c>
      <c r="C1584">
        <v>12701</v>
      </c>
      <c r="D1584">
        <v>3</v>
      </c>
      <c r="E1584">
        <v>8558.4</v>
      </c>
      <c r="F1584">
        <v>6592.7</v>
      </c>
      <c r="G1584">
        <v>7284</v>
      </c>
      <c r="H1584">
        <v>1</v>
      </c>
      <c r="I1584">
        <v>15.69</v>
      </c>
      <c r="J1584">
        <v>4134</v>
      </c>
      <c r="K1584">
        <v>1723</v>
      </c>
      <c r="L1584">
        <v>259</v>
      </c>
      <c r="M1584">
        <v>615</v>
      </c>
      <c r="N1584">
        <v>0</v>
      </c>
      <c r="O1584">
        <v>2405</v>
      </c>
      <c r="P1584">
        <v>886</v>
      </c>
      <c r="Q1584">
        <v>-662</v>
      </c>
    </row>
    <row r="1585" spans="1:17" x14ac:dyDescent="0.45">
      <c r="A1585">
        <v>393</v>
      </c>
      <c r="B1585" t="s">
        <v>1642</v>
      </c>
      <c r="C1585">
        <v>855</v>
      </c>
      <c r="D1585">
        <v>2</v>
      </c>
      <c r="E1585">
        <v>1248.0999999999999</v>
      </c>
      <c r="F1585">
        <v>8.1</v>
      </c>
      <c r="G1585">
        <v>1379.3</v>
      </c>
      <c r="H1585">
        <v>3</v>
      </c>
      <c r="I1585">
        <v>26.41</v>
      </c>
      <c r="J1585">
        <v>383</v>
      </c>
      <c r="K1585">
        <v>155</v>
      </c>
      <c r="L1585">
        <v>16</v>
      </c>
      <c r="M1585">
        <v>42</v>
      </c>
      <c r="N1585">
        <v>0</v>
      </c>
      <c r="O1585">
        <v>1149</v>
      </c>
      <c r="P1585">
        <v>0</v>
      </c>
      <c r="Q1585">
        <v>-502</v>
      </c>
    </row>
    <row r="1586" spans="1:17" x14ac:dyDescent="0.45">
      <c r="A1586">
        <v>422</v>
      </c>
      <c r="B1586" t="s">
        <v>1643</v>
      </c>
      <c r="C1586">
        <v>160</v>
      </c>
      <c r="D1586">
        <v>3</v>
      </c>
      <c r="E1586">
        <v>124.6</v>
      </c>
      <c r="F1586">
        <v>0</v>
      </c>
      <c r="G1586">
        <v>300.7</v>
      </c>
      <c r="H1586">
        <v>3</v>
      </c>
      <c r="I1586">
        <v>26.41</v>
      </c>
      <c r="J1586">
        <v>56</v>
      </c>
      <c r="K1586">
        <v>22</v>
      </c>
      <c r="L1586">
        <v>2</v>
      </c>
      <c r="M1586">
        <v>6</v>
      </c>
      <c r="N1586">
        <v>0</v>
      </c>
      <c r="O1586">
        <v>893</v>
      </c>
      <c r="P1586">
        <v>0</v>
      </c>
      <c r="Q1586">
        <v>-40</v>
      </c>
    </row>
    <row r="1587" spans="1:17" x14ac:dyDescent="0.45">
      <c r="A1587">
        <v>340</v>
      </c>
      <c r="B1587" t="s">
        <v>1644</v>
      </c>
      <c r="C1587">
        <v>571</v>
      </c>
      <c r="D1587">
        <v>3</v>
      </c>
      <c r="E1587">
        <v>533.4</v>
      </c>
      <c r="F1587">
        <v>2.8</v>
      </c>
      <c r="G1587">
        <v>648.9</v>
      </c>
      <c r="H1587">
        <v>3</v>
      </c>
      <c r="I1587">
        <v>26.41</v>
      </c>
      <c r="J1587">
        <v>232</v>
      </c>
      <c r="K1587">
        <v>90</v>
      </c>
      <c r="L1587">
        <v>8</v>
      </c>
      <c r="M1587">
        <v>18</v>
      </c>
      <c r="N1587">
        <v>0</v>
      </c>
      <c r="O1587">
        <v>1396</v>
      </c>
      <c r="P1587">
        <v>0</v>
      </c>
      <c r="Q1587">
        <v>-281</v>
      </c>
    </row>
    <row r="1588" spans="1:17" x14ac:dyDescent="0.45">
      <c r="A1588">
        <v>2555</v>
      </c>
      <c r="B1588" t="s">
        <v>1645</v>
      </c>
      <c r="C1588">
        <v>1506</v>
      </c>
      <c r="D1588">
        <v>2</v>
      </c>
      <c r="E1588">
        <v>1051.4000000000001</v>
      </c>
      <c r="F1588">
        <v>1312.6</v>
      </c>
      <c r="G1588">
        <v>1594.1</v>
      </c>
      <c r="H1588">
        <v>2</v>
      </c>
      <c r="I1588">
        <v>26.37</v>
      </c>
      <c r="J1588">
        <v>510</v>
      </c>
      <c r="K1588">
        <v>180</v>
      </c>
      <c r="L1588">
        <v>38</v>
      </c>
      <c r="M1588">
        <v>59</v>
      </c>
      <c r="N1588">
        <v>0</v>
      </c>
      <c r="O1588">
        <v>1512</v>
      </c>
      <c r="P1588">
        <v>138.79</v>
      </c>
      <c r="Q1588">
        <v>-1164</v>
      </c>
    </row>
    <row r="1589" spans="1:17" x14ac:dyDescent="0.45">
      <c r="A1589">
        <v>3788</v>
      </c>
      <c r="B1589" t="s">
        <v>1703</v>
      </c>
      <c r="C1589">
        <v>705</v>
      </c>
      <c r="D1589">
        <v>3</v>
      </c>
      <c r="E1589">
        <v>1505.6</v>
      </c>
      <c r="F1589">
        <v>1</v>
      </c>
      <c r="G1589">
        <v>1661.9</v>
      </c>
      <c r="H1589">
        <v>3</v>
      </c>
      <c r="I1589">
        <v>29.04</v>
      </c>
      <c r="J1589">
        <v>313</v>
      </c>
      <c r="K1589">
        <v>172</v>
      </c>
      <c r="L1589">
        <v>4</v>
      </c>
      <c r="M1589">
        <v>25</v>
      </c>
      <c r="N1589">
        <v>0</v>
      </c>
      <c r="O1589">
        <v>1621</v>
      </c>
      <c r="P1589">
        <v>555.21</v>
      </c>
      <c r="Q1589">
        <v>-5278</v>
      </c>
    </row>
    <row r="1590" spans="1:17" x14ac:dyDescent="0.45">
      <c r="A1590">
        <v>843</v>
      </c>
      <c r="B1590" t="s">
        <v>1646</v>
      </c>
      <c r="C1590">
        <v>6929</v>
      </c>
      <c r="D1590">
        <v>2</v>
      </c>
      <c r="E1590">
        <v>18879</v>
      </c>
      <c r="F1590">
        <v>1006.1</v>
      </c>
      <c r="G1590">
        <v>7207.4</v>
      </c>
      <c r="H1590">
        <v>2</v>
      </c>
      <c r="I1590">
        <v>24.84</v>
      </c>
      <c r="J1590">
        <v>3025</v>
      </c>
      <c r="K1590">
        <v>1697</v>
      </c>
      <c r="L1590">
        <v>133</v>
      </c>
      <c r="M1590">
        <v>465</v>
      </c>
      <c r="N1590">
        <v>0</v>
      </c>
      <c r="O1590">
        <v>17580</v>
      </c>
      <c r="P1590">
        <v>1565.25</v>
      </c>
      <c r="Q1590">
        <v>-7546</v>
      </c>
    </row>
    <row r="1591" spans="1:17" x14ac:dyDescent="0.45">
      <c r="A1591">
        <v>6288</v>
      </c>
      <c r="B1591" t="s">
        <v>1647</v>
      </c>
      <c r="C1591">
        <v>360</v>
      </c>
      <c r="D1591">
        <v>3</v>
      </c>
      <c r="E1591">
        <v>1041.4000000000001</v>
      </c>
      <c r="F1591">
        <v>0</v>
      </c>
      <c r="G1591">
        <v>96.5</v>
      </c>
      <c r="H1591">
        <v>3</v>
      </c>
      <c r="I1591">
        <v>30.8</v>
      </c>
      <c r="J1591">
        <v>85</v>
      </c>
      <c r="K1591">
        <v>71</v>
      </c>
      <c r="L1591">
        <v>6</v>
      </c>
      <c r="M1591">
        <v>18</v>
      </c>
      <c r="N1591">
        <v>0</v>
      </c>
      <c r="O1591">
        <v>274</v>
      </c>
      <c r="P1591">
        <v>0</v>
      </c>
      <c r="Q1591">
        <v>-943</v>
      </c>
    </row>
    <row r="1592" spans="1:17" x14ac:dyDescent="0.45">
      <c r="A1592">
        <v>6289</v>
      </c>
      <c r="B1592" t="s">
        <v>1648</v>
      </c>
      <c r="C1592">
        <v>368</v>
      </c>
      <c r="D1592">
        <v>1</v>
      </c>
      <c r="E1592">
        <v>713.4</v>
      </c>
      <c r="F1592">
        <v>0</v>
      </c>
      <c r="G1592">
        <v>104.9</v>
      </c>
      <c r="H1592">
        <v>3</v>
      </c>
      <c r="I1592">
        <v>30.8</v>
      </c>
      <c r="J1592">
        <v>96</v>
      </c>
      <c r="K1592">
        <v>87</v>
      </c>
      <c r="L1592">
        <v>8</v>
      </c>
      <c r="M1592">
        <v>13</v>
      </c>
      <c r="N1592">
        <v>0</v>
      </c>
      <c r="O1592">
        <v>204</v>
      </c>
      <c r="P1592">
        <v>0</v>
      </c>
      <c r="Q1592">
        <v>-1385</v>
      </c>
    </row>
    <row r="1593" spans="1:17" x14ac:dyDescent="0.45">
      <c r="A1593">
        <v>6290</v>
      </c>
      <c r="B1593" t="s">
        <v>1649</v>
      </c>
      <c r="C1593">
        <v>1561</v>
      </c>
      <c r="D1593">
        <v>3</v>
      </c>
      <c r="E1593">
        <v>8215.1</v>
      </c>
      <c r="F1593">
        <v>159.80000000000001</v>
      </c>
      <c r="G1593">
        <v>911.1</v>
      </c>
      <c r="H1593">
        <v>2</v>
      </c>
      <c r="I1593">
        <v>30.34</v>
      </c>
      <c r="J1593">
        <v>292</v>
      </c>
      <c r="K1593">
        <v>211</v>
      </c>
      <c r="L1593">
        <v>69</v>
      </c>
      <c r="M1593">
        <v>53</v>
      </c>
      <c r="N1593">
        <v>0</v>
      </c>
      <c r="O1593">
        <v>220</v>
      </c>
      <c r="P1593">
        <v>0</v>
      </c>
      <c r="Q1593">
        <v>-763</v>
      </c>
    </row>
    <row r="1594" spans="1:17" x14ac:dyDescent="0.45">
      <c r="A1594">
        <v>6291</v>
      </c>
      <c r="B1594" t="s">
        <v>1650</v>
      </c>
      <c r="C1594">
        <v>1005</v>
      </c>
      <c r="D1594">
        <v>3</v>
      </c>
      <c r="E1594">
        <v>3483.8</v>
      </c>
      <c r="F1594">
        <v>0</v>
      </c>
      <c r="G1594">
        <v>375.7</v>
      </c>
      <c r="H1594">
        <v>3</v>
      </c>
      <c r="I1594">
        <v>30.8</v>
      </c>
      <c r="J1594">
        <v>300</v>
      </c>
      <c r="K1594">
        <v>178</v>
      </c>
      <c r="L1594">
        <v>13</v>
      </c>
      <c r="M1594">
        <v>51</v>
      </c>
      <c r="N1594">
        <v>0</v>
      </c>
      <c r="O1594">
        <v>627</v>
      </c>
      <c r="P1594">
        <v>0</v>
      </c>
      <c r="Q1594">
        <v>-622</v>
      </c>
    </row>
    <row r="1595" spans="1:17" x14ac:dyDescent="0.45">
      <c r="A1595">
        <v>1406</v>
      </c>
      <c r="B1595" t="s">
        <v>1651</v>
      </c>
      <c r="C1595">
        <v>5211</v>
      </c>
      <c r="D1595">
        <v>3</v>
      </c>
      <c r="E1595">
        <v>2985.1</v>
      </c>
      <c r="F1595">
        <v>0</v>
      </c>
      <c r="G1595">
        <v>6147.3</v>
      </c>
      <c r="H1595">
        <v>2</v>
      </c>
      <c r="I1595">
        <v>17.37</v>
      </c>
      <c r="J1595">
        <v>1742</v>
      </c>
      <c r="K1595">
        <v>885</v>
      </c>
      <c r="L1595">
        <v>118</v>
      </c>
      <c r="M1595">
        <v>244</v>
      </c>
      <c r="N1595">
        <v>0</v>
      </c>
      <c r="O1595">
        <v>8418</v>
      </c>
      <c r="P1595">
        <v>0</v>
      </c>
      <c r="Q1595">
        <v>-4034</v>
      </c>
    </row>
    <row r="1596" spans="1:17" x14ac:dyDescent="0.45">
      <c r="A1596">
        <v>4283</v>
      </c>
      <c r="B1596" t="s">
        <v>1652</v>
      </c>
      <c r="C1596">
        <v>4412</v>
      </c>
      <c r="D1596">
        <v>3</v>
      </c>
      <c r="E1596">
        <v>3671.3</v>
      </c>
      <c r="F1596">
        <v>405.6</v>
      </c>
      <c r="G1596">
        <v>3596.6</v>
      </c>
      <c r="H1596">
        <v>2</v>
      </c>
      <c r="I1596">
        <v>23.46</v>
      </c>
      <c r="J1596">
        <v>2009</v>
      </c>
      <c r="K1596">
        <v>700</v>
      </c>
      <c r="L1596">
        <v>247</v>
      </c>
      <c r="M1596">
        <v>553</v>
      </c>
      <c r="N1596">
        <v>0</v>
      </c>
      <c r="O1596">
        <v>1260</v>
      </c>
      <c r="P1596">
        <v>0</v>
      </c>
      <c r="Q1596">
        <v>-542</v>
      </c>
    </row>
    <row r="1597" spans="1:17" x14ac:dyDescent="0.45">
      <c r="A1597">
        <v>3672</v>
      </c>
      <c r="B1597" t="s">
        <v>1653</v>
      </c>
      <c r="C1597">
        <v>952</v>
      </c>
      <c r="D1597">
        <v>3</v>
      </c>
      <c r="E1597">
        <v>581.20000000000005</v>
      </c>
      <c r="F1597">
        <v>1</v>
      </c>
      <c r="G1597">
        <v>1522.5</v>
      </c>
      <c r="H1597">
        <v>3</v>
      </c>
      <c r="I1597">
        <v>29.04</v>
      </c>
      <c r="J1597">
        <v>235</v>
      </c>
      <c r="K1597">
        <v>252</v>
      </c>
      <c r="L1597">
        <v>7</v>
      </c>
      <c r="M1597">
        <v>26</v>
      </c>
      <c r="N1597">
        <v>0</v>
      </c>
      <c r="O1597">
        <v>10035</v>
      </c>
      <c r="P1597">
        <v>67.87</v>
      </c>
      <c r="Q1597">
        <v>-8871</v>
      </c>
    </row>
    <row r="1598" spans="1:17" x14ac:dyDescent="0.45">
      <c r="A1598">
        <v>746</v>
      </c>
      <c r="B1598" t="s">
        <v>1654</v>
      </c>
      <c r="C1598">
        <v>2001</v>
      </c>
      <c r="D1598">
        <v>2</v>
      </c>
      <c r="E1598">
        <v>2744.6</v>
      </c>
      <c r="F1598">
        <v>296.5</v>
      </c>
      <c r="G1598">
        <v>1812.8</v>
      </c>
      <c r="H1598">
        <v>2</v>
      </c>
      <c r="I1598">
        <v>24.84</v>
      </c>
      <c r="J1598">
        <v>838</v>
      </c>
      <c r="K1598">
        <v>292</v>
      </c>
      <c r="L1598">
        <v>41</v>
      </c>
      <c r="M1598">
        <v>88</v>
      </c>
      <c r="N1598">
        <v>0</v>
      </c>
      <c r="O1598">
        <v>1010</v>
      </c>
      <c r="P1598">
        <v>903.72</v>
      </c>
      <c r="Q1598">
        <v>-381</v>
      </c>
    </row>
    <row r="1599" spans="1:17" x14ac:dyDescent="0.45">
      <c r="A1599">
        <v>3581</v>
      </c>
      <c r="B1599" t="s">
        <v>1655</v>
      </c>
      <c r="C1599">
        <v>755</v>
      </c>
      <c r="D1599">
        <v>3</v>
      </c>
      <c r="E1599">
        <v>1545.1</v>
      </c>
      <c r="F1599">
        <v>0</v>
      </c>
      <c r="G1599">
        <v>685.7</v>
      </c>
      <c r="H1599">
        <v>3</v>
      </c>
      <c r="I1599">
        <v>29.04</v>
      </c>
      <c r="J1599">
        <v>231</v>
      </c>
      <c r="K1599">
        <v>141</v>
      </c>
      <c r="L1599">
        <v>18</v>
      </c>
      <c r="M1599">
        <v>28</v>
      </c>
      <c r="N1599">
        <v>0</v>
      </c>
      <c r="O1599">
        <v>368</v>
      </c>
      <c r="P1599">
        <v>0</v>
      </c>
      <c r="Q1599">
        <v>-843</v>
      </c>
    </row>
    <row r="1600" spans="1:17" x14ac:dyDescent="0.45">
      <c r="A1600">
        <v>706</v>
      </c>
      <c r="B1600" t="s">
        <v>1656</v>
      </c>
      <c r="C1600">
        <v>623</v>
      </c>
      <c r="D1600">
        <v>2</v>
      </c>
      <c r="E1600">
        <v>1459.5</v>
      </c>
      <c r="F1600">
        <v>0</v>
      </c>
      <c r="G1600">
        <v>443.9</v>
      </c>
      <c r="H1600">
        <v>3</v>
      </c>
      <c r="I1600">
        <v>26.41</v>
      </c>
      <c r="J1600">
        <v>260</v>
      </c>
      <c r="K1600">
        <v>114</v>
      </c>
      <c r="L1600">
        <v>6</v>
      </c>
      <c r="M1600">
        <v>32</v>
      </c>
      <c r="N1600">
        <v>0</v>
      </c>
      <c r="O1600">
        <v>2452</v>
      </c>
      <c r="P1600">
        <v>66.45</v>
      </c>
      <c r="Q1600">
        <v>-1264</v>
      </c>
    </row>
    <row r="1601" spans="1:17" x14ac:dyDescent="0.45">
      <c r="A1601">
        <v>6757</v>
      </c>
      <c r="B1601" t="s">
        <v>1657</v>
      </c>
      <c r="C1601">
        <v>2575</v>
      </c>
      <c r="D1601">
        <v>3</v>
      </c>
      <c r="E1601">
        <v>5819.5</v>
      </c>
      <c r="F1601">
        <v>56.2</v>
      </c>
      <c r="G1601">
        <v>3548.9</v>
      </c>
      <c r="H1601">
        <v>2</v>
      </c>
      <c r="I1601">
        <v>31.97</v>
      </c>
      <c r="J1601">
        <v>1036</v>
      </c>
      <c r="K1601">
        <v>344</v>
      </c>
      <c r="L1601">
        <v>42</v>
      </c>
      <c r="M1601">
        <v>182</v>
      </c>
      <c r="N1601">
        <v>0</v>
      </c>
      <c r="O1601">
        <v>6609</v>
      </c>
      <c r="P1601">
        <v>185.31</v>
      </c>
      <c r="Q1601">
        <v>-2950</v>
      </c>
    </row>
    <row r="1602" spans="1:17" x14ac:dyDescent="0.45">
      <c r="A1602">
        <v>6140</v>
      </c>
      <c r="B1602" t="s">
        <v>1658</v>
      </c>
      <c r="C1602">
        <v>2995</v>
      </c>
      <c r="D1602">
        <v>3</v>
      </c>
      <c r="E1602">
        <v>1269.9000000000001</v>
      </c>
      <c r="F1602">
        <v>73.7</v>
      </c>
      <c r="G1602">
        <v>2114.9</v>
      </c>
      <c r="H1602">
        <v>2</v>
      </c>
      <c r="I1602">
        <v>30.34</v>
      </c>
      <c r="J1602">
        <v>1420</v>
      </c>
      <c r="K1602">
        <v>447</v>
      </c>
      <c r="L1602">
        <v>112</v>
      </c>
      <c r="M1602">
        <v>193</v>
      </c>
      <c r="N1602">
        <v>0</v>
      </c>
      <c r="O1602">
        <v>542</v>
      </c>
      <c r="P1602">
        <v>94.49</v>
      </c>
      <c r="Q1602">
        <v>-542</v>
      </c>
    </row>
    <row r="1603" spans="1:17" x14ac:dyDescent="0.45">
      <c r="A1603">
        <v>2041</v>
      </c>
      <c r="B1603" t="s">
        <v>1659</v>
      </c>
      <c r="C1603">
        <v>1929</v>
      </c>
      <c r="D1603">
        <v>3</v>
      </c>
      <c r="E1603">
        <v>1665.4</v>
      </c>
      <c r="F1603">
        <v>73.5</v>
      </c>
      <c r="G1603">
        <v>5161.5</v>
      </c>
      <c r="H1603">
        <v>3</v>
      </c>
      <c r="I1603">
        <v>36.93</v>
      </c>
      <c r="J1603">
        <v>896</v>
      </c>
      <c r="K1603">
        <v>285</v>
      </c>
      <c r="L1603">
        <v>75</v>
      </c>
      <c r="M1603">
        <v>159</v>
      </c>
      <c r="N1603">
        <v>0</v>
      </c>
      <c r="O1603">
        <v>3012</v>
      </c>
      <c r="P1603">
        <v>0</v>
      </c>
      <c r="Q1603">
        <v>-80</v>
      </c>
    </row>
    <row r="1604" spans="1:17" x14ac:dyDescent="0.45">
      <c r="A1604">
        <v>5535</v>
      </c>
      <c r="B1604" t="s">
        <v>1660</v>
      </c>
      <c r="C1604">
        <v>806</v>
      </c>
      <c r="D1604">
        <v>3</v>
      </c>
      <c r="E1604">
        <v>404</v>
      </c>
      <c r="F1604">
        <v>785.3</v>
      </c>
      <c r="G1604">
        <v>516.29999999999995</v>
      </c>
      <c r="H1604">
        <v>3</v>
      </c>
      <c r="I1604">
        <v>35.86</v>
      </c>
      <c r="J1604">
        <v>354</v>
      </c>
      <c r="K1604">
        <v>75</v>
      </c>
      <c r="L1604">
        <v>32</v>
      </c>
      <c r="M1604">
        <v>58</v>
      </c>
      <c r="N1604">
        <v>0</v>
      </c>
      <c r="O1604">
        <v>1194</v>
      </c>
      <c r="P1604">
        <v>0</v>
      </c>
      <c r="Q1604">
        <v>-80</v>
      </c>
    </row>
    <row r="1605" spans="1:17" x14ac:dyDescent="0.45">
      <c r="A1605">
        <v>6459</v>
      </c>
      <c r="B1605" t="s">
        <v>1661</v>
      </c>
      <c r="C1605">
        <v>3284</v>
      </c>
      <c r="D1605">
        <v>2</v>
      </c>
      <c r="E1605">
        <v>4021.4</v>
      </c>
      <c r="F1605">
        <v>2443.5</v>
      </c>
      <c r="G1605">
        <v>1883.8</v>
      </c>
      <c r="H1605">
        <v>1</v>
      </c>
      <c r="I1605">
        <v>20.88</v>
      </c>
      <c r="J1605">
        <v>1201</v>
      </c>
      <c r="K1605">
        <v>413</v>
      </c>
      <c r="L1605">
        <v>48</v>
      </c>
      <c r="M1605">
        <v>179</v>
      </c>
      <c r="N1605">
        <v>0</v>
      </c>
      <c r="O1605">
        <v>726</v>
      </c>
      <c r="P1605">
        <v>0</v>
      </c>
      <c r="Q1605">
        <v>-923</v>
      </c>
    </row>
    <row r="1606" spans="1:17" x14ac:dyDescent="0.45">
      <c r="A1606">
        <v>6758</v>
      </c>
      <c r="B1606" t="s">
        <v>1662</v>
      </c>
      <c r="C1606">
        <v>228</v>
      </c>
      <c r="D1606">
        <v>3</v>
      </c>
      <c r="E1606">
        <v>490.2</v>
      </c>
      <c r="F1606">
        <v>0</v>
      </c>
      <c r="G1606">
        <v>712.9</v>
      </c>
      <c r="H1606">
        <v>3</v>
      </c>
      <c r="I1606">
        <v>27.66</v>
      </c>
      <c r="J1606">
        <v>91</v>
      </c>
      <c r="K1606">
        <v>40</v>
      </c>
      <c r="L1606">
        <v>7</v>
      </c>
      <c r="M1606">
        <v>13</v>
      </c>
      <c r="N1606">
        <v>0</v>
      </c>
      <c r="O1606">
        <v>4074</v>
      </c>
      <c r="P1606">
        <v>14.04</v>
      </c>
      <c r="Q1606">
        <v>-1244</v>
      </c>
    </row>
    <row r="1607" spans="1:17" x14ac:dyDescent="0.45">
      <c r="A1607">
        <v>5727</v>
      </c>
      <c r="B1607" t="s">
        <v>1663</v>
      </c>
      <c r="C1607">
        <v>2788</v>
      </c>
      <c r="D1607">
        <v>3</v>
      </c>
      <c r="E1607">
        <v>1726.7</v>
      </c>
      <c r="F1607">
        <v>159</v>
      </c>
      <c r="G1607">
        <v>1513.8</v>
      </c>
      <c r="H1607">
        <v>2</v>
      </c>
      <c r="I1607">
        <v>26.72</v>
      </c>
      <c r="J1607">
        <v>1006</v>
      </c>
      <c r="K1607">
        <v>425</v>
      </c>
      <c r="L1607">
        <v>92</v>
      </c>
      <c r="M1607">
        <v>207</v>
      </c>
      <c r="N1607">
        <v>0</v>
      </c>
      <c r="O1607">
        <v>0</v>
      </c>
      <c r="P1607">
        <v>0</v>
      </c>
      <c r="Q1607">
        <v>-3051</v>
      </c>
    </row>
    <row r="1608" spans="1:17" x14ac:dyDescent="0.45">
      <c r="A1608">
        <v>5434</v>
      </c>
      <c r="B1608" t="s">
        <v>1665</v>
      </c>
      <c r="C1608">
        <v>1066</v>
      </c>
      <c r="D1608">
        <v>3</v>
      </c>
      <c r="E1608">
        <v>923.1</v>
      </c>
      <c r="F1608">
        <v>126</v>
      </c>
      <c r="G1608">
        <v>1563.3</v>
      </c>
      <c r="H1608">
        <v>3</v>
      </c>
      <c r="I1608">
        <v>35.86</v>
      </c>
      <c r="J1608">
        <v>414</v>
      </c>
      <c r="K1608">
        <v>177</v>
      </c>
      <c r="L1608">
        <v>39</v>
      </c>
      <c r="M1608">
        <v>84</v>
      </c>
      <c r="N1608">
        <v>0</v>
      </c>
      <c r="O1608">
        <v>1197</v>
      </c>
      <c r="P1608">
        <v>49.48</v>
      </c>
      <c r="Q1608">
        <v>-1846</v>
      </c>
    </row>
    <row r="1609" spans="1:17" x14ac:dyDescent="0.45">
      <c r="A1609">
        <v>6155</v>
      </c>
      <c r="B1609" t="s">
        <v>1666</v>
      </c>
      <c r="C1609">
        <v>988</v>
      </c>
      <c r="D1609">
        <v>3</v>
      </c>
      <c r="E1609">
        <v>1329</v>
      </c>
      <c r="F1609">
        <v>83.8</v>
      </c>
      <c r="G1609">
        <v>236.7</v>
      </c>
      <c r="H1609">
        <v>3</v>
      </c>
      <c r="I1609">
        <v>30.8</v>
      </c>
      <c r="J1609">
        <v>435</v>
      </c>
      <c r="K1609">
        <v>172</v>
      </c>
      <c r="L1609">
        <v>24</v>
      </c>
      <c r="M1609">
        <v>62</v>
      </c>
      <c r="N1609">
        <v>0</v>
      </c>
      <c r="O1609">
        <v>465</v>
      </c>
      <c r="P1609">
        <v>138.08000000000001</v>
      </c>
      <c r="Q1609">
        <v>-1666</v>
      </c>
    </row>
    <row r="1610" spans="1:17" x14ac:dyDescent="0.45">
      <c r="A1610">
        <v>443</v>
      </c>
      <c r="B1610" t="s">
        <v>1667</v>
      </c>
      <c r="C1610">
        <v>5080</v>
      </c>
      <c r="D1610">
        <v>1</v>
      </c>
      <c r="E1610">
        <v>6860.9</v>
      </c>
      <c r="F1610">
        <v>4168.1000000000004</v>
      </c>
      <c r="G1610">
        <v>3587.6</v>
      </c>
      <c r="H1610">
        <v>2</v>
      </c>
      <c r="I1610">
        <v>24.84</v>
      </c>
      <c r="J1610">
        <v>1726</v>
      </c>
      <c r="K1610">
        <v>648</v>
      </c>
      <c r="L1610">
        <v>80</v>
      </c>
      <c r="M1610">
        <v>202</v>
      </c>
      <c r="N1610">
        <v>0</v>
      </c>
      <c r="O1610">
        <v>2653</v>
      </c>
      <c r="P1610">
        <v>0</v>
      </c>
      <c r="Q1610">
        <v>-1485</v>
      </c>
    </row>
    <row r="1611" spans="1:17" x14ac:dyDescent="0.45">
      <c r="A1611">
        <v>5435</v>
      </c>
      <c r="B1611" t="s">
        <v>1669</v>
      </c>
      <c r="C1611">
        <v>696</v>
      </c>
      <c r="D1611">
        <v>3</v>
      </c>
      <c r="E1611">
        <v>415.5</v>
      </c>
      <c r="F1611">
        <v>674.9</v>
      </c>
      <c r="G1611">
        <v>633.70000000000005</v>
      </c>
      <c r="H1611">
        <v>3</v>
      </c>
      <c r="I1611">
        <v>35.86</v>
      </c>
      <c r="J1611">
        <v>294</v>
      </c>
      <c r="K1611">
        <v>105</v>
      </c>
      <c r="L1611">
        <v>24</v>
      </c>
      <c r="M1611">
        <v>50</v>
      </c>
      <c r="N1611">
        <v>0</v>
      </c>
      <c r="O1611">
        <v>1589</v>
      </c>
      <c r="P1611">
        <v>0</v>
      </c>
      <c r="Q1611">
        <v>-702</v>
      </c>
    </row>
    <row r="1612" spans="1:17" x14ac:dyDescent="0.45">
      <c r="A1612">
        <v>6246</v>
      </c>
      <c r="B1612" t="s">
        <v>1668</v>
      </c>
      <c r="C1612">
        <v>2548</v>
      </c>
      <c r="D1612">
        <v>2</v>
      </c>
      <c r="E1612">
        <v>632.29999999999995</v>
      </c>
      <c r="F1612">
        <v>2813.9</v>
      </c>
      <c r="G1612">
        <v>1635</v>
      </c>
      <c r="H1612">
        <v>2</v>
      </c>
      <c r="I1612">
        <v>30.34</v>
      </c>
      <c r="J1612">
        <v>1173</v>
      </c>
      <c r="K1612">
        <v>408</v>
      </c>
      <c r="L1612">
        <v>57</v>
      </c>
      <c r="M1612">
        <v>142</v>
      </c>
      <c r="N1612">
        <v>0</v>
      </c>
      <c r="O1612">
        <v>418</v>
      </c>
      <c r="P1612">
        <v>0</v>
      </c>
      <c r="Q1612">
        <v>-120</v>
      </c>
    </row>
    <row r="1613" spans="1:17" x14ac:dyDescent="0.45">
      <c r="A1613">
        <v>2335</v>
      </c>
      <c r="B1613" t="s">
        <v>1670</v>
      </c>
      <c r="C1613">
        <v>1021</v>
      </c>
      <c r="D1613">
        <v>3</v>
      </c>
      <c r="E1613">
        <v>1259.2</v>
      </c>
      <c r="F1613">
        <v>9.3000000000000007</v>
      </c>
      <c r="G1613">
        <v>1910.3</v>
      </c>
      <c r="H1613">
        <v>3</v>
      </c>
      <c r="I1613">
        <v>36.93</v>
      </c>
      <c r="J1613">
        <v>456</v>
      </c>
      <c r="K1613">
        <v>142</v>
      </c>
      <c r="L1613">
        <v>31</v>
      </c>
      <c r="M1613">
        <v>73</v>
      </c>
      <c r="N1613">
        <v>0</v>
      </c>
      <c r="O1613">
        <v>6909</v>
      </c>
      <c r="P1613">
        <v>0</v>
      </c>
      <c r="Q1613">
        <v>-281</v>
      </c>
    </row>
    <row r="1614" spans="1:17" x14ac:dyDescent="0.45">
      <c r="A1614">
        <v>6087</v>
      </c>
      <c r="B1614" t="s">
        <v>1671</v>
      </c>
      <c r="C1614">
        <v>832</v>
      </c>
      <c r="D1614">
        <v>3</v>
      </c>
      <c r="E1614">
        <v>777.8</v>
      </c>
      <c r="F1614">
        <v>4.2</v>
      </c>
      <c r="G1614">
        <v>896.7</v>
      </c>
      <c r="H1614">
        <v>3</v>
      </c>
      <c r="I1614">
        <v>30.8</v>
      </c>
      <c r="J1614">
        <v>296</v>
      </c>
      <c r="K1614">
        <v>123</v>
      </c>
      <c r="L1614">
        <v>11</v>
      </c>
      <c r="M1614">
        <v>46</v>
      </c>
      <c r="N1614">
        <v>0</v>
      </c>
      <c r="O1614">
        <v>917</v>
      </c>
      <c r="P1614">
        <v>106.32</v>
      </c>
      <c r="Q1614">
        <v>-3171</v>
      </c>
    </row>
    <row r="1615" spans="1:17" x14ac:dyDescent="0.45">
      <c r="A1615">
        <v>6217</v>
      </c>
      <c r="B1615" t="s">
        <v>1672</v>
      </c>
      <c r="C1615">
        <v>4540</v>
      </c>
      <c r="D1615">
        <v>3</v>
      </c>
      <c r="E1615">
        <v>2704.2</v>
      </c>
      <c r="F1615">
        <v>4462.3</v>
      </c>
      <c r="G1615">
        <v>4285.1000000000004</v>
      </c>
      <c r="H1615">
        <v>2</v>
      </c>
      <c r="I1615">
        <v>30.34</v>
      </c>
      <c r="J1615">
        <v>1968</v>
      </c>
      <c r="K1615">
        <v>699</v>
      </c>
      <c r="L1615">
        <v>78</v>
      </c>
      <c r="M1615">
        <v>209</v>
      </c>
      <c r="N1615">
        <v>0</v>
      </c>
      <c r="O1615">
        <v>716</v>
      </c>
      <c r="P1615">
        <v>16.97</v>
      </c>
      <c r="Q1615">
        <v>-1264</v>
      </c>
    </row>
    <row r="1616" spans="1:17" x14ac:dyDescent="0.45">
      <c r="A1616">
        <v>5436</v>
      </c>
      <c r="B1616" t="s">
        <v>1673</v>
      </c>
      <c r="C1616">
        <v>455</v>
      </c>
      <c r="D1616">
        <v>3</v>
      </c>
      <c r="E1616">
        <v>322.3</v>
      </c>
      <c r="F1616">
        <v>33.200000000000003</v>
      </c>
      <c r="G1616">
        <v>439.9</v>
      </c>
      <c r="H1616">
        <v>3</v>
      </c>
      <c r="I1616">
        <v>35.86</v>
      </c>
      <c r="J1616">
        <v>170</v>
      </c>
      <c r="K1616">
        <v>56</v>
      </c>
      <c r="L1616">
        <v>31</v>
      </c>
      <c r="M1616">
        <v>39</v>
      </c>
      <c r="N1616">
        <v>0</v>
      </c>
      <c r="O1616">
        <v>485</v>
      </c>
      <c r="P1616">
        <v>0</v>
      </c>
      <c r="Q1616">
        <v>-221</v>
      </c>
    </row>
    <row r="1617" spans="1:17" x14ac:dyDescent="0.45">
      <c r="A1617">
        <v>5646</v>
      </c>
      <c r="B1617" t="s">
        <v>1674</v>
      </c>
      <c r="C1617">
        <v>5871</v>
      </c>
      <c r="D1617">
        <v>3</v>
      </c>
      <c r="E1617">
        <v>2597.8000000000002</v>
      </c>
      <c r="F1617">
        <v>4294.1000000000004</v>
      </c>
      <c r="G1617">
        <v>2504.6</v>
      </c>
      <c r="H1617">
        <v>2</v>
      </c>
      <c r="I1617">
        <v>26.72</v>
      </c>
      <c r="J1617">
        <v>2182</v>
      </c>
      <c r="K1617">
        <v>693</v>
      </c>
      <c r="L1617">
        <v>134</v>
      </c>
      <c r="M1617">
        <v>412</v>
      </c>
      <c r="N1617">
        <v>0</v>
      </c>
      <c r="O1617">
        <v>380</v>
      </c>
      <c r="P1617">
        <v>561.86</v>
      </c>
      <c r="Q1617">
        <v>-80</v>
      </c>
    </row>
    <row r="1618" spans="1:17" x14ac:dyDescent="0.45">
      <c r="A1618">
        <v>5610</v>
      </c>
      <c r="B1618" t="s">
        <v>1675</v>
      </c>
      <c r="C1618">
        <v>401</v>
      </c>
      <c r="D1618">
        <v>3</v>
      </c>
      <c r="E1618">
        <v>345.8</v>
      </c>
      <c r="F1618">
        <v>634.5</v>
      </c>
      <c r="G1618">
        <v>298.89999999999998</v>
      </c>
      <c r="H1618">
        <v>2</v>
      </c>
      <c r="I1618">
        <v>26.72</v>
      </c>
      <c r="J1618">
        <v>104</v>
      </c>
      <c r="K1618">
        <v>25</v>
      </c>
      <c r="L1618">
        <v>5</v>
      </c>
      <c r="M1618">
        <v>18</v>
      </c>
      <c r="N1618">
        <v>0</v>
      </c>
      <c r="O1618">
        <v>118</v>
      </c>
      <c r="P1618">
        <v>0</v>
      </c>
      <c r="Q1618">
        <v>-20</v>
      </c>
    </row>
    <row r="1619" spans="1:17" x14ac:dyDescent="0.45">
      <c r="A1619">
        <v>5648</v>
      </c>
      <c r="B1619" t="s">
        <v>1676</v>
      </c>
      <c r="C1619">
        <v>5046</v>
      </c>
      <c r="D1619">
        <v>3</v>
      </c>
      <c r="E1619">
        <v>1758.5</v>
      </c>
      <c r="F1619">
        <v>3773.4</v>
      </c>
      <c r="G1619">
        <v>2426.3000000000002</v>
      </c>
      <c r="H1619">
        <v>1</v>
      </c>
      <c r="I1619">
        <v>19.809999999999999</v>
      </c>
      <c r="J1619">
        <v>1391</v>
      </c>
      <c r="K1619">
        <v>434</v>
      </c>
      <c r="L1619">
        <v>164</v>
      </c>
      <c r="M1619">
        <v>352</v>
      </c>
      <c r="N1619">
        <v>0</v>
      </c>
      <c r="O1619">
        <v>8</v>
      </c>
      <c r="P1619">
        <v>0</v>
      </c>
      <c r="Q1619">
        <v>-20</v>
      </c>
    </row>
    <row r="1620" spans="1:17" x14ac:dyDescent="0.45">
      <c r="A1620">
        <v>5568</v>
      </c>
      <c r="B1620" t="s">
        <v>1664</v>
      </c>
      <c r="C1620">
        <v>4876</v>
      </c>
      <c r="D1620">
        <v>3</v>
      </c>
      <c r="E1620">
        <v>4200.7</v>
      </c>
      <c r="F1620">
        <v>8857.2999999999993</v>
      </c>
      <c r="G1620">
        <v>3256.8</v>
      </c>
      <c r="H1620">
        <v>2</v>
      </c>
      <c r="I1620">
        <v>26.72</v>
      </c>
      <c r="J1620">
        <v>1706</v>
      </c>
      <c r="K1620">
        <v>536</v>
      </c>
      <c r="L1620">
        <v>45</v>
      </c>
      <c r="M1620">
        <v>257</v>
      </c>
      <c r="N1620">
        <v>0</v>
      </c>
      <c r="O1620">
        <v>6804</v>
      </c>
      <c r="P1620">
        <v>601.73</v>
      </c>
      <c r="Q1620">
        <v>-3693</v>
      </c>
    </row>
    <row r="1621" spans="1:17" x14ac:dyDescent="0.45">
      <c r="A1621">
        <v>4851</v>
      </c>
      <c r="B1621" t="s">
        <v>1677</v>
      </c>
      <c r="C1621">
        <v>1440</v>
      </c>
      <c r="D1621">
        <v>3</v>
      </c>
      <c r="E1621">
        <v>1634.9</v>
      </c>
      <c r="F1621">
        <v>968.5</v>
      </c>
      <c r="G1621">
        <v>1359.1</v>
      </c>
      <c r="H1621">
        <v>3</v>
      </c>
      <c r="I1621">
        <v>26.04</v>
      </c>
      <c r="J1621">
        <v>719</v>
      </c>
      <c r="K1621">
        <v>262</v>
      </c>
      <c r="L1621">
        <v>54</v>
      </c>
      <c r="M1621">
        <v>87</v>
      </c>
      <c r="N1621">
        <v>0</v>
      </c>
      <c r="O1621">
        <v>1067</v>
      </c>
      <c r="P1621">
        <v>0</v>
      </c>
      <c r="Q1621">
        <v>-662</v>
      </c>
    </row>
    <row r="1622" spans="1:17" x14ac:dyDescent="0.45">
      <c r="A1622">
        <v>6113</v>
      </c>
      <c r="B1622" t="s">
        <v>1679</v>
      </c>
      <c r="C1622">
        <v>1659</v>
      </c>
      <c r="D1622">
        <v>3</v>
      </c>
      <c r="E1622">
        <v>2065.1999999999998</v>
      </c>
      <c r="F1622">
        <v>428.9</v>
      </c>
      <c r="G1622">
        <v>4072.2</v>
      </c>
      <c r="H1622">
        <v>2</v>
      </c>
      <c r="I1622">
        <v>30.34</v>
      </c>
      <c r="J1622">
        <v>668</v>
      </c>
      <c r="K1622">
        <v>327</v>
      </c>
      <c r="L1622">
        <v>58</v>
      </c>
      <c r="M1622">
        <v>97</v>
      </c>
      <c r="N1622">
        <v>0</v>
      </c>
      <c r="O1622">
        <v>865</v>
      </c>
      <c r="P1622">
        <v>0</v>
      </c>
      <c r="Q1622">
        <v>-1104</v>
      </c>
    </row>
    <row r="1623" spans="1:17" x14ac:dyDescent="0.45">
      <c r="A1623">
        <v>4441</v>
      </c>
      <c r="B1623" t="s">
        <v>1680</v>
      </c>
      <c r="C1623">
        <v>1576</v>
      </c>
      <c r="D1623">
        <v>3</v>
      </c>
      <c r="E1623">
        <v>1199.8</v>
      </c>
      <c r="F1623">
        <v>624.4</v>
      </c>
      <c r="G1623">
        <v>2255.5</v>
      </c>
      <c r="H1623">
        <v>1</v>
      </c>
      <c r="I1623">
        <v>21</v>
      </c>
      <c r="J1623">
        <v>611</v>
      </c>
      <c r="K1623">
        <v>273</v>
      </c>
      <c r="L1623">
        <v>27</v>
      </c>
      <c r="M1623">
        <v>53</v>
      </c>
      <c r="N1623">
        <v>0</v>
      </c>
      <c r="O1623">
        <v>1274</v>
      </c>
      <c r="P1623">
        <v>0</v>
      </c>
      <c r="Q1623">
        <v>-40</v>
      </c>
    </row>
    <row r="1624" spans="1:17" x14ac:dyDescent="0.45">
      <c r="A1624">
        <v>6218</v>
      </c>
      <c r="B1624" t="s">
        <v>1681</v>
      </c>
      <c r="C1624">
        <v>1469</v>
      </c>
      <c r="D1624">
        <v>3</v>
      </c>
      <c r="E1624">
        <v>2021</v>
      </c>
      <c r="F1624">
        <v>49.4</v>
      </c>
      <c r="G1624">
        <v>848.2</v>
      </c>
      <c r="H1624">
        <v>3</v>
      </c>
      <c r="I1624">
        <v>30.8</v>
      </c>
      <c r="J1624">
        <v>543</v>
      </c>
      <c r="K1624">
        <v>214</v>
      </c>
      <c r="L1624">
        <v>26</v>
      </c>
      <c r="M1624">
        <v>72</v>
      </c>
      <c r="N1624">
        <v>0</v>
      </c>
      <c r="O1624">
        <v>271</v>
      </c>
      <c r="P1624">
        <v>0</v>
      </c>
      <c r="Q1624">
        <v>-2730</v>
      </c>
    </row>
    <row r="1625" spans="1:17" x14ac:dyDescent="0.45">
      <c r="A1625">
        <v>3786</v>
      </c>
      <c r="B1625" t="s">
        <v>1682</v>
      </c>
      <c r="C1625">
        <v>2905</v>
      </c>
      <c r="D1625">
        <v>3</v>
      </c>
      <c r="E1625">
        <v>9274.7999999999993</v>
      </c>
      <c r="F1625">
        <v>0</v>
      </c>
      <c r="G1625">
        <v>1159.5999999999999</v>
      </c>
      <c r="H1625">
        <v>2</v>
      </c>
      <c r="I1625">
        <v>21.73</v>
      </c>
      <c r="J1625">
        <v>1099</v>
      </c>
      <c r="K1625">
        <v>535</v>
      </c>
      <c r="L1625">
        <v>48</v>
      </c>
      <c r="M1625">
        <v>125</v>
      </c>
      <c r="N1625">
        <v>0</v>
      </c>
      <c r="O1625">
        <v>1255</v>
      </c>
      <c r="P1625">
        <v>541.91999999999996</v>
      </c>
      <c r="Q1625">
        <v>-2007</v>
      </c>
    </row>
    <row r="1626" spans="1:17" x14ac:dyDescent="0.45">
      <c r="A1626">
        <v>3752</v>
      </c>
      <c r="B1626" t="s">
        <v>1683</v>
      </c>
      <c r="C1626">
        <v>791</v>
      </c>
      <c r="D1626">
        <v>3</v>
      </c>
      <c r="E1626">
        <v>4049.7</v>
      </c>
      <c r="F1626">
        <v>0</v>
      </c>
      <c r="G1626">
        <v>73.900000000000006</v>
      </c>
      <c r="H1626">
        <v>3</v>
      </c>
      <c r="I1626">
        <v>29.04</v>
      </c>
      <c r="J1626">
        <v>244</v>
      </c>
      <c r="K1626">
        <v>248</v>
      </c>
      <c r="L1626">
        <v>8</v>
      </c>
      <c r="M1626">
        <v>24</v>
      </c>
      <c r="N1626">
        <v>0</v>
      </c>
      <c r="O1626">
        <v>1305</v>
      </c>
      <c r="P1626">
        <v>609.13</v>
      </c>
      <c r="Q1626">
        <v>-1365</v>
      </c>
    </row>
    <row r="1627" spans="1:17" x14ac:dyDescent="0.45">
      <c r="A1627">
        <v>3835</v>
      </c>
      <c r="B1627" t="s">
        <v>1684</v>
      </c>
      <c r="C1627">
        <v>875</v>
      </c>
      <c r="D1627">
        <v>3</v>
      </c>
      <c r="E1627">
        <v>835.2</v>
      </c>
      <c r="F1627">
        <v>0</v>
      </c>
      <c r="G1627">
        <v>1894.6</v>
      </c>
      <c r="H1627">
        <v>2</v>
      </c>
      <c r="I1627">
        <v>21.73</v>
      </c>
      <c r="J1627">
        <v>418</v>
      </c>
      <c r="K1627">
        <v>152</v>
      </c>
      <c r="L1627">
        <v>25</v>
      </c>
      <c r="M1627">
        <v>104</v>
      </c>
      <c r="N1627">
        <v>0</v>
      </c>
      <c r="O1627">
        <v>999</v>
      </c>
      <c r="P1627">
        <v>0</v>
      </c>
      <c r="Q1627">
        <v>-2930</v>
      </c>
    </row>
    <row r="1628" spans="1:17" x14ac:dyDescent="0.45">
      <c r="A1628">
        <v>5017</v>
      </c>
      <c r="B1628" t="s">
        <v>1686</v>
      </c>
      <c r="C1628">
        <v>2584</v>
      </c>
      <c r="D1628">
        <v>3</v>
      </c>
      <c r="E1628">
        <v>2242</v>
      </c>
      <c r="F1628">
        <v>120.7</v>
      </c>
      <c r="G1628">
        <v>5140.5</v>
      </c>
      <c r="H1628">
        <v>2</v>
      </c>
      <c r="I1628">
        <v>22.12</v>
      </c>
      <c r="J1628">
        <v>1144</v>
      </c>
      <c r="K1628">
        <v>418</v>
      </c>
      <c r="L1628">
        <v>72</v>
      </c>
      <c r="M1628">
        <v>227</v>
      </c>
      <c r="N1628">
        <v>0</v>
      </c>
      <c r="O1628">
        <v>1754</v>
      </c>
      <c r="P1628">
        <v>0</v>
      </c>
      <c r="Q1628">
        <v>-542</v>
      </c>
    </row>
    <row r="1629" spans="1:17" x14ac:dyDescent="0.45">
      <c r="A1629">
        <v>3810</v>
      </c>
      <c r="B1629" t="s">
        <v>1685</v>
      </c>
      <c r="C1629">
        <v>121</v>
      </c>
      <c r="D1629">
        <v>3</v>
      </c>
      <c r="E1629">
        <v>115.8</v>
      </c>
      <c r="F1629">
        <v>17.3</v>
      </c>
      <c r="G1629">
        <v>81.900000000000006</v>
      </c>
      <c r="H1629">
        <v>3</v>
      </c>
      <c r="I1629">
        <v>29.04</v>
      </c>
      <c r="J1629">
        <v>45</v>
      </c>
      <c r="K1629">
        <v>18</v>
      </c>
      <c r="L1629">
        <v>4</v>
      </c>
      <c r="M1629">
        <v>15</v>
      </c>
      <c r="N1629">
        <v>0</v>
      </c>
      <c r="O1629">
        <v>58</v>
      </c>
      <c r="P1629">
        <v>0</v>
      </c>
      <c r="Q1629">
        <v>-1264</v>
      </c>
    </row>
    <row r="1630" spans="1:17" x14ac:dyDescent="0.45">
      <c r="A1630">
        <v>3296</v>
      </c>
      <c r="B1630" t="s">
        <v>1687</v>
      </c>
      <c r="C1630">
        <v>6443</v>
      </c>
      <c r="D1630">
        <v>3</v>
      </c>
      <c r="E1630">
        <v>6101.5</v>
      </c>
      <c r="F1630">
        <v>2031</v>
      </c>
      <c r="G1630">
        <v>6536.2</v>
      </c>
      <c r="H1630">
        <v>1</v>
      </c>
      <c r="I1630">
        <v>22.7</v>
      </c>
      <c r="J1630">
        <v>2030</v>
      </c>
      <c r="K1630">
        <v>1217</v>
      </c>
      <c r="L1630">
        <v>145</v>
      </c>
      <c r="M1630">
        <v>217</v>
      </c>
      <c r="N1630">
        <v>0</v>
      </c>
      <c r="O1630">
        <v>2969</v>
      </c>
      <c r="P1630">
        <v>1107.5</v>
      </c>
      <c r="Q1630">
        <v>-602</v>
      </c>
    </row>
    <row r="1631" spans="1:17" x14ac:dyDescent="0.45">
      <c r="A1631">
        <v>4076</v>
      </c>
      <c r="B1631" t="s">
        <v>1688</v>
      </c>
      <c r="C1631">
        <v>3066</v>
      </c>
      <c r="D1631">
        <v>3</v>
      </c>
      <c r="E1631">
        <v>2758.7</v>
      </c>
      <c r="F1631">
        <v>0</v>
      </c>
      <c r="G1631">
        <v>3887</v>
      </c>
      <c r="H1631">
        <v>3</v>
      </c>
      <c r="I1631">
        <v>23.9</v>
      </c>
      <c r="J1631">
        <v>1308</v>
      </c>
      <c r="K1631">
        <v>441</v>
      </c>
      <c r="L1631">
        <v>114</v>
      </c>
      <c r="M1631">
        <v>179</v>
      </c>
      <c r="N1631">
        <v>0</v>
      </c>
      <c r="O1631">
        <v>2132</v>
      </c>
      <c r="P1631">
        <v>0</v>
      </c>
      <c r="Q1631">
        <v>-482</v>
      </c>
    </row>
    <row r="1632" spans="1:17" x14ac:dyDescent="0.45">
      <c r="A1632">
        <v>1407</v>
      </c>
      <c r="B1632" t="s">
        <v>1689</v>
      </c>
      <c r="C1632">
        <v>10654</v>
      </c>
      <c r="D1632">
        <v>3</v>
      </c>
      <c r="E1632">
        <v>9971.9</v>
      </c>
      <c r="F1632">
        <v>12.8</v>
      </c>
      <c r="G1632">
        <v>12299.7</v>
      </c>
      <c r="H1632">
        <v>1</v>
      </c>
      <c r="I1632">
        <v>23.57</v>
      </c>
      <c r="J1632">
        <v>3838</v>
      </c>
      <c r="K1632">
        <v>2042</v>
      </c>
      <c r="L1632">
        <v>275</v>
      </c>
      <c r="M1632">
        <v>636</v>
      </c>
      <c r="N1632">
        <v>0</v>
      </c>
      <c r="O1632">
        <v>14475</v>
      </c>
      <c r="P1632">
        <v>0</v>
      </c>
      <c r="Q1632">
        <v>-7065</v>
      </c>
    </row>
    <row r="1633" spans="1:17" x14ac:dyDescent="0.45">
      <c r="A1633">
        <v>6638</v>
      </c>
      <c r="B1633" t="s">
        <v>1690</v>
      </c>
      <c r="C1633">
        <v>4449</v>
      </c>
      <c r="D1633">
        <v>3</v>
      </c>
      <c r="E1633">
        <v>4910</v>
      </c>
      <c r="F1633">
        <v>1651</v>
      </c>
      <c r="G1633">
        <v>16389.8</v>
      </c>
      <c r="H1633">
        <v>2</v>
      </c>
      <c r="I1633">
        <v>18.96</v>
      </c>
      <c r="J1633">
        <v>1952</v>
      </c>
      <c r="K1633">
        <v>676</v>
      </c>
      <c r="L1633">
        <v>128</v>
      </c>
      <c r="M1633">
        <v>458</v>
      </c>
      <c r="N1633">
        <v>0</v>
      </c>
      <c r="O1633">
        <v>2441</v>
      </c>
      <c r="P1633">
        <v>1952.17</v>
      </c>
      <c r="Q1633">
        <v>-702</v>
      </c>
    </row>
    <row r="1634" spans="1:17" x14ac:dyDescent="0.45">
      <c r="A1634">
        <v>1371</v>
      </c>
      <c r="B1634" t="s">
        <v>1691</v>
      </c>
      <c r="C1634">
        <v>2021</v>
      </c>
      <c r="D1634">
        <v>3</v>
      </c>
      <c r="E1634">
        <v>1799.2</v>
      </c>
      <c r="F1634">
        <v>49.5</v>
      </c>
      <c r="G1634">
        <v>1306.7</v>
      </c>
      <c r="H1634">
        <v>3</v>
      </c>
      <c r="I1634">
        <v>30.7</v>
      </c>
      <c r="J1634">
        <v>862</v>
      </c>
      <c r="K1634">
        <v>401</v>
      </c>
      <c r="L1634">
        <v>33</v>
      </c>
      <c r="M1634">
        <v>96</v>
      </c>
      <c r="N1634">
        <v>0</v>
      </c>
      <c r="O1634">
        <v>5564</v>
      </c>
      <c r="P1634">
        <v>166.13</v>
      </c>
      <c r="Q1634">
        <v>-1144</v>
      </c>
    </row>
    <row r="1635" spans="1:17" x14ac:dyDescent="0.45">
      <c r="A1635">
        <v>5437</v>
      </c>
      <c r="B1635" t="s">
        <v>1692</v>
      </c>
      <c r="C1635">
        <v>448</v>
      </c>
      <c r="D1635">
        <v>3</v>
      </c>
      <c r="E1635">
        <v>299.2</v>
      </c>
      <c r="F1635">
        <v>323.89999999999998</v>
      </c>
      <c r="G1635">
        <v>151.80000000000001</v>
      </c>
      <c r="H1635">
        <v>2</v>
      </c>
      <c r="I1635">
        <v>26.72</v>
      </c>
      <c r="J1635">
        <v>165</v>
      </c>
      <c r="K1635">
        <v>58</v>
      </c>
      <c r="L1635">
        <v>26</v>
      </c>
      <c r="M1635">
        <v>27</v>
      </c>
      <c r="N1635">
        <v>0</v>
      </c>
      <c r="O1635">
        <v>288</v>
      </c>
      <c r="P1635">
        <v>19.18</v>
      </c>
      <c r="Q1635">
        <v>-321</v>
      </c>
    </row>
    <row r="1636" spans="1:17" x14ac:dyDescent="0.45">
      <c r="A1636">
        <v>449</v>
      </c>
      <c r="B1636" t="s">
        <v>1693</v>
      </c>
      <c r="C1636">
        <v>826</v>
      </c>
      <c r="D1636">
        <v>3</v>
      </c>
      <c r="E1636">
        <v>1507.3</v>
      </c>
      <c r="F1636">
        <v>4.2</v>
      </c>
      <c r="G1636">
        <v>593.70000000000005</v>
      </c>
      <c r="H1636">
        <v>3</v>
      </c>
      <c r="I1636">
        <v>26.41</v>
      </c>
      <c r="J1636">
        <v>355</v>
      </c>
      <c r="K1636">
        <v>145</v>
      </c>
      <c r="L1636">
        <v>17</v>
      </c>
      <c r="M1636">
        <v>34</v>
      </c>
      <c r="N1636">
        <v>0</v>
      </c>
      <c r="O1636">
        <v>1111</v>
      </c>
      <c r="P1636">
        <v>953.91</v>
      </c>
      <c r="Q1636">
        <v>-1425</v>
      </c>
    </row>
    <row r="1637" spans="1:17" x14ac:dyDescent="0.45">
      <c r="A1637">
        <v>6722</v>
      </c>
      <c r="B1637" t="s">
        <v>1694</v>
      </c>
      <c r="C1637">
        <v>270</v>
      </c>
      <c r="D1637">
        <v>3</v>
      </c>
      <c r="E1637">
        <v>472.5</v>
      </c>
      <c r="F1637">
        <v>0</v>
      </c>
      <c r="G1637">
        <v>724.4</v>
      </c>
      <c r="H1637">
        <v>3</v>
      </c>
      <c r="I1637">
        <v>27.66</v>
      </c>
      <c r="J1637">
        <v>107</v>
      </c>
      <c r="K1637">
        <v>49</v>
      </c>
      <c r="L1637">
        <v>10</v>
      </c>
      <c r="M1637">
        <v>22</v>
      </c>
      <c r="N1637">
        <v>0</v>
      </c>
      <c r="O1637">
        <v>1770</v>
      </c>
      <c r="P1637">
        <v>28.04</v>
      </c>
      <c r="Q1637">
        <v>-723</v>
      </c>
    </row>
    <row r="1638" spans="1:17" x14ac:dyDescent="0.45">
      <c r="A1638">
        <v>707</v>
      </c>
      <c r="B1638" t="s">
        <v>1695</v>
      </c>
      <c r="C1638">
        <v>152</v>
      </c>
      <c r="D1638">
        <v>3</v>
      </c>
      <c r="E1638">
        <v>268</v>
      </c>
      <c r="F1638">
        <v>0</v>
      </c>
      <c r="G1638">
        <v>817.4</v>
      </c>
      <c r="H1638">
        <v>3</v>
      </c>
      <c r="I1638">
        <v>26.41</v>
      </c>
      <c r="J1638">
        <v>63</v>
      </c>
      <c r="K1638">
        <v>29</v>
      </c>
      <c r="L1638">
        <v>4</v>
      </c>
      <c r="M1638">
        <v>4</v>
      </c>
      <c r="N1638">
        <v>0</v>
      </c>
      <c r="O1638">
        <v>717</v>
      </c>
      <c r="P1638">
        <v>0</v>
      </c>
      <c r="Q1638">
        <v>-381</v>
      </c>
    </row>
    <row r="1639" spans="1:17" x14ac:dyDescent="0.45">
      <c r="A1639">
        <v>5611</v>
      </c>
      <c r="B1639" t="s">
        <v>1697</v>
      </c>
      <c r="C1639">
        <v>3418</v>
      </c>
      <c r="D1639">
        <v>3</v>
      </c>
      <c r="E1639">
        <v>4328.1000000000004</v>
      </c>
      <c r="F1639">
        <v>1619.3</v>
      </c>
      <c r="G1639">
        <v>3986.2</v>
      </c>
      <c r="H1639">
        <v>3</v>
      </c>
      <c r="I1639">
        <v>35.86</v>
      </c>
      <c r="J1639">
        <v>1319</v>
      </c>
      <c r="K1639">
        <v>463</v>
      </c>
      <c r="L1639">
        <v>125</v>
      </c>
      <c r="M1639">
        <v>280</v>
      </c>
      <c r="N1639">
        <v>0</v>
      </c>
      <c r="O1639">
        <v>3662</v>
      </c>
      <c r="P1639">
        <v>141.01</v>
      </c>
      <c r="Q1639">
        <v>-943</v>
      </c>
    </row>
    <row r="1640" spans="1:17" x14ac:dyDescent="0.45">
      <c r="A1640">
        <v>6265</v>
      </c>
      <c r="B1640" t="s">
        <v>1696</v>
      </c>
      <c r="C1640">
        <v>8097</v>
      </c>
      <c r="D1640">
        <v>3</v>
      </c>
      <c r="E1640">
        <v>8113.7</v>
      </c>
      <c r="F1640">
        <v>567.1</v>
      </c>
      <c r="G1640">
        <v>7523</v>
      </c>
      <c r="H1640">
        <v>1</v>
      </c>
      <c r="I1640">
        <v>24.74</v>
      </c>
      <c r="J1640">
        <v>3772</v>
      </c>
      <c r="K1640">
        <v>1220</v>
      </c>
      <c r="L1640">
        <v>241</v>
      </c>
      <c r="M1640">
        <v>426</v>
      </c>
      <c r="N1640">
        <v>0</v>
      </c>
      <c r="O1640">
        <v>2514</v>
      </c>
      <c r="P1640">
        <v>0</v>
      </c>
      <c r="Q1640">
        <v>-2107</v>
      </c>
    </row>
    <row r="1641" spans="1:17" x14ac:dyDescent="0.45">
      <c r="A1641">
        <v>5221</v>
      </c>
      <c r="B1641" t="s">
        <v>1698</v>
      </c>
      <c r="C1641">
        <v>2207</v>
      </c>
      <c r="D1641">
        <v>2</v>
      </c>
      <c r="E1641">
        <v>2323.6</v>
      </c>
      <c r="F1641">
        <v>1239.9000000000001</v>
      </c>
      <c r="G1641">
        <v>1129.4000000000001</v>
      </c>
      <c r="H1641">
        <v>1</v>
      </c>
      <c r="I1641">
        <v>18.600000000000001</v>
      </c>
      <c r="J1641">
        <v>738</v>
      </c>
      <c r="K1641">
        <v>291</v>
      </c>
      <c r="L1641">
        <v>40</v>
      </c>
      <c r="M1641">
        <v>193</v>
      </c>
      <c r="N1641">
        <v>0</v>
      </c>
      <c r="O1641">
        <v>4</v>
      </c>
      <c r="P1641">
        <v>0</v>
      </c>
      <c r="Q1641">
        <v>-20</v>
      </c>
    </row>
    <row r="1642" spans="1:17" x14ac:dyDescent="0.45">
      <c r="A1642">
        <v>591</v>
      </c>
      <c r="B1642" t="s">
        <v>1699</v>
      </c>
      <c r="C1642">
        <v>88</v>
      </c>
      <c r="D1642">
        <v>3</v>
      </c>
      <c r="E1642">
        <v>154.80000000000001</v>
      </c>
      <c r="F1642">
        <v>0</v>
      </c>
      <c r="G1642">
        <v>6</v>
      </c>
      <c r="H1642">
        <v>3</v>
      </c>
      <c r="I1642">
        <v>26.41</v>
      </c>
      <c r="J1642">
        <v>43</v>
      </c>
      <c r="K1642">
        <v>34</v>
      </c>
      <c r="L1642">
        <v>0</v>
      </c>
      <c r="M1642">
        <v>1</v>
      </c>
      <c r="N1642">
        <v>0</v>
      </c>
      <c r="O1642">
        <v>804</v>
      </c>
      <c r="P1642">
        <v>0</v>
      </c>
      <c r="Q1642">
        <v>-1264</v>
      </c>
    </row>
    <row r="1643" spans="1:17" x14ac:dyDescent="0.45">
      <c r="A1643">
        <v>6141</v>
      </c>
      <c r="B1643" t="s">
        <v>1700</v>
      </c>
      <c r="C1643">
        <v>6690</v>
      </c>
      <c r="D1643">
        <v>2</v>
      </c>
      <c r="E1643">
        <v>3663.8</v>
      </c>
      <c r="F1643">
        <v>183.4</v>
      </c>
      <c r="G1643">
        <v>9519.5</v>
      </c>
      <c r="H1643">
        <v>2</v>
      </c>
      <c r="I1643">
        <v>30.34</v>
      </c>
      <c r="J1643">
        <v>3143</v>
      </c>
      <c r="K1643">
        <v>1310</v>
      </c>
      <c r="L1643">
        <v>169</v>
      </c>
      <c r="M1643">
        <v>298</v>
      </c>
      <c r="N1643">
        <v>0</v>
      </c>
      <c r="O1643">
        <v>913</v>
      </c>
      <c r="P1643">
        <v>194.17</v>
      </c>
      <c r="Q1643">
        <v>-2428</v>
      </c>
    </row>
    <row r="1644" spans="1:17" x14ac:dyDescent="0.45">
      <c r="A1644">
        <v>2939</v>
      </c>
      <c r="B1644" t="s">
        <v>1701</v>
      </c>
      <c r="C1644">
        <v>37713</v>
      </c>
      <c r="D1644">
        <v>3</v>
      </c>
      <c r="E1644">
        <v>21996.5</v>
      </c>
      <c r="F1644">
        <v>41262.300000000003</v>
      </c>
      <c r="G1644">
        <v>23767.599999999999</v>
      </c>
      <c r="H1644">
        <v>1</v>
      </c>
      <c r="I1644">
        <v>14.31</v>
      </c>
      <c r="J1644">
        <v>11891</v>
      </c>
      <c r="K1644">
        <v>5007</v>
      </c>
      <c r="L1644">
        <v>706</v>
      </c>
      <c r="M1644">
        <v>1865</v>
      </c>
      <c r="N1644">
        <v>0</v>
      </c>
      <c r="O1644">
        <v>2606</v>
      </c>
      <c r="P1644">
        <v>0</v>
      </c>
      <c r="Q1644">
        <v>-4415</v>
      </c>
    </row>
    <row r="1645" spans="1:17" x14ac:dyDescent="0.45">
      <c r="A1645">
        <v>4207</v>
      </c>
      <c r="B1645" t="s">
        <v>1702</v>
      </c>
      <c r="C1645">
        <v>3037</v>
      </c>
      <c r="D1645">
        <v>3</v>
      </c>
      <c r="E1645">
        <v>2292.1999999999998</v>
      </c>
      <c r="F1645">
        <v>160.6</v>
      </c>
      <c r="G1645">
        <v>3574.9</v>
      </c>
      <c r="H1645">
        <v>2</v>
      </c>
      <c r="I1645">
        <v>23.46</v>
      </c>
      <c r="J1645">
        <v>1276</v>
      </c>
      <c r="K1645">
        <v>473</v>
      </c>
      <c r="L1645">
        <v>66</v>
      </c>
      <c r="M1645">
        <v>157</v>
      </c>
      <c r="N1645">
        <v>0</v>
      </c>
      <c r="O1645">
        <v>1756</v>
      </c>
      <c r="P1645">
        <v>0</v>
      </c>
      <c r="Q1645">
        <v>-522</v>
      </c>
    </row>
    <row r="1646" spans="1:17" x14ac:dyDescent="0.45">
      <c r="A1646">
        <v>906</v>
      </c>
      <c r="B1646" t="s">
        <v>1704</v>
      </c>
      <c r="C1646">
        <v>915</v>
      </c>
      <c r="D1646">
        <v>2</v>
      </c>
      <c r="E1646">
        <v>650.20000000000005</v>
      </c>
      <c r="F1646">
        <v>0</v>
      </c>
      <c r="G1646">
        <v>1855.5</v>
      </c>
      <c r="H1646">
        <v>3</v>
      </c>
      <c r="I1646">
        <v>26.41</v>
      </c>
      <c r="J1646">
        <v>334</v>
      </c>
      <c r="K1646">
        <v>271</v>
      </c>
      <c r="L1646">
        <v>6</v>
      </c>
      <c r="M1646">
        <v>40</v>
      </c>
      <c r="N1646">
        <v>0</v>
      </c>
      <c r="O1646">
        <v>9132</v>
      </c>
      <c r="P1646">
        <v>22.15</v>
      </c>
      <c r="Q1646">
        <v>-2328</v>
      </c>
    </row>
    <row r="1647" spans="1:17" x14ac:dyDescent="0.45">
      <c r="A1647">
        <v>3638</v>
      </c>
      <c r="B1647" t="s">
        <v>1706</v>
      </c>
      <c r="C1647">
        <v>822</v>
      </c>
      <c r="D1647">
        <v>3</v>
      </c>
      <c r="E1647">
        <v>595.70000000000005</v>
      </c>
      <c r="F1647">
        <v>32.5</v>
      </c>
      <c r="G1647">
        <v>769.7</v>
      </c>
      <c r="H1647">
        <v>3</v>
      </c>
      <c r="I1647">
        <v>29.04</v>
      </c>
      <c r="J1647">
        <v>320</v>
      </c>
      <c r="K1647">
        <v>175</v>
      </c>
      <c r="L1647">
        <v>19</v>
      </c>
      <c r="M1647">
        <v>33</v>
      </c>
      <c r="N1647">
        <v>0</v>
      </c>
      <c r="O1647">
        <v>1134</v>
      </c>
      <c r="P1647">
        <v>0</v>
      </c>
      <c r="Q1647">
        <v>-1746</v>
      </c>
    </row>
    <row r="1648" spans="1:17" x14ac:dyDescent="0.45">
      <c r="A1648">
        <v>1213</v>
      </c>
      <c r="B1648" t="s">
        <v>1707</v>
      </c>
      <c r="C1648">
        <v>5453</v>
      </c>
      <c r="D1648">
        <v>3</v>
      </c>
      <c r="E1648">
        <v>4770.8999999999996</v>
      </c>
      <c r="F1648">
        <v>0</v>
      </c>
      <c r="G1648">
        <v>6291.2</v>
      </c>
      <c r="H1648">
        <v>1</v>
      </c>
      <c r="I1648">
        <v>26.15</v>
      </c>
      <c r="J1648">
        <v>1916</v>
      </c>
      <c r="K1648">
        <v>997</v>
      </c>
      <c r="L1648">
        <v>120</v>
      </c>
      <c r="M1648">
        <v>305</v>
      </c>
      <c r="N1648">
        <v>0</v>
      </c>
      <c r="O1648">
        <v>2672</v>
      </c>
      <c r="P1648">
        <v>0</v>
      </c>
      <c r="Q1648">
        <v>-1264</v>
      </c>
    </row>
    <row r="1649" spans="1:17" x14ac:dyDescent="0.45">
      <c r="A1649">
        <v>786</v>
      </c>
      <c r="B1649" t="s">
        <v>1708</v>
      </c>
      <c r="C1649">
        <v>570</v>
      </c>
      <c r="D1649">
        <v>2</v>
      </c>
      <c r="E1649">
        <v>846.1</v>
      </c>
      <c r="F1649">
        <v>0</v>
      </c>
      <c r="G1649">
        <v>459.7</v>
      </c>
      <c r="H1649">
        <v>2</v>
      </c>
      <c r="I1649">
        <v>24.84</v>
      </c>
      <c r="J1649">
        <v>169</v>
      </c>
      <c r="K1649">
        <v>133</v>
      </c>
      <c r="L1649">
        <v>10</v>
      </c>
      <c r="M1649">
        <v>15</v>
      </c>
      <c r="N1649">
        <v>0</v>
      </c>
      <c r="O1649">
        <v>1702</v>
      </c>
      <c r="P1649">
        <v>0</v>
      </c>
      <c r="Q1649">
        <v>-2469</v>
      </c>
    </row>
    <row r="1650" spans="1:17" x14ac:dyDescent="0.45">
      <c r="A1650">
        <v>708</v>
      </c>
      <c r="B1650" t="s">
        <v>1709</v>
      </c>
      <c r="C1650">
        <v>32</v>
      </c>
      <c r="D1650">
        <v>3</v>
      </c>
      <c r="E1650">
        <v>14.3</v>
      </c>
      <c r="F1650">
        <v>0</v>
      </c>
      <c r="G1650">
        <v>26</v>
      </c>
      <c r="H1650">
        <v>3</v>
      </c>
      <c r="I1650">
        <v>26.41</v>
      </c>
      <c r="J1650">
        <v>9</v>
      </c>
      <c r="K1650">
        <v>5</v>
      </c>
      <c r="L1650">
        <v>2</v>
      </c>
      <c r="M1650">
        <v>2</v>
      </c>
      <c r="N1650">
        <v>0</v>
      </c>
      <c r="O1650">
        <v>1195</v>
      </c>
      <c r="P1650">
        <v>0</v>
      </c>
      <c r="Q1650">
        <v>-602</v>
      </c>
    </row>
    <row r="1651" spans="1:17" x14ac:dyDescent="0.45">
      <c r="A1651">
        <v>1099</v>
      </c>
      <c r="B1651" t="s">
        <v>1710</v>
      </c>
      <c r="C1651">
        <v>3076</v>
      </c>
      <c r="D1651">
        <v>3</v>
      </c>
      <c r="E1651">
        <v>1669.5</v>
      </c>
      <c r="F1651">
        <v>108.1</v>
      </c>
      <c r="G1651">
        <v>3796</v>
      </c>
      <c r="H1651">
        <v>1</v>
      </c>
      <c r="I1651">
        <v>19.39</v>
      </c>
      <c r="J1651">
        <v>1288</v>
      </c>
      <c r="K1651">
        <v>539</v>
      </c>
      <c r="L1651">
        <v>130</v>
      </c>
      <c r="M1651">
        <v>203</v>
      </c>
      <c r="N1651">
        <v>0</v>
      </c>
      <c r="O1651">
        <v>3961</v>
      </c>
      <c r="P1651">
        <v>0</v>
      </c>
      <c r="Q1651">
        <v>-221</v>
      </c>
    </row>
    <row r="1652" spans="1:17" x14ac:dyDescent="0.45">
      <c r="A1652">
        <v>747</v>
      </c>
      <c r="B1652" t="s">
        <v>1711</v>
      </c>
      <c r="C1652">
        <v>536</v>
      </c>
      <c r="D1652">
        <v>2</v>
      </c>
      <c r="E1652">
        <v>703.1</v>
      </c>
      <c r="F1652">
        <v>12.5</v>
      </c>
      <c r="G1652">
        <v>568.9</v>
      </c>
      <c r="H1652">
        <v>2</v>
      </c>
      <c r="I1652">
        <v>24.84</v>
      </c>
      <c r="J1652">
        <v>201</v>
      </c>
      <c r="K1652">
        <v>82</v>
      </c>
      <c r="L1652">
        <v>22</v>
      </c>
      <c r="M1652">
        <v>20</v>
      </c>
      <c r="N1652">
        <v>0</v>
      </c>
      <c r="O1652">
        <v>1195</v>
      </c>
      <c r="P1652">
        <v>0</v>
      </c>
      <c r="Q1652">
        <v>-100</v>
      </c>
    </row>
    <row r="1653" spans="1:17" x14ac:dyDescent="0.45">
      <c r="A1653">
        <v>3962</v>
      </c>
      <c r="B1653" t="s">
        <v>1712</v>
      </c>
      <c r="C1653">
        <v>2861</v>
      </c>
      <c r="D1653">
        <v>3</v>
      </c>
      <c r="E1653">
        <v>3937.5</v>
      </c>
      <c r="F1653">
        <v>16.5</v>
      </c>
      <c r="G1653">
        <v>1784.8</v>
      </c>
      <c r="H1653">
        <v>2</v>
      </c>
      <c r="I1653">
        <v>21.73</v>
      </c>
      <c r="J1653">
        <v>741</v>
      </c>
      <c r="K1653">
        <v>649</v>
      </c>
      <c r="L1653">
        <v>37</v>
      </c>
      <c r="M1653">
        <v>105</v>
      </c>
      <c r="N1653">
        <v>0</v>
      </c>
      <c r="O1653">
        <v>4317</v>
      </c>
      <c r="P1653">
        <v>0</v>
      </c>
      <c r="Q1653">
        <v>-5539</v>
      </c>
    </row>
    <row r="1654" spans="1:17" x14ac:dyDescent="0.45">
      <c r="A1654">
        <v>4125</v>
      </c>
      <c r="B1654" t="s">
        <v>1713</v>
      </c>
      <c r="C1654">
        <v>2407</v>
      </c>
      <c r="D1654">
        <v>3</v>
      </c>
      <c r="E1654">
        <v>2917.8</v>
      </c>
      <c r="F1654">
        <v>11.6</v>
      </c>
      <c r="G1654">
        <v>3717.9</v>
      </c>
      <c r="H1654">
        <v>2</v>
      </c>
      <c r="I1654">
        <v>23.46</v>
      </c>
      <c r="J1654">
        <v>1000</v>
      </c>
      <c r="K1654">
        <v>412</v>
      </c>
      <c r="L1654">
        <v>73</v>
      </c>
      <c r="M1654">
        <v>101</v>
      </c>
      <c r="N1654">
        <v>0</v>
      </c>
      <c r="O1654">
        <v>2113</v>
      </c>
      <c r="P1654">
        <v>0</v>
      </c>
      <c r="Q1654">
        <v>-1064</v>
      </c>
    </row>
    <row r="1655" spans="1:17" x14ac:dyDescent="0.45">
      <c r="A1655">
        <v>4546</v>
      </c>
      <c r="B1655" t="s">
        <v>1714</v>
      </c>
      <c r="C1655">
        <v>1859</v>
      </c>
      <c r="D1655">
        <v>3</v>
      </c>
      <c r="E1655">
        <v>2324.3000000000002</v>
      </c>
      <c r="F1655">
        <v>382.3</v>
      </c>
      <c r="G1655">
        <v>2784.2</v>
      </c>
      <c r="H1655">
        <v>3</v>
      </c>
      <c r="I1655">
        <v>26.04</v>
      </c>
      <c r="J1655">
        <v>809</v>
      </c>
      <c r="K1655">
        <v>330</v>
      </c>
      <c r="L1655">
        <v>69</v>
      </c>
      <c r="M1655">
        <v>102</v>
      </c>
      <c r="N1655">
        <v>3138</v>
      </c>
      <c r="O1655">
        <v>2617</v>
      </c>
      <c r="P1655">
        <v>96.71</v>
      </c>
      <c r="Q1655">
        <v>-1164</v>
      </c>
    </row>
    <row r="1656" spans="1:17" x14ac:dyDescent="0.45">
      <c r="A1656">
        <v>226</v>
      </c>
      <c r="B1656" t="s">
        <v>1715</v>
      </c>
      <c r="C1656">
        <v>759</v>
      </c>
      <c r="D1656">
        <v>3</v>
      </c>
      <c r="E1656">
        <v>635.79999999999995</v>
      </c>
      <c r="F1656">
        <v>0</v>
      </c>
      <c r="G1656">
        <v>814.1</v>
      </c>
      <c r="H1656">
        <v>3</v>
      </c>
      <c r="I1656">
        <v>25.15</v>
      </c>
      <c r="J1656">
        <v>280</v>
      </c>
      <c r="K1656">
        <v>101</v>
      </c>
      <c r="L1656">
        <v>24</v>
      </c>
      <c r="M1656">
        <v>30</v>
      </c>
      <c r="N1656">
        <v>0</v>
      </c>
      <c r="O1656">
        <v>2809</v>
      </c>
      <c r="P1656">
        <v>0</v>
      </c>
      <c r="Q1656">
        <v>-803</v>
      </c>
    </row>
    <row r="1657" spans="1:17" x14ac:dyDescent="0.45">
      <c r="A1657">
        <v>3104</v>
      </c>
      <c r="B1657" t="s">
        <v>1716</v>
      </c>
      <c r="C1657">
        <v>1108</v>
      </c>
      <c r="D1657">
        <v>3</v>
      </c>
      <c r="E1657">
        <v>623.20000000000005</v>
      </c>
      <c r="F1657">
        <v>27.6</v>
      </c>
      <c r="G1657">
        <v>4398.8</v>
      </c>
      <c r="H1657">
        <v>3</v>
      </c>
      <c r="I1657">
        <v>25.09</v>
      </c>
      <c r="J1657">
        <v>397</v>
      </c>
      <c r="K1657">
        <v>205</v>
      </c>
      <c r="L1657">
        <v>22</v>
      </c>
      <c r="M1657">
        <v>35</v>
      </c>
      <c r="N1657">
        <v>0</v>
      </c>
      <c r="O1657">
        <v>10394</v>
      </c>
      <c r="P1657">
        <v>28.04</v>
      </c>
      <c r="Q1657">
        <v>-1024</v>
      </c>
    </row>
    <row r="1658" spans="1:17" x14ac:dyDescent="0.45">
      <c r="A1658">
        <v>98</v>
      </c>
      <c r="B1658" t="s">
        <v>1717</v>
      </c>
      <c r="C1658">
        <v>863</v>
      </c>
      <c r="D1658">
        <v>3</v>
      </c>
      <c r="E1658">
        <v>698.3</v>
      </c>
      <c r="F1658">
        <v>0</v>
      </c>
      <c r="G1658">
        <v>479.2</v>
      </c>
      <c r="H1658">
        <v>2</v>
      </c>
      <c r="I1658">
        <v>24.61</v>
      </c>
      <c r="J1658">
        <v>378</v>
      </c>
      <c r="K1658">
        <v>120</v>
      </c>
      <c r="L1658">
        <v>28</v>
      </c>
      <c r="M1658">
        <v>35</v>
      </c>
      <c r="N1658">
        <v>0</v>
      </c>
      <c r="O1658">
        <v>774</v>
      </c>
      <c r="P1658">
        <v>0</v>
      </c>
      <c r="Q1658">
        <v>-462</v>
      </c>
    </row>
    <row r="1659" spans="1:17" x14ac:dyDescent="0.45">
      <c r="A1659">
        <v>2952</v>
      </c>
      <c r="B1659" t="s">
        <v>1718</v>
      </c>
      <c r="C1659">
        <v>1738</v>
      </c>
      <c r="D1659">
        <v>3</v>
      </c>
      <c r="E1659">
        <v>2354.9</v>
      </c>
      <c r="F1659">
        <v>0</v>
      </c>
      <c r="G1659">
        <v>3184.3</v>
      </c>
      <c r="H1659">
        <v>3</v>
      </c>
      <c r="I1659">
        <v>19.850000000000001</v>
      </c>
      <c r="J1659">
        <v>689</v>
      </c>
      <c r="K1659">
        <v>390</v>
      </c>
      <c r="L1659">
        <v>38</v>
      </c>
      <c r="M1659">
        <v>62</v>
      </c>
      <c r="N1659">
        <v>0</v>
      </c>
      <c r="O1659">
        <v>9102</v>
      </c>
      <c r="P1659">
        <v>105.57</v>
      </c>
      <c r="Q1659">
        <v>-1505</v>
      </c>
    </row>
    <row r="1660" spans="1:17" x14ac:dyDescent="0.45">
      <c r="A1660">
        <v>1100</v>
      </c>
      <c r="B1660" t="s">
        <v>1719</v>
      </c>
      <c r="C1660">
        <v>986</v>
      </c>
      <c r="D1660">
        <v>3</v>
      </c>
      <c r="E1660">
        <v>457.2</v>
      </c>
      <c r="F1660">
        <v>0</v>
      </c>
      <c r="G1660">
        <v>1686.5</v>
      </c>
      <c r="H1660">
        <v>3</v>
      </c>
      <c r="I1660">
        <v>26.39</v>
      </c>
      <c r="J1660">
        <v>359</v>
      </c>
      <c r="K1660">
        <v>161</v>
      </c>
      <c r="L1660">
        <v>47</v>
      </c>
      <c r="M1660">
        <v>43</v>
      </c>
      <c r="N1660">
        <v>0</v>
      </c>
      <c r="O1660">
        <v>3117</v>
      </c>
      <c r="P1660">
        <v>0</v>
      </c>
      <c r="Q1660">
        <v>-442</v>
      </c>
    </row>
    <row r="1661" spans="1:17" x14ac:dyDescent="0.45">
      <c r="A1661">
        <v>247</v>
      </c>
      <c r="B1661" t="s">
        <v>1720</v>
      </c>
      <c r="C1661">
        <v>20350</v>
      </c>
      <c r="D1661">
        <v>3</v>
      </c>
      <c r="E1661">
        <v>12901.6</v>
      </c>
      <c r="F1661">
        <v>12177.5</v>
      </c>
      <c r="G1661">
        <v>7900.5</v>
      </c>
      <c r="H1661">
        <v>1</v>
      </c>
      <c r="I1661">
        <v>15.69</v>
      </c>
      <c r="J1661">
        <v>4948</v>
      </c>
      <c r="K1661">
        <v>3330</v>
      </c>
      <c r="L1661">
        <v>540</v>
      </c>
      <c r="M1661">
        <v>1396</v>
      </c>
      <c r="N1661">
        <v>0</v>
      </c>
      <c r="O1661">
        <v>803</v>
      </c>
      <c r="P1661">
        <v>0</v>
      </c>
      <c r="Q1661">
        <v>-381</v>
      </c>
    </row>
    <row r="1662" spans="1:17" x14ac:dyDescent="0.45">
      <c r="A1662">
        <v>4142</v>
      </c>
      <c r="B1662" t="s">
        <v>1721</v>
      </c>
      <c r="C1662">
        <v>840</v>
      </c>
      <c r="D1662">
        <v>3</v>
      </c>
      <c r="E1662">
        <v>777.1</v>
      </c>
      <c r="F1662">
        <v>19.2</v>
      </c>
      <c r="G1662">
        <v>977.8</v>
      </c>
      <c r="H1662">
        <v>3</v>
      </c>
      <c r="I1662">
        <v>23.9</v>
      </c>
      <c r="J1662">
        <v>427</v>
      </c>
      <c r="K1662">
        <v>167</v>
      </c>
      <c r="L1662">
        <v>23</v>
      </c>
      <c r="M1662">
        <v>33</v>
      </c>
      <c r="N1662">
        <v>0</v>
      </c>
      <c r="O1662">
        <v>3603</v>
      </c>
      <c r="P1662">
        <v>0</v>
      </c>
      <c r="Q1662">
        <v>-421</v>
      </c>
    </row>
    <row r="1663" spans="1:17" x14ac:dyDescent="0.45">
      <c r="A1663">
        <v>3582</v>
      </c>
      <c r="B1663" t="s">
        <v>1722</v>
      </c>
      <c r="C1663">
        <v>597</v>
      </c>
      <c r="D1663">
        <v>3</v>
      </c>
      <c r="E1663">
        <v>1272.7</v>
      </c>
      <c r="F1663">
        <v>22.9</v>
      </c>
      <c r="G1663">
        <v>1330.3</v>
      </c>
      <c r="H1663">
        <v>3</v>
      </c>
      <c r="I1663">
        <v>29.04</v>
      </c>
      <c r="J1663">
        <v>254</v>
      </c>
      <c r="K1663">
        <v>177</v>
      </c>
      <c r="L1663">
        <v>21</v>
      </c>
      <c r="M1663">
        <v>28</v>
      </c>
      <c r="N1663">
        <v>0</v>
      </c>
      <c r="O1663">
        <v>420</v>
      </c>
      <c r="P1663">
        <v>903.72</v>
      </c>
      <c r="Q1663">
        <v>-542</v>
      </c>
    </row>
    <row r="1664" spans="1:17" x14ac:dyDescent="0.45">
      <c r="A1664">
        <v>3338</v>
      </c>
      <c r="B1664" t="s">
        <v>1723</v>
      </c>
      <c r="C1664">
        <v>4110</v>
      </c>
      <c r="D1664">
        <v>3</v>
      </c>
      <c r="E1664">
        <v>2271.9</v>
      </c>
      <c r="F1664">
        <v>3006.8</v>
      </c>
      <c r="G1664">
        <v>2651.5</v>
      </c>
      <c r="H1664">
        <v>1</v>
      </c>
      <c r="I1664">
        <v>22.7</v>
      </c>
      <c r="J1664">
        <v>1300</v>
      </c>
      <c r="K1664">
        <v>661</v>
      </c>
      <c r="L1664">
        <v>106</v>
      </c>
      <c r="M1664">
        <v>186</v>
      </c>
      <c r="N1664">
        <v>0</v>
      </c>
      <c r="O1664">
        <v>1142</v>
      </c>
      <c r="P1664">
        <v>1661.25</v>
      </c>
      <c r="Q1664">
        <v>-181</v>
      </c>
    </row>
    <row r="1665" spans="1:17" x14ac:dyDescent="0.45">
      <c r="A1665">
        <v>4143</v>
      </c>
      <c r="B1665" t="s">
        <v>1724</v>
      </c>
      <c r="C1665">
        <v>1159</v>
      </c>
      <c r="D1665">
        <v>3</v>
      </c>
      <c r="E1665">
        <v>1055.3</v>
      </c>
      <c r="F1665">
        <v>7.1</v>
      </c>
      <c r="G1665">
        <v>1006.5</v>
      </c>
      <c r="H1665">
        <v>3</v>
      </c>
      <c r="I1665">
        <v>23.9</v>
      </c>
      <c r="J1665">
        <v>598</v>
      </c>
      <c r="K1665">
        <v>210</v>
      </c>
      <c r="L1665">
        <v>21</v>
      </c>
      <c r="M1665">
        <v>46</v>
      </c>
      <c r="N1665">
        <v>0</v>
      </c>
      <c r="O1665">
        <v>3263</v>
      </c>
      <c r="P1665">
        <v>0</v>
      </c>
      <c r="Q1665">
        <v>-462</v>
      </c>
    </row>
    <row r="1666" spans="1:17" x14ac:dyDescent="0.45">
      <c r="A1666">
        <v>2305</v>
      </c>
      <c r="B1666" t="s">
        <v>1725</v>
      </c>
      <c r="C1666">
        <v>4262</v>
      </c>
      <c r="D1666">
        <v>3</v>
      </c>
      <c r="E1666">
        <v>2089.9</v>
      </c>
      <c r="F1666">
        <v>64.900000000000006</v>
      </c>
      <c r="G1666">
        <v>3462.4</v>
      </c>
      <c r="H1666">
        <v>2</v>
      </c>
      <c r="I1666">
        <v>28.63</v>
      </c>
      <c r="J1666">
        <v>1597</v>
      </c>
      <c r="K1666">
        <v>567</v>
      </c>
      <c r="L1666">
        <v>134</v>
      </c>
      <c r="M1666">
        <v>230</v>
      </c>
      <c r="N1666">
        <v>0</v>
      </c>
      <c r="O1666">
        <v>4100</v>
      </c>
      <c r="P1666">
        <v>0</v>
      </c>
      <c r="Q1666">
        <v>-381</v>
      </c>
    </row>
    <row r="1667" spans="1:17" x14ac:dyDescent="0.45">
      <c r="A1667">
        <v>3514</v>
      </c>
      <c r="B1667" t="s">
        <v>1726</v>
      </c>
      <c r="C1667">
        <v>212</v>
      </c>
      <c r="D1667">
        <v>3</v>
      </c>
      <c r="E1667">
        <v>503.7</v>
      </c>
      <c r="F1667">
        <v>3.9</v>
      </c>
      <c r="G1667">
        <v>177.4</v>
      </c>
      <c r="H1667">
        <v>3</v>
      </c>
      <c r="I1667">
        <v>29.04</v>
      </c>
      <c r="J1667">
        <v>86</v>
      </c>
      <c r="K1667">
        <v>58</v>
      </c>
      <c r="L1667">
        <v>2</v>
      </c>
      <c r="M1667">
        <v>7</v>
      </c>
      <c r="N1667">
        <v>0</v>
      </c>
      <c r="O1667">
        <v>389</v>
      </c>
      <c r="P1667">
        <v>0</v>
      </c>
      <c r="Q1667">
        <v>-1305</v>
      </c>
    </row>
    <row r="1668" spans="1:17" x14ac:dyDescent="0.45">
      <c r="A1668">
        <v>4318</v>
      </c>
      <c r="B1668" t="s">
        <v>1727</v>
      </c>
      <c r="C1668">
        <v>1526</v>
      </c>
      <c r="D1668">
        <v>3</v>
      </c>
      <c r="E1668">
        <v>1674.1</v>
      </c>
      <c r="F1668">
        <v>28.9</v>
      </c>
      <c r="G1668">
        <v>1337.9</v>
      </c>
      <c r="H1668">
        <v>2</v>
      </c>
      <c r="I1668">
        <v>23.46</v>
      </c>
      <c r="J1668">
        <v>649</v>
      </c>
      <c r="K1668">
        <v>237</v>
      </c>
      <c r="L1668">
        <v>50</v>
      </c>
      <c r="M1668">
        <v>80</v>
      </c>
      <c r="N1668">
        <v>0</v>
      </c>
      <c r="O1668">
        <v>1840</v>
      </c>
      <c r="P1668">
        <v>0</v>
      </c>
      <c r="Q1668">
        <v>-682</v>
      </c>
    </row>
    <row r="1669" spans="1:17" x14ac:dyDescent="0.45">
      <c r="A1669">
        <v>2461</v>
      </c>
      <c r="B1669" t="s">
        <v>1728</v>
      </c>
      <c r="C1669">
        <v>1131</v>
      </c>
      <c r="D1669">
        <v>3</v>
      </c>
      <c r="E1669">
        <v>982.5</v>
      </c>
      <c r="F1669">
        <v>0</v>
      </c>
      <c r="G1669">
        <v>2780.1</v>
      </c>
      <c r="H1669">
        <v>3</v>
      </c>
      <c r="I1669">
        <v>28.59</v>
      </c>
      <c r="J1669">
        <v>484</v>
      </c>
      <c r="K1669">
        <v>218</v>
      </c>
      <c r="L1669">
        <v>39</v>
      </c>
      <c r="M1669">
        <v>39</v>
      </c>
      <c r="N1669">
        <v>0</v>
      </c>
      <c r="O1669">
        <v>2039</v>
      </c>
      <c r="P1669">
        <v>0</v>
      </c>
      <c r="Q1669">
        <v>-462</v>
      </c>
    </row>
    <row r="1670" spans="1:17" x14ac:dyDescent="0.45">
      <c r="A1670">
        <v>1041</v>
      </c>
      <c r="B1670" t="s">
        <v>1734</v>
      </c>
      <c r="C1670">
        <v>1068</v>
      </c>
      <c r="D1670">
        <v>2</v>
      </c>
      <c r="E1670">
        <v>462.7</v>
      </c>
      <c r="F1670">
        <v>0</v>
      </c>
      <c r="G1670">
        <v>3860.3</v>
      </c>
      <c r="H1670">
        <v>3</v>
      </c>
      <c r="I1670">
        <v>26.39</v>
      </c>
      <c r="J1670">
        <v>421</v>
      </c>
      <c r="K1670">
        <v>186</v>
      </c>
      <c r="L1670">
        <v>52</v>
      </c>
      <c r="M1670">
        <v>46</v>
      </c>
      <c r="N1670">
        <v>0</v>
      </c>
      <c r="O1670">
        <v>7841</v>
      </c>
      <c r="P1670">
        <v>0</v>
      </c>
      <c r="Q1670">
        <v>-582</v>
      </c>
    </row>
    <row r="1671" spans="1:17" x14ac:dyDescent="0.45">
      <c r="A1671">
        <v>4259</v>
      </c>
      <c r="B1671" t="s">
        <v>1738</v>
      </c>
      <c r="C1671">
        <v>859</v>
      </c>
      <c r="D1671">
        <v>3</v>
      </c>
      <c r="E1671">
        <v>851.9</v>
      </c>
      <c r="F1671">
        <v>11.5</v>
      </c>
      <c r="G1671">
        <v>1227.9000000000001</v>
      </c>
      <c r="H1671">
        <v>3</v>
      </c>
      <c r="I1671">
        <v>23.9</v>
      </c>
      <c r="J1671">
        <v>366</v>
      </c>
      <c r="K1671">
        <v>168</v>
      </c>
      <c r="L1671">
        <v>35</v>
      </c>
      <c r="M1671">
        <v>47</v>
      </c>
      <c r="N1671">
        <v>0</v>
      </c>
      <c r="O1671">
        <v>2052</v>
      </c>
      <c r="P1671">
        <v>41.33</v>
      </c>
      <c r="Q1671">
        <v>-421</v>
      </c>
    </row>
    <row r="1672" spans="1:17" x14ac:dyDescent="0.45">
      <c r="A1672">
        <v>4176</v>
      </c>
      <c r="B1672" t="s">
        <v>1741</v>
      </c>
      <c r="C1672">
        <v>703</v>
      </c>
      <c r="D1672">
        <v>3</v>
      </c>
      <c r="E1672">
        <v>1105.8</v>
      </c>
      <c r="F1672">
        <v>0</v>
      </c>
      <c r="G1672">
        <v>688.4</v>
      </c>
      <c r="H1672">
        <v>3</v>
      </c>
      <c r="I1672">
        <v>23.9</v>
      </c>
      <c r="J1672">
        <v>332</v>
      </c>
      <c r="K1672">
        <v>154</v>
      </c>
      <c r="L1672">
        <v>14</v>
      </c>
      <c r="M1672">
        <v>45</v>
      </c>
      <c r="N1672">
        <v>0</v>
      </c>
      <c r="O1672">
        <v>484</v>
      </c>
      <c r="P1672">
        <v>0</v>
      </c>
      <c r="Q1672">
        <v>-241</v>
      </c>
    </row>
    <row r="1673" spans="1:17" x14ac:dyDescent="0.45">
      <c r="A1673">
        <v>748</v>
      </c>
      <c r="B1673" t="s">
        <v>1742</v>
      </c>
      <c r="C1673">
        <v>693</v>
      </c>
      <c r="D1673">
        <v>2</v>
      </c>
      <c r="E1673">
        <v>1058.4000000000001</v>
      </c>
      <c r="F1673">
        <v>8.5</v>
      </c>
      <c r="G1673">
        <v>639.70000000000005</v>
      </c>
      <c r="H1673">
        <v>1</v>
      </c>
      <c r="I1673">
        <v>16.760000000000002</v>
      </c>
      <c r="J1673">
        <v>287</v>
      </c>
      <c r="K1673">
        <v>117</v>
      </c>
      <c r="L1673">
        <v>6</v>
      </c>
      <c r="M1673">
        <v>23</v>
      </c>
      <c r="N1673">
        <v>0</v>
      </c>
      <c r="O1673">
        <v>1427</v>
      </c>
      <c r="P1673">
        <v>0</v>
      </c>
      <c r="Q1673">
        <v>-100</v>
      </c>
    </row>
    <row r="1674" spans="1:17" x14ac:dyDescent="0.45">
      <c r="A1674">
        <v>592</v>
      </c>
      <c r="B1674" t="s">
        <v>1743</v>
      </c>
      <c r="C1674">
        <v>649</v>
      </c>
      <c r="D1674">
        <v>2</v>
      </c>
      <c r="E1674">
        <v>1054.4000000000001</v>
      </c>
      <c r="F1674">
        <v>0</v>
      </c>
      <c r="G1674">
        <v>917.2</v>
      </c>
      <c r="H1674">
        <v>2</v>
      </c>
      <c r="I1674">
        <v>24.84</v>
      </c>
      <c r="J1674">
        <v>199</v>
      </c>
      <c r="K1674">
        <v>101</v>
      </c>
      <c r="L1674">
        <v>17</v>
      </c>
      <c r="M1674">
        <v>35</v>
      </c>
      <c r="N1674">
        <v>0</v>
      </c>
      <c r="O1674">
        <v>195</v>
      </c>
      <c r="P1674">
        <v>0</v>
      </c>
      <c r="Q1674">
        <v>-682</v>
      </c>
    </row>
    <row r="1675" spans="1:17" x14ac:dyDescent="0.45">
      <c r="A1675">
        <v>1066</v>
      </c>
      <c r="B1675" t="s">
        <v>1744</v>
      </c>
      <c r="C1675">
        <v>1796</v>
      </c>
      <c r="D1675">
        <v>2</v>
      </c>
      <c r="E1675">
        <v>1277.5</v>
      </c>
      <c r="F1675">
        <v>0</v>
      </c>
      <c r="G1675">
        <v>2139.8000000000002</v>
      </c>
      <c r="H1675">
        <v>3</v>
      </c>
      <c r="I1675">
        <v>26.39</v>
      </c>
      <c r="J1675">
        <v>605</v>
      </c>
      <c r="K1675">
        <v>353</v>
      </c>
      <c r="L1675">
        <v>37</v>
      </c>
      <c r="M1675">
        <v>76</v>
      </c>
      <c r="N1675">
        <v>0</v>
      </c>
      <c r="O1675">
        <v>6954</v>
      </c>
      <c r="P1675">
        <v>85.63</v>
      </c>
      <c r="Q1675">
        <v>-4215</v>
      </c>
    </row>
    <row r="1676" spans="1:17" x14ac:dyDescent="0.45">
      <c r="A1676">
        <v>855</v>
      </c>
      <c r="B1676" t="s">
        <v>1745</v>
      </c>
      <c r="C1676">
        <v>6767</v>
      </c>
      <c r="D1676">
        <v>2</v>
      </c>
      <c r="E1676">
        <v>5337.5</v>
      </c>
      <c r="F1676">
        <v>4</v>
      </c>
      <c r="G1676">
        <v>7950.9</v>
      </c>
      <c r="H1676">
        <v>2</v>
      </c>
      <c r="I1676">
        <v>24.84</v>
      </c>
      <c r="J1676">
        <v>2589</v>
      </c>
      <c r="K1676">
        <v>855</v>
      </c>
      <c r="L1676">
        <v>93</v>
      </c>
      <c r="M1676">
        <v>261</v>
      </c>
      <c r="N1676">
        <v>0</v>
      </c>
      <c r="O1676">
        <v>19897</v>
      </c>
      <c r="P1676">
        <v>0</v>
      </c>
      <c r="Q1676">
        <v>-2428</v>
      </c>
    </row>
    <row r="1677" spans="1:17" x14ac:dyDescent="0.45">
      <c r="A1677">
        <v>341</v>
      </c>
      <c r="B1677" t="s">
        <v>1746</v>
      </c>
      <c r="C1677">
        <v>533</v>
      </c>
      <c r="D1677">
        <v>2</v>
      </c>
      <c r="E1677">
        <v>472.6</v>
      </c>
      <c r="F1677">
        <v>0</v>
      </c>
      <c r="G1677">
        <v>366.2</v>
      </c>
      <c r="H1677">
        <v>3</v>
      </c>
      <c r="I1677">
        <v>26.41</v>
      </c>
      <c r="J1677">
        <v>225</v>
      </c>
      <c r="K1677">
        <v>59</v>
      </c>
      <c r="L1677">
        <v>5</v>
      </c>
      <c r="M1677">
        <v>24</v>
      </c>
      <c r="N1677">
        <v>0</v>
      </c>
      <c r="O1677">
        <v>656</v>
      </c>
      <c r="P1677">
        <v>0</v>
      </c>
      <c r="Q1677">
        <v>-261</v>
      </c>
    </row>
    <row r="1678" spans="1:17" x14ac:dyDescent="0.45">
      <c r="A1678">
        <v>3004</v>
      </c>
      <c r="B1678" t="s">
        <v>1747</v>
      </c>
      <c r="C1678">
        <v>1561</v>
      </c>
      <c r="D1678">
        <v>3</v>
      </c>
      <c r="E1678">
        <v>1564</v>
      </c>
      <c r="F1678">
        <v>20.6</v>
      </c>
      <c r="G1678">
        <v>3449.3</v>
      </c>
      <c r="H1678">
        <v>3</v>
      </c>
      <c r="I1678">
        <v>25.09</v>
      </c>
      <c r="J1678">
        <v>520</v>
      </c>
      <c r="K1678">
        <v>264</v>
      </c>
      <c r="L1678">
        <v>18</v>
      </c>
      <c r="M1678">
        <v>58</v>
      </c>
      <c r="N1678">
        <v>0</v>
      </c>
      <c r="O1678">
        <v>8069</v>
      </c>
      <c r="P1678">
        <v>0</v>
      </c>
      <c r="Q1678">
        <v>-1124</v>
      </c>
    </row>
    <row r="1679" spans="1:17" x14ac:dyDescent="0.45">
      <c r="A1679">
        <v>3112</v>
      </c>
      <c r="B1679" t="s">
        <v>1748</v>
      </c>
      <c r="C1679">
        <v>6050</v>
      </c>
      <c r="D1679">
        <v>3</v>
      </c>
      <c r="E1679">
        <v>6120.5</v>
      </c>
      <c r="F1679">
        <v>1064</v>
      </c>
      <c r="G1679">
        <v>9606.4</v>
      </c>
      <c r="H1679">
        <v>1</v>
      </c>
      <c r="I1679">
        <v>12.52</v>
      </c>
      <c r="J1679">
        <v>1130</v>
      </c>
      <c r="K1679">
        <v>566</v>
      </c>
      <c r="L1679">
        <v>67</v>
      </c>
      <c r="M1679">
        <v>141</v>
      </c>
      <c r="N1679">
        <v>0</v>
      </c>
      <c r="O1679">
        <v>17765</v>
      </c>
      <c r="P1679">
        <v>0</v>
      </c>
      <c r="Q1679">
        <v>-5720</v>
      </c>
    </row>
    <row r="1680" spans="1:17" x14ac:dyDescent="0.45">
      <c r="A1680">
        <v>197</v>
      </c>
      <c r="B1680" t="s">
        <v>1749</v>
      </c>
      <c r="C1680">
        <v>5133</v>
      </c>
      <c r="D1680">
        <v>3</v>
      </c>
      <c r="E1680">
        <v>4291.2</v>
      </c>
      <c r="F1680">
        <v>2498.1999999999998</v>
      </c>
      <c r="G1680">
        <v>2556.3000000000002</v>
      </c>
      <c r="H1680">
        <v>1</v>
      </c>
      <c r="I1680">
        <v>15.69</v>
      </c>
      <c r="J1680">
        <v>1457</v>
      </c>
      <c r="K1680">
        <v>836</v>
      </c>
      <c r="L1680">
        <v>217</v>
      </c>
      <c r="M1680">
        <v>284</v>
      </c>
      <c r="N1680">
        <v>0</v>
      </c>
      <c r="O1680">
        <v>484</v>
      </c>
      <c r="P1680">
        <v>0</v>
      </c>
      <c r="Q1680">
        <v>-20</v>
      </c>
    </row>
    <row r="1681" spans="1:17" x14ac:dyDescent="0.45">
      <c r="A1681">
        <v>1372</v>
      </c>
      <c r="B1681" t="s">
        <v>1750</v>
      </c>
      <c r="C1681">
        <v>15685</v>
      </c>
      <c r="D1681">
        <v>3</v>
      </c>
      <c r="E1681">
        <v>15663.1</v>
      </c>
      <c r="F1681">
        <v>1518</v>
      </c>
      <c r="G1681">
        <v>15496.8</v>
      </c>
      <c r="H1681">
        <v>1</v>
      </c>
      <c r="I1681">
        <v>35.31</v>
      </c>
      <c r="J1681">
        <v>5752</v>
      </c>
      <c r="K1681">
        <v>2765</v>
      </c>
      <c r="L1681">
        <v>386</v>
      </c>
      <c r="M1681">
        <v>812</v>
      </c>
      <c r="N1681">
        <v>0</v>
      </c>
      <c r="O1681">
        <v>14923</v>
      </c>
      <c r="P1681">
        <v>1735.1</v>
      </c>
      <c r="Q1681">
        <v>-3613</v>
      </c>
    </row>
    <row r="1682" spans="1:17" x14ac:dyDescent="0.45">
      <c r="A1682">
        <v>3315</v>
      </c>
      <c r="B1682" t="s">
        <v>1705</v>
      </c>
      <c r="C1682">
        <v>4021</v>
      </c>
      <c r="D1682">
        <v>3</v>
      </c>
      <c r="E1682">
        <v>3283.3</v>
      </c>
      <c r="F1682">
        <v>1194.5</v>
      </c>
      <c r="G1682">
        <v>5643.9</v>
      </c>
      <c r="H1682">
        <v>2</v>
      </c>
      <c r="I1682">
        <v>22.8</v>
      </c>
      <c r="J1682">
        <v>1312</v>
      </c>
      <c r="K1682">
        <v>729</v>
      </c>
      <c r="L1682">
        <v>87</v>
      </c>
      <c r="M1682">
        <v>168</v>
      </c>
      <c r="N1682">
        <v>0</v>
      </c>
      <c r="O1682">
        <v>10988</v>
      </c>
      <c r="P1682">
        <v>0</v>
      </c>
      <c r="Q1682">
        <v>-2850</v>
      </c>
    </row>
    <row r="1683" spans="1:17" x14ac:dyDescent="0.45">
      <c r="A1683">
        <v>99</v>
      </c>
      <c r="B1683" t="s">
        <v>1729</v>
      </c>
      <c r="C1683">
        <v>1361</v>
      </c>
      <c r="D1683">
        <v>3</v>
      </c>
      <c r="E1683">
        <v>2143.1999999999998</v>
      </c>
      <c r="F1683">
        <v>0</v>
      </c>
      <c r="G1683">
        <v>1102.4000000000001</v>
      </c>
      <c r="H1683">
        <v>2</v>
      </c>
      <c r="I1683">
        <v>24.61</v>
      </c>
      <c r="J1683">
        <v>561</v>
      </c>
      <c r="K1683">
        <v>203</v>
      </c>
      <c r="L1683">
        <v>52</v>
      </c>
      <c r="M1683">
        <v>76</v>
      </c>
      <c r="N1683">
        <v>0</v>
      </c>
      <c r="O1683">
        <v>467</v>
      </c>
      <c r="P1683">
        <v>0</v>
      </c>
      <c r="Q1683">
        <v>-361</v>
      </c>
    </row>
    <row r="1684" spans="1:17" x14ac:dyDescent="0.45">
      <c r="A1684">
        <v>4144</v>
      </c>
      <c r="B1684" t="s">
        <v>1730</v>
      </c>
      <c r="C1684">
        <v>4520</v>
      </c>
      <c r="D1684">
        <v>3</v>
      </c>
      <c r="E1684">
        <v>4317.6000000000004</v>
      </c>
      <c r="F1684">
        <v>706.5</v>
      </c>
      <c r="G1684">
        <v>2855</v>
      </c>
      <c r="H1684">
        <v>1</v>
      </c>
      <c r="I1684">
        <v>20.87</v>
      </c>
      <c r="J1684">
        <v>1924</v>
      </c>
      <c r="K1684">
        <v>667</v>
      </c>
      <c r="L1684">
        <v>104</v>
      </c>
      <c r="M1684">
        <v>238</v>
      </c>
      <c r="N1684">
        <v>0</v>
      </c>
      <c r="O1684">
        <v>534</v>
      </c>
      <c r="P1684">
        <v>330.79</v>
      </c>
      <c r="Q1684">
        <v>-502</v>
      </c>
    </row>
    <row r="1685" spans="1:17" x14ac:dyDescent="0.45">
      <c r="A1685">
        <v>2774</v>
      </c>
      <c r="B1685" t="s">
        <v>1731</v>
      </c>
      <c r="C1685">
        <v>1481</v>
      </c>
      <c r="D1685">
        <v>1</v>
      </c>
      <c r="E1685">
        <v>826.8</v>
      </c>
      <c r="F1685">
        <v>1528.7</v>
      </c>
      <c r="G1685">
        <v>1884.2</v>
      </c>
      <c r="H1685">
        <v>2</v>
      </c>
      <c r="I1685">
        <v>20.72</v>
      </c>
      <c r="J1685">
        <v>578</v>
      </c>
      <c r="K1685">
        <v>169</v>
      </c>
      <c r="L1685">
        <v>35</v>
      </c>
      <c r="M1685">
        <v>89</v>
      </c>
      <c r="N1685">
        <v>0</v>
      </c>
      <c r="O1685">
        <v>712</v>
      </c>
      <c r="P1685">
        <v>0</v>
      </c>
      <c r="Q1685">
        <v>0</v>
      </c>
    </row>
    <row r="1686" spans="1:17" x14ac:dyDescent="0.45">
      <c r="A1686">
        <v>3003</v>
      </c>
      <c r="B1686" t="s">
        <v>1732</v>
      </c>
      <c r="C1686">
        <v>545</v>
      </c>
      <c r="D1686">
        <v>3</v>
      </c>
      <c r="E1686">
        <v>545.1</v>
      </c>
      <c r="F1686">
        <v>0</v>
      </c>
      <c r="G1686">
        <v>424.9</v>
      </c>
      <c r="H1686">
        <v>3</v>
      </c>
      <c r="I1686">
        <v>25.09</v>
      </c>
      <c r="J1686">
        <v>463</v>
      </c>
      <c r="K1686">
        <v>214</v>
      </c>
      <c r="L1686">
        <v>10</v>
      </c>
      <c r="M1686">
        <v>55</v>
      </c>
      <c r="N1686">
        <v>0</v>
      </c>
      <c r="O1686">
        <v>2689</v>
      </c>
      <c r="P1686">
        <v>0</v>
      </c>
      <c r="Q1686">
        <v>-301</v>
      </c>
    </row>
    <row r="1687" spans="1:17" x14ac:dyDescent="0.45">
      <c r="A1687">
        <v>2583</v>
      </c>
      <c r="B1687" t="s">
        <v>1733</v>
      </c>
      <c r="C1687">
        <v>5100</v>
      </c>
      <c r="D1687">
        <v>2</v>
      </c>
      <c r="E1687">
        <v>5851.7</v>
      </c>
      <c r="F1687">
        <v>449.2</v>
      </c>
      <c r="G1687">
        <v>4665.8</v>
      </c>
      <c r="H1687">
        <v>1</v>
      </c>
      <c r="I1687">
        <v>19.07</v>
      </c>
      <c r="J1687">
        <v>1681</v>
      </c>
      <c r="K1687">
        <v>841</v>
      </c>
      <c r="L1687">
        <v>74</v>
      </c>
      <c r="M1687">
        <v>220</v>
      </c>
      <c r="N1687">
        <v>0</v>
      </c>
      <c r="O1687">
        <v>100</v>
      </c>
      <c r="P1687">
        <v>2215</v>
      </c>
      <c r="Q1687">
        <v>-321</v>
      </c>
    </row>
    <row r="1688" spans="1:17" x14ac:dyDescent="0.45">
      <c r="A1688">
        <v>4756</v>
      </c>
      <c r="B1688" t="s">
        <v>1735</v>
      </c>
      <c r="C1688">
        <v>882</v>
      </c>
      <c r="D1688">
        <v>3</v>
      </c>
      <c r="E1688">
        <v>760.1</v>
      </c>
      <c r="F1688">
        <v>8.6</v>
      </c>
      <c r="G1688">
        <v>1754.1</v>
      </c>
      <c r="H1688">
        <v>3</v>
      </c>
      <c r="I1688">
        <v>26.04</v>
      </c>
      <c r="J1688">
        <v>350</v>
      </c>
      <c r="K1688">
        <v>170</v>
      </c>
      <c r="L1688">
        <v>11</v>
      </c>
      <c r="M1688">
        <v>28</v>
      </c>
      <c r="N1688">
        <v>0</v>
      </c>
      <c r="O1688">
        <v>6515</v>
      </c>
      <c r="P1688">
        <v>0</v>
      </c>
      <c r="Q1688">
        <v>-442</v>
      </c>
    </row>
    <row r="1689" spans="1:17" x14ac:dyDescent="0.45">
      <c r="A1689">
        <v>1143</v>
      </c>
      <c r="B1689" t="s">
        <v>1736</v>
      </c>
      <c r="C1689">
        <v>4786</v>
      </c>
      <c r="D1689">
        <v>3</v>
      </c>
      <c r="E1689">
        <v>3999.2</v>
      </c>
      <c r="F1689">
        <v>0</v>
      </c>
      <c r="G1689">
        <v>7365.3</v>
      </c>
      <c r="H1689">
        <v>2</v>
      </c>
      <c r="I1689">
        <v>28.41</v>
      </c>
      <c r="J1689">
        <v>1805</v>
      </c>
      <c r="K1689">
        <v>861</v>
      </c>
      <c r="L1689">
        <v>91</v>
      </c>
      <c r="M1689">
        <v>186</v>
      </c>
      <c r="N1689">
        <v>0</v>
      </c>
      <c r="O1689">
        <v>7733</v>
      </c>
      <c r="P1689">
        <v>0</v>
      </c>
      <c r="Q1689">
        <v>-582</v>
      </c>
    </row>
    <row r="1690" spans="1:17" x14ac:dyDescent="0.45">
      <c r="A1690">
        <v>1346</v>
      </c>
      <c r="B1690" t="s">
        <v>1737</v>
      </c>
      <c r="C1690">
        <v>9595</v>
      </c>
      <c r="D1690">
        <v>3</v>
      </c>
      <c r="E1690">
        <v>8959</v>
      </c>
      <c r="F1690">
        <v>3023.7</v>
      </c>
      <c r="G1690">
        <v>4588.7</v>
      </c>
      <c r="H1690">
        <v>1</v>
      </c>
      <c r="I1690">
        <v>35.31</v>
      </c>
      <c r="J1690">
        <v>4938</v>
      </c>
      <c r="K1690">
        <v>2349</v>
      </c>
      <c r="L1690">
        <v>193</v>
      </c>
      <c r="M1690">
        <v>620</v>
      </c>
      <c r="N1690">
        <v>0</v>
      </c>
      <c r="O1690">
        <v>7727</v>
      </c>
      <c r="P1690">
        <v>0</v>
      </c>
      <c r="Q1690">
        <v>-2308</v>
      </c>
    </row>
    <row r="1691" spans="1:17" x14ac:dyDescent="0.45">
      <c r="A1691">
        <v>311</v>
      </c>
      <c r="B1691" t="s">
        <v>1739</v>
      </c>
      <c r="C1691">
        <v>3763</v>
      </c>
      <c r="D1691">
        <v>1</v>
      </c>
      <c r="E1691">
        <v>2411.4</v>
      </c>
      <c r="F1691">
        <v>23</v>
      </c>
      <c r="G1691">
        <v>3349.5</v>
      </c>
      <c r="H1691">
        <v>2</v>
      </c>
      <c r="I1691">
        <v>24.84</v>
      </c>
      <c r="J1691">
        <v>1401</v>
      </c>
      <c r="K1691">
        <v>550</v>
      </c>
      <c r="L1691">
        <v>77</v>
      </c>
      <c r="M1691">
        <v>141</v>
      </c>
      <c r="N1691">
        <v>0</v>
      </c>
      <c r="O1691">
        <v>5937</v>
      </c>
      <c r="P1691">
        <v>0</v>
      </c>
      <c r="Q1691">
        <v>-1284</v>
      </c>
    </row>
    <row r="1692" spans="1:17" x14ac:dyDescent="0.45">
      <c r="A1692">
        <v>1008</v>
      </c>
      <c r="B1692" t="s">
        <v>1740</v>
      </c>
      <c r="C1692">
        <v>4269</v>
      </c>
      <c r="D1692">
        <v>2</v>
      </c>
      <c r="E1692">
        <v>2977</v>
      </c>
      <c r="F1692">
        <v>13.5</v>
      </c>
      <c r="G1692">
        <v>6030.1</v>
      </c>
      <c r="H1692">
        <v>2</v>
      </c>
      <c r="I1692">
        <v>28.41</v>
      </c>
      <c r="J1692">
        <v>1403</v>
      </c>
      <c r="K1692">
        <v>783</v>
      </c>
      <c r="L1692">
        <v>50</v>
      </c>
      <c r="M1692">
        <v>148</v>
      </c>
      <c r="N1692">
        <v>0</v>
      </c>
      <c r="O1692">
        <v>20129</v>
      </c>
      <c r="P1692">
        <v>0</v>
      </c>
      <c r="Q1692">
        <v>-2328</v>
      </c>
    </row>
    <row r="1693" spans="1:17" x14ac:dyDescent="0.45">
      <c r="A1693">
        <v>3762</v>
      </c>
      <c r="B1693" t="s">
        <v>1751</v>
      </c>
      <c r="C1693">
        <v>4601</v>
      </c>
      <c r="D1693">
        <v>3</v>
      </c>
      <c r="E1693">
        <v>8005.9</v>
      </c>
      <c r="F1693">
        <v>29</v>
      </c>
      <c r="G1693">
        <v>2144</v>
      </c>
      <c r="H1693">
        <v>2</v>
      </c>
      <c r="I1693">
        <v>21.73</v>
      </c>
      <c r="J1693">
        <v>1268</v>
      </c>
      <c r="K1693">
        <v>1031</v>
      </c>
      <c r="L1693">
        <v>80</v>
      </c>
      <c r="M1693">
        <v>161</v>
      </c>
      <c r="N1693">
        <v>0</v>
      </c>
      <c r="O1693">
        <v>9547</v>
      </c>
      <c r="P1693">
        <v>883.79</v>
      </c>
      <c r="Q1693">
        <v>-20652</v>
      </c>
    </row>
    <row r="1694" spans="1:17" x14ac:dyDescent="0.45">
      <c r="A1694">
        <v>988</v>
      </c>
      <c r="B1694" t="s">
        <v>1752</v>
      </c>
      <c r="C1694">
        <v>1599</v>
      </c>
      <c r="D1694">
        <v>3</v>
      </c>
      <c r="E1694">
        <v>1463.4</v>
      </c>
      <c r="F1694">
        <v>5.7</v>
      </c>
      <c r="G1694">
        <v>2269.8000000000002</v>
      </c>
      <c r="H1694">
        <v>3</v>
      </c>
      <c r="I1694">
        <v>26.41</v>
      </c>
      <c r="J1694">
        <v>642</v>
      </c>
      <c r="K1694">
        <v>235</v>
      </c>
      <c r="L1694">
        <v>31</v>
      </c>
      <c r="M1694">
        <v>85</v>
      </c>
      <c r="N1694">
        <v>0</v>
      </c>
      <c r="O1694">
        <v>6997</v>
      </c>
      <c r="P1694">
        <v>0</v>
      </c>
      <c r="Q1694">
        <v>-1124</v>
      </c>
    </row>
    <row r="1695" spans="1:17" x14ac:dyDescent="0.45">
      <c r="A1695">
        <v>312</v>
      </c>
      <c r="B1695" t="s">
        <v>1753</v>
      </c>
      <c r="C1695">
        <v>3183</v>
      </c>
      <c r="D1695">
        <v>2</v>
      </c>
      <c r="E1695">
        <v>3475.7</v>
      </c>
      <c r="F1695">
        <v>0</v>
      </c>
      <c r="G1695">
        <v>5962.7</v>
      </c>
      <c r="H1695">
        <v>3</v>
      </c>
      <c r="I1695">
        <v>26.41</v>
      </c>
      <c r="J1695">
        <v>1392</v>
      </c>
      <c r="K1695">
        <v>532</v>
      </c>
      <c r="L1695">
        <v>71</v>
      </c>
      <c r="M1695">
        <v>148</v>
      </c>
      <c r="N1695">
        <v>0</v>
      </c>
      <c r="O1695">
        <v>7573</v>
      </c>
      <c r="P1695">
        <v>0</v>
      </c>
      <c r="Q1695">
        <v>-1345</v>
      </c>
    </row>
    <row r="1696" spans="1:17" x14ac:dyDescent="0.45">
      <c r="A1696">
        <v>1214</v>
      </c>
      <c r="B1696" t="s">
        <v>1754</v>
      </c>
      <c r="C1696">
        <v>2051</v>
      </c>
      <c r="D1696">
        <v>3</v>
      </c>
      <c r="E1696">
        <v>1467.5</v>
      </c>
      <c r="F1696">
        <v>7</v>
      </c>
      <c r="G1696">
        <v>1294.3</v>
      </c>
      <c r="H1696">
        <v>2</v>
      </c>
      <c r="I1696">
        <v>29.33</v>
      </c>
      <c r="J1696">
        <v>665</v>
      </c>
      <c r="K1696">
        <v>348</v>
      </c>
      <c r="L1696">
        <v>47</v>
      </c>
      <c r="M1696">
        <v>73</v>
      </c>
      <c r="N1696">
        <v>0</v>
      </c>
      <c r="O1696">
        <v>1230</v>
      </c>
      <c r="P1696">
        <v>36.19</v>
      </c>
      <c r="Q1696">
        <v>-1786</v>
      </c>
    </row>
    <row r="1697" spans="1:17" x14ac:dyDescent="0.45">
      <c r="A1697">
        <v>119</v>
      </c>
      <c r="B1697" t="s">
        <v>1755</v>
      </c>
      <c r="C1697">
        <v>1422</v>
      </c>
      <c r="D1697">
        <v>3</v>
      </c>
      <c r="E1697">
        <v>1186.8</v>
      </c>
      <c r="F1697">
        <v>437.4</v>
      </c>
      <c r="G1697">
        <v>1217.4000000000001</v>
      </c>
      <c r="H1697">
        <v>2</v>
      </c>
      <c r="I1697">
        <v>24.61</v>
      </c>
      <c r="J1697">
        <v>537</v>
      </c>
      <c r="K1697">
        <v>206</v>
      </c>
      <c r="L1697">
        <v>67</v>
      </c>
      <c r="M1697">
        <v>74</v>
      </c>
      <c r="N1697">
        <v>0</v>
      </c>
      <c r="O1697">
        <v>1594</v>
      </c>
      <c r="P1697">
        <v>0</v>
      </c>
      <c r="Q1697">
        <v>-120</v>
      </c>
    </row>
    <row r="1698" spans="1:17" x14ac:dyDescent="0.45">
      <c r="A1698">
        <v>709</v>
      </c>
      <c r="B1698" t="s">
        <v>1756</v>
      </c>
      <c r="C1698">
        <v>71</v>
      </c>
      <c r="D1698">
        <v>3</v>
      </c>
      <c r="E1698">
        <v>87.6</v>
      </c>
      <c r="F1698">
        <v>0</v>
      </c>
      <c r="G1698">
        <v>177.9</v>
      </c>
      <c r="H1698">
        <v>3</v>
      </c>
      <c r="I1698">
        <v>26.41</v>
      </c>
      <c r="J1698">
        <v>27</v>
      </c>
      <c r="K1698">
        <v>17</v>
      </c>
      <c r="L1698">
        <v>1</v>
      </c>
      <c r="M1698">
        <v>0</v>
      </c>
      <c r="N1698">
        <v>0</v>
      </c>
      <c r="O1698">
        <v>1874</v>
      </c>
      <c r="P1698">
        <v>0</v>
      </c>
      <c r="Q1698">
        <v>-983</v>
      </c>
    </row>
    <row r="1699" spans="1:17" x14ac:dyDescent="0.45">
      <c r="A1699">
        <v>1215</v>
      </c>
      <c r="B1699" t="s">
        <v>1757</v>
      </c>
      <c r="C1699">
        <v>715</v>
      </c>
      <c r="D1699">
        <v>3</v>
      </c>
      <c r="E1699">
        <v>641.20000000000005</v>
      </c>
      <c r="F1699">
        <v>0</v>
      </c>
      <c r="G1699">
        <v>496</v>
      </c>
      <c r="H1699">
        <v>3</v>
      </c>
      <c r="I1699">
        <v>24.76</v>
      </c>
      <c r="J1699">
        <v>259</v>
      </c>
      <c r="K1699">
        <v>159</v>
      </c>
      <c r="L1699">
        <v>13</v>
      </c>
      <c r="M1699">
        <v>29</v>
      </c>
      <c r="N1699">
        <v>0</v>
      </c>
      <c r="O1699">
        <v>2022</v>
      </c>
      <c r="P1699">
        <v>82.71</v>
      </c>
      <c r="Q1699">
        <v>-1264</v>
      </c>
    </row>
    <row r="1700" spans="1:17" x14ac:dyDescent="0.45">
      <c r="A1700">
        <v>4208</v>
      </c>
      <c r="B1700" t="s">
        <v>1758</v>
      </c>
      <c r="C1700">
        <v>4333</v>
      </c>
      <c r="D1700">
        <v>3</v>
      </c>
      <c r="E1700">
        <v>2684.5</v>
      </c>
      <c r="F1700">
        <v>1440.1</v>
      </c>
      <c r="G1700">
        <v>4034.2</v>
      </c>
      <c r="H1700">
        <v>3</v>
      </c>
      <c r="I1700">
        <v>23.9</v>
      </c>
      <c r="J1700">
        <v>1887</v>
      </c>
      <c r="K1700">
        <v>641</v>
      </c>
      <c r="L1700">
        <v>178</v>
      </c>
      <c r="M1700">
        <v>302</v>
      </c>
      <c r="N1700">
        <v>0</v>
      </c>
      <c r="O1700">
        <v>2462</v>
      </c>
      <c r="P1700">
        <v>527.16999999999996</v>
      </c>
      <c r="Q1700">
        <v>-642</v>
      </c>
    </row>
    <row r="1701" spans="1:17" x14ac:dyDescent="0.45">
      <c r="A1701">
        <v>2480</v>
      </c>
      <c r="B1701" t="s">
        <v>1759</v>
      </c>
      <c r="C1701">
        <v>1065</v>
      </c>
      <c r="D1701">
        <v>3</v>
      </c>
      <c r="E1701">
        <v>1486.6</v>
      </c>
      <c r="F1701">
        <v>7.4</v>
      </c>
      <c r="G1701">
        <v>996</v>
      </c>
      <c r="H1701">
        <v>3</v>
      </c>
      <c r="I1701">
        <v>28.59</v>
      </c>
      <c r="J1701">
        <v>474</v>
      </c>
      <c r="K1701">
        <v>204</v>
      </c>
      <c r="L1701">
        <v>23</v>
      </c>
      <c r="M1701">
        <v>35</v>
      </c>
      <c r="N1701">
        <v>0</v>
      </c>
      <c r="O1701">
        <v>2231</v>
      </c>
      <c r="P1701">
        <v>55.38</v>
      </c>
      <c r="Q1701">
        <v>-1646</v>
      </c>
    </row>
    <row r="1702" spans="1:17" x14ac:dyDescent="0.45">
      <c r="A1702">
        <v>3972</v>
      </c>
      <c r="B1702" t="s">
        <v>1760</v>
      </c>
      <c r="C1702">
        <v>1426</v>
      </c>
      <c r="D1702">
        <v>3</v>
      </c>
      <c r="E1702">
        <v>2298.6999999999998</v>
      </c>
      <c r="F1702">
        <v>5.2</v>
      </c>
      <c r="G1702">
        <v>1009.8</v>
      </c>
      <c r="H1702">
        <v>3</v>
      </c>
      <c r="I1702">
        <v>29.04</v>
      </c>
      <c r="J1702">
        <v>432</v>
      </c>
      <c r="K1702">
        <v>312</v>
      </c>
      <c r="L1702">
        <v>21</v>
      </c>
      <c r="M1702">
        <v>64</v>
      </c>
      <c r="N1702">
        <v>0</v>
      </c>
      <c r="O1702">
        <v>3573</v>
      </c>
      <c r="P1702">
        <v>941.38</v>
      </c>
      <c r="Q1702">
        <v>-3352</v>
      </c>
    </row>
    <row r="1703" spans="1:17" x14ac:dyDescent="0.45">
      <c r="A1703">
        <v>883</v>
      </c>
      <c r="B1703" t="s">
        <v>1761</v>
      </c>
      <c r="C1703">
        <v>2161</v>
      </c>
      <c r="D1703">
        <v>3</v>
      </c>
      <c r="E1703">
        <v>2264.6</v>
      </c>
      <c r="F1703">
        <v>0</v>
      </c>
      <c r="G1703">
        <v>1789.8</v>
      </c>
      <c r="H1703">
        <v>2</v>
      </c>
      <c r="I1703">
        <v>24.84</v>
      </c>
      <c r="J1703">
        <v>823</v>
      </c>
      <c r="K1703">
        <v>300</v>
      </c>
      <c r="L1703">
        <v>36</v>
      </c>
      <c r="M1703">
        <v>98</v>
      </c>
      <c r="N1703">
        <v>0</v>
      </c>
      <c r="O1703">
        <v>1482</v>
      </c>
      <c r="P1703">
        <v>0</v>
      </c>
      <c r="Q1703">
        <v>-140</v>
      </c>
    </row>
    <row r="1704" spans="1:17" x14ac:dyDescent="0.45">
      <c r="A1704">
        <v>2833</v>
      </c>
      <c r="B1704" t="s">
        <v>1762</v>
      </c>
      <c r="C1704">
        <v>1301</v>
      </c>
      <c r="D1704">
        <v>1</v>
      </c>
      <c r="E1704">
        <v>1186.5999999999999</v>
      </c>
      <c r="F1704">
        <v>0</v>
      </c>
      <c r="G1704">
        <v>1447.1</v>
      </c>
      <c r="H1704">
        <v>2</v>
      </c>
      <c r="I1704">
        <v>20.72</v>
      </c>
      <c r="J1704">
        <v>454</v>
      </c>
      <c r="K1704">
        <v>151</v>
      </c>
      <c r="L1704">
        <v>49</v>
      </c>
      <c r="M1704">
        <v>85</v>
      </c>
      <c r="N1704">
        <v>0</v>
      </c>
      <c r="O1704">
        <v>448</v>
      </c>
      <c r="P1704">
        <v>0</v>
      </c>
      <c r="Q1704">
        <v>-281</v>
      </c>
    </row>
    <row r="1705" spans="1:17" x14ac:dyDescent="0.45">
      <c r="A1705">
        <v>2556</v>
      </c>
      <c r="B1705" t="s">
        <v>1763</v>
      </c>
      <c r="C1705">
        <v>3625</v>
      </c>
      <c r="D1705">
        <v>2</v>
      </c>
      <c r="E1705">
        <v>2175.6999999999998</v>
      </c>
      <c r="F1705">
        <v>2354.1999999999998</v>
      </c>
      <c r="G1705">
        <v>6463.8</v>
      </c>
      <c r="H1705">
        <v>2</v>
      </c>
      <c r="I1705">
        <v>26.37</v>
      </c>
      <c r="J1705">
        <v>1536</v>
      </c>
      <c r="K1705">
        <v>505</v>
      </c>
      <c r="L1705">
        <v>60</v>
      </c>
      <c r="M1705">
        <v>167</v>
      </c>
      <c r="N1705">
        <v>0</v>
      </c>
      <c r="O1705">
        <v>2872</v>
      </c>
      <c r="P1705">
        <v>304.92</v>
      </c>
      <c r="Q1705">
        <v>-1445</v>
      </c>
    </row>
    <row r="1706" spans="1:17" x14ac:dyDescent="0.45">
      <c r="A1706">
        <v>6035</v>
      </c>
      <c r="B1706" t="s">
        <v>1764</v>
      </c>
      <c r="C1706">
        <v>1050</v>
      </c>
      <c r="D1706">
        <v>3</v>
      </c>
      <c r="E1706">
        <v>795.2</v>
      </c>
      <c r="F1706">
        <v>5.3</v>
      </c>
      <c r="G1706">
        <v>1412.6</v>
      </c>
      <c r="H1706">
        <v>3</v>
      </c>
      <c r="I1706">
        <v>30.8</v>
      </c>
      <c r="J1706">
        <v>518</v>
      </c>
      <c r="K1706">
        <v>265</v>
      </c>
      <c r="L1706">
        <v>7</v>
      </c>
      <c r="M1706">
        <v>46</v>
      </c>
      <c r="N1706">
        <v>0</v>
      </c>
      <c r="O1706">
        <v>1290</v>
      </c>
      <c r="P1706">
        <v>0</v>
      </c>
      <c r="Q1706">
        <v>-2328</v>
      </c>
    </row>
    <row r="1707" spans="1:17" x14ac:dyDescent="0.45">
      <c r="A1707">
        <v>1102</v>
      </c>
      <c r="B1707" t="s">
        <v>1765</v>
      </c>
      <c r="C1707">
        <v>4131</v>
      </c>
      <c r="D1707">
        <v>2</v>
      </c>
      <c r="E1707">
        <v>2815.3</v>
      </c>
      <c r="F1707">
        <v>10.6</v>
      </c>
      <c r="G1707">
        <v>6756.6</v>
      </c>
      <c r="H1707">
        <v>3</v>
      </c>
      <c r="I1707">
        <v>26.39</v>
      </c>
      <c r="J1707">
        <v>1474</v>
      </c>
      <c r="K1707">
        <v>698</v>
      </c>
      <c r="L1707">
        <v>138</v>
      </c>
      <c r="M1707">
        <v>204</v>
      </c>
      <c r="N1707">
        <v>0</v>
      </c>
      <c r="O1707">
        <v>4235</v>
      </c>
      <c r="P1707">
        <v>902.97</v>
      </c>
      <c r="Q1707">
        <v>-241</v>
      </c>
    </row>
    <row r="1708" spans="1:17" x14ac:dyDescent="0.45">
      <c r="A1708">
        <v>2336</v>
      </c>
      <c r="B1708" t="s">
        <v>1766</v>
      </c>
      <c r="C1708">
        <v>1551</v>
      </c>
      <c r="D1708">
        <v>3</v>
      </c>
      <c r="E1708">
        <v>1348.1</v>
      </c>
      <c r="F1708">
        <v>16.3</v>
      </c>
      <c r="G1708">
        <v>5713.7</v>
      </c>
      <c r="H1708">
        <v>3</v>
      </c>
      <c r="I1708">
        <v>36.93</v>
      </c>
      <c r="J1708">
        <v>649</v>
      </c>
      <c r="K1708">
        <v>224</v>
      </c>
      <c r="L1708">
        <v>44</v>
      </c>
      <c r="M1708">
        <v>124</v>
      </c>
      <c r="N1708">
        <v>0</v>
      </c>
      <c r="O1708">
        <v>3194</v>
      </c>
      <c r="P1708">
        <v>0</v>
      </c>
      <c r="Q1708">
        <v>-2770</v>
      </c>
    </row>
    <row r="1709" spans="1:17" x14ac:dyDescent="0.45">
      <c r="A1709">
        <v>5499</v>
      </c>
      <c r="B1709" t="s">
        <v>1767</v>
      </c>
      <c r="C1709">
        <v>495</v>
      </c>
      <c r="D1709">
        <v>3</v>
      </c>
      <c r="E1709">
        <v>367.5</v>
      </c>
      <c r="F1709">
        <v>656.9</v>
      </c>
      <c r="G1709">
        <v>980.9</v>
      </c>
      <c r="H1709">
        <v>3</v>
      </c>
      <c r="I1709">
        <v>35.86</v>
      </c>
      <c r="J1709">
        <v>202</v>
      </c>
      <c r="K1709">
        <v>60</v>
      </c>
      <c r="L1709">
        <v>17</v>
      </c>
      <c r="M1709">
        <v>32</v>
      </c>
      <c r="N1709">
        <v>0</v>
      </c>
      <c r="O1709">
        <v>850</v>
      </c>
      <c r="P1709">
        <v>39.869999999999997</v>
      </c>
      <c r="Q1709">
        <v>-40</v>
      </c>
    </row>
    <row r="1710" spans="1:17" x14ac:dyDescent="0.45">
      <c r="A1710">
        <v>3274</v>
      </c>
      <c r="B1710" t="s">
        <v>1768</v>
      </c>
      <c r="C1710">
        <v>6101</v>
      </c>
      <c r="D1710">
        <v>3</v>
      </c>
      <c r="E1710">
        <v>5221.3</v>
      </c>
      <c r="F1710">
        <v>1183.5999999999999</v>
      </c>
      <c r="G1710">
        <v>14901.8</v>
      </c>
      <c r="H1710">
        <v>3</v>
      </c>
      <c r="I1710">
        <v>30.49</v>
      </c>
      <c r="J1710">
        <v>2408</v>
      </c>
      <c r="K1710">
        <v>1445</v>
      </c>
      <c r="L1710">
        <v>146</v>
      </c>
      <c r="M1710">
        <v>321</v>
      </c>
      <c r="N1710">
        <v>0</v>
      </c>
      <c r="O1710">
        <v>10351</v>
      </c>
      <c r="P1710">
        <v>332.25</v>
      </c>
      <c r="Q1710">
        <v>-2428</v>
      </c>
    </row>
    <row r="1711" spans="1:17" x14ac:dyDescent="0.45">
      <c r="A1711">
        <v>4209</v>
      </c>
      <c r="B1711" t="s">
        <v>1769</v>
      </c>
      <c r="C1711">
        <v>5433</v>
      </c>
      <c r="D1711">
        <v>3</v>
      </c>
      <c r="E1711">
        <v>6109.7</v>
      </c>
      <c r="F1711">
        <v>64.3</v>
      </c>
      <c r="G1711">
        <v>6868.1</v>
      </c>
      <c r="H1711">
        <v>2</v>
      </c>
      <c r="I1711">
        <v>23.46</v>
      </c>
      <c r="J1711">
        <v>2175</v>
      </c>
      <c r="K1711">
        <v>860</v>
      </c>
      <c r="L1711">
        <v>103</v>
      </c>
      <c r="M1711">
        <v>285</v>
      </c>
      <c r="N1711">
        <v>0</v>
      </c>
      <c r="O1711">
        <v>3163</v>
      </c>
      <c r="P1711">
        <v>0</v>
      </c>
      <c r="Q1711">
        <v>-562</v>
      </c>
    </row>
    <row r="1712" spans="1:17" x14ac:dyDescent="0.45">
      <c r="A1712">
        <v>5762</v>
      </c>
      <c r="B1712" t="s">
        <v>1770</v>
      </c>
      <c r="C1712">
        <v>140</v>
      </c>
      <c r="D1712">
        <v>3</v>
      </c>
      <c r="E1712">
        <v>193.2</v>
      </c>
      <c r="F1712">
        <v>7.5</v>
      </c>
      <c r="G1712">
        <v>187.6</v>
      </c>
      <c r="H1712">
        <v>3</v>
      </c>
      <c r="I1712">
        <v>35.86</v>
      </c>
      <c r="J1712">
        <v>57</v>
      </c>
      <c r="K1712">
        <v>25</v>
      </c>
      <c r="L1712">
        <v>4</v>
      </c>
      <c r="M1712">
        <v>8</v>
      </c>
      <c r="N1712">
        <v>0</v>
      </c>
      <c r="O1712">
        <v>820</v>
      </c>
      <c r="P1712">
        <v>0</v>
      </c>
      <c r="Q1712">
        <v>-60</v>
      </c>
    </row>
    <row r="1713" spans="1:17" x14ac:dyDescent="0.45">
      <c r="A1713">
        <v>5050</v>
      </c>
      <c r="B1713" t="s">
        <v>1771</v>
      </c>
      <c r="C1713">
        <v>2053</v>
      </c>
      <c r="D1713">
        <v>3</v>
      </c>
      <c r="E1713">
        <v>1558.5</v>
      </c>
      <c r="F1713">
        <v>66.8</v>
      </c>
      <c r="G1713">
        <v>2238.9</v>
      </c>
      <c r="H1713">
        <v>3</v>
      </c>
      <c r="I1713">
        <v>25.45</v>
      </c>
      <c r="J1713">
        <v>817</v>
      </c>
      <c r="K1713">
        <v>345</v>
      </c>
      <c r="L1713">
        <v>46</v>
      </c>
      <c r="M1713">
        <v>130</v>
      </c>
      <c r="N1713">
        <v>0</v>
      </c>
      <c r="O1713">
        <v>2142</v>
      </c>
      <c r="P1713">
        <v>0</v>
      </c>
      <c r="Q1713">
        <v>-8891</v>
      </c>
    </row>
    <row r="1714" spans="1:17" x14ac:dyDescent="0.45">
      <c r="A1714">
        <v>5799</v>
      </c>
      <c r="B1714" t="s">
        <v>1772</v>
      </c>
      <c r="C1714">
        <v>2138</v>
      </c>
      <c r="D1714">
        <v>3</v>
      </c>
      <c r="E1714">
        <v>1815.8</v>
      </c>
      <c r="F1714">
        <v>998</v>
      </c>
      <c r="G1714">
        <v>2581.1999999999998</v>
      </c>
      <c r="H1714">
        <v>3</v>
      </c>
      <c r="I1714">
        <v>35.86</v>
      </c>
      <c r="J1714">
        <v>887</v>
      </c>
      <c r="K1714">
        <v>264</v>
      </c>
      <c r="L1714">
        <v>80</v>
      </c>
      <c r="M1714">
        <v>194</v>
      </c>
      <c r="N1714">
        <v>0</v>
      </c>
      <c r="O1714">
        <v>913</v>
      </c>
      <c r="P1714">
        <v>186.81</v>
      </c>
      <c r="Q1714">
        <v>-241</v>
      </c>
    </row>
    <row r="1715" spans="1:17" x14ac:dyDescent="0.45">
      <c r="A1715">
        <v>227</v>
      </c>
      <c r="B1715" t="s">
        <v>1773</v>
      </c>
      <c r="C1715">
        <v>7692</v>
      </c>
      <c r="D1715">
        <v>3</v>
      </c>
      <c r="E1715">
        <v>7697.5</v>
      </c>
      <c r="F1715">
        <v>235.2</v>
      </c>
      <c r="G1715">
        <v>4929.8</v>
      </c>
      <c r="H1715">
        <v>2</v>
      </c>
      <c r="I1715">
        <v>24.61</v>
      </c>
      <c r="J1715">
        <v>2607</v>
      </c>
      <c r="K1715">
        <v>1171</v>
      </c>
      <c r="L1715">
        <v>199</v>
      </c>
      <c r="M1715">
        <v>420</v>
      </c>
      <c r="N1715">
        <v>0</v>
      </c>
      <c r="O1715">
        <v>1211</v>
      </c>
      <c r="P1715">
        <v>553.75</v>
      </c>
      <c r="Q1715">
        <v>-381</v>
      </c>
    </row>
    <row r="1716" spans="1:17" x14ac:dyDescent="0.45">
      <c r="A1716">
        <v>3275</v>
      </c>
      <c r="B1716" t="s">
        <v>1775</v>
      </c>
      <c r="C1716">
        <v>5279</v>
      </c>
      <c r="D1716">
        <v>3</v>
      </c>
      <c r="E1716">
        <v>4259.5</v>
      </c>
      <c r="F1716">
        <v>1105</v>
      </c>
      <c r="G1716">
        <v>8000.8</v>
      </c>
      <c r="H1716">
        <v>2</v>
      </c>
      <c r="I1716">
        <v>22.8</v>
      </c>
      <c r="J1716">
        <v>1767</v>
      </c>
      <c r="K1716">
        <v>946</v>
      </c>
      <c r="L1716">
        <v>109</v>
      </c>
      <c r="M1716">
        <v>268</v>
      </c>
      <c r="N1716">
        <v>0</v>
      </c>
      <c r="O1716">
        <v>4429</v>
      </c>
      <c r="P1716">
        <v>0</v>
      </c>
      <c r="Q1716">
        <v>-1887</v>
      </c>
    </row>
    <row r="1717" spans="1:17" x14ac:dyDescent="0.45">
      <c r="A1717">
        <v>2953</v>
      </c>
      <c r="B1717" t="s">
        <v>1776</v>
      </c>
      <c r="C1717">
        <v>888</v>
      </c>
      <c r="D1717">
        <v>3</v>
      </c>
      <c r="E1717">
        <v>904</v>
      </c>
      <c r="F1717">
        <v>0</v>
      </c>
      <c r="G1717">
        <v>1156.0999999999999</v>
      </c>
      <c r="H1717">
        <v>3</v>
      </c>
      <c r="I1717">
        <v>19.850000000000001</v>
      </c>
      <c r="J1717">
        <v>407</v>
      </c>
      <c r="K1717">
        <v>151</v>
      </c>
      <c r="L1717">
        <v>26</v>
      </c>
      <c r="M1717">
        <v>39</v>
      </c>
      <c r="N1717">
        <v>0</v>
      </c>
      <c r="O1717">
        <v>1672</v>
      </c>
      <c r="P1717">
        <v>0</v>
      </c>
      <c r="Q1717">
        <v>-903</v>
      </c>
    </row>
    <row r="1718" spans="1:17" x14ac:dyDescent="0.45">
      <c r="A1718">
        <v>6248</v>
      </c>
      <c r="B1718" t="s">
        <v>1777</v>
      </c>
      <c r="C1718">
        <v>17295</v>
      </c>
      <c r="D1718">
        <v>3</v>
      </c>
      <c r="E1718">
        <v>10043.1</v>
      </c>
      <c r="F1718">
        <v>21349.7</v>
      </c>
      <c r="G1718">
        <v>17023.8</v>
      </c>
      <c r="H1718">
        <v>1</v>
      </c>
      <c r="I1718">
        <v>24.74</v>
      </c>
      <c r="J1718">
        <v>7050</v>
      </c>
      <c r="K1718">
        <v>2541</v>
      </c>
      <c r="L1718">
        <v>314</v>
      </c>
      <c r="M1718">
        <v>805</v>
      </c>
      <c r="N1718">
        <v>0</v>
      </c>
      <c r="O1718">
        <v>871</v>
      </c>
      <c r="P1718">
        <v>5279.1</v>
      </c>
      <c r="Q1718">
        <v>-843</v>
      </c>
    </row>
    <row r="1719" spans="1:17" x14ac:dyDescent="0.45">
      <c r="A1719">
        <v>4319</v>
      </c>
      <c r="B1719" t="s">
        <v>1778</v>
      </c>
      <c r="C1719">
        <v>713</v>
      </c>
      <c r="D1719">
        <v>3</v>
      </c>
      <c r="E1719">
        <v>861.9</v>
      </c>
      <c r="F1719">
        <v>0</v>
      </c>
      <c r="G1719">
        <v>641.1</v>
      </c>
      <c r="H1719">
        <v>3</v>
      </c>
      <c r="I1719">
        <v>23.9</v>
      </c>
      <c r="J1719">
        <v>292</v>
      </c>
      <c r="K1719">
        <v>129</v>
      </c>
      <c r="L1719">
        <v>28</v>
      </c>
      <c r="M1719">
        <v>48</v>
      </c>
      <c r="N1719">
        <v>0</v>
      </c>
      <c r="O1719">
        <v>1204</v>
      </c>
      <c r="P1719">
        <v>0</v>
      </c>
      <c r="Q1719">
        <v>-562</v>
      </c>
    </row>
    <row r="1720" spans="1:17" x14ac:dyDescent="0.45">
      <c r="A1720">
        <v>907</v>
      </c>
      <c r="B1720" t="s">
        <v>1779</v>
      </c>
      <c r="C1720">
        <v>2652</v>
      </c>
      <c r="D1720">
        <v>2</v>
      </c>
      <c r="E1720">
        <v>2338.8000000000002</v>
      </c>
      <c r="F1720">
        <v>0</v>
      </c>
      <c r="G1720">
        <v>4301.1000000000004</v>
      </c>
      <c r="H1720">
        <v>3</v>
      </c>
      <c r="I1720">
        <v>26.41</v>
      </c>
      <c r="J1720">
        <v>1117</v>
      </c>
      <c r="K1720">
        <v>486</v>
      </c>
      <c r="L1720">
        <v>30</v>
      </c>
      <c r="M1720">
        <v>87</v>
      </c>
      <c r="N1720">
        <v>0</v>
      </c>
      <c r="O1720">
        <v>9358</v>
      </c>
      <c r="P1720">
        <v>0</v>
      </c>
      <c r="Q1720">
        <v>-1485</v>
      </c>
    </row>
    <row r="1721" spans="1:17" x14ac:dyDescent="0.45">
      <c r="A1721">
        <v>5728</v>
      </c>
      <c r="B1721" t="s">
        <v>1780</v>
      </c>
      <c r="C1721">
        <v>586</v>
      </c>
      <c r="D1721">
        <v>3</v>
      </c>
      <c r="E1721">
        <v>510.6</v>
      </c>
      <c r="F1721">
        <v>418.9</v>
      </c>
      <c r="G1721">
        <v>421.6</v>
      </c>
      <c r="H1721">
        <v>2</v>
      </c>
      <c r="I1721">
        <v>26.72</v>
      </c>
      <c r="J1721">
        <v>255</v>
      </c>
      <c r="K1721">
        <v>70</v>
      </c>
      <c r="L1721">
        <v>67</v>
      </c>
      <c r="M1721">
        <v>83</v>
      </c>
      <c r="N1721">
        <v>0</v>
      </c>
      <c r="O1721">
        <v>516</v>
      </c>
      <c r="P1721">
        <v>0</v>
      </c>
      <c r="Q1721">
        <v>-20</v>
      </c>
    </row>
    <row r="1722" spans="1:17" x14ac:dyDescent="0.45">
      <c r="A1722">
        <v>938</v>
      </c>
      <c r="B1722" t="s">
        <v>1781</v>
      </c>
      <c r="C1722">
        <v>4878</v>
      </c>
      <c r="D1722">
        <v>3</v>
      </c>
      <c r="E1722">
        <v>7445.1</v>
      </c>
      <c r="F1722">
        <v>71.2</v>
      </c>
      <c r="G1722">
        <v>2877.4</v>
      </c>
      <c r="H1722">
        <v>2</v>
      </c>
      <c r="I1722">
        <v>24.84</v>
      </c>
      <c r="J1722">
        <v>1949</v>
      </c>
      <c r="K1722">
        <v>873</v>
      </c>
      <c r="L1722">
        <v>80</v>
      </c>
      <c r="M1722">
        <v>217</v>
      </c>
      <c r="N1722">
        <v>0</v>
      </c>
      <c r="O1722">
        <v>7823</v>
      </c>
      <c r="P1722">
        <v>0</v>
      </c>
      <c r="Q1722">
        <v>-4897</v>
      </c>
    </row>
    <row r="1723" spans="1:17" x14ac:dyDescent="0.45">
      <c r="A1723">
        <v>1216</v>
      </c>
      <c r="B1723" t="s">
        <v>1782</v>
      </c>
      <c r="C1723">
        <v>2041</v>
      </c>
      <c r="D1723">
        <v>3</v>
      </c>
      <c r="E1723">
        <v>1753.1</v>
      </c>
      <c r="F1723">
        <v>0</v>
      </c>
      <c r="G1723">
        <v>1272.5</v>
      </c>
      <c r="H1723">
        <v>3</v>
      </c>
      <c r="I1723">
        <v>24.76</v>
      </c>
      <c r="J1723">
        <v>769</v>
      </c>
      <c r="K1723">
        <v>399</v>
      </c>
      <c r="L1723">
        <v>20</v>
      </c>
      <c r="M1723">
        <v>70</v>
      </c>
      <c r="N1723">
        <v>0</v>
      </c>
      <c r="O1723">
        <v>2661</v>
      </c>
      <c r="P1723">
        <v>0</v>
      </c>
      <c r="Q1723">
        <v>-6222</v>
      </c>
    </row>
    <row r="1724" spans="1:17" x14ac:dyDescent="0.45">
      <c r="A1724">
        <v>3640</v>
      </c>
      <c r="B1724" t="s">
        <v>1783</v>
      </c>
      <c r="C1724">
        <v>979</v>
      </c>
      <c r="D1724">
        <v>3</v>
      </c>
      <c r="E1724">
        <v>894.1</v>
      </c>
      <c r="F1724">
        <v>0</v>
      </c>
      <c r="G1724">
        <v>153.69999999999999</v>
      </c>
      <c r="H1724">
        <v>3</v>
      </c>
      <c r="I1724">
        <v>29.04</v>
      </c>
      <c r="J1724">
        <v>323</v>
      </c>
      <c r="K1724">
        <v>217</v>
      </c>
      <c r="L1724">
        <v>14</v>
      </c>
      <c r="M1724">
        <v>40</v>
      </c>
      <c r="N1724">
        <v>0</v>
      </c>
      <c r="O1724">
        <v>586</v>
      </c>
      <c r="P1724">
        <v>0</v>
      </c>
      <c r="Q1724">
        <v>-1284</v>
      </c>
    </row>
    <row r="1725" spans="1:17" x14ac:dyDescent="0.45">
      <c r="A1725">
        <v>3789</v>
      </c>
      <c r="B1725" t="s">
        <v>1784</v>
      </c>
      <c r="C1725">
        <v>697</v>
      </c>
      <c r="D1725">
        <v>3</v>
      </c>
      <c r="E1725">
        <v>5443.4</v>
      </c>
      <c r="F1725">
        <v>42</v>
      </c>
      <c r="G1725">
        <v>156.69999999999999</v>
      </c>
      <c r="H1725">
        <v>3</v>
      </c>
      <c r="I1725">
        <v>29.04</v>
      </c>
      <c r="J1725">
        <v>298</v>
      </c>
      <c r="K1725">
        <v>168</v>
      </c>
      <c r="L1725">
        <v>16</v>
      </c>
      <c r="M1725">
        <v>34</v>
      </c>
      <c r="N1725">
        <v>0</v>
      </c>
      <c r="O1725">
        <v>1020</v>
      </c>
      <c r="P1725">
        <v>33.229999999999997</v>
      </c>
      <c r="Q1725">
        <v>-1224</v>
      </c>
    </row>
    <row r="1726" spans="1:17" x14ac:dyDescent="0.45">
      <c r="A1726">
        <v>3790</v>
      </c>
      <c r="B1726" t="s">
        <v>1785</v>
      </c>
      <c r="C1726">
        <v>1083</v>
      </c>
      <c r="D1726">
        <v>3</v>
      </c>
      <c r="E1726">
        <v>7177.5</v>
      </c>
      <c r="F1726">
        <v>0</v>
      </c>
      <c r="G1726">
        <v>75.599999999999994</v>
      </c>
      <c r="H1726">
        <v>3</v>
      </c>
      <c r="I1726">
        <v>29.04</v>
      </c>
      <c r="J1726">
        <v>435</v>
      </c>
      <c r="K1726">
        <v>223</v>
      </c>
      <c r="L1726">
        <v>19</v>
      </c>
      <c r="M1726">
        <v>56</v>
      </c>
      <c r="N1726">
        <v>0</v>
      </c>
      <c r="O1726">
        <v>434</v>
      </c>
      <c r="P1726">
        <v>443</v>
      </c>
      <c r="Q1726">
        <v>-1184</v>
      </c>
    </row>
    <row r="1727" spans="1:17" x14ac:dyDescent="0.45">
      <c r="A1727">
        <v>6009</v>
      </c>
      <c r="B1727" t="s">
        <v>1786</v>
      </c>
      <c r="C1727">
        <v>290</v>
      </c>
      <c r="D1727">
        <v>3</v>
      </c>
      <c r="E1727">
        <v>173.6</v>
      </c>
      <c r="F1727">
        <v>4.5</v>
      </c>
      <c r="G1727">
        <v>0</v>
      </c>
      <c r="H1727">
        <v>3</v>
      </c>
      <c r="I1727">
        <v>30.8</v>
      </c>
      <c r="J1727">
        <v>65</v>
      </c>
      <c r="K1727">
        <v>74</v>
      </c>
      <c r="L1727">
        <v>4</v>
      </c>
      <c r="M1727">
        <v>8</v>
      </c>
      <c r="N1727">
        <v>0</v>
      </c>
      <c r="O1727">
        <v>1166</v>
      </c>
      <c r="P1727">
        <v>0</v>
      </c>
      <c r="Q1727">
        <v>-2489</v>
      </c>
    </row>
    <row r="1728" spans="1:17" x14ac:dyDescent="0.45">
      <c r="A1728">
        <v>4239</v>
      </c>
      <c r="B1728" t="s">
        <v>1787</v>
      </c>
      <c r="C1728">
        <v>4352</v>
      </c>
      <c r="D1728">
        <v>3</v>
      </c>
      <c r="E1728">
        <v>2182</v>
      </c>
      <c r="F1728">
        <v>1705.7</v>
      </c>
      <c r="G1728">
        <v>9712.2000000000007</v>
      </c>
      <c r="H1728">
        <v>2</v>
      </c>
      <c r="I1728">
        <v>23.46</v>
      </c>
      <c r="J1728">
        <v>1513</v>
      </c>
      <c r="K1728">
        <v>672</v>
      </c>
      <c r="L1728">
        <v>100</v>
      </c>
      <c r="M1728">
        <v>239</v>
      </c>
      <c r="N1728">
        <v>0</v>
      </c>
      <c r="O1728">
        <v>12133</v>
      </c>
      <c r="P1728">
        <v>501.34</v>
      </c>
      <c r="Q1728">
        <v>-702</v>
      </c>
    </row>
    <row r="1729" spans="1:17" x14ac:dyDescent="0.45">
      <c r="A1729">
        <v>6266</v>
      </c>
      <c r="B1729" t="s">
        <v>1788</v>
      </c>
      <c r="C1729">
        <v>35650</v>
      </c>
      <c r="D1729">
        <v>3</v>
      </c>
      <c r="E1729">
        <v>14399.1</v>
      </c>
      <c r="F1729">
        <v>51280.4</v>
      </c>
      <c r="G1729">
        <v>26293.3</v>
      </c>
      <c r="H1729">
        <v>1</v>
      </c>
      <c r="I1729">
        <v>24.74</v>
      </c>
      <c r="J1729">
        <v>15090</v>
      </c>
      <c r="K1729">
        <v>5110</v>
      </c>
      <c r="L1729">
        <v>1027</v>
      </c>
      <c r="M1729">
        <v>1916</v>
      </c>
      <c r="N1729">
        <v>0</v>
      </c>
      <c r="O1729">
        <v>2718</v>
      </c>
      <c r="P1729">
        <v>34421.25</v>
      </c>
      <c r="Q1729">
        <v>-1606</v>
      </c>
    </row>
    <row r="1730" spans="1:17" x14ac:dyDescent="0.45">
      <c r="A1730">
        <v>4761</v>
      </c>
      <c r="B1730" t="s">
        <v>1789</v>
      </c>
      <c r="C1730">
        <v>7963</v>
      </c>
      <c r="D1730">
        <v>3</v>
      </c>
      <c r="E1730">
        <v>6168.4</v>
      </c>
      <c r="F1730">
        <v>6236.3</v>
      </c>
      <c r="G1730">
        <v>10863.5</v>
      </c>
      <c r="H1730">
        <v>1</v>
      </c>
      <c r="I1730">
        <v>21</v>
      </c>
      <c r="J1730">
        <v>3165</v>
      </c>
      <c r="K1730">
        <v>1386</v>
      </c>
      <c r="L1730">
        <v>211</v>
      </c>
      <c r="M1730">
        <v>389</v>
      </c>
      <c r="N1730">
        <v>0</v>
      </c>
      <c r="O1730">
        <v>5560</v>
      </c>
      <c r="P1730">
        <v>0</v>
      </c>
      <c r="Q1730">
        <v>-582</v>
      </c>
    </row>
    <row r="1731" spans="1:17" x14ac:dyDescent="0.45">
      <c r="A1731">
        <v>499</v>
      </c>
      <c r="B1731" t="s">
        <v>1790</v>
      </c>
      <c r="C1731">
        <v>629</v>
      </c>
      <c r="D1731">
        <v>2</v>
      </c>
      <c r="E1731">
        <v>1132.3</v>
      </c>
      <c r="F1731">
        <v>0</v>
      </c>
      <c r="G1731">
        <v>879.2</v>
      </c>
      <c r="H1731">
        <v>3</v>
      </c>
      <c r="I1731">
        <v>26.41</v>
      </c>
      <c r="J1731">
        <v>275</v>
      </c>
      <c r="K1731">
        <v>110</v>
      </c>
      <c r="L1731">
        <v>16</v>
      </c>
      <c r="M1731">
        <v>26</v>
      </c>
      <c r="N1731">
        <v>0</v>
      </c>
      <c r="O1731">
        <v>1078</v>
      </c>
      <c r="P1731">
        <v>0</v>
      </c>
      <c r="Q1731">
        <v>-201</v>
      </c>
    </row>
    <row r="1732" spans="1:17" x14ac:dyDescent="0.45">
      <c r="A1732">
        <v>1217</v>
      </c>
      <c r="B1732" t="s">
        <v>1791</v>
      </c>
      <c r="C1732">
        <v>382</v>
      </c>
      <c r="D1732">
        <v>3</v>
      </c>
      <c r="E1732">
        <v>329.7</v>
      </c>
      <c r="F1732">
        <v>0</v>
      </c>
      <c r="G1732">
        <v>176.3</v>
      </c>
      <c r="H1732">
        <v>3</v>
      </c>
      <c r="I1732">
        <v>24.76</v>
      </c>
      <c r="J1732">
        <v>140</v>
      </c>
      <c r="K1732">
        <v>65</v>
      </c>
      <c r="L1732">
        <v>10</v>
      </c>
      <c r="M1732">
        <v>16</v>
      </c>
      <c r="N1732">
        <v>0</v>
      </c>
      <c r="O1732">
        <v>441</v>
      </c>
      <c r="P1732">
        <v>84.92</v>
      </c>
      <c r="Q1732">
        <v>-1445</v>
      </c>
    </row>
    <row r="1733" spans="1:17" x14ac:dyDescent="0.45">
      <c r="A1733">
        <v>2861</v>
      </c>
      <c r="B1733" t="s">
        <v>1792</v>
      </c>
      <c r="C1733">
        <v>6812</v>
      </c>
      <c r="D1733">
        <v>1</v>
      </c>
      <c r="E1733">
        <v>7239.6</v>
      </c>
      <c r="F1733">
        <v>62.1</v>
      </c>
      <c r="G1733">
        <v>5816.4</v>
      </c>
      <c r="H1733">
        <v>2</v>
      </c>
      <c r="I1733">
        <v>20.72</v>
      </c>
      <c r="J1733">
        <v>2212</v>
      </c>
      <c r="K1733">
        <v>829</v>
      </c>
      <c r="L1733">
        <v>218</v>
      </c>
      <c r="M1733">
        <v>393</v>
      </c>
      <c r="N1733">
        <v>0</v>
      </c>
      <c r="O1733">
        <v>1319</v>
      </c>
      <c r="P1733">
        <v>1334.89</v>
      </c>
      <c r="Q1733">
        <v>-823</v>
      </c>
    </row>
    <row r="1734" spans="1:17" x14ac:dyDescent="0.45">
      <c r="A1734">
        <v>4177</v>
      </c>
      <c r="B1734" t="s">
        <v>1793</v>
      </c>
      <c r="C1734">
        <v>1684</v>
      </c>
      <c r="D1734">
        <v>3</v>
      </c>
      <c r="E1734">
        <v>988.9</v>
      </c>
      <c r="F1734">
        <v>8.4</v>
      </c>
      <c r="G1734">
        <v>2165</v>
      </c>
      <c r="H1734">
        <v>2</v>
      </c>
      <c r="I1734">
        <v>23.46</v>
      </c>
      <c r="J1734">
        <v>669</v>
      </c>
      <c r="K1734">
        <v>281</v>
      </c>
      <c r="L1734">
        <v>47</v>
      </c>
      <c r="M1734">
        <v>111</v>
      </c>
      <c r="N1734">
        <v>0</v>
      </c>
      <c r="O1734">
        <v>114</v>
      </c>
      <c r="P1734">
        <v>0</v>
      </c>
      <c r="Q1734">
        <v>-80</v>
      </c>
    </row>
    <row r="1735" spans="1:17" x14ac:dyDescent="0.45">
      <c r="A1735">
        <v>2099</v>
      </c>
      <c r="B1735" t="s">
        <v>1794</v>
      </c>
      <c r="C1735">
        <v>2528</v>
      </c>
      <c r="D1735">
        <v>3</v>
      </c>
      <c r="E1735">
        <v>2340.3000000000002</v>
      </c>
      <c r="F1735">
        <v>50.4</v>
      </c>
      <c r="G1735">
        <v>3981.5</v>
      </c>
      <c r="H1735">
        <v>3</v>
      </c>
      <c r="I1735">
        <v>36.93</v>
      </c>
      <c r="J1735">
        <v>1065</v>
      </c>
      <c r="K1735">
        <v>369</v>
      </c>
      <c r="L1735">
        <v>74</v>
      </c>
      <c r="M1735">
        <v>174</v>
      </c>
      <c r="N1735">
        <v>0</v>
      </c>
      <c r="O1735">
        <v>11784</v>
      </c>
      <c r="P1735">
        <v>0</v>
      </c>
      <c r="Q1735">
        <v>-682</v>
      </c>
    </row>
    <row r="1736" spans="1:17" x14ac:dyDescent="0.45">
      <c r="A1736">
        <v>3823</v>
      </c>
      <c r="B1736" t="s">
        <v>1795</v>
      </c>
      <c r="C1736">
        <v>332</v>
      </c>
      <c r="D1736">
        <v>3</v>
      </c>
      <c r="E1736">
        <v>12.4</v>
      </c>
      <c r="F1736">
        <v>0</v>
      </c>
      <c r="G1736">
        <v>147.1</v>
      </c>
      <c r="H1736">
        <v>3</v>
      </c>
      <c r="I1736">
        <v>29.04</v>
      </c>
      <c r="J1736">
        <v>156</v>
      </c>
      <c r="K1736">
        <v>63</v>
      </c>
      <c r="L1736">
        <v>13</v>
      </c>
      <c r="M1736">
        <v>26</v>
      </c>
      <c r="N1736">
        <v>0</v>
      </c>
      <c r="O1736">
        <v>793</v>
      </c>
      <c r="P1736">
        <v>0</v>
      </c>
      <c r="Q1736">
        <v>-4817</v>
      </c>
    </row>
    <row r="1737" spans="1:17" x14ac:dyDescent="0.45">
      <c r="A1737">
        <v>2601</v>
      </c>
      <c r="B1737" t="s">
        <v>1796</v>
      </c>
      <c r="C1737">
        <v>16633</v>
      </c>
      <c r="D1737">
        <v>1</v>
      </c>
      <c r="E1737">
        <v>9242.4</v>
      </c>
      <c r="F1737">
        <v>22796.400000000001</v>
      </c>
      <c r="G1737">
        <v>8248.7000000000007</v>
      </c>
      <c r="H1737">
        <v>1</v>
      </c>
      <c r="I1737">
        <v>19.07</v>
      </c>
      <c r="J1737">
        <v>5567</v>
      </c>
      <c r="K1737">
        <v>2299</v>
      </c>
      <c r="L1737">
        <v>427</v>
      </c>
      <c r="M1737">
        <v>772</v>
      </c>
      <c r="N1737">
        <v>0</v>
      </c>
      <c r="O1737">
        <v>355</v>
      </c>
      <c r="P1737">
        <v>0</v>
      </c>
      <c r="Q1737">
        <v>-20</v>
      </c>
    </row>
    <row r="1738" spans="1:17" x14ac:dyDescent="0.45">
      <c r="A1738">
        <v>4446</v>
      </c>
      <c r="B1738" t="s">
        <v>1797</v>
      </c>
      <c r="C1738">
        <v>654</v>
      </c>
      <c r="D1738">
        <v>3</v>
      </c>
      <c r="E1738">
        <v>755.3</v>
      </c>
      <c r="F1738">
        <v>0</v>
      </c>
      <c r="G1738">
        <v>951</v>
      </c>
      <c r="H1738">
        <v>3</v>
      </c>
      <c r="I1738">
        <v>26.04</v>
      </c>
      <c r="J1738">
        <v>312</v>
      </c>
      <c r="K1738">
        <v>121</v>
      </c>
      <c r="L1738">
        <v>24</v>
      </c>
      <c r="M1738">
        <v>21</v>
      </c>
      <c r="N1738">
        <v>0</v>
      </c>
      <c r="O1738">
        <v>1610</v>
      </c>
      <c r="P1738">
        <v>0</v>
      </c>
      <c r="Q1738">
        <v>-201</v>
      </c>
    </row>
    <row r="1739" spans="1:17" x14ac:dyDescent="0.45">
      <c r="A1739">
        <v>444</v>
      </c>
      <c r="B1739" t="s">
        <v>1798</v>
      </c>
      <c r="C1739">
        <v>1921</v>
      </c>
      <c r="D1739">
        <v>2</v>
      </c>
      <c r="E1739">
        <v>3525.2</v>
      </c>
      <c r="F1739">
        <v>0</v>
      </c>
      <c r="G1739">
        <v>1638.9</v>
      </c>
      <c r="H1739">
        <v>3</v>
      </c>
      <c r="I1739">
        <v>26.41</v>
      </c>
      <c r="J1739">
        <v>749</v>
      </c>
      <c r="K1739">
        <v>241</v>
      </c>
      <c r="L1739">
        <v>35</v>
      </c>
      <c r="M1739">
        <v>86</v>
      </c>
      <c r="N1739">
        <v>0</v>
      </c>
      <c r="O1739">
        <v>2530</v>
      </c>
      <c r="P1739">
        <v>682.22</v>
      </c>
      <c r="Q1739">
        <v>-1666</v>
      </c>
    </row>
    <row r="1740" spans="1:17" x14ac:dyDescent="0.45">
      <c r="A1740">
        <v>445</v>
      </c>
      <c r="B1740" t="s">
        <v>1799</v>
      </c>
      <c r="C1740">
        <v>1210</v>
      </c>
      <c r="D1740">
        <v>2</v>
      </c>
      <c r="E1740">
        <v>2519.9</v>
      </c>
      <c r="F1740">
        <v>67.8</v>
      </c>
      <c r="G1740">
        <v>1423.3</v>
      </c>
      <c r="H1740">
        <v>3</v>
      </c>
      <c r="I1740">
        <v>26.41</v>
      </c>
      <c r="J1740">
        <v>403</v>
      </c>
      <c r="K1740">
        <v>135</v>
      </c>
      <c r="L1740">
        <v>22</v>
      </c>
      <c r="M1740">
        <v>50</v>
      </c>
      <c r="N1740">
        <v>0</v>
      </c>
      <c r="O1740">
        <v>7285</v>
      </c>
      <c r="P1740">
        <v>0</v>
      </c>
      <c r="Q1740">
        <v>-1385</v>
      </c>
    </row>
    <row r="1741" spans="1:17" x14ac:dyDescent="0.45">
      <c r="A1741">
        <v>6639</v>
      </c>
      <c r="B1741" t="s">
        <v>1800</v>
      </c>
      <c r="C1741">
        <v>963</v>
      </c>
      <c r="D1741">
        <v>3</v>
      </c>
      <c r="E1741">
        <v>791.2</v>
      </c>
      <c r="F1741">
        <v>118.8</v>
      </c>
      <c r="G1741">
        <v>521.6</v>
      </c>
      <c r="H1741">
        <v>3</v>
      </c>
      <c r="I1741">
        <v>27.36</v>
      </c>
      <c r="J1741">
        <v>362</v>
      </c>
      <c r="K1741">
        <v>90</v>
      </c>
      <c r="L1741">
        <v>13</v>
      </c>
      <c r="M1741">
        <v>57</v>
      </c>
      <c r="N1741">
        <v>0</v>
      </c>
      <c r="O1741">
        <v>614</v>
      </c>
      <c r="P1741">
        <v>36.9</v>
      </c>
      <c r="Q1741">
        <v>-20</v>
      </c>
    </row>
    <row r="1742" spans="1:17" x14ac:dyDescent="0.45">
      <c r="A1742">
        <v>5225</v>
      </c>
      <c r="B1742" t="s">
        <v>1801</v>
      </c>
      <c r="C1742">
        <v>2070</v>
      </c>
      <c r="D1742">
        <v>3</v>
      </c>
      <c r="E1742">
        <v>1081.5999999999999</v>
      </c>
      <c r="F1742">
        <v>2049</v>
      </c>
      <c r="G1742">
        <v>1007.1</v>
      </c>
      <c r="H1742">
        <v>1</v>
      </c>
      <c r="I1742">
        <v>18.600000000000001</v>
      </c>
      <c r="J1742">
        <v>725</v>
      </c>
      <c r="K1742">
        <v>244</v>
      </c>
      <c r="L1742">
        <v>53</v>
      </c>
      <c r="M1742">
        <v>180</v>
      </c>
      <c r="N1742">
        <v>0</v>
      </c>
      <c r="O1742">
        <v>0</v>
      </c>
      <c r="P1742">
        <v>0</v>
      </c>
      <c r="Q1742">
        <v>-20</v>
      </c>
    </row>
    <row r="1743" spans="1:17" x14ac:dyDescent="0.45">
      <c r="A1743">
        <v>2153</v>
      </c>
      <c r="B1743" t="s">
        <v>1802</v>
      </c>
      <c r="C1743">
        <v>1105</v>
      </c>
      <c r="D1743">
        <v>3</v>
      </c>
      <c r="E1743">
        <v>1083.0999999999999</v>
      </c>
      <c r="F1743">
        <v>43.3</v>
      </c>
      <c r="G1743">
        <v>1637.1</v>
      </c>
      <c r="H1743">
        <v>3</v>
      </c>
      <c r="I1743">
        <v>36.93</v>
      </c>
      <c r="J1743">
        <v>453</v>
      </c>
      <c r="K1743">
        <v>164</v>
      </c>
      <c r="L1743">
        <v>40</v>
      </c>
      <c r="M1743">
        <v>94</v>
      </c>
      <c r="N1743">
        <v>0</v>
      </c>
      <c r="O1743">
        <v>4252</v>
      </c>
      <c r="P1743">
        <v>0</v>
      </c>
      <c r="Q1743">
        <v>-442</v>
      </c>
    </row>
    <row r="1744" spans="1:17" x14ac:dyDescent="0.45">
      <c r="A1744">
        <v>711</v>
      </c>
      <c r="B1744" t="s">
        <v>1803</v>
      </c>
      <c r="C1744">
        <v>284</v>
      </c>
      <c r="D1744">
        <v>2</v>
      </c>
      <c r="E1744">
        <v>485.6</v>
      </c>
      <c r="F1744">
        <v>3.9</v>
      </c>
      <c r="G1744">
        <v>327.39999999999998</v>
      </c>
      <c r="H1744">
        <v>3</v>
      </c>
      <c r="I1744">
        <v>26.41</v>
      </c>
      <c r="J1744">
        <v>118</v>
      </c>
      <c r="K1744">
        <v>45</v>
      </c>
      <c r="L1744">
        <v>2</v>
      </c>
      <c r="M1744">
        <v>16</v>
      </c>
      <c r="N1744">
        <v>0</v>
      </c>
      <c r="O1744">
        <v>666</v>
      </c>
      <c r="P1744">
        <v>0</v>
      </c>
      <c r="Q1744">
        <v>-602</v>
      </c>
    </row>
    <row r="1745" spans="1:17" x14ac:dyDescent="0.45">
      <c r="A1745">
        <v>6759</v>
      </c>
      <c r="B1745" t="s">
        <v>1804</v>
      </c>
      <c r="C1745">
        <v>118</v>
      </c>
      <c r="D1745">
        <v>3</v>
      </c>
      <c r="E1745">
        <v>160.80000000000001</v>
      </c>
      <c r="F1745">
        <v>4.5999999999999996</v>
      </c>
      <c r="G1745">
        <v>109.2</v>
      </c>
      <c r="H1745">
        <v>3</v>
      </c>
      <c r="I1745">
        <v>27.66</v>
      </c>
      <c r="J1745">
        <v>63</v>
      </c>
      <c r="K1745">
        <v>28</v>
      </c>
      <c r="L1745">
        <v>0</v>
      </c>
      <c r="M1745">
        <v>3</v>
      </c>
      <c r="N1745">
        <v>0</v>
      </c>
      <c r="O1745">
        <v>3196</v>
      </c>
      <c r="P1745">
        <v>11.08</v>
      </c>
      <c r="Q1745">
        <v>-1405</v>
      </c>
    </row>
    <row r="1746" spans="1:17" x14ac:dyDescent="0.45">
      <c r="A1746">
        <v>6724</v>
      </c>
      <c r="B1746" t="s">
        <v>1805</v>
      </c>
      <c r="C1746">
        <v>417</v>
      </c>
      <c r="D1746">
        <v>3</v>
      </c>
      <c r="E1746">
        <v>824.4</v>
      </c>
      <c r="F1746">
        <v>2.2999999999999998</v>
      </c>
      <c r="G1746">
        <v>180.7</v>
      </c>
      <c r="H1746">
        <v>3</v>
      </c>
      <c r="I1746">
        <v>27.66</v>
      </c>
      <c r="J1746">
        <v>199</v>
      </c>
      <c r="K1746">
        <v>65</v>
      </c>
      <c r="L1746">
        <v>10</v>
      </c>
      <c r="M1746">
        <v>23</v>
      </c>
      <c r="N1746">
        <v>0</v>
      </c>
      <c r="O1746">
        <v>859</v>
      </c>
      <c r="P1746">
        <v>0</v>
      </c>
      <c r="Q1746">
        <v>-863</v>
      </c>
    </row>
    <row r="1747" spans="1:17" x14ac:dyDescent="0.45">
      <c r="A1747">
        <v>3023</v>
      </c>
      <c r="B1747" t="s">
        <v>1806</v>
      </c>
      <c r="C1747">
        <v>4430</v>
      </c>
      <c r="D1747">
        <v>3</v>
      </c>
      <c r="E1747">
        <v>4552.8</v>
      </c>
      <c r="F1747">
        <v>44.7</v>
      </c>
      <c r="G1747">
        <v>3447.2</v>
      </c>
      <c r="H1747">
        <v>2</v>
      </c>
      <c r="I1747">
        <v>17.79</v>
      </c>
      <c r="J1747">
        <v>1393</v>
      </c>
      <c r="K1747">
        <v>675</v>
      </c>
      <c r="L1747">
        <v>108</v>
      </c>
      <c r="M1747">
        <v>194</v>
      </c>
      <c r="N1747">
        <v>0</v>
      </c>
      <c r="O1747">
        <v>2776</v>
      </c>
      <c r="P1747">
        <v>553.75</v>
      </c>
      <c r="Q1747">
        <v>-421</v>
      </c>
    </row>
    <row r="1748" spans="1:17" x14ac:dyDescent="0.45">
      <c r="A1748">
        <v>768</v>
      </c>
      <c r="B1748" t="s">
        <v>1807</v>
      </c>
      <c r="C1748">
        <v>12906</v>
      </c>
      <c r="D1748">
        <v>2</v>
      </c>
      <c r="E1748">
        <v>17380.7</v>
      </c>
      <c r="F1748">
        <v>118.3</v>
      </c>
      <c r="G1748">
        <v>11326.6</v>
      </c>
      <c r="H1748">
        <v>1</v>
      </c>
      <c r="I1748">
        <v>16.760000000000002</v>
      </c>
      <c r="J1748">
        <v>3882</v>
      </c>
      <c r="K1748">
        <v>1818</v>
      </c>
      <c r="L1748">
        <v>212</v>
      </c>
      <c r="M1748">
        <v>503</v>
      </c>
      <c r="N1748">
        <v>0</v>
      </c>
      <c r="O1748">
        <v>4398</v>
      </c>
      <c r="P1748">
        <v>0</v>
      </c>
      <c r="Q1748">
        <v>-1004</v>
      </c>
    </row>
    <row r="1749" spans="1:17" x14ac:dyDescent="0.45">
      <c r="A1749">
        <v>1218</v>
      </c>
      <c r="B1749" t="s">
        <v>1808</v>
      </c>
      <c r="C1749">
        <v>858</v>
      </c>
      <c r="D1749">
        <v>3</v>
      </c>
      <c r="E1749">
        <v>792.1</v>
      </c>
      <c r="F1749">
        <v>1.6</v>
      </c>
      <c r="G1749">
        <v>365</v>
      </c>
      <c r="H1749">
        <v>3</v>
      </c>
      <c r="I1749">
        <v>24.76</v>
      </c>
      <c r="J1749">
        <v>260</v>
      </c>
      <c r="K1749">
        <v>245</v>
      </c>
      <c r="L1749">
        <v>4</v>
      </c>
      <c r="M1749">
        <v>25</v>
      </c>
      <c r="N1749">
        <v>0</v>
      </c>
      <c r="O1749">
        <v>4502</v>
      </c>
      <c r="P1749">
        <v>0</v>
      </c>
      <c r="Q1749">
        <v>-2348</v>
      </c>
    </row>
    <row r="1750" spans="1:17" x14ac:dyDescent="0.45">
      <c r="A1750">
        <v>4040</v>
      </c>
      <c r="B1750" t="s">
        <v>1809</v>
      </c>
      <c r="C1750">
        <v>12322</v>
      </c>
      <c r="D1750">
        <v>3</v>
      </c>
      <c r="E1750">
        <v>5394.1</v>
      </c>
      <c r="F1750">
        <v>6064.3</v>
      </c>
      <c r="G1750">
        <v>9246.5</v>
      </c>
      <c r="H1750">
        <v>1</v>
      </c>
      <c r="I1750">
        <v>20.87</v>
      </c>
      <c r="J1750">
        <v>3325</v>
      </c>
      <c r="K1750">
        <v>2335</v>
      </c>
      <c r="L1750">
        <v>168</v>
      </c>
      <c r="M1750">
        <v>696</v>
      </c>
      <c r="N1750">
        <v>0</v>
      </c>
      <c r="O1750">
        <v>792</v>
      </c>
      <c r="P1750">
        <v>0</v>
      </c>
      <c r="Q1750">
        <v>-582</v>
      </c>
    </row>
    <row r="1751" spans="1:17" x14ac:dyDescent="0.45">
      <c r="A1751">
        <v>3203</v>
      </c>
      <c r="B1751" t="s">
        <v>1810</v>
      </c>
      <c r="C1751">
        <v>76931</v>
      </c>
      <c r="D1751">
        <v>1</v>
      </c>
      <c r="E1751">
        <v>43777.3</v>
      </c>
      <c r="F1751">
        <v>70649.100000000006</v>
      </c>
      <c r="G1751">
        <v>39392.9</v>
      </c>
      <c r="H1751">
        <v>1</v>
      </c>
      <c r="I1751">
        <v>22.7</v>
      </c>
      <c r="J1751">
        <v>18717</v>
      </c>
      <c r="K1751">
        <v>10370</v>
      </c>
      <c r="L1751">
        <v>1748</v>
      </c>
      <c r="M1751">
        <v>3476</v>
      </c>
      <c r="N1751">
        <v>3</v>
      </c>
      <c r="O1751">
        <v>6041</v>
      </c>
      <c r="P1751">
        <v>47333.5</v>
      </c>
      <c r="Q1751">
        <v>-2147</v>
      </c>
    </row>
    <row r="1752" spans="1:17" x14ac:dyDescent="0.45">
      <c r="A1752">
        <v>3236</v>
      </c>
      <c r="B1752" t="s">
        <v>1811</v>
      </c>
      <c r="C1752">
        <v>6249</v>
      </c>
      <c r="D1752">
        <v>3</v>
      </c>
      <c r="E1752">
        <v>6171.4</v>
      </c>
      <c r="F1752">
        <v>4614.8999999999996</v>
      </c>
      <c r="G1752">
        <v>7534.1</v>
      </c>
      <c r="H1752">
        <v>1</v>
      </c>
      <c r="I1752">
        <v>22.7</v>
      </c>
      <c r="J1752">
        <v>2067</v>
      </c>
      <c r="K1752">
        <v>1337</v>
      </c>
      <c r="L1752">
        <v>82</v>
      </c>
      <c r="M1752">
        <v>261</v>
      </c>
      <c r="N1752">
        <v>0</v>
      </c>
      <c r="O1752">
        <v>669</v>
      </c>
      <c r="P1752">
        <v>0</v>
      </c>
      <c r="Q1752">
        <v>-401</v>
      </c>
    </row>
    <row r="1753" spans="1:17" x14ac:dyDescent="0.45">
      <c r="A1753">
        <v>3787</v>
      </c>
      <c r="B1753" t="s">
        <v>1812</v>
      </c>
      <c r="C1753">
        <v>4924</v>
      </c>
      <c r="D1753">
        <v>3</v>
      </c>
      <c r="E1753">
        <v>31726.799999999999</v>
      </c>
      <c r="F1753">
        <v>4.8</v>
      </c>
      <c r="G1753">
        <v>876.3</v>
      </c>
      <c r="H1753">
        <v>1</v>
      </c>
      <c r="I1753">
        <v>21.87</v>
      </c>
      <c r="J1753">
        <v>2327</v>
      </c>
      <c r="K1753">
        <v>1250</v>
      </c>
      <c r="L1753">
        <v>118</v>
      </c>
      <c r="M1753">
        <v>326</v>
      </c>
      <c r="N1753">
        <v>0</v>
      </c>
      <c r="O1753">
        <v>346</v>
      </c>
      <c r="P1753">
        <v>0</v>
      </c>
      <c r="Q1753">
        <v>-1124</v>
      </c>
    </row>
    <row r="1754" spans="1:17" x14ac:dyDescent="0.45">
      <c r="A1754">
        <v>6292</v>
      </c>
      <c r="B1754" t="s">
        <v>1813</v>
      </c>
      <c r="C1754">
        <v>2242</v>
      </c>
      <c r="D1754">
        <v>3</v>
      </c>
      <c r="E1754">
        <v>3487.2</v>
      </c>
      <c r="F1754">
        <v>76.2</v>
      </c>
      <c r="G1754">
        <v>1235.7</v>
      </c>
      <c r="H1754">
        <v>3</v>
      </c>
      <c r="I1754">
        <v>30.8</v>
      </c>
      <c r="J1754">
        <v>763</v>
      </c>
      <c r="K1754">
        <v>475</v>
      </c>
      <c r="L1754">
        <v>30</v>
      </c>
      <c r="M1754">
        <v>65</v>
      </c>
      <c r="N1754">
        <v>0</v>
      </c>
      <c r="O1754">
        <v>1309</v>
      </c>
      <c r="P1754">
        <v>260.62</v>
      </c>
      <c r="Q1754">
        <v>-3452</v>
      </c>
    </row>
    <row r="1755" spans="1:17" x14ac:dyDescent="0.45">
      <c r="A1755">
        <v>2303</v>
      </c>
      <c r="B1755" t="s">
        <v>1814</v>
      </c>
      <c r="C1755">
        <v>1017</v>
      </c>
      <c r="D1755">
        <v>3</v>
      </c>
      <c r="E1755">
        <v>1110.3</v>
      </c>
      <c r="F1755">
        <v>0</v>
      </c>
      <c r="G1755">
        <v>1988.6</v>
      </c>
      <c r="H1755">
        <v>3</v>
      </c>
      <c r="I1755">
        <v>36.93</v>
      </c>
      <c r="J1755">
        <v>461</v>
      </c>
      <c r="K1755">
        <v>168</v>
      </c>
      <c r="L1755">
        <v>16</v>
      </c>
      <c r="M1755">
        <v>46</v>
      </c>
      <c r="N1755">
        <v>0</v>
      </c>
      <c r="O1755">
        <v>2682</v>
      </c>
      <c r="P1755">
        <v>0</v>
      </c>
      <c r="Q1755">
        <v>-482</v>
      </c>
    </row>
    <row r="1756" spans="1:17" x14ac:dyDescent="0.45">
      <c r="A1756">
        <v>793</v>
      </c>
      <c r="B1756" t="s">
        <v>1815</v>
      </c>
      <c r="C1756">
        <v>1319</v>
      </c>
      <c r="D1756">
        <v>3</v>
      </c>
      <c r="E1756">
        <v>1402.2</v>
      </c>
      <c r="F1756">
        <v>17.8</v>
      </c>
      <c r="G1756">
        <v>1612.4</v>
      </c>
      <c r="H1756">
        <v>3</v>
      </c>
      <c r="I1756">
        <v>26.41</v>
      </c>
      <c r="J1756">
        <v>438</v>
      </c>
      <c r="K1756">
        <v>308</v>
      </c>
      <c r="L1756">
        <v>7</v>
      </c>
      <c r="M1756">
        <v>40</v>
      </c>
      <c r="N1756">
        <v>0</v>
      </c>
      <c r="O1756">
        <v>9049</v>
      </c>
      <c r="P1756">
        <v>0</v>
      </c>
      <c r="Q1756">
        <v>-3512</v>
      </c>
    </row>
    <row r="1757" spans="1:17" x14ac:dyDescent="0.45">
      <c r="A1757">
        <v>2304</v>
      </c>
      <c r="B1757" t="s">
        <v>1816</v>
      </c>
      <c r="C1757">
        <v>1431</v>
      </c>
      <c r="D1757">
        <v>3</v>
      </c>
      <c r="E1757">
        <v>1119.5999999999999</v>
      </c>
      <c r="F1757">
        <v>35.1</v>
      </c>
      <c r="G1757">
        <v>2198.5</v>
      </c>
      <c r="H1757">
        <v>3</v>
      </c>
      <c r="I1757">
        <v>36.93</v>
      </c>
      <c r="J1757">
        <v>529</v>
      </c>
      <c r="K1757">
        <v>193</v>
      </c>
      <c r="L1757">
        <v>29</v>
      </c>
      <c r="M1757">
        <v>55</v>
      </c>
      <c r="N1757">
        <v>0</v>
      </c>
      <c r="O1757">
        <v>7127</v>
      </c>
      <c r="P1757">
        <v>0</v>
      </c>
      <c r="Q1757">
        <v>-542</v>
      </c>
    </row>
    <row r="1758" spans="1:17" x14ac:dyDescent="0.45">
      <c r="A1758">
        <v>5266</v>
      </c>
      <c r="B1758" t="s">
        <v>1817</v>
      </c>
      <c r="C1758">
        <v>4461</v>
      </c>
      <c r="D1758">
        <v>3</v>
      </c>
      <c r="E1758">
        <v>3769.2</v>
      </c>
      <c r="F1758">
        <v>3858.8</v>
      </c>
      <c r="G1758">
        <v>11019.7</v>
      </c>
      <c r="H1758">
        <v>1</v>
      </c>
      <c r="I1758">
        <v>18.600000000000001</v>
      </c>
      <c r="J1758">
        <v>1949</v>
      </c>
      <c r="K1758">
        <v>722</v>
      </c>
      <c r="L1758">
        <v>87</v>
      </c>
      <c r="M1758">
        <v>483</v>
      </c>
      <c r="N1758">
        <v>0</v>
      </c>
      <c r="O1758">
        <v>109</v>
      </c>
      <c r="P1758">
        <v>0</v>
      </c>
      <c r="Q1758">
        <v>-321</v>
      </c>
    </row>
    <row r="1759" spans="1:17" x14ac:dyDescent="0.45">
      <c r="A1759">
        <v>100</v>
      </c>
      <c r="B1759" t="s">
        <v>1818</v>
      </c>
      <c r="C1759">
        <v>2349</v>
      </c>
      <c r="D1759">
        <v>3</v>
      </c>
      <c r="E1759">
        <v>2996.5</v>
      </c>
      <c r="F1759">
        <v>18.5</v>
      </c>
      <c r="G1759">
        <v>1397.5</v>
      </c>
      <c r="H1759">
        <v>2</v>
      </c>
      <c r="I1759">
        <v>24.61</v>
      </c>
      <c r="J1759">
        <v>1025</v>
      </c>
      <c r="K1759">
        <v>351</v>
      </c>
      <c r="L1759">
        <v>77</v>
      </c>
      <c r="M1759">
        <v>155</v>
      </c>
      <c r="N1759">
        <v>0</v>
      </c>
      <c r="O1759">
        <v>5871</v>
      </c>
      <c r="P1759">
        <v>82.71</v>
      </c>
      <c r="Q1759">
        <v>-783</v>
      </c>
    </row>
    <row r="1760" spans="1:17" x14ac:dyDescent="0.45">
      <c r="A1760">
        <v>4284</v>
      </c>
      <c r="B1760" t="s">
        <v>1820</v>
      </c>
      <c r="C1760">
        <v>1342</v>
      </c>
      <c r="D1760">
        <v>3</v>
      </c>
      <c r="E1760">
        <v>983.8</v>
      </c>
      <c r="F1760">
        <v>287.60000000000002</v>
      </c>
      <c r="G1760">
        <v>1443.4</v>
      </c>
      <c r="H1760">
        <v>3</v>
      </c>
      <c r="I1760">
        <v>23.9</v>
      </c>
      <c r="J1760">
        <v>612</v>
      </c>
      <c r="K1760">
        <v>241</v>
      </c>
      <c r="L1760">
        <v>31</v>
      </c>
      <c r="M1760">
        <v>73</v>
      </c>
      <c r="N1760">
        <v>0</v>
      </c>
      <c r="O1760">
        <v>2520</v>
      </c>
      <c r="P1760">
        <v>0</v>
      </c>
      <c r="Q1760">
        <v>-682</v>
      </c>
    </row>
    <row r="1761" spans="1:17" x14ac:dyDescent="0.45">
      <c r="A1761">
        <v>6293</v>
      </c>
      <c r="B1761" t="s">
        <v>1821</v>
      </c>
      <c r="C1761">
        <v>1103</v>
      </c>
      <c r="D1761">
        <v>3</v>
      </c>
      <c r="E1761">
        <v>1964.2</v>
      </c>
      <c r="F1761">
        <v>19.399999999999999</v>
      </c>
      <c r="G1761">
        <v>1470.1</v>
      </c>
      <c r="H1761">
        <v>3</v>
      </c>
      <c r="I1761">
        <v>30.8</v>
      </c>
      <c r="J1761">
        <v>382</v>
      </c>
      <c r="K1761">
        <v>208</v>
      </c>
      <c r="L1761">
        <v>27</v>
      </c>
      <c r="M1761">
        <v>36</v>
      </c>
      <c r="N1761">
        <v>0</v>
      </c>
      <c r="O1761">
        <v>520</v>
      </c>
      <c r="P1761">
        <v>365.48</v>
      </c>
      <c r="Q1761">
        <v>-1405</v>
      </c>
    </row>
    <row r="1762" spans="1:17" x14ac:dyDescent="0.45">
      <c r="A1762">
        <v>6294</v>
      </c>
      <c r="B1762" t="s">
        <v>1822</v>
      </c>
      <c r="C1762">
        <v>566</v>
      </c>
      <c r="D1762">
        <v>3</v>
      </c>
      <c r="E1762">
        <v>626.6</v>
      </c>
      <c r="F1762">
        <v>1.1000000000000001</v>
      </c>
      <c r="G1762">
        <v>439.3</v>
      </c>
      <c r="H1762">
        <v>3</v>
      </c>
      <c r="I1762">
        <v>30.8</v>
      </c>
      <c r="J1762">
        <v>175</v>
      </c>
      <c r="K1762">
        <v>84</v>
      </c>
      <c r="L1762">
        <v>15</v>
      </c>
      <c r="M1762">
        <v>21</v>
      </c>
      <c r="N1762">
        <v>0</v>
      </c>
      <c r="O1762">
        <v>421</v>
      </c>
      <c r="P1762">
        <v>0</v>
      </c>
      <c r="Q1762">
        <v>-1224</v>
      </c>
    </row>
    <row r="1763" spans="1:17" x14ac:dyDescent="0.45">
      <c r="A1763">
        <v>13</v>
      </c>
      <c r="B1763" t="s">
        <v>1823</v>
      </c>
      <c r="C1763">
        <v>3854</v>
      </c>
      <c r="D1763">
        <v>3</v>
      </c>
      <c r="E1763">
        <v>4223.2</v>
      </c>
      <c r="F1763">
        <v>433.2</v>
      </c>
      <c r="G1763">
        <v>1157.0999999999999</v>
      </c>
      <c r="H1763">
        <v>2</v>
      </c>
      <c r="I1763">
        <v>24.61</v>
      </c>
      <c r="J1763">
        <v>1280</v>
      </c>
      <c r="K1763">
        <v>556</v>
      </c>
      <c r="L1763">
        <v>151</v>
      </c>
      <c r="M1763">
        <v>264</v>
      </c>
      <c r="N1763">
        <v>0</v>
      </c>
      <c r="O1763">
        <v>2308</v>
      </c>
      <c r="P1763">
        <v>0</v>
      </c>
      <c r="Q1763">
        <v>-1124</v>
      </c>
    </row>
    <row r="1764" spans="1:17" x14ac:dyDescent="0.45">
      <c r="A1764">
        <v>292</v>
      </c>
      <c r="B1764" t="s">
        <v>1824</v>
      </c>
      <c r="C1764">
        <v>2879</v>
      </c>
      <c r="D1764">
        <v>3</v>
      </c>
      <c r="E1764">
        <v>3283.2</v>
      </c>
      <c r="F1764">
        <v>4.7</v>
      </c>
      <c r="G1764">
        <v>4822.3</v>
      </c>
      <c r="H1764">
        <v>3</v>
      </c>
      <c r="I1764">
        <v>25.15</v>
      </c>
      <c r="J1764">
        <v>1064</v>
      </c>
      <c r="K1764">
        <v>545</v>
      </c>
      <c r="L1764">
        <v>80</v>
      </c>
      <c r="M1764">
        <v>102</v>
      </c>
      <c r="N1764">
        <v>0</v>
      </c>
      <c r="O1764">
        <v>7360</v>
      </c>
      <c r="P1764">
        <v>193.46</v>
      </c>
      <c r="Q1764">
        <v>-1626</v>
      </c>
    </row>
    <row r="1765" spans="1:17" x14ac:dyDescent="0.45">
      <c r="A1765">
        <v>1509</v>
      </c>
      <c r="B1765" t="s">
        <v>1825</v>
      </c>
      <c r="C1765">
        <v>8119</v>
      </c>
      <c r="D1765">
        <v>3</v>
      </c>
      <c r="E1765">
        <v>6118.7</v>
      </c>
      <c r="F1765">
        <v>286.2</v>
      </c>
      <c r="G1765">
        <v>8390</v>
      </c>
      <c r="H1765">
        <v>1</v>
      </c>
      <c r="I1765">
        <v>31.4</v>
      </c>
      <c r="J1765">
        <v>2879</v>
      </c>
      <c r="K1765">
        <v>1367</v>
      </c>
      <c r="L1765">
        <v>257</v>
      </c>
      <c r="M1765">
        <v>488</v>
      </c>
      <c r="N1765">
        <v>0</v>
      </c>
      <c r="O1765">
        <v>2304</v>
      </c>
      <c r="P1765">
        <v>1107.5</v>
      </c>
      <c r="Q1765">
        <v>-823</v>
      </c>
    </row>
    <row r="1766" spans="1:17" x14ac:dyDescent="0.45">
      <c r="A1766">
        <v>1510</v>
      </c>
      <c r="B1766" t="s">
        <v>1826</v>
      </c>
      <c r="C1766">
        <v>4850</v>
      </c>
      <c r="D1766">
        <v>3</v>
      </c>
      <c r="E1766">
        <v>5024.6000000000004</v>
      </c>
      <c r="F1766">
        <v>0</v>
      </c>
      <c r="G1766">
        <v>3659.6</v>
      </c>
      <c r="H1766">
        <v>1</v>
      </c>
      <c r="I1766">
        <v>31.4</v>
      </c>
      <c r="J1766">
        <v>1958</v>
      </c>
      <c r="K1766">
        <v>825</v>
      </c>
      <c r="L1766">
        <v>118</v>
      </c>
      <c r="M1766">
        <v>312</v>
      </c>
      <c r="N1766">
        <v>0</v>
      </c>
      <c r="O1766">
        <v>2533</v>
      </c>
      <c r="P1766">
        <v>0</v>
      </c>
      <c r="Q1766">
        <v>-863</v>
      </c>
    </row>
    <row r="1767" spans="1:17" x14ac:dyDescent="0.45">
      <c r="A1767">
        <v>2584</v>
      </c>
      <c r="B1767" t="s">
        <v>1827</v>
      </c>
      <c r="C1767">
        <v>1871</v>
      </c>
      <c r="D1767">
        <v>2</v>
      </c>
      <c r="E1767">
        <v>1080.5999999999999</v>
      </c>
      <c r="F1767">
        <v>707.3</v>
      </c>
      <c r="G1767">
        <v>1284.5999999999999</v>
      </c>
      <c r="H1767">
        <v>1</v>
      </c>
      <c r="I1767">
        <v>19.07</v>
      </c>
      <c r="J1767">
        <v>640</v>
      </c>
      <c r="K1767">
        <v>221</v>
      </c>
      <c r="L1767">
        <v>48</v>
      </c>
      <c r="M1767">
        <v>94</v>
      </c>
      <c r="N1767">
        <v>0</v>
      </c>
      <c r="O1767">
        <v>185</v>
      </c>
      <c r="P1767">
        <v>0</v>
      </c>
      <c r="Q1767">
        <v>-181</v>
      </c>
    </row>
    <row r="1768" spans="1:17" x14ac:dyDescent="0.45">
      <c r="A1768">
        <v>4210</v>
      </c>
      <c r="B1768" t="s">
        <v>1828</v>
      </c>
      <c r="C1768">
        <v>4174</v>
      </c>
      <c r="D1768">
        <v>3</v>
      </c>
      <c r="E1768">
        <v>2228.1999999999998</v>
      </c>
      <c r="F1768">
        <v>2476.3000000000002</v>
      </c>
      <c r="G1768">
        <v>2551.3000000000002</v>
      </c>
      <c r="H1768">
        <v>1</v>
      </c>
      <c r="I1768">
        <v>20.87</v>
      </c>
      <c r="J1768">
        <v>1494</v>
      </c>
      <c r="K1768">
        <v>555</v>
      </c>
      <c r="L1768">
        <v>98</v>
      </c>
      <c r="M1768">
        <v>197</v>
      </c>
      <c r="N1768">
        <v>0</v>
      </c>
      <c r="O1768">
        <v>1627</v>
      </c>
      <c r="P1768">
        <v>0</v>
      </c>
      <c r="Q1768">
        <v>-241</v>
      </c>
    </row>
    <row r="1769" spans="1:17" x14ac:dyDescent="0.45">
      <c r="A1769">
        <v>4864</v>
      </c>
      <c r="B1769" t="s">
        <v>1829</v>
      </c>
      <c r="C1769">
        <v>3997</v>
      </c>
      <c r="D1769">
        <v>3</v>
      </c>
      <c r="E1769">
        <v>3348</v>
      </c>
      <c r="F1769">
        <v>3203.7</v>
      </c>
      <c r="G1769">
        <v>4065</v>
      </c>
      <c r="H1769">
        <v>3</v>
      </c>
      <c r="I1769">
        <v>26.04</v>
      </c>
      <c r="J1769">
        <v>1482</v>
      </c>
      <c r="K1769">
        <v>666</v>
      </c>
      <c r="L1769">
        <v>89</v>
      </c>
      <c r="M1769">
        <v>175</v>
      </c>
      <c r="N1769">
        <v>0</v>
      </c>
      <c r="O1769">
        <v>1523</v>
      </c>
      <c r="P1769">
        <v>258.39999999999998</v>
      </c>
      <c r="Q1769">
        <v>-803</v>
      </c>
    </row>
    <row r="1770" spans="1:17" x14ac:dyDescent="0.45">
      <c r="A1770">
        <v>939</v>
      </c>
      <c r="B1770" t="s">
        <v>1830</v>
      </c>
      <c r="C1770">
        <v>16071</v>
      </c>
      <c r="D1770">
        <v>2</v>
      </c>
      <c r="E1770">
        <v>12565.5</v>
      </c>
      <c r="F1770">
        <v>9542.5</v>
      </c>
      <c r="G1770">
        <v>8748</v>
      </c>
      <c r="H1770">
        <v>1</v>
      </c>
      <c r="I1770">
        <v>16.760000000000002</v>
      </c>
      <c r="J1770">
        <v>5300</v>
      </c>
      <c r="K1770">
        <v>2177</v>
      </c>
      <c r="L1770">
        <v>247</v>
      </c>
      <c r="M1770">
        <v>650</v>
      </c>
      <c r="N1770">
        <v>0</v>
      </c>
      <c r="O1770">
        <v>3161</v>
      </c>
      <c r="P1770">
        <v>0</v>
      </c>
      <c r="Q1770">
        <v>-843</v>
      </c>
    </row>
    <row r="1771" spans="1:17" x14ac:dyDescent="0.45">
      <c r="A1771">
        <v>6204</v>
      </c>
      <c r="B1771" t="s">
        <v>1831</v>
      </c>
      <c r="C1771">
        <v>1711</v>
      </c>
      <c r="D1771">
        <v>3</v>
      </c>
      <c r="E1771">
        <v>2498.1</v>
      </c>
      <c r="F1771">
        <v>166</v>
      </c>
      <c r="G1771">
        <v>4065.1</v>
      </c>
      <c r="H1771">
        <v>2</v>
      </c>
      <c r="I1771">
        <v>30.34</v>
      </c>
      <c r="J1771">
        <v>623</v>
      </c>
      <c r="K1771">
        <v>361</v>
      </c>
      <c r="L1771">
        <v>76</v>
      </c>
      <c r="M1771">
        <v>86</v>
      </c>
      <c r="N1771">
        <v>8421</v>
      </c>
      <c r="O1771">
        <v>263</v>
      </c>
      <c r="P1771">
        <v>0</v>
      </c>
      <c r="Q1771">
        <v>-1084</v>
      </c>
    </row>
    <row r="1772" spans="1:17" x14ac:dyDescent="0.45">
      <c r="A1772">
        <v>4260</v>
      </c>
      <c r="B1772" t="s">
        <v>1832</v>
      </c>
      <c r="C1772">
        <v>3405</v>
      </c>
      <c r="D1772">
        <v>3</v>
      </c>
      <c r="E1772">
        <v>1450.1</v>
      </c>
      <c r="F1772">
        <v>2341.1999999999998</v>
      </c>
      <c r="G1772">
        <v>1714.1</v>
      </c>
      <c r="H1772">
        <v>1</v>
      </c>
      <c r="I1772">
        <v>20.87</v>
      </c>
      <c r="J1772">
        <v>1129</v>
      </c>
      <c r="K1772">
        <v>596</v>
      </c>
      <c r="L1772">
        <v>82</v>
      </c>
      <c r="M1772">
        <v>183</v>
      </c>
      <c r="N1772">
        <v>0</v>
      </c>
      <c r="O1772">
        <v>92</v>
      </c>
      <c r="P1772">
        <v>0</v>
      </c>
      <c r="Q1772">
        <v>-140</v>
      </c>
    </row>
    <row r="1773" spans="1:17" x14ac:dyDescent="0.45">
      <c r="A1773">
        <v>3005</v>
      </c>
      <c r="B1773" t="s">
        <v>1833</v>
      </c>
      <c r="C1773">
        <v>1437</v>
      </c>
      <c r="D1773">
        <v>3</v>
      </c>
      <c r="E1773">
        <v>1249</v>
      </c>
      <c r="F1773">
        <v>6.9</v>
      </c>
      <c r="G1773">
        <v>2160.6</v>
      </c>
      <c r="H1773">
        <v>3</v>
      </c>
      <c r="I1773">
        <v>25.09</v>
      </c>
      <c r="J1773">
        <v>486</v>
      </c>
      <c r="K1773">
        <v>247</v>
      </c>
      <c r="L1773">
        <v>40</v>
      </c>
      <c r="M1773">
        <v>63</v>
      </c>
      <c r="N1773">
        <v>0</v>
      </c>
      <c r="O1773">
        <v>5413</v>
      </c>
      <c r="P1773">
        <v>22.15</v>
      </c>
      <c r="Q1773">
        <v>-421</v>
      </c>
    </row>
    <row r="1774" spans="1:17" x14ac:dyDescent="0.45">
      <c r="A1774">
        <v>2964</v>
      </c>
      <c r="B1774" t="s">
        <v>1834</v>
      </c>
      <c r="C1774">
        <v>3571</v>
      </c>
      <c r="D1774">
        <v>3</v>
      </c>
      <c r="E1774">
        <v>2919</v>
      </c>
      <c r="F1774">
        <v>3264.1</v>
      </c>
      <c r="G1774">
        <v>2247.4</v>
      </c>
      <c r="H1774">
        <v>2</v>
      </c>
      <c r="I1774">
        <v>20.54</v>
      </c>
      <c r="J1774">
        <v>1376</v>
      </c>
      <c r="K1774">
        <v>592</v>
      </c>
      <c r="L1774">
        <v>83</v>
      </c>
      <c r="M1774">
        <v>175</v>
      </c>
      <c r="N1774">
        <v>0</v>
      </c>
      <c r="O1774">
        <v>735</v>
      </c>
      <c r="P1774">
        <v>1052.1300000000001</v>
      </c>
      <c r="Q1774">
        <v>-462</v>
      </c>
    </row>
    <row r="1775" spans="1:17" x14ac:dyDescent="0.45">
      <c r="A1775">
        <v>3217</v>
      </c>
      <c r="B1775" t="s">
        <v>1835</v>
      </c>
      <c r="C1775">
        <v>3583</v>
      </c>
      <c r="D1775">
        <v>1</v>
      </c>
      <c r="E1775">
        <v>2095.9</v>
      </c>
      <c r="F1775">
        <v>1691.7</v>
      </c>
      <c r="G1775">
        <v>9287</v>
      </c>
      <c r="H1775">
        <v>1</v>
      </c>
      <c r="I1775">
        <v>22.7</v>
      </c>
      <c r="J1775">
        <v>1283</v>
      </c>
      <c r="K1775">
        <v>600</v>
      </c>
      <c r="L1775">
        <v>73</v>
      </c>
      <c r="M1775">
        <v>144</v>
      </c>
      <c r="N1775">
        <v>0</v>
      </c>
      <c r="O1775">
        <v>1218</v>
      </c>
      <c r="P1775">
        <v>1287.67</v>
      </c>
      <c r="Q1775">
        <v>-60</v>
      </c>
    </row>
    <row r="1776" spans="1:17" x14ac:dyDescent="0.45">
      <c r="A1776">
        <v>1373</v>
      </c>
      <c r="B1776" t="s">
        <v>1836</v>
      </c>
      <c r="C1776">
        <v>3696</v>
      </c>
      <c r="D1776">
        <v>3</v>
      </c>
      <c r="E1776">
        <v>3550.9</v>
      </c>
      <c r="F1776">
        <v>486.3</v>
      </c>
      <c r="G1776">
        <v>4082.5</v>
      </c>
      <c r="H1776">
        <v>3</v>
      </c>
      <c r="I1776">
        <v>30.7</v>
      </c>
      <c r="J1776">
        <v>1496</v>
      </c>
      <c r="K1776">
        <v>602</v>
      </c>
      <c r="L1776">
        <v>65</v>
      </c>
      <c r="M1776">
        <v>133</v>
      </c>
      <c r="N1776">
        <v>0</v>
      </c>
      <c r="O1776">
        <v>5436</v>
      </c>
      <c r="P1776">
        <v>0</v>
      </c>
      <c r="Q1776">
        <v>-462</v>
      </c>
    </row>
    <row r="1777" spans="1:17" x14ac:dyDescent="0.45">
      <c r="A1777">
        <v>1374</v>
      </c>
      <c r="B1777" t="s">
        <v>1837</v>
      </c>
      <c r="C1777">
        <v>951</v>
      </c>
      <c r="D1777">
        <v>3</v>
      </c>
      <c r="E1777">
        <v>578.20000000000005</v>
      </c>
      <c r="F1777">
        <v>14</v>
      </c>
      <c r="G1777">
        <v>1026.8</v>
      </c>
      <c r="H1777">
        <v>3</v>
      </c>
      <c r="I1777">
        <v>30.7</v>
      </c>
      <c r="J1777">
        <v>384</v>
      </c>
      <c r="K1777">
        <v>173</v>
      </c>
      <c r="L1777">
        <v>29</v>
      </c>
      <c r="M1777">
        <v>41</v>
      </c>
      <c r="N1777">
        <v>0</v>
      </c>
      <c r="O1777">
        <v>4428</v>
      </c>
      <c r="P1777">
        <v>0</v>
      </c>
      <c r="Q1777">
        <v>-321</v>
      </c>
    </row>
    <row r="1778" spans="1:17" x14ac:dyDescent="0.45">
      <c r="A1778">
        <v>1708</v>
      </c>
      <c r="B1778" t="s">
        <v>1838</v>
      </c>
      <c r="C1778">
        <v>10308</v>
      </c>
      <c r="D1778">
        <v>2</v>
      </c>
      <c r="E1778">
        <v>8537.2000000000007</v>
      </c>
      <c r="F1778">
        <v>4171</v>
      </c>
      <c r="G1778">
        <v>8388.6</v>
      </c>
      <c r="H1778">
        <v>1</v>
      </c>
      <c r="I1778">
        <v>22.43</v>
      </c>
      <c r="J1778">
        <v>3492</v>
      </c>
      <c r="K1778">
        <v>1723</v>
      </c>
      <c r="L1778">
        <v>347</v>
      </c>
      <c r="M1778">
        <v>788</v>
      </c>
      <c r="N1778">
        <v>0</v>
      </c>
      <c r="O1778">
        <v>1241</v>
      </c>
      <c r="P1778">
        <v>0</v>
      </c>
      <c r="Q1778">
        <v>-161</v>
      </c>
    </row>
    <row r="1779" spans="1:17" x14ac:dyDescent="0.45">
      <c r="A1779">
        <v>101</v>
      </c>
      <c r="B1779" t="s">
        <v>1839</v>
      </c>
      <c r="C1779">
        <v>3613</v>
      </c>
      <c r="D1779">
        <v>3</v>
      </c>
      <c r="E1779">
        <v>4067.3</v>
      </c>
      <c r="F1779">
        <v>11</v>
      </c>
      <c r="G1779">
        <v>3696.4</v>
      </c>
      <c r="H1779">
        <v>2</v>
      </c>
      <c r="I1779">
        <v>24.61</v>
      </c>
      <c r="J1779">
        <v>1245</v>
      </c>
      <c r="K1779">
        <v>532</v>
      </c>
      <c r="L1779">
        <v>98</v>
      </c>
      <c r="M1779">
        <v>267</v>
      </c>
      <c r="N1779">
        <v>0</v>
      </c>
      <c r="O1779">
        <v>1529</v>
      </c>
      <c r="P1779">
        <v>0</v>
      </c>
      <c r="Q1779">
        <v>-542</v>
      </c>
    </row>
    <row r="1780" spans="1:17" x14ac:dyDescent="0.45">
      <c r="A1780">
        <v>4041</v>
      </c>
      <c r="B1780" t="s">
        <v>1840</v>
      </c>
      <c r="C1780">
        <v>2420</v>
      </c>
      <c r="D1780">
        <v>3</v>
      </c>
      <c r="E1780">
        <v>2665.8</v>
      </c>
      <c r="F1780">
        <v>110.6</v>
      </c>
      <c r="G1780">
        <v>2806.2</v>
      </c>
      <c r="H1780">
        <v>1</v>
      </c>
      <c r="I1780">
        <v>20.87</v>
      </c>
      <c r="J1780">
        <v>1022</v>
      </c>
      <c r="K1780">
        <v>447</v>
      </c>
      <c r="L1780">
        <v>65</v>
      </c>
      <c r="M1780">
        <v>210</v>
      </c>
      <c r="N1780">
        <v>0</v>
      </c>
      <c r="O1780">
        <v>1309</v>
      </c>
      <c r="P1780">
        <v>276.88</v>
      </c>
      <c r="Q1780">
        <v>-241</v>
      </c>
    </row>
    <row r="1781" spans="1:17" x14ac:dyDescent="0.45">
      <c r="A1781">
        <v>2919</v>
      </c>
      <c r="B1781" t="s">
        <v>1841</v>
      </c>
      <c r="C1781">
        <v>1467</v>
      </c>
      <c r="D1781">
        <v>3</v>
      </c>
      <c r="E1781">
        <v>1529</v>
      </c>
      <c r="F1781">
        <v>209.5</v>
      </c>
      <c r="G1781">
        <v>796.7</v>
      </c>
      <c r="H1781">
        <v>3</v>
      </c>
      <c r="I1781">
        <v>19.850000000000001</v>
      </c>
      <c r="J1781">
        <v>502</v>
      </c>
      <c r="K1781">
        <v>240</v>
      </c>
      <c r="L1781">
        <v>62</v>
      </c>
      <c r="M1781">
        <v>65</v>
      </c>
      <c r="N1781">
        <v>0</v>
      </c>
      <c r="O1781">
        <v>726</v>
      </c>
      <c r="P1781">
        <v>0</v>
      </c>
      <c r="Q1781">
        <v>-421</v>
      </c>
    </row>
    <row r="1782" spans="1:17" x14ac:dyDescent="0.45">
      <c r="A1782">
        <v>4606</v>
      </c>
      <c r="B1782" t="s">
        <v>1842</v>
      </c>
      <c r="C1782">
        <v>1237</v>
      </c>
      <c r="D1782">
        <v>3</v>
      </c>
      <c r="E1782">
        <v>519.20000000000005</v>
      </c>
      <c r="F1782">
        <v>1084.9000000000001</v>
      </c>
      <c r="G1782">
        <v>2522.8000000000002</v>
      </c>
      <c r="H1782">
        <v>3</v>
      </c>
      <c r="I1782">
        <v>26.04</v>
      </c>
      <c r="J1782">
        <v>515</v>
      </c>
      <c r="K1782">
        <v>212</v>
      </c>
      <c r="L1782">
        <v>65</v>
      </c>
      <c r="M1782">
        <v>51</v>
      </c>
      <c r="N1782">
        <v>0</v>
      </c>
      <c r="O1782">
        <v>2377</v>
      </c>
      <c r="P1782">
        <v>0</v>
      </c>
      <c r="Q1782">
        <v>-321</v>
      </c>
    </row>
    <row r="1783" spans="1:17" x14ac:dyDescent="0.45">
      <c r="A1783">
        <v>358</v>
      </c>
      <c r="B1783" t="s">
        <v>1843</v>
      </c>
      <c r="C1783">
        <v>3380</v>
      </c>
      <c r="D1783">
        <v>2</v>
      </c>
      <c r="E1783">
        <v>3430.7</v>
      </c>
      <c r="F1783">
        <v>92.4</v>
      </c>
      <c r="G1783">
        <v>2144.6</v>
      </c>
      <c r="H1783">
        <v>1</v>
      </c>
      <c r="I1783">
        <v>16.760000000000002</v>
      </c>
      <c r="J1783">
        <v>1110</v>
      </c>
      <c r="K1783">
        <v>451</v>
      </c>
      <c r="L1783">
        <v>69</v>
      </c>
      <c r="M1783">
        <v>136</v>
      </c>
      <c r="N1783">
        <v>0</v>
      </c>
      <c r="O1783">
        <v>693</v>
      </c>
      <c r="P1783">
        <v>0</v>
      </c>
      <c r="Q1783">
        <v>-181</v>
      </c>
    </row>
    <row r="1784" spans="1:17" x14ac:dyDescent="0.45">
      <c r="A1784">
        <v>770</v>
      </c>
      <c r="B1784" t="s">
        <v>1844</v>
      </c>
      <c r="C1784">
        <v>1021</v>
      </c>
      <c r="D1784">
        <v>2</v>
      </c>
      <c r="E1784">
        <v>1174.8</v>
      </c>
      <c r="F1784">
        <v>0</v>
      </c>
      <c r="G1784">
        <v>774.6</v>
      </c>
      <c r="H1784">
        <v>3</v>
      </c>
      <c r="I1784">
        <v>26.41</v>
      </c>
      <c r="J1784">
        <v>414</v>
      </c>
      <c r="K1784">
        <v>188</v>
      </c>
      <c r="L1784">
        <v>15</v>
      </c>
      <c r="M1784">
        <v>33</v>
      </c>
      <c r="N1784">
        <v>0</v>
      </c>
      <c r="O1784">
        <v>3583</v>
      </c>
      <c r="P1784">
        <v>0</v>
      </c>
      <c r="Q1784">
        <v>-1064</v>
      </c>
    </row>
    <row r="1785" spans="1:17" x14ac:dyDescent="0.45">
      <c r="A1785">
        <v>4285</v>
      </c>
      <c r="B1785" t="s">
        <v>1845</v>
      </c>
      <c r="C1785">
        <v>4948</v>
      </c>
      <c r="D1785">
        <v>3</v>
      </c>
      <c r="E1785">
        <v>3850.9</v>
      </c>
      <c r="F1785">
        <v>2130.8000000000002</v>
      </c>
      <c r="G1785">
        <v>5056.8999999999996</v>
      </c>
      <c r="H1785">
        <v>1</v>
      </c>
      <c r="I1785">
        <v>20.87</v>
      </c>
      <c r="J1785">
        <v>1836</v>
      </c>
      <c r="K1785">
        <v>773</v>
      </c>
      <c r="L1785">
        <v>89</v>
      </c>
      <c r="M1785">
        <v>232</v>
      </c>
      <c r="N1785">
        <v>0</v>
      </c>
      <c r="O1785">
        <v>853</v>
      </c>
      <c r="P1785">
        <v>0</v>
      </c>
      <c r="Q1785">
        <v>-522</v>
      </c>
    </row>
    <row r="1786" spans="1:17" x14ac:dyDescent="0.45">
      <c r="A1786">
        <v>749</v>
      </c>
      <c r="B1786" t="s">
        <v>1846</v>
      </c>
      <c r="C1786">
        <v>3463</v>
      </c>
      <c r="D1786">
        <v>2</v>
      </c>
      <c r="E1786">
        <v>3675.3</v>
      </c>
      <c r="F1786">
        <v>203.5</v>
      </c>
      <c r="G1786">
        <v>3685.3</v>
      </c>
      <c r="H1786">
        <v>1</v>
      </c>
      <c r="I1786">
        <v>16.760000000000002</v>
      </c>
      <c r="J1786">
        <v>1277</v>
      </c>
      <c r="K1786">
        <v>620</v>
      </c>
      <c r="L1786">
        <v>56</v>
      </c>
      <c r="M1786">
        <v>150</v>
      </c>
      <c r="N1786">
        <v>0</v>
      </c>
      <c r="O1786">
        <v>194</v>
      </c>
      <c r="P1786">
        <v>0</v>
      </c>
      <c r="Q1786">
        <v>-100</v>
      </c>
    </row>
    <row r="1787" spans="1:17" x14ac:dyDescent="0.45">
      <c r="A1787">
        <v>158</v>
      </c>
      <c r="B1787" t="s">
        <v>1819</v>
      </c>
      <c r="C1787">
        <v>14889</v>
      </c>
      <c r="D1787">
        <v>3</v>
      </c>
      <c r="E1787">
        <v>10247.700000000001</v>
      </c>
      <c r="F1787">
        <v>11197.6</v>
      </c>
      <c r="G1787">
        <v>7306.6</v>
      </c>
      <c r="H1787">
        <v>1</v>
      </c>
      <c r="I1787">
        <v>15.69</v>
      </c>
      <c r="J1787">
        <v>4807</v>
      </c>
      <c r="K1787">
        <v>1671</v>
      </c>
      <c r="L1787">
        <v>454</v>
      </c>
      <c r="M1787">
        <v>833</v>
      </c>
      <c r="N1787">
        <v>0</v>
      </c>
      <c r="O1787">
        <v>1051</v>
      </c>
      <c r="P1787">
        <v>646.03</v>
      </c>
      <c r="Q1787">
        <v>-281</v>
      </c>
    </row>
    <row r="1788" spans="1:17" x14ac:dyDescent="0.45">
      <c r="A1788">
        <v>2499</v>
      </c>
      <c r="B1788" t="s">
        <v>1847</v>
      </c>
      <c r="C1788">
        <v>1263</v>
      </c>
      <c r="D1788">
        <v>3</v>
      </c>
      <c r="E1788">
        <v>1486.2</v>
      </c>
      <c r="F1788">
        <v>0</v>
      </c>
      <c r="G1788">
        <v>1013.6</v>
      </c>
      <c r="H1788">
        <v>3</v>
      </c>
      <c r="I1788">
        <v>28.59</v>
      </c>
      <c r="J1788">
        <v>495</v>
      </c>
      <c r="K1788">
        <v>207</v>
      </c>
      <c r="L1788">
        <v>23</v>
      </c>
      <c r="M1788">
        <v>68</v>
      </c>
      <c r="N1788">
        <v>0</v>
      </c>
      <c r="O1788">
        <v>1637</v>
      </c>
      <c r="P1788">
        <v>0</v>
      </c>
      <c r="Q1788">
        <v>-622</v>
      </c>
    </row>
    <row r="1789" spans="1:17" x14ac:dyDescent="0.45">
      <c r="A1789">
        <v>2532</v>
      </c>
      <c r="B1789" t="s">
        <v>1848</v>
      </c>
      <c r="C1789">
        <v>3211</v>
      </c>
      <c r="D1789">
        <v>2</v>
      </c>
      <c r="E1789">
        <v>2863.9</v>
      </c>
      <c r="F1789">
        <v>1009.8</v>
      </c>
      <c r="G1789">
        <v>2862.1</v>
      </c>
      <c r="H1789">
        <v>1</v>
      </c>
      <c r="I1789">
        <v>19.07</v>
      </c>
      <c r="J1789">
        <v>1378</v>
      </c>
      <c r="K1789">
        <v>534</v>
      </c>
      <c r="L1789">
        <v>75</v>
      </c>
      <c r="M1789">
        <v>163</v>
      </c>
      <c r="N1789">
        <v>0</v>
      </c>
      <c r="O1789">
        <v>2419</v>
      </c>
      <c r="P1789">
        <v>0</v>
      </c>
      <c r="Q1789">
        <v>-381</v>
      </c>
    </row>
    <row r="1790" spans="1:17" x14ac:dyDescent="0.45">
      <c r="A1790">
        <v>5929</v>
      </c>
      <c r="B1790" t="s">
        <v>1849</v>
      </c>
      <c r="C1790">
        <v>671</v>
      </c>
      <c r="D1790">
        <v>3</v>
      </c>
      <c r="E1790">
        <v>608</v>
      </c>
      <c r="F1790">
        <v>338.5</v>
      </c>
      <c r="G1790">
        <v>923.5</v>
      </c>
      <c r="H1790">
        <v>3</v>
      </c>
      <c r="I1790">
        <v>35.86</v>
      </c>
      <c r="J1790">
        <v>247</v>
      </c>
      <c r="K1790">
        <v>86</v>
      </c>
      <c r="L1790">
        <v>20</v>
      </c>
      <c r="M1790">
        <v>55</v>
      </c>
      <c r="N1790">
        <v>0</v>
      </c>
      <c r="O1790">
        <v>1540</v>
      </c>
      <c r="P1790">
        <v>0</v>
      </c>
      <c r="Q1790">
        <v>-482</v>
      </c>
    </row>
    <row r="1791" spans="1:17" x14ac:dyDescent="0.45">
      <c r="A1791">
        <v>3695</v>
      </c>
      <c r="B1791" t="s">
        <v>1850</v>
      </c>
      <c r="C1791">
        <v>145</v>
      </c>
      <c r="D1791">
        <v>3</v>
      </c>
      <c r="E1791">
        <v>161.19999999999999</v>
      </c>
      <c r="F1791">
        <v>0</v>
      </c>
      <c r="G1791">
        <v>125.4</v>
      </c>
      <c r="H1791">
        <v>3</v>
      </c>
      <c r="I1791">
        <v>29.04</v>
      </c>
      <c r="J1791">
        <v>33</v>
      </c>
      <c r="K1791">
        <v>33</v>
      </c>
      <c r="L1791">
        <v>5</v>
      </c>
      <c r="M1791">
        <v>3</v>
      </c>
      <c r="N1791">
        <v>0</v>
      </c>
      <c r="O1791">
        <v>921</v>
      </c>
      <c r="P1791">
        <v>16.97</v>
      </c>
      <c r="Q1791">
        <v>-1726</v>
      </c>
    </row>
    <row r="1792" spans="1:17" x14ac:dyDescent="0.45">
      <c r="A1792">
        <v>4012</v>
      </c>
      <c r="B1792" t="s">
        <v>1851</v>
      </c>
      <c r="C1792">
        <v>10968</v>
      </c>
      <c r="D1792">
        <v>3</v>
      </c>
      <c r="E1792">
        <v>6007.7</v>
      </c>
      <c r="F1792">
        <v>6265.1</v>
      </c>
      <c r="G1792">
        <v>6277.2</v>
      </c>
      <c r="H1792">
        <v>1</v>
      </c>
      <c r="I1792">
        <v>20.87</v>
      </c>
      <c r="J1792">
        <v>3210</v>
      </c>
      <c r="K1792">
        <v>1452</v>
      </c>
      <c r="L1792">
        <v>161</v>
      </c>
      <c r="M1792">
        <v>464</v>
      </c>
      <c r="N1792">
        <v>0</v>
      </c>
      <c r="O1792">
        <v>1315</v>
      </c>
      <c r="P1792">
        <v>0</v>
      </c>
      <c r="Q1792">
        <v>-943</v>
      </c>
    </row>
    <row r="1793" spans="1:17" x14ac:dyDescent="0.45">
      <c r="A1793">
        <v>4506</v>
      </c>
      <c r="B1793" t="s">
        <v>1852</v>
      </c>
      <c r="C1793">
        <v>4056</v>
      </c>
      <c r="D1793">
        <v>3</v>
      </c>
      <c r="E1793">
        <v>3483.2</v>
      </c>
      <c r="F1793">
        <v>3267.3</v>
      </c>
      <c r="G1793">
        <v>9466.1</v>
      </c>
      <c r="H1793">
        <v>3</v>
      </c>
      <c r="I1793">
        <v>26.04</v>
      </c>
      <c r="J1793">
        <v>1671</v>
      </c>
      <c r="K1793">
        <v>748</v>
      </c>
      <c r="L1793">
        <v>79</v>
      </c>
      <c r="M1793">
        <v>161</v>
      </c>
      <c r="N1793">
        <v>0</v>
      </c>
      <c r="O1793">
        <v>3885</v>
      </c>
      <c r="P1793">
        <v>0</v>
      </c>
      <c r="Q1793">
        <v>-241</v>
      </c>
    </row>
    <row r="1794" spans="1:17" x14ac:dyDescent="0.45">
      <c r="A1794">
        <v>5501</v>
      </c>
      <c r="B1794" t="s">
        <v>1853</v>
      </c>
      <c r="C1794">
        <v>1168</v>
      </c>
      <c r="D1794">
        <v>3</v>
      </c>
      <c r="E1794">
        <v>585.20000000000005</v>
      </c>
      <c r="F1794">
        <v>898.9</v>
      </c>
      <c r="G1794">
        <v>901.9</v>
      </c>
      <c r="H1794">
        <v>3</v>
      </c>
      <c r="I1794">
        <v>35.86</v>
      </c>
      <c r="J1794">
        <v>494</v>
      </c>
      <c r="K1794">
        <v>128</v>
      </c>
      <c r="L1794">
        <v>60</v>
      </c>
      <c r="M1794">
        <v>85</v>
      </c>
      <c r="N1794">
        <v>0</v>
      </c>
      <c r="O1794">
        <v>350</v>
      </c>
      <c r="P1794">
        <v>55.38</v>
      </c>
      <c r="Q1794">
        <v>-100</v>
      </c>
    </row>
    <row r="1795" spans="1:17" x14ac:dyDescent="0.45">
      <c r="A1795">
        <v>957</v>
      </c>
      <c r="B1795" t="s">
        <v>1854</v>
      </c>
      <c r="C1795">
        <v>5038</v>
      </c>
      <c r="D1795">
        <v>2</v>
      </c>
      <c r="E1795">
        <v>3114.1</v>
      </c>
      <c r="F1795">
        <v>4.9000000000000004</v>
      </c>
      <c r="G1795">
        <v>7466.7</v>
      </c>
      <c r="H1795">
        <v>3</v>
      </c>
      <c r="I1795">
        <v>26.41</v>
      </c>
      <c r="J1795">
        <v>2017</v>
      </c>
      <c r="K1795">
        <v>809</v>
      </c>
      <c r="L1795">
        <v>97</v>
      </c>
      <c r="M1795">
        <v>174</v>
      </c>
      <c r="N1795">
        <v>0</v>
      </c>
      <c r="O1795">
        <v>17122</v>
      </c>
      <c r="P1795">
        <v>0</v>
      </c>
      <c r="Q1795">
        <v>-5178</v>
      </c>
    </row>
    <row r="1796" spans="1:17" x14ac:dyDescent="0.45">
      <c r="A1796">
        <v>3985</v>
      </c>
      <c r="B1796" t="s">
        <v>1855</v>
      </c>
      <c r="C1796">
        <v>1082</v>
      </c>
      <c r="D1796">
        <v>3</v>
      </c>
      <c r="E1796">
        <v>1496.5</v>
      </c>
      <c r="F1796">
        <v>0</v>
      </c>
      <c r="G1796">
        <v>1647.3</v>
      </c>
      <c r="H1796">
        <v>3</v>
      </c>
      <c r="I1796">
        <v>29.04</v>
      </c>
      <c r="J1796">
        <v>369</v>
      </c>
      <c r="K1796">
        <v>273</v>
      </c>
      <c r="L1796">
        <v>13</v>
      </c>
      <c r="M1796">
        <v>42</v>
      </c>
      <c r="N1796">
        <v>0</v>
      </c>
      <c r="O1796">
        <v>3803</v>
      </c>
      <c r="P1796">
        <v>0</v>
      </c>
      <c r="Q1796">
        <v>-5620</v>
      </c>
    </row>
    <row r="1797" spans="1:17" x14ac:dyDescent="0.45">
      <c r="A1797">
        <v>2044</v>
      </c>
      <c r="B1797" t="s">
        <v>1856</v>
      </c>
      <c r="C1797">
        <v>1208</v>
      </c>
      <c r="D1797">
        <v>3</v>
      </c>
      <c r="E1797">
        <v>1073.4000000000001</v>
      </c>
      <c r="F1797">
        <v>323.2</v>
      </c>
      <c r="G1797">
        <v>1672.6</v>
      </c>
      <c r="H1797">
        <v>3</v>
      </c>
      <c r="I1797">
        <v>36.93</v>
      </c>
      <c r="J1797">
        <v>571</v>
      </c>
      <c r="K1797">
        <v>184</v>
      </c>
      <c r="L1797">
        <v>28</v>
      </c>
      <c r="M1797">
        <v>52</v>
      </c>
      <c r="N1797">
        <v>0</v>
      </c>
      <c r="O1797">
        <v>4983</v>
      </c>
      <c r="P1797">
        <v>0</v>
      </c>
      <c r="Q1797">
        <v>-923</v>
      </c>
    </row>
    <row r="1798" spans="1:17" x14ac:dyDescent="0.45">
      <c r="A1798">
        <v>1103</v>
      </c>
      <c r="B1798" t="s">
        <v>1857</v>
      </c>
      <c r="C1798">
        <v>10519</v>
      </c>
      <c r="D1798">
        <v>1</v>
      </c>
      <c r="E1798">
        <v>10145.9</v>
      </c>
      <c r="F1798">
        <v>166</v>
      </c>
      <c r="G1798">
        <v>12672.5</v>
      </c>
      <c r="H1798">
        <v>1</v>
      </c>
      <c r="I1798">
        <v>19.39</v>
      </c>
      <c r="J1798">
        <v>4376</v>
      </c>
      <c r="K1798">
        <v>1915</v>
      </c>
      <c r="L1798">
        <v>400</v>
      </c>
      <c r="M1798">
        <v>738</v>
      </c>
      <c r="N1798">
        <v>0</v>
      </c>
      <c r="O1798">
        <v>477</v>
      </c>
      <c r="P1798">
        <v>0</v>
      </c>
      <c r="Q1798">
        <v>-261</v>
      </c>
    </row>
    <row r="1799" spans="1:17" x14ac:dyDescent="0.45">
      <c r="A1799">
        <v>3543</v>
      </c>
      <c r="B1799" t="s">
        <v>1858</v>
      </c>
      <c r="C1799">
        <v>2377</v>
      </c>
      <c r="D1799">
        <v>3</v>
      </c>
      <c r="E1799">
        <v>7759.2</v>
      </c>
      <c r="F1799">
        <v>0</v>
      </c>
      <c r="G1799">
        <v>2286.6</v>
      </c>
      <c r="H1799">
        <v>3</v>
      </c>
      <c r="I1799">
        <v>29.04</v>
      </c>
      <c r="J1799">
        <v>800</v>
      </c>
      <c r="K1799">
        <v>566</v>
      </c>
      <c r="L1799">
        <v>57</v>
      </c>
      <c r="M1799">
        <v>119</v>
      </c>
      <c r="N1799">
        <v>0</v>
      </c>
      <c r="O1799">
        <v>8429</v>
      </c>
      <c r="P1799">
        <v>665.96</v>
      </c>
      <c r="Q1799">
        <v>-11219</v>
      </c>
    </row>
    <row r="1800" spans="1:17" x14ac:dyDescent="0.45">
      <c r="A1800">
        <v>5930</v>
      </c>
      <c r="B1800" t="s">
        <v>1859</v>
      </c>
      <c r="C1800">
        <v>219</v>
      </c>
      <c r="D1800">
        <v>3</v>
      </c>
      <c r="E1800">
        <v>313.7</v>
      </c>
      <c r="F1800">
        <v>14.1</v>
      </c>
      <c r="G1800">
        <v>143.6</v>
      </c>
      <c r="H1800">
        <v>3</v>
      </c>
      <c r="I1800">
        <v>35.86</v>
      </c>
      <c r="J1800">
        <v>74</v>
      </c>
      <c r="K1800">
        <v>21</v>
      </c>
      <c r="L1800">
        <v>7</v>
      </c>
      <c r="M1800">
        <v>11</v>
      </c>
      <c r="N1800">
        <v>0</v>
      </c>
      <c r="O1800">
        <v>1025</v>
      </c>
      <c r="P1800">
        <v>0</v>
      </c>
      <c r="Q1800">
        <v>-80</v>
      </c>
    </row>
    <row r="1801" spans="1:17" x14ac:dyDescent="0.45">
      <c r="A1801">
        <v>750</v>
      </c>
      <c r="B1801" t="s">
        <v>1860</v>
      </c>
      <c r="C1801">
        <v>1420</v>
      </c>
      <c r="D1801">
        <v>3</v>
      </c>
      <c r="E1801">
        <v>1522.6</v>
      </c>
      <c r="F1801">
        <v>6</v>
      </c>
      <c r="G1801">
        <v>1410.8</v>
      </c>
      <c r="H1801">
        <v>2</v>
      </c>
      <c r="I1801">
        <v>24.84</v>
      </c>
      <c r="J1801">
        <v>476</v>
      </c>
      <c r="K1801">
        <v>191</v>
      </c>
      <c r="L1801">
        <v>29</v>
      </c>
      <c r="M1801">
        <v>80</v>
      </c>
      <c r="N1801">
        <v>0</v>
      </c>
      <c r="O1801">
        <v>549</v>
      </c>
      <c r="P1801">
        <v>0</v>
      </c>
      <c r="Q1801">
        <v>-241</v>
      </c>
    </row>
    <row r="1802" spans="1:17" x14ac:dyDescent="0.45">
      <c r="A1802">
        <v>5688</v>
      </c>
      <c r="B1802" t="s">
        <v>1861</v>
      </c>
      <c r="C1802">
        <v>163</v>
      </c>
      <c r="D1802">
        <v>3</v>
      </c>
      <c r="E1802">
        <v>222.8</v>
      </c>
      <c r="F1802">
        <v>132.69999999999999</v>
      </c>
      <c r="G1802">
        <v>1967.3</v>
      </c>
      <c r="H1802">
        <v>3</v>
      </c>
      <c r="I1802">
        <v>35.86</v>
      </c>
      <c r="J1802">
        <v>46</v>
      </c>
      <c r="K1802">
        <v>27</v>
      </c>
      <c r="L1802">
        <v>5</v>
      </c>
      <c r="M1802">
        <v>11</v>
      </c>
      <c r="N1802">
        <v>0</v>
      </c>
      <c r="O1802">
        <v>245</v>
      </c>
      <c r="P1802">
        <v>0</v>
      </c>
      <c r="Q1802">
        <v>-181</v>
      </c>
    </row>
    <row r="1803" spans="1:17" x14ac:dyDescent="0.45">
      <c r="A1803">
        <v>2152</v>
      </c>
      <c r="B1803" t="s">
        <v>1678</v>
      </c>
      <c r="C1803">
        <v>1448</v>
      </c>
      <c r="D1803">
        <v>3</v>
      </c>
      <c r="E1803">
        <v>1819.1</v>
      </c>
      <c r="F1803">
        <v>164.4</v>
      </c>
      <c r="G1803">
        <v>4058.5</v>
      </c>
      <c r="H1803">
        <v>3</v>
      </c>
      <c r="I1803">
        <v>36.93</v>
      </c>
      <c r="J1803">
        <v>607</v>
      </c>
      <c r="K1803">
        <v>217</v>
      </c>
      <c r="L1803">
        <v>31</v>
      </c>
      <c r="M1803">
        <v>110</v>
      </c>
      <c r="N1803">
        <v>0</v>
      </c>
      <c r="O1803">
        <v>17682</v>
      </c>
      <c r="P1803">
        <v>0</v>
      </c>
      <c r="Q1803">
        <v>-743</v>
      </c>
    </row>
    <row r="1804" spans="1:17" x14ac:dyDescent="0.45">
      <c r="A1804">
        <v>2043</v>
      </c>
      <c r="B1804" t="s">
        <v>1774</v>
      </c>
      <c r="C1804">
        <v>319</v>
      </c>
      <c r="D1804">
        <v>2</v>
      </c>
      <c r="E1804">
        <v>126.3</v>
      </c>
      <c r="F1804">
        <v>70.599999999999994</v>
      </c>
      <c r="G1804">
        <v>3714.9</v>
      </c>
      <c r="H1804">
        <v>3</v>
      </c>
      <c r="I1804">
        <v>36.93</v>
      </c>
      <c r="J1804">
        <v>160</v>
      </c>
      <c r="K1804">
        <v>57</v>
      </c>
      <c r="L1804">
        <v>11</v>
      </c>
      <c r="M1804">
        <v>30</v>
      </c>
      <c r="N1804">
        <v>0</v>
      </c>
      <c r="O1804">
        <v>207</v>
      </c>
      <c r="P1804">
        <v>0</v>
      </c>
      <c r="Q1804">
        <v>-20</v>
      </c>
    </row>
    <row r="1805" spans="1:17" x14ac:dyDescent="0.45">
      <c r="A1805">
        <v>2306</v>
      </c>
      <c r="B1805" t="s">
        <v>1862</v>
      </c>
      <c r="C1805">
        <v>7805</v>
      </c>
      <c r="D1805">
        <v>3</v>
      </c>
      <c r="E1805">
        <v>4814.8999999999996</v>
      </c>
      <c r="F1805">
        <v>410</v>
      </c>
      <c r="G1805">
        <v>10957.8</v>
      </c>
      <c r="H1805">
        <v>3</v>
      </c>
      <c r="I1805">
        <v>36.93</v>
      </c>
      <c r="J1805">
        <v>3043</v>
      </c>
      <c r="K1805">
        <v>979</v>
      </c>
      <c r="L1805">
        <v>149</v>
      </c>
      <c r="M1805">
        <v>362</v>
      </c>
      <c r="N1805">
        <v>0</v>
      </c>
      <c r="O1805">
        <v>19495</v>
      </c>
      <c r="P1805">
        <v>0</v>
      </c>
      <c r="Q1805">
        <v>-1445</v>
      </c>
    </row>
    <row r="1806" spans="1:17" x14ac:dyDescent="0.45">
      <c r="A1806">
        <v>3733</v>
      </c>
      <c r="B1806" t="s">
        <v>1865</v>
      </c>
      <c r="C1806">
        <v>1205</v>
      </c>
      <c r="D1806">
        <v>3</v>
      </c>
      <c r="E1806">
        <v>1710.3</v>
      </c>
      <c r="F1806">
        <v>5.6</v>
      </c>
      <c r="G1806">
        <v>1210.5999999999999</v>
      </c>
      <c r="H1806">
        <v>3</v>
      </c>
      <c r="I1806">
        <v>29.04</v>
      </c>
      <c r="J1806">
        <v>392</v>
      </c>
      <c r="K1806">
        <v>238</v>
      </c>
      <c r="L1806">
        <v>29</v>
      </c>
      <c r="M1806">
        <v>50</v>
      </c>
      <c r="N1806">
        <v>0</v>
      </c>
      <c r="O1806">
        <v>1354</v>
      </c>
      <c r="P1806">
        <v>0</v>
      </c>
      <c r="Q1806">
        <v>-3974</v>
      </c>
    </row>
    <row r="1807" spans="1:17" x14ac:dyDescent="0.45">
      <c r="A1807">
        <v>5729</v>
      </c>
      <c r="B1807" t="s">
        <v>1866</v>
      </c>
      <c r="C1807">
        <v>1721</v>
      </c>
      <c r="D1807">
        <v>3</v>
      </c>
      <c r="E1807">
        <v>1474.1</v>
      </c>
      <c r="F1807">
        <v>69.400000000000006</v>
      </c>
      <c r="G1807">
        <v>1387.7</v>
      </c>
      <c r="H1807">
        <v>1</v>
      </c>
      <c r="I1807">
        <v>19.809999999999999</v>
      </c>
      <c r="J1807">
        <v>630</v>
      </c>
      <c r="K1807">
        <v>180</v>
      </c>
      <c r="L1807">
        <v>63</v>
      </c>
      <c r="M1807">
        <v>160</v>
      </c>
      <c r="N1807">
        <v>0</v>
      </c>
      <c r="O1807">
        <v>525</v>
      </c>
      <c r="P1807">
        <v>0</v>
      </c>
      <c r="Q1807">
        <v>-60</v>
      </c>
    </row>
    <row r="1808" spans="1:17" x14ac:dyDescent="0.45">
      <c r="A1808">
        <v>5862</v>
      </c>
      <c r="B1808" t="s">
        <v>1867</v>
      </c>
      <c r="C1808">
        <v>249</v>
      </c>
      <c r="D1808">
        <v>3</v>
      </c>
      <c r="E1808">
        <v>154</v>
      </c>
      <c r="F1808">
        <v>327.8</v>
      </c>
      <c r="G1808">
        <v>483.5</v>
      </c>
      <c r="H1808">
        <v>2</v>
      </c>
      <c r="I1808">
        <v>26.72</v>
      </c>
      <c r="J1808">
        <v>96</v>
      </c>
      <c r="K1808">
        <v>26</v>
      </c>
      <c r="L1808">
        <v>4</v>
      </c>
      <c r="M1808">
        <v>25</v>
      </c>
      <c r="N1808">
        <v>0</v>
      </c>
      <c r="O1808">
        <v>154</v>
      </c>
      <c r="P1808">
        <v>0</v>
      </c>
      <c r="Q1808">
        <v>-80</v>
      </c>
    </row>
    <row r="1809" spans="1:17" x14ac:dyDescent="0.45">
      <c r="A1809">
        <v>713</v>
      </c>
      <c r="B1809" t="s">
        <v>1870</v>
      </c>
      <c r="C1809">
        <v>3430</v>
      </c>
      <c r="D1809">
        <v>1</v>
      </c>
      <c r="E1809">
        <v>6510.1</v>
      </c>
      <c r="F1809">
        <v>3.5</v>
      </c>
      <c r="G1809">
        <v>2933.6</v>
      </c>
      <c r="H1809">
        <v>3</v>
      </c>
      <c r="I1809">
        <v>26.41</v>
      </c>
      <c r="J1809">
        <v>1332</v>
      </c>
      <c r="K1809">
        <v>471</v>
      </c>
      <c r="L1809">
        <v>40</v>
      </c>
      <c r="M1809">
        <v>168</v>
      </c>
      <c r="N1809">
        <v>0</v>
      </c>
      <c r="O1809">
        <v>3623</v>
      </c>
      <c r="P1809">
        <v>0</v>
      </c>
      <c r="Q1809">
        <v>-1124</v>
      </c>
    </row>
    <row r="1810" spans="1:17" x14ac:dyDescent="0.45">
      <c r="A1810">
        <v>2862</v>
      </c>
      <c r="B1810" t="s">
        <v>1871</v>
      </c>
      <c r="C1810">
        <v>818</v>
      </c>
      <c r="D1810">
        <v>1</v>
      </c>
      <c r="E1810">
        <v>1095.3</v>
      </c>
      <c r="F1810">
        <v>0</v>
      </c>
      <c r="G1810">
        <v>513.29999999999995</v>
      </c>
      <c r="H1810">
        <v>3</v>
      </c>
      <c r="I1810">
        <v>22.09</v>
      </c>
      <c r="J1810">
        <v>241</v>
      </c>
      <c r="K1810">
        <v>114</v>
      </c>
      <c r="L1810">
        <v>30</v>
      </c>
      <c r="M1810">
        <v>32</v>
      </c>
      <c r="N1810">
        <v>0</v>
      </c>
      <c r="O1810">
        <v>296</v>
      </c>
      <c r="P1810">
        <v>0</v>
      </c>
      <c r="Q1810">
        <v>-281</v>
      </c>
    </row>
    <row r="1811" spans="1:17" x14ac:dyDescent="0.45">
      <c r="A1811">
        <v>4320</v>
      </c>
      <c r="B1811" t="s">
        <v>1872</v>
      </c>
      <c r="C1811">
        <v>1282</v>
      </c>
      <c r="D1811">
        <v>3</v>
      </c>
      <c r="E1811">
        <v>1391.4</v>
      </c>
      <c r="F1811">
        <v>16</v>
      </c>
      <c r="G1811">
        <v>1185.4000000000001</v>
      </c>
      <c r="H1811">
        <v>3</v>
      </c>
      <c r="I1811">
        <v>23.9</v>
      </c>
      <c r="J1811">
        <v>562</v>
      </c>
      <c r="K1811">
        <v>226</v>
      </c>
      <c r="L1811">
        <v>47</v>
      </c>
      <c r="M1811">
        <v>60</v>
      </c>
      <c r="N1811">
        <v>0</v>
      </c>
      <c r="O1811">
        <v>2867</v>
      </c>
      <c r="P1811">
        <v>0</v>
      </c>
      <c r="Q1811">
        <v>-562</v>
      </c>
    </row>
    <row r="1812" spans="1:17" x14ac:dyDescent="0.45">
      <c r="A1812">
        <v>5131</v>
      </c>
      <c r="B1812" t="s">
        <v>1873</v>
      </c>
      <c r="C1812">
        <v>3244</v>
      </c>
      <c r="D1812">
        <v>3</v>
      </c>
      <c r="E1812">
        <v>2594.3000000000002</v>
      </c>
      <c r="F1812">
        <v>40.200000000000003</v>
      </c>
      <c r="G1812">
        <v>4411.6000000000004</v>
      </c>
      <c r="H1812">
        <v>1</v>
      </c>
      <c r="I1812">
        <v>18.600000000000001</v>
      </c>
      <c r="J1812">
        <v>1202</v>
      </c>
      <c r="K1812">
        <v>388</v>
      </c>
      <c r="L1812">
        <v>61</v>
      </c>
      <c r="M1812">
        <v>193</v>
      </c>
      <c r="N1812">
        <v>0</v>
      </c>
      <c r="O1812">
        <v>62</v>
      </c>
      <c r="P1812">
        <v>0</v>
      </c>
      <c r="Q1812">
        <v>-341</v>
      </c>
    </row>
    <row r="1813" spans="1:17" x14ac:dyDescent="0.45">
      <c r="A1813">
        <v>2863</v>
      </c>
      <c r="B1813" t="s">
        <v>1874</v>
      </c>
      <c r="C1813">
        <v>907</v>
      </c>
      <c r="D1813">
        <v>1</v>
      </c>
      <c r="E1813">
        <v>806</v>
      </c>
      <c r="F1813">
        <v>10.6</v>
      </c>
      <c r="G1813">
        <v>1652.6</v>
      </c>
      <c r="H1813">
        <v>3</v>
      </c>
      <c r="I1813">
        <v>22.09</v>
      </c>
      <c r="J1813">
        <v>378</v>
      </c>
      <c r="K1813">
        <v>149</v>
      </c>
      <c r="L1813">
        <v>19</v>
      </c>
      <c r="M1813">
        <v>51</v>
      </c>
      <c r="N1813">
        <v>0</v>
      </c>
      <c r="O1813">
        <v>431</v>
      </c>
      <c r="P1813">
        <v>0</v>
      </c>
      <c r="Q1813">
        <v>-381</v>
      </c>
    </row>
    <row r="1814" spans="1:17" x14ac:dyDescent="0.45">
      <c r="A1814">
        <v>2307</v>
      </c>
      <c r="B1814" t="s">
        <v>1875</v>
      </c>
      <c r="C1814">
        <v>1336</v>
      </c>
      <c r="D1814">
        <v>3</v>
      </c>
      <c r="E1814">
        <v>1052.2</v>
      </c>
      <c r="F1814">
        <v>0</v>
      </c>
      <c r="G1814">
        <v>1227.5999999999999</v>
      </c>
      <c r="H1814">
        <v>2</v>
      </c>
      <c r="I1814">
        <v>28.63</v>
      </c>
      <c r="J1814">
        <v>655</v>
      </c>
      <c r="K1814">
        <v>168</v>
      </c>
      <c r="L1814">
        <v>37</v>
      </c>
      <c r="M1814">
        <v>73</v>
      </c>
      <c r="N1814">
        <v>0</v>
      </c>
      <c r="O1814">
        <v>1016</v>
      </c>
      <c r="P1814">
        <v>0</v>
      </c>
      <c r="Q1814">
        <v>-120</v>
      </c>
    </row>
    <row r="1815" spans="1:17" x14ac:dyDescent="0.45">
      <c r="A1815">
        <v>6010</v>
      </c>
      <c r="B1815" t="s">
        <v>1876</v>
      </c>
      <c r="C1815">
        <v>1152</v>
      </c>
      <c r="D1815">
        <v>3</v>
      </c>
      <c r="E1815">
        <v>1526.4</v>
      </c>
      <c r="F1815">
        <v>36</v>
      </c>
      <c r="G1815">
        <v>2157.9</v>
      </c>
      <c r="H1815">
        <v>2</v>
      </c>
      <c r="I1815">
        <v>30.34</v>
      </c>
      <c r="J1815">
        <v>308</v>
      </c>
      <c r="K1815">
        <v>204</v>
      </c>
      <c r="L1815">
        <v>39</v>
      </c>
      <c r="M1815">
        <v>37</v>
      </c>
      <c r="N1815">
        <v>0</v>
      </c>
      <c r="O1815">
        <v>414</v>
      </c>
      <c r="P1815">
        <v>0</v>
      </c>
      <c r="Q1815">
        <v>-1104</v>
      </c>
    </row>
    <row r="1816" spans="1:17" x14ac:dyDescent="0.45">
      <c r="A1816">
        <v>5396</v>
      </c>
      <c r="B1816" t="s">
        <v>1877</v>
      </c>
      <c r="C1816">
        <v>2694</v>
      </c>
      <c r="D1816">
        <v>3</v>
      </c>
      <c r="E1816">
        <v>2169.6</v>
      </c>
      <c r="F1816">
        <v>81.3</v>
      </c>
      <c r="G1816">
        <v>2708.8</v>
      </c>
      <c r="H1816">
        <v>2</v>
      </c>
      <c r="I1816">
        <v>22.12</v>
      </c>
      <c r="J1816">
        <v>1029</v>
      </c>
      <c r="K1816">
        <v>326</v>
      </c>
      <c r="L1816">
        <v>93</v>
      </c>
      <c r="M1816">
        <v>187</v>
      </c>
      <c r="N1816">
        <v>0</v>
      </c>
      <c r="O1816">
        <v>177</v>
      </c>
      <c r="P1816">
        <v>0</v>
      </c>
      <c r="Q1816">
        <v>-1626</v>
      </c>
    </row>
    <row r="1817" spans="1:17" x14ac:dyDescent="0.45">
      <c r="A1817">
        <v>3024</v>
      </c>
      <c r="B1817" t="s">
        <v>1878</v>
      </c>
      <c r="C1817">
        <v>6438</v>
      </c>
      <c r="D1817">
        <v>3</v>
      </c>
      <c r="E1817">
        <v>9605.1</v>
      </c>
      <c r="F1817">
        <v>87.7</v>
      </c>
      <c r="G1817">
        <v>6151.9</v>
      </c>
      <c r="H1817">
        <v>2</v>
      </c>
      <c r="I1817">
        <v>17.79</v>
      </c>
      <c r="J1817">
        <v>2354</v>
      </c>
      <c r="K1817">
        <v>966</v>
      </c>
      <c r="L1817">
        <v>195</v>
      </c>
      <c r="M1817">
        <v>356</v>
      </c>
      <c r="N1817">
        <v>0</v>
      </c>
      <c r="O1817">
        <v>5463</v>
      </c>
      <c r="P1817">
        <v>299.02999999999997</v>
      </c>
      <c r="Q1817">
        <v>-843</v>
      </c>
    </row>
    <row r="1818" spans="1:17" x14ac:dyDescent="0.45">
      <c r="A1818">
        <v>4145</v>
      </c>
      <c r="B1818" t="s">
        <v>1879</v>
      </c>
      <c r="C1818">
        <v>1738</v>
      </c>
      <c r="D1818">
        <v>3</v>
      </c>
      <c r="E1818">
        <v>1794.8</v>
      </c>
      <c r="F1818">
        <v>214.5</v>
      </c>
      <c r="G1818">
        <v>834.6</v>
      </c>
      <c r="H1818">
        <v>3</v>
      </c>
      <c r="I1818">
        <v>23.9</v>
      </c>
      <c r="J1818">
        <v>711</v>
      </c>
      <c r="K1818">
        <v>322</v>
      </c>
      <c r="L1818">
        <v>15</v>
      </c>
      <c r="M1818">
        <v>86</v>
      </c>
      <c r="N1818">
        <v>0</v>
      </c>
      <c r="O1818">
        <v>1872</v>
      </c>
      <c r="P1818">
        <v>0</v>
      </c>
      <c r="Q1818">
        <v>-301</v>
      </c>
    </row>
    <row r="1819" spans="1:17" x14ac:dyDescent="0.45">
      <c r="A1819">
        <v>940</v>
      </c>
      <c r="B1819" t="s">
        <v>1880</v>
      </c>
      <c r="C1819">
        <v>158</v>
      </c>
      <c r="D1819">
        <v>3</v>
      </c>
      <c r="E1819">
        <v>120.2</v>
      </c>
      <c r="F1819">
        <v>0</v>
      </c>
      <c r="G1819">
        <v>234.3</v>
      </c>
      <c r="H1819">
        <v>3</v>
      </c>
      <c r="I1819">
        <v>26.41</v>
      </c>
      <c r="J1819">
        <v>94</v>
      </c>
      <c r="K1819">
        <v>58</v>
      </c>
      <c r="L1819">
        <v>1</v>
      </c>
      <c r="M1819">
        <v>5</v>
      </c>
      <c r="N1819">
        <v>0</v>
      </c>
      <c r="O1819">
        <v>1379</v>
      </c>
      <c r="P1819">
        <v>0</v>
      </c>
      <c r="Q1819">
        <v>-462</v>
      </c>
    </row>
    <row r="1820" spans="1:17" x14ac:dyDescent="0.45">
      <c r="A1820">
        <v>3237</v>
      </c>
      <c r="B1820" t="s">
        <v>1882</v>
      </c>
      <c r="C1820">
        <v>6914</v>
      </c>
      <c r="D1820">
        <v>3</v>
      </c>
      <c r="E1820">
        <v>5130.7</v>
      </c>
      <c r="F1820">
        <v>4347.8999999999996</v>
      </c>
      <c r="G1820">
        <v>15057.5</v>
      </c>
      <c r="H1820">
        <v>1</v>
      </c>
      <c r="I1820">
        <v>22.7</v>
      </c>
      <c r="J1820">
        <v>2781</v>
      </c>
      <c r="K1820">
        <v>1272</v>
      </c>
      <c r="L1820">
        <v>169</v>
      </c>
      <c r="M1820">
        <v>425</v>
      </c>
      <c r="N1820">
        <v>0</v>
      </c>
      <c r="O1820">
        <v>2226</v>
      </c>
      <c r="P1820">
        <v>8860</v>
      </c>
      <c r="Q1820">
        <v>-201</v>
      </c>
    </row>
    <row r="1821" spans="1:17" x14ac:dyDescent="0.45">
      <c r="A1821">
        <v>4117</v>
      </c>
      <c r="B1821" t="s">
        <v>1883</v>
      </c>
      <c r="C1821">
        <v>912</v>
      </c>
      <c r="D1821">
        <v>3</v>
      </c>
      <c r="E1821">
        <v>1117</v>
      </c>
      <c r="F1821">
        <v>15.9</v>
      </c>
      <c r="G1821">
        <v>829</v>
      </c>
      <c r="H1821">
        <v>3</v>
      </c>
      <c r="I1821">
        <v>23.9</v>
      </c>
      <c r="J1821">
        <v>418</v>
      </c>
      <c r="K1821">
        <v>165</v>
      </c>
      <c r="L1821">
        <v>32</v>
      </c>
      <c r="M1821">
        <v>35</v>
      </c>
      <c r="N1821">
        <v>0</v>
      </c>
      <c r="O1821">
        <v>2757</v>
      </c>
      <c r="P1821">
        <v>0</v>
      </c>
      <c r="Q1821">
        <v>-823</v>
      </c>
    </row>
    <row r="1822" spans="1:17" x14ac:dyDescent="0.45">
      <c r="A1822">
        <v>39</v>
      </c>
      <c r="B1822" t="s">
        <v>1884</v>
      </c>
      <c r="C1822">
        <v>977</v>
      </c>
      <c r="D1822">
        <v>3</v>
      </c>
      <c r="E1822">
        <v>790.3</v>
      </c>
      <c r="F1822">
        <v>0</v>
      </c>
      <c r="G1822">
        <v>707.4</v>
      </c>
      <c r="H1822">
        <v>3</v>
      </c>
      <c r="I1822">
        <v>25.15</v>
      </c>
      <c r="J1822">
        <v>364</v>
      </c>
      <c r="K1822">
        <v>173</v>
      </c>
      <c r="L1822">
        <v>40</v>
      </c>
      <c r="M1822">
        <v>62</v>
      </c>
      <c r="N1822">
        <v>0</v>
      </c>
      <c r="O1822">
        <v>1915</v>
      </c>
      <c r="P1822">
        <v>66.45</v>
      </c>
      <c r="Q1822">
        <v>-281</v>
      </c>
    </row>
    <row r="1823" spans="1:17" x14ac:dyDescent="0.45">
      <c r="A1823">
        <v>141</v>
      </c>
      <c r="B1823" t="s">
        <v>1885</v>
      </c>
      <c r="C1823">
        <v>18392</v>
      </c>
      <c r="D1823">
        <v>3</v>
      </c>
      <c r="E1823">
        <v>11223.7</v>
      </c>
      <c r="F1823">
        <v>12581.8</v>
      </c>
      <c r="G1823">
        <v>5952</v>
      </c>
      <c r="H1823">
        <v>1</v>
      </c>
      <c r="I1823">
        <v>15.69</v>
      </c>
      <c r="J1823">
        <v>4987</v>
      </c>
      <c r="K1823">
        <v>1912</v>
      </c>
      <c r="L1823">
        <v>533</v>
      </c>
      <c r="M1823">
        <v>1059</v>
      </c>
      <c r="N1823">
        <v>0</v>
      </c>
      <c r="O1823">
        <v>291</v>
      </c>
      <c r="P1823">
        <v>2215</v>
      </c>
      <c r="Q1823">
        <v>-261</v>
      </c>
    </row>
    <row r="1824" spans="1:17" x14ac:dyDescent="0.45">
      <c r="A1824">
        <v>2920</v>
      </c>
      <c r="B1824" t="s">
        <v>1886</v>
      </c>
      <c r="C1824">
        <v>5690</v>
      </c>
      <c r="D1824">
        <v>3</v>
      </c>
      <c r="E1824">
        <v>4003.6</v>
      </c>
      <c r="F1824">
        <v>2157.5</v>
      </c>
      <c r="G1824">
        <v>4145</v>
      </c>
      <c r="H1824">
        <v>2</v>
      </c>
      <c r="I1824">
        <v>20.54</v>
      </c>
      <c r="J1824">
        <v>2183</v>
      </c>
      <c r="K1824">
        <v>1119</v>
      </c>
      <c r="L1824">
        <v>102</v>
      </c>
      <c r="M1824">
        <v>259</v>
      </c>
      <c r="N1824">
        <v>0</v>
      </c>
      <c r="O1824">
        <v>10545</v>
      </c>
      <c r="P1824">
        <v>0</v>
      </c>
      <c r="Q1824">
        <v>-1004</v>
      </c>
    </row>
    <row r="1825" spans="1:17" x14ac:dyDescent="0.45">
      <c r="A1825">
        <v>2775</v>
      </c>
      <c r="B1825" t="s">
        <v>1887</v>
      </c>
      <c r="C1825">
        <v>9934</v>
      </c>
      <c r="D1825">
        <v>1</v>
      </c>
      <c r="E1825">
        <v>5859.5</v>
      </c>
      <c r="F1825">
        <v>7881.8</v>
      </c>
      <c r="G1825">
        <v>7625.1</v>
      </c>
      <c r="H1825">
        <v>1</v>
      </c>
      <c r="I1825">
        <v>14.25</v>
      </c>
      <c r="J1825">
        <v>3169</v>
      </c>
      <c r="K1825">
        <v>945</v>
      </c>
      <c r="L1825">
        <v>179</v>
      </c>
      <c r="M1825">
        <v>499</v>
      </c>
      <c r="N1825">
        <v>0</v>
      </c>
      <c r="O1825">
        <v>1219</v>
      </c>
      <c r="P1825">
        <v>1210.1400000000001</v>
      </c>
      <c r="Q1825">
        <v>-341</v>
      </c>
    </row>
    <row r="1826" spans="1:17" x14ac:dyDescent="0.45">
      <c r="A1826">
        <v>941</v>
      </c>
      <c r="B1826" t="s">
        <v>1888</v>
      </c>
      <c r="C1826">
        <v>2539</v>
      </c>
      <c r="D1826">
        <v>2</v>
      </c>
      <c r="E1826">
        <v>2276</v>
      </c>
      <c r="F1826">
        <v>0</v>
      </c>
      <c r="G1826">
        <v>1690.7</v>
      </c>
      <c r="H1826">
        <v>2</v>
      </c>
      <c r="I1826">
        <v>24.84</v>
      </c>
      <c r="J1826">
        <v>866</v>
      </c>
      <c r="K1826">
        <v>309</v>
      </c>
      <c r="L1826">
        <v>44</v>
      </c>
      <c r="M1826">
        <v>103</v>
      </c>
      <c r="N1826">
        <v>0</v>
      </c>
      <c r="O1826">
        <v>3744</v>
      </c>
      <c r="P1826">
        <v>0</v>
      </c>
      <c r="Q1826">
        <v>-241</v>
      </c>
    </row>
    <row r="1827" spans="1:17" x14ac:dyDescent="0.45">
      <c r="A1827">
        <v>942</v>
      </c>
      <c r="B1827" t="s">
        <v>1891</v>
      </c>
      <c r="C1827">
        <v>43670</v>
      </c>
      <c r="D1827">
        <v>2</v>
      </c>
      <c r="E1827">
        <v>29895.599999999999</v>
      </c>
      <c r="F1827">
        <v>30871.3</v>
      </c>
      <c r="G1827">
        <v>30231.200000000001</v>
      </c>
      <c r="H1827">
        <v>1</v>
      </c>
      <c r="I1827">
        <v>16.760000000000002</v>
      </c>
      <c r="J1827">
        <v>12874</v>
      </c>
      <c r="K1827">
        <v>5171</v>
      </c>
      <c r="L1827">
        <v>636</v>
      </c>
      <c r="M1827">
        <v>1616</v>
      </c>
      <c r="N1827">
        <v>0</v>
      </c>
      <c r="O1827">
        <v>2007</v>
      </c>
      <c r="P1827">
        <v>80848</v>
      </c>
      <c r="Q1827">
        <v>-863</v>
      </c>
    </row>
    <row r="1828" spans="1:17" x14ac:dyDescent="0.45">
      <c r="A1828">
        <v>4611</v>
      </c>
      <c r="B1828" t="s">
        <v>1892</v>
      </c>
      <c r="C1828">
        <v>1598</v>
      </c>
      <c r="D1828">
        <v>3</v>
      </c>
      <c r="E1828">
        <v>1191.8</v>
      </c>
      <c r="F1828">
        <v>18.3</v>
      </c>
      <c r="G1828">
        <v>7351</v>
      </c>
      <c r="H1828">
        <v>3</v>
      </c>
      <c r="I1828">
        <v>26.04</v>
      </c>
      <c r="J1828">
        <v>705</v>
      </c>
      <c r="K1828">
        <v>237</v>
      </c>
      <c r="L1828">
        <v>46</v>
      </c>
      <c r="M1828">
        <v>80</v>
      </c>
      <c r="N1828">
        <v>0</v>
      </c>
      <c r="O1828">
        <v>5760</v>
      </c>
      <c r="P1828">
        <v>0</v>
      </c>
      <c r="Q1828">
        <v>-1144</v>
      </c>
    </row>
    <row r="1829" spans="1:17" x14ac:dyDescent="0.45">
      <c r="A1829">
        <v>342</v>
      </c>
      <c r="B1829" t="s">
        <v>1893</v>
      </c>
      <c r="C1829">
        <v>3459</v>
      </c>
      <c r="D1829">
        <v>2</v>
      </c>
      <c r="E1829">
        <v>3185.7</v>
      </c>
      <c r="F1829">
        <v>1015.9</v>
      </c>
      <c r="G1829">
        <v>5870.2</v>
      </c>
      <c r="H1829">
        <v>3</v>
      </c>
      <c r="I1829">
        <v>26.41</v>
      </c>
      <c r="J1829">
        <v>1428</v>
      </c>
      <c r="K1829">
        <v>569</v>
      </c>
      <c r="L1829">
        <v>76</v>
      </c>
      <c r="M1829">
        <v>172</v>
      </c>
      <c r="N1829">
        <v>0</v>
      </c>
      <c r="O1829">
        <v>2951</v>
      </c>
      <c r="P1829">
        <v>0</v>
      </c>
      <c r="Q1829">
        <v>-502</v>
      </c>
    </row>
    <row r="1830" spans="1:17" x14ac:dyDescent="0.45">
      <c r="A1830">
        <v>889</v>
      </c>
      <c r="B1830" t="s">
        <v>1894</v>
      </c>
      <c r="C1830">
        <v>2013</v>
      </c>
      <c r="D1830">
        <v>2</v>
      </c>
      <c r="E1830">
        <v>1936.7</v>
      </c>
      <c r="F1830">
        <v>0</v>
      </c>
      <c r="G1830">
        <v>2301.3000000000002</v>
      </c>
      <c r="H1830">
        <v>2</v>
      </c>
      <c r="I1830">
        <v>24.84</v>
      </c>
      <c r="J1830">
        <v>727</v>
      </c>
      <c r="K1830">
        <v>293</v>
      </c>
      <c r="L1830">
        <v>32</v>
      </c>
      <c r="M1830">
        <v>60</v>
      </c>
      <c r="N1830">
        <v>0</v>
      </c>
      <c r="O1830">
        <v>3167</v>
      </c>
      <c r="P1830">
        <v>0</v>
      </c>
      <c r="Q1830">
        <v>-80</v>
      </c>
    </row>
    <row r="1831" spans="1:17" x14ac:dyDescent="0.45">
      <c r="A1831">
        <v>3668</v>
      </c>
      <c r="B1831" t="s">
        <v>1896</v>
      </c>
      <c r="C1831">
        <v>3415</v>
      </c>
      <c r="D1831">
        <v>3</v>
      </c>
      <c r="E1831">
        <v>3936.3</v>
      </c>
      <c r="F1831">
        <v>225.9</v>
      </c>
      <c r="G1831">
        <v>1073.2</v>
      </c>
      <c r="H1831">
        <v>2</v>
      </c>
      <c r="I1831">
        <v>21.73</v>
      </c>
      <c r="J1831">
        <v>1068</v>
      </c>
      <c r="K1831">
        <v>693</v>
      </c>
      <c r="L1831">
        <v>62</v>
      </c>
      <c r="M1831">
        <v>148</v>
      </c>
      <c r="N1831">
        <v>0</v>
      </c>
      <c r="O1831">
        <v>958</v>
      </c>
      <c r="P1831">
        <v>0</v>
      </c>
      <c r="Q1831">
        <v>-2067</v>
      </c>
    </row>
    <row r="1832" spans="1:17" x14ac:dyDescent="0.45">
      <c r="A1832">
        <v>6640</v>
      </c>
      <c r="B1832" t="s">
        <v>1889</v>
      </c>
      <c r="C1832">
        <v>16115</v>
      </c>
      <c r="D1832">
        <v>3</v>
      </c>
      <c r="E1832">
        <v>5763.6</v>
      </c>
      <c r="F1832">
        <v>7527.2</v>
      </c>
      <c r="G1832">
        <v>7333.7</v>
      </c>
      <c r="H1832">
        <v>1</v>
      </c>
      <c r="I1832">
        <v>10.3</v>
      </c>
      <c r="J1832">
        <v>4615</v>
      </c>
      <c r="K1832">
        <v>1216</v>
      </c>
      <c r="L1832">
        <v>175</v>
      </c>
      <c r="M1832">
        <v>844</v>
      </c>
      <c r="N1832">
        <v>0</v>
      </c>
      <c r="O1832">
        <v>9</v>
      </c>
      <c r="P1832">
        <v>1772</v>
      </c>
      <c r="Q1832">
        <v>-40</v>
      </c>
    </row>
    <row r="1833" spans="1:17" x14ac:dyDescent="0.45">
      <c r="A1833">
        <v>989</v>
      </c>
      <c r="B1833" t="s">
        <v>1890</v>
      </c>
      <c r="C1833">
        <v>1196</v>
      </c>
      <c r="D1833">
        <v>2</v>
      </c>
      <c r="E1833">
        <v>1234.3</v>
      </c>
      <c r="F1833">
        <v>299.7</v>
      </c>
      <c r="G1833">
        <v>2267.8000000000002</v>
      </c>
      <c r="H1833">
        <v>3</v>
      </c>
      <c r="I1833">
        <v>26.41</v>
      </c>
      <c r="J1833">
        <v>537</v>
      </c>
      <c r="K1833">
        <v>177</v>
      </c>
      <c r="L1833">
        <v>29</v>
      </c>
      <c r="M1833">
        <v>56</v>
      </c>
      <c r="N1833">
        <v>0</v>
      </c>
      <c r="O1833">
        <v>1699</v>
      </c>
      <c r="P1833">
        <v>0</v>
      </c>
      <c r="Q1833">
        <v>-341</v>
      </c>
    </row>
    <row r="1834" spans="1:17" x14ac:dyDescent="0.45">
      <c r="A1834">
        <v>2864</v>
      </c>
      <c r="B1834" t="s">
        <v>1895</v>
      </c>
      <c r="C1834">
        <v>1425</v>
      </c>
      <c r="D1834">
        <v>1</v>
      </c>
      <c r="E1834">
        <v>1392.7</v>
      </c>
      <c r="F1834">
        <v>0</v>
      </c>
      <c r="G1834">
        <v>1800</v>
      </c>
      <c r="H1834">
        <v>2</v>
      </c>
      <c r="I1834">
        <v>20.72</v>
      </c>
      <c r="J1834">
        <v>544</v>
      </c>
      <c r="K1834">
        <v>186</v>
      </c>
      <c r="L1834">
        <v>21</v>
      </c>
      <c r="M1834">
        <v>70</v>
      </c>
      <c r="N1834">
        <v>0</v>
      </c>
      <c r="O1834">
        <v>921</v>
      </c>
      <c r="P1834">
        <v>0</v>
      </c>
      <c r="Q1834">
        <v>-120</v>
      </c>
    </row>
    <row r="1835" spans="1:17" x14ac:dyDescent="0.45">
      <c r="A1835">
        <v>2894</v>
      </c>
      <c r="B1835" t="s">
        <v>1897</v>
      </c>
      <c r="C1835">
        <v>413</v>
      </c>
      <c r="D1835">
        <v>1</v>
      </c>
      <c r="E1835">
        <v>289.2</v>
      </c>
      <c r="F1835">
        <v>5.2</v>
      </c>
      <c r="G1835">
        <v>441.2</v>
      </c>
      <c r="H1835">
        <v>3</v>
      </c>
      <c r="I1835">
        <v>22.09</v>
      </c>
      <c r="J1835">
        <v>162</v>
      </c>
      <c r="K1835">
        <v>59</v>
      </c>
      <c r="L1835">
        <v>20</v>
      </c>
      <c r="M1835">
        <v>23</v>
      </c>
      <c r="N1835">
        <v>0</v>
      </c>
      <c r="O1835">
        <v>1149</v>
      </c>
      <c r="P1835">
        <v>22.15</v>
      </c>
      <c r="Q1835">
        <v>-261</v>
      </c>
    </row>
    <row r="1836" spans="1:17" x14ac:dyDescent="0.45">
      <c r="A1836">
        <v>4776</v>
      </c>
      <c r="B1836" t="s">
        <v>1898</v>
      </c>
      <c r="C1836">
        <v>1616</v>
      </c>
      <c r="D1836">
        <v>3</v>
      </c>
      <c r="E1836">
        <v>1481.7</v>
      </c>
      <c r="F1836">
        <v>650</v>
      </c>
      <c r="G1836">
        <v>4164.3</v>
      </c>
      <c r="H1836">
        <v>2</v>
      </c>
      <c r="I1836">
        <v>21.63</v>
      </c>
      <c r="J1836">
        <v>788</v>
      </c>
      <c r="K1836">
        <v>319</v>
      </c>
      <c r="L1836">
        <v>47</v>
      </c>
      <c r="M1836">
        <v>76</v>
      </c>
      <c r="N1836">
        <v>0</v>
      </c>
      <c r="O1836">
        <v>2594</v>
      </c>
      <c r="P1836">
        <v>0</v>
      </c>
      <c r="Q1836">
        <v>-401</v>
      </c>
    </row>
    <row r="1837" spans="1:17" x14ac:dyDescent="0.45">
      <c r="A1837">
        <v>884</v>
      </c>
      <c r="B1837" t="s">
        <v>1899</v>
      </c>
      <c r="C1837">
        <v>2611</v>
      </c>
      <c r="D1837">
        <v>2</v>
      </c>
      <c r="E1837">
        <v>2876.8</v>
      </c>
      <c r="F1837">
        <v>0</v>
      </c>
      <c r="G1837">
        <v>2761.1</v>
      </c>
      <c r="H1837">
        <v>2</v>
      </c>
      <c r="I1837">
        <v>24.84</v>
      </c>
      <c r="J1837">
        <v>954</v>
      </c>
      <c r="K1837">
        <v>340</v>
      </c>
      <c r="L1837">
        <v>48</v>
      </c>
      <c r="M1837">
        <v>170</v>
      </c>
      <c r="N1837">
        <v>0</v>
      </c>
      <c r="O1837">
        <v>1367</v>
      </c>
      <c r="P1837">
        <v>0</v>
      </c>
      <c r="Q1837">
        <v>-181</v>
      </c>
    </row>
    <row r="1838" spans="1:17" x14ac:dyDescent="0.45">
      <c r="A1838">
        <v>5649</v>
      </c>
      <c r="B1838" t="s">
        <v>1900</v>
      </c>
      <c r="C1838">
        <v>1890</v>
      </c>
      <c r="D1838">
        <v>3</v>
      </c>
      <c r="E1838">
        <v>1942.9</v>
      </c>
      <c r="F1838">
        <v>560.79999999999995</v>
      </c>
      <c r="G1838">
        <v>3105.6</v>
      </c>
      <c r="H1838">
        <v>1</v>
      </c>
      <c r="I1838">
        <v>19.809999999999999</v>
      </c>
      <c r="J1838">
        <v>696</v>
      </c>
      <c r="K1838">
        <v>265</v>
      </c>
      <c r="L1838">
        <v>61</v>
      </c>
      <c r="M1838">
        <v>169</v>
      </c>
      <c r="N1838">
        <v>0</v>
      </c>
      <c r="O1838">
        <v>27</v>
      </c>
      <c r="P1838">
        <v>0</v>
      </c>
      <c r="Q1838">
        <v>-20</v>
      </c>
    </row>
    <row r="1839" spans="1:17" x14ac:dyDescent="0.45">
      <c r="A1839">
        <v>2115</v>
      </c>
      <c r="B1839" t="s">
        <v>1902</v>
      </c>
      <c r="C1839">
        <v>1058</v>
      </c>
      <c r="D1839">
        <v>2</v>
      </c>
      <c r="E1839">
        <v>1026.5999999999999</v>
      </c>
      <c r="F1839">
        <v>280.8</v>
      </c>
      <c r="G1839">
        <v>2169</v>
      </c>
      <c r="H1839">
        <v>3</v>
      </c>
      <c r="I1839">
        <v>36.93</v>
      </c>
      <c r="J1839">
        <v>479</v>
      </c>
      <c r="K1839">
        <v>141</v>
      </c>
      <c r="L1839">
        <v>39</v>
      </c>
      <c r="M1839">
        <v>75</v>
      </c>
      <c r="N1839">
        <v>0</v>
      </c>
      <c r="O1839">
        <v>5570</v>
      </c>
      <c r="P1839">
        <v>22.15</v>
      </c>
      <c r="Q1839">
        <v>-502</v>
      </c>
    </row>
    <row r="1840" spans="1:17" x14ac:dyDescent="0.45">
      <c r="A1840">
        <v>5227</v>
      </c>
      <c r="B1840" t="s">
        <v>1903</v>
      </c>
      <c r="C1840">
        <v>3080</v>
      </c>
      <c r="D1840">
        <v>2</v>
      </c>
      <c r="E1840">
        <v>2849.9</v>
      </c>
      <c r="F1840">
        <v>600</v>
      </c>
      <c r="G1840">
        <v>4112.7</v>
      </c>
      <c r="H1840">
        <v>1</v>
      </c>
      <c r="I1840">
        <v>18.600000000000001</v>
      </c>
      <c r="J1840">
        <v>1314</v>
      </c>
      <c r="K1840">
        <v>464</v>
      </c>
      <c r="L1840">
        <v>77</v>
      </c>
      <c r="M1840">
        <v>234</v>
      </c>
      <c r="N1840">
        <v>0</v>
      </c>
      <c r="O1840">
        <v>218</v>
      </c>
      <c r="P1840">
        <v>0</v>
      </c>
      <c r="Q1840">
        <v>-702</v>
      </c>
    </row>
    <row r="1841" spans="1:17" x14ac:dyDescent="0.45">
      <c r="A1841">
        <v>958</v>
      </c>
      <c r="B1841" t="s">
        <v>1904</v>
      </c>
      <c r="C1841">
        <v>921</v>
      </c>
      <c r="D1841">
        <v>3</v>
      </c>
      <c r="E1841">
        <v>450</v>
      </c>
      <c r="F1841">
        <v>0</v>
      </c>
      <c r="G1841">
        <v>1175.2</v>
      </c>
      <c r="H1841">
        <v>3</v>
      </c>
      <c r="I1841">
        <v>26.41</v>
      </c>
      <c r="J1841">
        <v>436</v>
      </c>
      <c r="K1841">
        <v>184</v>
      </c>
      <c r="L1841">
        <v>13</v>
      </c>
      <c r="M1841">
        <v>35</v>
      </c>
      <c r="N1841">
        <v>0</v>
      </c>
      <c r="O1841">
        <v>5507</v>
      </c>
      <c r="P1841">
        <v>0</v>
      </c>
      <c r="Q1841">
        <v>-1164</v>
      </c>
    </row>
    <row r="1842" spans="1:17" x14ac:dyDescent="0.45">
      <c r="A1842">
        <v>446</v>
      </c>
      <c r="B1842" t="s">
        <v>1905</v>
      </c>
      <c r="C1842">
        <v>4587</v>
      </c>
      <c r="D1842">
        <v>1</v>
      </c>
      <c r="E1842">
        <v>8500</v>
      </c>
      <c r="F1842">
        <v>38.1</v>
      </c>
      <c r="G1842">
        <v>4195.5</v>
      </c>
      <c r="H1842">
        <v>2</v>
      </c>
      <c r="I1842">
        <v>24.84</v>
      </c>
      <c r="J1842">
        <v>1843</v>
      </c>
      <c r="K1842">
        <v>594</v>
      </c>
      <c r="L1842">
        <v>74</v>
      </c>
      <c r="M1842">
        <v>198</v>
      </c>
      <c r="N1842">
        <v>0</v>
      </c>
      <c r="O1842">
        <v>6778</v>
      </c>
      <c r="P1842">
        <v>332.25</v>
      </c>
      <c r="Q1842">
        <v>-1385</v>
      </c>
    </row>
    <row r="1843" spans="1:17" x14ac:dyDescent="0.45">
      <c r="A1843">
        <v>2973</v>
      </c>
      <c r="B1843" t="s">
        <v>1906</v>
      </c>
      <c r="C1843">
        <v>639</v>
      </c>
      <c r="D1843">
        <v>3</v>
      </c>
      <c r="E1843">
        <v>850</v>
      </c>
      <c r="F1843">
        <v>0</v>
      </c>
      <c r="G1843">
        <v>1627.2</v>
      </c>
      <c r="H1843">
        <v>2</v>
      </c>
      <c r="I1843">
        <v>20.54</v>
      </c>
      <c r="J1843">
        <v>249</v>
      </c>
      <c r="K1843">
        <v>108</v>
      </c>
      <c r="L1843">
        <v>32</v>
      </c>
      <c r="M1843">
        <v>22</v>
      </c>
      <c r="N1843">
        <v>0</v>
      </c>
      <c r="O1843">
        <v>2075</v>
      </c>
      <c r="P1843">
        <v>0</v>
      </c>
      <c r="Q1843">
        <v>-100</v>
      </c>
    </row>
    <row r="1844" spans="1:17" x14ac:dyDescent="0.45">
      <c r="A1844">
        <v>500</v>
      </c>
      <c r="B1844" t="s">
        <v>1907</v>
      </c>
      <c r="C1844">
        <v>431</v>
      </c>
      <c r="D1844">
        <v>2</v>
      </c>
      <c r="E1844">
        <v>845.3</v>
      </c>
      <c r="F1844">
        <v>0</v>
      </c>
      <c r="G1844">
        <v>548.5</v>
      </c>
      <c r="H1844">
        <v>3</v>
      </c>
      <c r="I1844">
        <v>26.41</v>
      </c>
      <c r="J1844">
        <v>217</v>
      </c>
      <c r="K1844">
        <v>93</v>
      </c>
      <c r="L1844">
        <v>6</v>
      </c>
      <c r="M1844">
        <v>13</v>
      </c>
      <c r="N1844">
        <v>0</v>
      </c>
      <c r="O1844">
        <v>917</v>
      </c>
      <c r="P1844">
        <v>0</v>
      </c>
      <c r="Q1844">
        <v>-120</v>
      </c>
    </row>
    <row r="1845" spans="1:17" x14ac:dyDescent="0.45">
      <c r="A1845">
        <v>5239</v>
      </c>
      <c r="B1845" t="s">
        <v>1909</v>
      </c>
      <c r="C1845">
        <v>3075</v>
      </c>
      <c r="D1845">
        <v>2</v>
      </c>
      <c r="E1845">
        <v>4708.8999999999996</v>
      </c>
      <c r="F1845">
        <v>125.9</v>
      </c>
      <c r="G1845">
        <v>3889.7</v>
      </c>
      <c r="H1845">
        <v>2</v>
      </c>
      <c r="I1845">
        <v>22.12</v>
      </c>
      <c r="J1845">
        <v>1426</v>
      </c>
      <c r="K1845">
        <v>387</v>
      </c>
      <c r="L1845">
        <v>44</v>
      </c>
      <c r="M1845">
        <v>202</v>
      </c>
      <c r="N1845">
        <v>0</v>
      </c>
      <c r="O1845">
        <v>458</v>
      </c>
      <c r="P1845">
        <v>1528.35</v>
      </c>
      <c r="Q1845">
        <v>-1164</v>
      </c>
    </row>
    <row r="1846" spans="1:17" x14ac:dyDescent="0.45">
      <c r="A1846">
        <v>5827</v>
      </c>
      <c r="B1846" t="s">
        <v>1910</v>
      </c>
      <c r="C1846">
        <v>300</v>
      </c>
      <c r="D1846">
        <v>3</v>
      </c>
      <c r="E1846">
        <v>642</v>
      </c>
      <c r="F1846">
        <v>125.8</v>
      </c>
      <c r="G1846">
        <v>1099.9000000000001</v>
      </c>
      <c r="H1846">
        <v>3</v>
      </c>
      <c r="I1846">
        <v>35.86</v>
      </c>
      <c r="J1846">
        <v>120</v>
      </c>
      <c r="K1846">
        <v>40</v>
      </c>
      <c r="L1846">
        <v>12</v>
      </c>
      <c r="M1846">
        <v>16</v>
      </c>
      <c r="N1846">
        <v>0</v>
      </c>
      <c r="O1846">
        <v>1946</v>
      </c>
      <c r="P1846">
        <v>41.33</v>
      </c>
      <c r="Q1846">
        <v>-120</v>
      </c>
    </row>
    <row r="1847" spans="1:17" x14ac:dyDescent="0.45">
      <c r="A1847">
        <v>5931</v>
      </c>
      <c r="B1847" t="s">
        <v>1911</v>
      </c>
      <c r="C1847">
        <v>521</v>
      </c>
      <c r="D1847">
        <v>3</v>
      </c>
      <c r="E1847">
        <v>614.29999999999995</v>
      </c>
      <c r="F1847">
        <v>99.2</v>
      </c>
      <c r="G1847">
        <v>424.4</v>
      </c>
      <c r="H1847">
        <v>2</v>
      </c>
      <c r="I1847">
        <v>26.72</v>
      </c>
      <c r="J1847">
        <v>207</v>
      </c>
      <c r="K1847">
        <v>55</v>
      </c>
      <c r="L1847">
        <v>10</v>
      </c>
      <c r="M1847">
        <v>44</v>
      </c>
      <c r="N1847">
        <v>0</v>
      </c>
      <c r="O1847">
        <v>119</v>
      </c>
      <c r="P1847">
        <v>0</v>
      </c>
      <c r="Q1847">
        <v>0</v>
      </c>
    </row>
    <row r="1848" spans="1:17" x14ac:dyDescent="0.45">
      <c r="A1848">
        <v>5828</v>
      </c>
      <c r="B1848" t="s">
        <v>1912</v>
      </c>
      <c r="C1848">
        <v>105</v>
      </c>
      <c r="D1848">
        <v>3</v>
      </c>
      <c r="E1848">
        <v>145</v>
      </c>
      <c r="F1848">
        <v>79.3</v>
      </c>
      <c r="G1848">
        <v>330.6</v>
      </c>
      <c r="H1848">
        <v>3</v>
      </c>
      <c r="I1848">
        <v>35.86</v>
      </c>
      <c r="J1848">
        <v>47</v>
      </c>
      <c r="K1848">
        <v>20</v>
      </c>
      <c r="L1848">
        <v>4</v>
      </c>
      <c r="M1848">
        <v>5</v>
      </c>
      <c r="N1848">
        <v>0</v>
      </c>
      <c r="O1848">
        <v>692</v>
      </c>
      <c r="P1848">
        <v>0</v>
      </c>
      <c r="Q1848">
        <v>-140</v>
      </c>
    </row>
    <row r="1849" spans="1:17" x14ac:dyDescent="0.45">
      <c r="A1849">
        <v>2226</v>
      </c>
      <c r="B1849" t="s">
        <v>1913</v>
      </c>
      <c r="C1849">
        <v>1531</v>
      </c>
      <c r="D1849">
        <v>3</v>
      </c>
      <c r="E1849">
        <v>1551.9</v>
      </c>
      <c r="F1849">
        <v>51.6</v>
      </c>
      <c r="G1849">
        <v>2257.5</v>
      </c>
      <c r="H1849">
        <v>2</v>
      </c>
      <c r="I1849">
        <v>28.63</v>
      </c>
      <c r="J1849">
        <v>624</v>
      </c>
      <c r="K1849">
        <v>166</v>
      </c>
      <c r="L1849">
        <v>47</v>
      </c>
      <c r="M1849">
        <v>95</v>
      </c>
      <c r="N1849">
        <v>0</v>
      </c>
      <c r="O1849">
        <v>6303</v>
      </c>
      <c r="P1849">
        <v>0</v>
      </c>
      <c r="Q1849">
        <v>-662</v>
      </c>
    </row>
    <row r="1850" spans="1:17" x14ac:dyDescent="0.45">
      <c r="A1850">
        <v>1104</v>
      </c>
      <c r="B1850" t="s">
        <v>1914</v>
      </c>
      <c r="C1850">
        <v>4748</v>
      </c>
      <c r="D1850">
        <v>2</v>
      </c>
      <c r="E1850">
        <v>3191.6</v>
      </c>
      <c r="F1850">
        <v>11.1</v>
      </c>
      <c r="G1850">
        <v>9603</v>
      </c>
      <c r="H1850">
        <v>2</v>
      </c>
      <c r="I1850">
        <v>28.41</v>
      </c>
      <c r="J1850">
        <v>1872</v>
      </c>
      <c r="K1850">
        <v>900</v>
      </c>
      <c r="L1850">
        <v>119</v>
      </c>
      <c r="M1850">
        <v>184</v>
      </c>
      <c r="N1850">
        <v>0</v>
      </c>
      <c r="O1850">
        <v>10377</v>
      </c>
      <c r="P1850">
        <v>1690.8</v>
      </c>
      <c r="Q1850">
        <v>-1044</v>
      </c>
    </row>
    <row r="1851" spans="1:17" x14ac:dyDescent="0.45">
      <c r="A1851">
        <v>6142</v>
      </c>
      <c r="B1851" t="s">
        <v>1915</v>
      </c>
      <c r="C1851">
        <v>160</v>
      </c>
      <c r="D1851">
        <v>3</v>
      </c>
      <c r="E1851">
        <v>232.9</v>
      </c>
      <c r="F1851">
        <v>10.6</v>
      </c>
      <c r="G1851">
        <v>111.7</v>
      </c>
      <c r="H1851">
        <v>3</v>
      </c>
      <c r="I1851">
        <v>30.8</v>
      </c>
      <c r="J1851">
        <v>75</v>
      </c>
      <c r="K1851">
        <v>33</v>
      </c>
      <c r="L1851">
        <v>4</v>
      </c>
      <c r="M1851">
        <v>17</v>
      </c>
      <c r="N1851">
        <v>0</v>
      </c>
      <c r="O1851">
        <v>246</v>
      </c>
      <c r="P1851">
        <v>0</v>
      </c>
      <c r="Q1851">
        <v>-2609</v>
      </c>
    </row>
    <row r="1852" spans="1:17" x14ac:dyDescent="0.45">
      <c r="A1852">
        <v>2500</v>
      </c>
      <c r="B1852" t="s">
        <v>1916</v>
      </c>
      <c r="C1852">
        <v>6644</v>
      </c>
      <c r="D1852">
        <v>2</v>
      </c>
      <c r="E1852">
        <v>3664.4</v>
      </c>
      <c r="F1852">
        <v>4924.8</v>
      </c>
      <c r="G1852">
        <v>2242.6999999999998</v>
      </c>
      <c r="H1852">
        <v>1</v>
      </c>
      <c r="I1852">
        <v>19.07</v>
      </c>
      <c r="J1852">
        <v>1761</v>
      </c>
      <c r="K1852">
        <v>909</v>
      </c>
      <c r="L1852">
        <v>73</v>
      </c>
      <c r="M1852">
        <v>253</v>
      </c>
      <c r="N1852">
        <v>0</v>
      </c>
      <c r="O1852">
        <v>1378</v>
      </c>
      <c r="P1852">
        <v>0</v>
      </c>
      <c r="Q1852">
        <v>-783</v>
      </c>
    </row>
    <row r="1853" spans="1:17" x14ac:dyDescent="0.45">
      <c r="A1853">
        <v>3945</v>
      </c>
      <c r="B1853" t="s">
        <v>1917</v>
      </c>
      <c r="C1853">
        <v>3391</v>
      </c>
      <c r="D1853">
        <v>3</v>
      </c>
      <c r="E1853">
        <v>3833</v>
      </c>
      <c r="F1853">
        <v>93.8</v>
      </c>
      <c r="G1853">
        <v>4201.3999999999996</v>
      </c>
      <c r="H1853">
        <v>2</v>
      </c>
      <c r="I1853">
        <v>21.73</v>
      </c>
      <c r="J1853">
        <v>1217</v>
      </c>
      <c r="K1853">
        <v>602</v>
      </c>
      <c r="L1853">
        <v>65</v>
      </c>
      <c r="M1853">
        <v>143</v>
      </c>
      <c r="N1853">
        <v>0</v>
      </c>
      <c r="O1853">
        <v>2949</v>
      </c>
      <c r="P1853">
        <v>58687.13</v>
      </c>
      <c r="Q1853">
        <v>-3874</v>
      </c>
    </row>
    <row r="1854" spans="1:17" x14ac:dyDescent="0.45">
      <c r="A1854">
        <v>3734</v>
      </c>
      <c r="B1854" t="s">
        <v>1918</v>
      </c>
      <c r="C1854">
        <v>1488</v>
      </c>
      <c r="D1854">
        <v>3</v>
      </c>
      <c r="E1854">
        <v>1808.9</v>
      </c>
      <c r="F1854">
        <v>2</v>
      </c>
      <c r="G1854">
        <v>1256.0999999999999</v>
      </c>
      <c r="H1854">
        <v>3</v>
      </c>
      <c r="I1854">
        <v>29.04</v>
      </c>
      <c r="J1854">
        <v>424</v>
      </c>
      <c r="K1854">
        <v>311</v>
      </c>
      <c r="L1854">
        <v>43</v>
      </c>
      <c r="M1854">
        <v>56</v>
      </c>
      <c r="N1854">
        <v>0</v>
      </c>
      <c r="O1854">
        <v>1736</v>
      </c>
      <c r="P1854">
        <v>132.9</v>
      </c>
      <c r="Q1854">
        <v>-2248</v>
      </c>
    </row>
    <row r="1855" spans="1:17" x14ac:dyDescent="0.45">
      <c r="A1855">
        <v>3025</v>
      </c>
      <c r="B1855" t="s">
        <v>1919</v>
      </c>
      <c r="C1855">
        <v>1845</v>
      </c>
      <c r="D1855">
        <v>3</v>
      </c>
      <c r="E1855">
        <v>1221.3</v>
      </c>
      <c r="F1855">
        <v>12.2</v>
      </c>
      <c r="G1855">
        <v>1955.8</v>
      </c>
      <c r="H1855">
        <v>2</v>
      </c>
      <c r="I1855">
        <v>17.79</v>
      </c>
      <c r="J1855">
        <v>561</v>
      </c>
      <c r="K1855">
        <v>278</v>
      </c>
      <c r="L1855">
        <v>40</v>
      </c>
      <c r="M1855">
        <v>63</v>
      </c>
      <c r="N1855">
        <v>0</v>
      </c>
      <c r="O1855">
        <v>2720</v>
      </c>
      <c r="P1855">
        <v>210.43</v>
      </c>
      <c r="Q1855">
        <v>-783</v>
      </c>
    </row>
    <row r="1856" spans="1:17" x14ac:dyDescent="0.45">
      <c r="A1856">
        <v>6641</v>
      </c>
      <c r="B1856" t="s">
        <v>1920</v>
      </c>
      <c r="C1856">
        <v>2600</v>
      </c>
      <c r="D1856">
        <v>3</v>
      </c>
      <c r="E1856">
        <v>812.7</v>
      </c>
      <c r="F1856">
        <v>2161.9</v>
      </c>
      <c r="G1856">
        <v>1730.4</v>
      </c>
      <c r="H1856">
        <v>1</v>
      </c>
      <c r="I1856">
        <v>10.3</v>
      </c>
      <c r="J1856">
        <v>1155</v>
      </c>
      <c r="K1856">
        <v>256</v>
      </c>
      <c r="L1856">
        <v>82</v>
      </c>
      <c r="M1856">
        <v>267</v>
      </c>
      <c r="N1856">
        <v>0</v>
      </c>
      <c r="O1856">
        <v>352</v>
      </c>
      <c r="P1856">
        <v>0</v>
      </c>
      <c r="Q1856">
        <v>-40</v>
      </c>
    </row>
    <row r="1857" spans="1:17" x14ac:dyDescent="0.45">
      <c r="A1857">
        <v>6156</v>
      </c>
      <c r="B1857" t="s">
        <v>1921</v>
      </c>
      <c r="C1857">
        <v>4838</v>
      </c>
      <c r="D1857">
        <v>3</v>
      </c>
      <c r="E1857">
        <v>8049.8</v>
      </c>
      <c r="F1857">
        <v>168.9</v>
      </c>
      <c r="G1857">
        <v>4429.8</v>
      </c>
      <c r="H1857">
        <v>1</v>
      </c>
      <c r="I1857">
        <v>24.74</v>
      </c>
      <c r="J1857">
        <v>2317</v>
      </c>
      <c r="K1857">
        <v>859</v>
      </c>
      <c r="L1857">
        <v>128</v>
      </c>
      <c r="M1857">
        <v>311</v>
      </c>
      <c r="N1857">
        <v>0</v>
      </c>
      <c r="O1857">
        <v>1137</v>
      </c>
      <c r="P1857">
        <v>151.37</v>
      </c>
      <c r="Q1857">
        <v>-3753</v>
      </c>
    </row>
    <row r="1858" spans="1:17" x14ac:dyDescent="0.45">
      <c r="A1858">
        <v>908</v>
      </c>
      <c r="B1858" t="s">
        <v>1922</v>
      </c>
      <c r="C1858">
        <v>1322</v>
      </c>
      <c r="D1858">
        <v>3</v>
      </c>
      <c r="E1858">
        <v>576.79999999999995</v>
      </c>
      <c r="F1858">
        <v>0</v>
      </c>
      <c r="G1858">
        <v>1392.9</v>
      </c>
      <c r="H1858">
        <v>3</v>
      </c>
      <c r="I1858">
        <v>26.41</v>
      </c>
      <c r="J1858">
        <v>367</v>
      </c>
      <c r="K1858">
        <v>217</v>
      </c>
      <c r="L1858">
        <v>2</v>
      </c>
      <c r="M1858">
        <v>28</v>
      </c>
      <c r="N1858">
        <v>0</v>
      </c>
      <c r="O1858">
        <v>14172</v>
      </c>
      <c r="P1858">
        <v>0</v>
      </c>
      <c r="Q1858">
        <v>-6442</v>
      </c>
    </row>
    <row r="1859" spans="1:17" x14ac:dyDescent="0.45">
      <c r="A1859">
        <v>909</v>
      </c>
      <c r="B1859" t="s">
        <v>1923</v>
      </c>
      <c r="C1859">
        <v>1497</v>
      </c>
      <c r="D1859">
        <v>2</v>
      </c>
      <c r="E1859">
        <v>1261.8</v>
      </c>
      <c r="F1859">
        <v>19.3</v>
      </c>
      <c r="G1859">
        <v>1370.7</v>
      </c>
      <c r="H1859">
        <v>3</v>
      </c>
      <c r="I1859">
        <v>26.41</v>
      </c>
      <c r="J1859">
        <v>556</v>
      </c>
      <c r="K1859">
        <v>260</v>
      </c>
      <c r="L1859">
        <v>21</v>
      </c>
      <c r="M1859">
        <v>87</v>
      </c>
      <c r="N1859">
        <v>0</v>
      </c>
      <c r="O1859">
        <v>4395</v>
      </c>
      <c r="P1859">
        <v>0</v>
      </c>
      <c r="Q1859">
        <v>-1264</v>
      </c>
    </row>
    <row r="1860" spans="1:17" x14ac:dyDescent="0.45">
      <c r="A1860">
        <v>3987</v>
      </c>
      <c r="B1860" t="s">
        <v>1925</v>
      </c>
      <c r="C1860">
        <v>1152</v>
      </c>
      <c r="D1860">
        <v>3</v>
      </c>
      <c r="E1860">
        <v>1641.3</v>
      </c>
      <c r="F1860">
        <v>0</v>
      </c>
      <c r="G1860">
        <v>1867.8</v>
      </c>
      <c r="H1860">
        <v>3</v>
      </c>
      <c r="I1860">
        <v>29.04</v>
      </c>
      <c r="J1860">
        <v>388</v>
      </c>
      <c r="K1860">
        <v>250</v>
      </c>
      <c r="L1860">
        <v>25</v>
      </c>
      <c r="M1860">
        <v>43</v>
      </c>
      <c r="N1860">
        <v>0</v>
      </c>
      <c r="O1860">
        <v>2340</v>
      </c>
      <c r="P1860">
        <v>287.95</v>
      </c>
      <c r="Q1860">
        <v>-3733</v>
      </c>
    </row>
    <row r="1861" spans="1:17" x14ac:dyDescent="0.45">
      <c r="A1861">
        <v>41</v>
      </c>
      <c r="B1861" t="s">
        <v>1926</v>
      </c>
      <c r="C1861">
        <v>465</v>
      </c>
      <c r="D1861">
        <v>3</v>
      </c>
      <c r="E1861">
        <v>470.4</v>
      </c>
      <c r="F1861">
        <v>0</v>
      </c>
      <c r="G1861">
        <v>400.1</v>
      </c>
      <c r="H1861">
        <v>3</v>
      </c>
      <c r="I1861">
        <v>25.15</v>
      </c>
      <c r="J1861">
        <v>216</v>
      </c>
      <c r="K1861">
        <v>67</v>
      </c>
      <c r="L1861">
        <v>19</v>
      </c>
      <c r="M1861">
        <v>20</v>
      </c>
      <c r="N1861">
        <v>0</v>
      </c>
      <c r="O1861">
        <v>1596</v>
      </c>
      <c r="P1861">
        <v>0</v>
      </c>
      <c r="Q1861">
        <v>-241</v>
      </c>
    </row>
    <row r="1862" spans="1:17" x14ac:dyDescent="0.45">
      <c r="A1862">
        <v>5730</v>
      </c>
      <c r="B1862" t="s">
        <v>1908</v>
      </c>
      <c r="C1862">
        <v>1430</v>
      </c>
      <c r="D1862">
        <v>3</v>
      </c>
      <c r="E1862">
        <v>1557</v>
      </c>
      <c r="F1862">
        <v>43</v>
      </c>
      <c r="G1862">
        <v>1737.1</v>
      </c>
      <c r="H1862">
        <v>2</v>
      </c>
      <c r="I1862">
        <v>26.72</v>
      </c>
      <c r="J1862">
        <v>561</v>
      </c>
      <c r="K1862">
        <v>173</v>
      </c>
      <c r="L1862">
        <v>53</v>
      </c>
      <c r="M1862">
        <v>127</v>
      </c>
      <c r="N1862">
        <v>0</v>
      </c>
      <c r="O1862">
        <v>1405</v>
      </c>
      <c r="P1862">
        <v>0</v>
      </c>
      <c r="Q1862">
        <v>-381</v>
      </c>
    </row>
    <row r="1863" spans="1:17" x14ac:dyDescent="0.45">
      <c r="A1863">
        <v>40</v>
      </c>
      <c r="B1863" t="s">
        <v>1924</v>
      </c>
      <c r="C1863">
        <v>1066</v>
      </c>
      <c r="D1863">
        <v>3</v>
      </c>
      <c r="E1863">
        <v>1604.4</v>
      </c>
      <c r="F1863">
        <v>5.5</v>
      </c>
      <c r="G1863">
        <v>1512.5</v>
      </c>
      <c r="H1863">
        <v>3</v>
      </c>
      <c r="I1863">
        <v>25.15</v>
      </c>
      <c r="J1863">
        <v>451</v>
      </c>
      <c r="K1863">
        <v>189</v>
      </c>
      <c r="L1863">
        <v>34</v>
      </c>
      <c r="M1863">
        <v>41</v>
      </c>
      <c r="N1863">
        <v>0</v>
      </c>
      <c r="O1863">
        <v>2141</v>
      </c>
      <c r="P1863">
        <v>0</v>
      </c>
      <c r="Q1863">
        <v>-542</v>
      </c>
    </row>
    <row r="1864" spans="1:17" x14ac:dyDescent="0.45">
      <c r="A1864">
        <v>3669</v>
      </c>
      <c r="B1864" t="s">
        <v>1927</v>
      </c>
      <c r="C1864">
        <v>142</v>
      </c>
      <c r="D1864">
        <v>3</v>
      </c>
      <c r="E1864">
        <v>238.5</v>
      </c>
      <c r="F1864">
        <v>0</v>
      </c>
      <c r="G1864">
        <v>549.5</v>
      </c>
      <c r="H1864">
        <v>3</v>
      </c>
      <c r="I1864">
        <v>29.04</v>
      </c>
      <c r="J1864">
        <v>36</v>
      </c>
      <c r="K1864">
        <v>35</v>
      </c>
      <c r="L1864">
        <v>5</v>
      </c>
      <c r="M1864">
        <v>6</v>
      </c>
      <c r="N1864">
        <v>0</v>
      </c>
      <c r="O1864">
        <v>1929</v>
      </c>
      <c r="P1864">
        <v>0</v>
      </c>
      <c r="Q1864">
        <v>-1345</v>
      </c>
    </row>
    <row r="1865" spans="1:17" x14ac:dyDescent="0.45">
      <c r="A1865">
        <v>3932</v>
      </c>
      <c r="B1865" t="s">
        <v>1928</v>
      </c>
      <c r="C1865">
        <v>303</v>
      </c>
      <c r="D1865">
        <v>3</v>
      </c>
      <c r="E1865">
        <v>817.2</v>
      </c>
      <c r="F1865">
        <v>16.3</v>
      </c>
      <c r="G1865">
        <v>173.1</v>
      </c>
      <c r="H1865">
        <v>3</v>
      </c>
      <c r="I1865">
        <v>29.04</v>
      </c>
      <c r="J1865">
        <v>88</v>
      </c>
      <c r="K1865">
        <v>60</v>
      </c>
      <c r="L1865">
        <v>2</v>
      </c>
      <c r="M1865">
        <v>12</v>
      </c>
      <c r="N1865">
        <v>0</v>
      </c>
      <c r="O1865">
        <v>1157</v>
      </c>
      <c r="P1865">
        <v>0</v>
      </c>
      <c r="Q1865">
        <v>-1766</v>
      </c>
    </row>
    <row r="1866" spans="1:17" x14ac:dyDescent="0.45">
      <c r="A1866">
        <v>501</v>
      </c>
      <c r="B1866" t="s">
        <v>1929</v>
      </c>
      <c r="C1866">
        <v>473</v>
      </c>
      <c r="D1866">
        <v>2</v>
      </c>
      <c r="E1866">
        <v>508.4</v>
      </c>
      <c r="F1866">
        <v>11.6</v>
      </c>
      <c r="G1866">
        <v>705.6</v>
      </c>
      <c r="H1866">
        <v>3</v>
      </c>
      <c r="I1866">
        <v>26.41</v>
      </c>
      <c r="J1866">
        <v>198</v>
      </c>
      <c r="K1866">
        <v>94</v>
      </c>
      <c r="L1866">
        <v>18</v>
      </c>
      <c r="M1866">
        <v>19</v>
      </c>
      <c r="N1866">
        <v>0</v>
      </c>
      <c r="O1866">
        <v>711</v>
      </c>
      <c r="P1866">
        <v>0</v>
      </c>
      <c r="Q1866">
        <v>-301</v>
      </c>
    </row>
    <row r="1867" spans="1:17" x14ac:dyDescent="0.45">
      <c r="A1867">
        <v>1347</v>
      </c>
      <c r="B1867" t="s">
        <v>1931</v>
      </c>
      <c r="C1867">
        <v>3358</v>
      </c>
      <c r="D1867">
        <v>3</v>
      </c>
      <c r="E1867">
        <v>2817</v>
      </c>
      <c r="F1867">
        <v>33.299999999999997</v>
      </c>
      <c r="G1867">
        <v>4922.7</v>
      </c>
      <c r="H1867">
        <v>2</v>
      </c>
      <c r="I1867">
        <v>15.72</v>
      </c>
      <c r="J1867">
        <v>1391</v>
      </c>
      <c r="K1867">
        <v>704</v>
      </c>
      <c r="L1867">
        <v>100</v>
      </c>
      <c r="M1867">
        <v>165</v>
      </c>
      <c r="N1867">
        <v>0</v>
      </c>
      <c r="O1867">
        <v>6667</v>
      </c>
      <c r="P1867">
        <v>193.46</v>
      </c>
      <c r="Q1867">
        <v>-582</v>
      </c>
    </row>
    <row r="1868" spans="1:17" x14ac:dyDescent="0.45">
      <c r="A1868">
        <v>3986</v>
      </c>
      <c r="B1868" t="s">
        <v>1932</v>
      </c>
      <c r="C1868">
        <v>1180</v>
      </c>
      <c r="D1868">
        <v>3</v>
      </c>
      <c r="E1868">
        <v>2473.6999999999998</v>
      </c>
      <c r="F1868">
        <v>2.1</v>
      </c>
      <c r="G1868">
        <v>1259</v>
      </c>
      <c r="H1868">
        <v>3</v>
      </c>
      <c r="I1868">
        <v>29.04</v>
      </c>
      <c r="J1868">
        <v>353</v>
      </c>
      <c r="K1868">
        <v>248</v>
      </c>
      <c r="L1868">
        <v>27</v>
      </c>
      <c r="M1868">
        <v>51</v>
      </c>
      <c r="N1868">
        <v>0</v>
      </c>
      <c r="O1868">
        <v>1872</v>
      </c>
      <c r="P1868">
        <v>369.91</v>
      </c>
      <c r="Q1868">
        <v>-3552</v>
      </c>
    </row>
    <row r="1869" spans="1:17" x14ac:dyDescent="0.45">
      <c r="A1869">
        <v>228</v>
      </c>
      <c r="B1869" t="s">
        <v>1933</v>
      </c>
      <c r="C1869">
        <v>5049</v>
      </c>
      <c r="D1869">
        <v>3</v>
      </c>
      <c r="E1869">
        <v>4874.5</v>
      </c>
      <c r="F1869">
        <v>7.1</v>
      </c>
      <c r="G1869">
        <v>3992.9</v>
      </c>
      <c r="H1869">
        <v>2</v>
      </c>
      <c r="I1869">
        <v>24.61</v>
      </c>
      <c r="J1869">
        <v>1791</v>
      </c>
      <c r="K1869">
        <v>707</v>
      </c>
      <c r="L1869">
        <v>127</v>
      </c>
      <c r="M1869">
        <v>210</v>
      </c>
      <c r="N1869">
        <v>0</v>
      </c>
      <c r="O1869">
        <v>5981</v>
      </c>
      <c r="P1869">
        <v>0</v>
      </c>
      <c r="Q1869">
        <v>-2790</v>
      </c>
    </row>
    <row r="1870" spans="1:17" x14ac:dyDescent="0.45">
      <c r="A1870">
        <v>6119</v>
      </c>
      <c r="B1870" t="s">
        <v>1934</v>
      </c>
      <c r="C1870">
        <v>1160</v>
      </c>
      <c r="D1870">
        <v>3</v>
      </c>
      <c r="E1870">
        <v>1605.5</v>
      </c>
      <c r="F1870">
        <v>9.8000000000000007</v>
      </c>
      <c r="G1870">
        <v>2497.1999999999998</v>
      </c>
      <c r="H1870">
        <v>3</v>
      </c>
      <c r="I1870">
        <v>30.8</v>
      </c>
      <c r="J1870">
        <v>380</v>
      </c>
      <c r="K1870">
        <v>276</v>
      </c>
      <c r="L1870">
        <v>23</v>
      </c>
      <c r="M1870">
        <v>31</v>
      </c>
      <c r="N1870">
        <v>0</v>
      </c>
      <c r="O1870">
        <v>2831</v>
      </c>
      <c r="P1870">
        <v>0</v>
      </c>
      <c r="Q1870">
        <v>-1004</v>
      </c>
    </row>
    <row r="1871" spans="1:17" x14ac:dyDescent="0.45">
      <c r="A1871">
        <v>756</v>
      </c>
      <c r="B1871" t="s">
        <v>1935</v>
      </c>
      <c r="C1871">
        <v>1193</v>
      </c>
      <c r="D1871">
        <v>2</v>
      </c>
      <c r="E1871">
        <v>1859.6</v>
      </c>
      <c r="F1871">
        <v>179</v>
      </c>
      <c r="G1871">
        <v>1191.5</v>
      </c>
      <c r="H1871">
        <v>3</v>
      </c>
      <c r="I1871">
        <v>26.41</v>
      </c>
      <c r="J1871">
        <v>415</v>
      </c>
      <c r="K1871">
        <v>175</v>
      </c>
      <c r="L1871">
        <v>17</v>
      </c>
      <c r="M1871">
        <v>49</v>
      </c>
      <c r="N1871">
        <v>0</v>
      </c>
      <c r="O1871">
        <v>1804</v>
      </c>
      <c r="P1871">
        <v>0</v>
      </c>
      <c r="Q1871">
        <v>-1626</v>
      </c>
    </row>
    <row r="1872" spans="1:17" x14ac:dyDescent="0.45">
      <c r="A1872">
        <v>4077</v>
      </c>
      <c r="B1872" t="s">
        <v>1863</v>
      </c>
      <c r="C1872">
        <v>1527</v>
      </c>
      <c r="D1872">
        <v>3</v>
      </c>
      <c r="E1872">
        <v>1661</v>
      </c>
      <c r="F1872">
        <v>0</v>
      </c>
      <c r="G1872">
        <v>2301.8000000000002</v>
      </c>
      <c r="H1872">
        <v>2</v>
      </c>
      <c r="I1872">
        <v>23.46</v>
      </c>
      <c r="J1872">
        <v>603</v>
      </c>
      <c r="K1872">
        <v>196</v>
      </c>
      <c r="L1872">
        <v>33</v>
      </c>
      <c r="M1872">
        <v>70</v>
      </c>
      <c r="N1872">
        <v>0</v>
      </c>
      <c r="O1872">
        <v>468</v>
      </c>
      <c r="P1872">
        <v>0</v>
      </c>
      <c r="Q1872">
        <v>-261</v>
      </c>
    </row>
    <row r="1873" spans="1:17" x14ac:dyDescent="0.45">
      <c r="A1873">
        <v>4696</v>
      </c>
      <c r="B1873" t="s">
        <v>1864</v>
      </c>
      <c r="C1873">
        <v>5147</v>
      </c>
      <c r="D1873">
        <v>3</v>
      </c>
      <c r="E1873">
        <v>2827</v>
      </c>
      <c r="F1873">
        <v>2373.1999999999998</v>
      </c>
      <c r="G1873">
        <v>11076.1</v>
      </c>
      <c r="H1873">
        <v>2</v>
      </c>
      <c r="I1873">
        <v>21.63</v>
      </c>
      <c r="J1873">
        <v>2067</v>
      </c>
      <c r="K1873">
        <v>867</v>
      </c>
      <c r="L1873">
        <v>150</v>
      </c>
      <c r="M1873">
        <v>273</v>
      </c>
      <c r="N1873">
        <v>0</v>
      </c>
      <c r="O1873">
        <v>2511</v>
      </c>
      <c r="P1873">
        <v>387.63</v>
      </c>
      <c r="Q1873">
        <v>-863</v>
      </c>
    </row>
    <row r="1874" spans="1:17" x14ac:dyDescent="0.45">
      <c r="A1874">
        <v>6295</v>
      </c>
      <c r="B1874" t="s">
        <v>1868</v>
      </c>
      <c r="C1874">
        <v>1333</v>
      </c>
      <c r="D1874">
        <v>3</v>
      </c>
      <c r="E1874">
        <v>2229.1999999999998</v>
      </c>
      <c r="F1874">
        <v>0.8</v>
      </c>
      <c r="G1874">
        <v>133.1</v>
      </c>
      <c r="H1874">
        <v>3</v>
      </c>
      <c r="I1874">
        <v>30.8</v>
      </c>
      <c r="J1874">
        <v>294</v>
      </c>
      <c r="K1874">
        <v>254</v>
      </c>
      <c r="L1874">
        <v>3</v>
      </c>
      <c r="M1874">
        <v>30</v>
      </c>
      <c r="N1874">
        <v>0</v>
      </c>
      <c r="O1874">
        <v>155</v>
      </c>
      <c r="P1874">
        <v>0</v>
      </c>
      <c r="Q1874">
        <v>-1084</v>
      </c>
    </row>
    <row r="1875" spans="1:17" x14ac:dyDescent="0.45">
      <c r="A1875">
        <v>751</v>
      </c>
      <c r="B1875" t="s">
        <v>1869</v>
      </c>
      <c r="C1875">
        <v>3071</v>
      </c>
      <c r="D1875">
        <v>2</v>
      </c>
      <c r="E1875">
        <v>3168.9</v>
      </c>
      <c r="F1875">
        <v>23.3</v>
      </c>
      <c r="G1875">
        <v>2959.9</v>
      </c>
      <c r="H1875">
        <v>2</v>
      </c>
      <c r="I1875">
        <v>24.84</v>
      </c>
      <c r="J1875">
        <v>1149</v>
      </c>
      <c r="K1875">
        <v>424</v>
      </c>
      <c r="L1875">
        <v>75</v>
      </c>
      <c r="M1875">
        <v>145</v>
      </c>
      <c r="N1875">
        <v>0</v>
      </c>
      <c r="O1875">
        <v>578</v>
      </c>
      <c r="P1875">
        <v>575.9</v>
      </c>
      <c r="Q1875">
        <v>-80</v>
      </c>
    </row>
    <row r="1876" spans="1:17" x14ac:dyDescent="0.45">
      <c r="A1876">
        <v>5571</v>
      </c>
      <c r="B1876" t="s">
        <v>1881</v>
      </c>
      <c r="C1876">
        <v>867</v>
      </c>
      <c r="D1876">
        <v>3</v>
      </c>
      <c r="E1876">
        <v>908.3</v>
      </c>
      <c r="F1876">
        <v>17.399999999999999</v>
      </c>
      <c r="G1876">
        <v>1153.2</v>
      </c>
      <c r="H1876">
        <v>3</v>
      </c>
      <c r="I1876">
        <v>35.86</v>
      </c>
      <c r="J1876">
        <v>339</v>
      </c>
      <c r="K1876">
        <v>126</v>
      </c>
      <c r="L1876">
        <v>27</v>
      </c>
      <c r="M1876">
        <v>67</v>
      </c>
      <c r="N1876">
        <v>0</v>
      </c>
      <c r="O1876">
        <v>1527</v>
      </c>
      <c r="P1876">
        <v>0</v>
      </c>
      <c r="Q1876">
        <v>-1425</v>
      </c>
    </row>
    <row r="1877" spans="1:17" x14ac:dyDescent="0.45">
      <c r="A1877">
        <v>6296</v>
      </c>
      <c r="B1877" t="s">
        <v>1901</v>
      </c>
      <c r="C1877">
        <v>497</v>
      </c>
      <c r="D1877">
        <v>3</v>
      </c>
      <c r="E1877">
        <v>703.2</v>
      </c>
      <c r="F1877">
        <v>16.399999999999999</v>
      </c>
      <c r="G1877">
        <v>171</v>
      </c>
      <c r="H1877">
        <v>3</v>
      </c>
      <c r="I1877">
        <v>30.8</v>
      </c>
      <c r="J1877">
        <v>177</v>
      </c>
      <c r="K1877">
        <v>93</v>
      </c>
      <c r="L1877">
        <v>3</v>
      </c>
      <c r="M1877">
        <v>8</v>
      </c>
      <c r="N1877">
        <v>0</v>
      </c>
      <c r="O1877">
        <v>868</v>
      </c>
      <c r="P1877">
        <v>0</v>
      </c>
      <c r="Q1877">
        <v>-1224</v>
      </c>
    </row>
    <row r="1878" spans="1:17" x14ac:dyDescent="0.45">
      <c r="A1878">
        <v>3218</v>
      </c>
      <c r="B1878" t="s">
        <v>1930</v>
      </c>
      <c r="C1878">
        <v>1587</v>
      </c>
      <c r="D1878">
        <v>1</v>
      </c>
      <c r="E1878">
        <v>1278.4000000000001</v>
      </c>
      <c r="F1878">
        <v>0</v>
      </c>
      <c r="G1878">
        <v>3397.7</v>
      </c>
      <c r="H1878">
        <v>1</v>
      </c>
      <c r="I1878">
        <v>22.7</v>
      </c>
      <c r="J1878">
        <v>606</v>
      </c>
      <c r="K1878">
        <v>274</v>
      </c>
      <c r="L1878">
        <v>61</v>
      </c>
      <c r="M1878">
        <v>87</v>
      </c>
      <c r="N1878">
        <v>0</v>
      </c>
      <c r="O1878">
        <v>712</v>
      </c>
      <c r="P1878">
        <v>0</v>
      </c>
      <c r="Q1878">
        <v>-20</v>
      </c>
    </row>
    <row r="1879" spans="1:17" x14ac:dyDescent="0.45">
      <c r="A1879">
        <v>1067</v>
      </c>
      <c r="B1879" t="s">
        <v>1936</v>
      </c>
      <c r="C1879">
        <v>2455</v>
      </c>
      <c r="D1879">
        <v>2</v>
      </c>
      <c r="E1879">
        <v>1677.7</v>
      </c>
      <c r="F1879">
        <v>37.4</v>
      </c>
      <c r="G1879">
        <v>2475.6</v>
      </c>
      <c r="H1879">
        <v>2</v>
      </c>
      <c r="I1879">
        <v>28.41</v>
      </c>
      <c r="J1879">
        <v>751</v>
      </c>
      <c r="K1879">
        <v>342</v>
      </c>
      <c r="L1879">
        <v>73</v>
      </c>
      <c r="M1879">
        <v>198</v>
      </c>
      <c r="N1879">
        <v>0</v>
      </c>
      <c r="O1879">
        <v>2270</v>
      </c>
      <c r="P1879">
        <v>210.43</v>
      </c>
      <c r="Q1879">
        <v>-281</v>
      </c>
    </row>
    <row r="1880" spans="1:17" x14ac:dyDescent="0.45">
      <c r="A1880">
        <v>2308</v>
      </c>
      <c r="B1880" t="s">
        <v>1937</v>
      </c>
      <c r="C1880">
        <v>2404</v>
      </c>
      <c r="D1880">
        <v>3</v>
      </c>
      <c r="E1880">
        <v>1549.9</v>
      </c>
      <c r="F1880">
        <v>0</v>
      </c>
      <c r="G1880">
        <v>2326.5</v>
      </c>
      <c r="H1880">
        <v>3</v>
      </c>
      <c r="I1880">
        <v>36.93</v>
      </c>
      <c r="J1880">
        <v>1061</v>
      </c>
      <c r="K1880">
        <v>325</v>
      </c>
      <c r="L1880">
        <v>61</v>
      </c>
      <c r="M1880">
        <v>120</v>
      </c>
      <c r="N1880">
        <v>0</v>
      </c>
      <c r="O1880">
        <v>6918</v>
      </c>
      <c r="P1880">
        <v>0</v>
      </c>
      <c r="Q1880">
        <v>-602</v>
      </c>
    </row>
    <row r="1881" spans="1:17" x14ac:dyDescent="0.45">
      <c r="A1881">
        <v>943</v>
      </c>
      <c r="B1881" t="s">
        <v>1938</v>
      </c>
      <c r="C1881">
        <v>720</v>
      </c>
      <c r="D1881">
        <v>2</v>
      </c>
      <c r="E1881">
        <v>678</v>
      </c>
      <c r="F1881">
        <v>24.4</v>
      </c>
      <c r="G1881">
        <v>755.1</v>
      </c>
      <c r="H1881">
        <v>3</v>
      </c>
      <c r="I1881">
        <v>26.41</v>
      </c>
      <c r="J1881">
        <v>279</v>
      </c>
      <c r="K1881">
        <v>116</v>
      </c>
      <c r="L1881">
        <v>18</v>
      </c>
      <c r="M1881">
        <v>26</v>
      </c>
      <c r="N1881">
        <v>0</v>
      </c>
      <c r="O1881">
        <v>3139</v>
      </c>
      <c r="P1881">
        <v>0</v>
      </c>
      <c r="Q1881">
        <v>-20</v>
      </c>
    </row>
    <row r="1882" spans="1:17" x14ac:dyDescent="0.45">
      <c r="A1882">
        <v>4286</v>
      </c>
      <c r="B1882" t="s">
        <v>1939</v>
      </c>
      <c r="C1882">
        <v>1391</v>
      </c>
      <c r="D1882">
        <v>3</v>
      </c>
      <c r="E1882">
        <v>1830.2</v>
      </c>
      <c r="F1882">
        <v>23.2</v>
      </c>
      <c r="G1882">
        <v>892</v>
      </c>
      <c r="H1882">
        <v>3</v>
      </c>
      <c r="I1882">
        <v>23.9</v>
      </c>
      <c r="J1882">
        <v>629</v>
      </c>
      <c r="K1882">
        <v>243</v>
      </c>
      <c r="L1882">
        <v>35</v>
      </c>
      <c r="M1882">
        <v>93</v>
      </c>
      <c r="N1882">
        <v>0</v>
      </c>
      <c r="O1882">
        <v>4451</v>
      </c>
      <c r="P1882">
        <v>138.79</v>
      </c>
      <c r="Q1882">
        <v>-542</v>
      </c>
    </row>
    <row r="1883" spans="1:17" x14ac:dyDescent="0.45">
      <c r="A1883">
        <v>4616</v>
      </c>
      <c r="B1883" t="s">
        <v>1940</v>
      </c>
      <c r="C1883">
        <v>1120</v>
      </c>
      <c r="D1883">
        <v>3</v>
      </c>
      <c r="E1883">
        <v>1463.4</v>
      </c>
      <c r="F1883">
        <v>30.3</v>
      </c>
      <c r="G1883">
        <v>1443.7</v>
      </c>
      <c r="H1883">
        <v>3</v>
      </c>
      <c r="I1883">
        <v>26.04</v>
      </c>
      <c r="J1883">
        <v>525</v>
      </c>
      <c r="K1883">
        <v>196</v>
      </c>
      <c r="L1883">
        <v>42</v>
      </c>
      <c r="M1883">
        <v>60</v>
      </c>
      <c r="N1883">
        <v>0</v>
      </c>
      <c r="O1883">
        <v>5282</v>
      </c>
      <c r="P1883">
        <v>55.38</v>
      </c>
      <c r="Q1883">
        <v>-381</v>
      </c>
    </row>
    <row r="1884" spans="1:17" x14ac:dyDescent="0.45">
      <c r="A1884">
        <v>944</v>
      </c>
      <c r="B1884" t="s">
        <v>1941</v>
      </c>
      <c r="C1884">
        <v>5858</v>
      </c>
      <c r="D1884">
        <v>2</v>
      </c>
      <c r="E1884">
        <v>5535.7</v>
      </c>
      <c r="F1884">
        <v>70</v>
      </c>
      <c r="G1884">
        <v>7044.9</v>
      </c>
      <c r="H1884">
        <v>2</v>
      </c>
      <c r="I1884">
        <v>24.84</v>
      </c>
      <c r="J1884">
        <v>2285</v>
      </c>
      <c r="K1884">
        <v>929</v>
      </c>
      <c r="L1884">
        <v>115</v>
      </c>
      <c r="M1884">
        <v>259</v>
      </c>
      <c r="N1884">
        <v>0</v>
      </c>
      <c r="O1884">
        <v>4208</v>
      </c>
      <c r="P1884">
        <v>8860</v>
      </c>
      <c r="Q1884">
        <v>-161</v>
      </c>
    </row>
    <row r="1885" spans="1:17" x14ac:dyDescent="0.45">
      <c r="A1885">
        <v>159</v>
      </c>
      <c r="B1885" t="s">
        <v>1942</v>
      </c>
      <c r="C1885">
        <v>6325</v>
      </c>
      <c r="D1885">
        <v>3</v>
      </c>
      <c r="E1885">
        <v>3104.7</v>
      </c>
      <c r="F1885">
        <v>5163.8</v>
      </c>
      <c r="G1885">
        <v>3587.4</v>
      </c>
      <c r="H1885">
        <v>1</v>
      </c>
      <c r="I1885">
        <v>15.69</v>
      </c>
      <c r="J1885">
        <v>2103</v>
      </c>
      <c r="K1885">
        <v>718</v>
      </c>
      <c r="L1885">
        <v>225</v>
      </c>
      <c r="M1885">
        <v>397</v>
      </c>
      <c r="N1885">
        <v>0</v>
      </c>
      <c r="O1885">
        <v>600</v>
      </c>
      <c r="P1885">
        <v>0</v>
      </c>
      <c r="Q1885">
        <v>-100</v>
      </c>
    </row>
    <row r="1886" spans="1:17" x14ac:dyDescent="0.45">
      <c r="A1886">
        <v>4078</v>
      </c>
      <c r="B1886" t="s">
        <v>1943</v>
      </c>
      <c r="C1886">
        <v>503</v>
      </c>
      <c r="D1886">
        <v>3</v>
      </c>
      <c r="E1886">
        <v>322.3</v>
      </c>
      <c r="F1886">
        <v>0</v>
      </c>
      <c r="G1886">
        <v>1079.4000000000001</v>
      </c>
      <c r="H1886">
        <v>3</v>
      </c>
      <c r="I1886">
        <v>23.9</v>
      </c>
      <c r="J1886">
        <v>235</v>
      </c>
      <c r="K1886">
        <v>91</v>
      </c>
      <c r="L1886">
        <v>19</v>
      </c>
      <c r="M1886">
        <v>22</v>
      </c>
      <c r="N1886">
        <v>0</v>
      </c>
      <c r="O1886">
        <v>1369</v>
      </c>
      <c r="P1886">
        <v>0</v>
      </c>
      <c r="Q1886">
        <v>-140</v>
      </c>
    </row>
    <row r="1887" spans="1:17" x14ac:dyDescent="0.45">
      <c r="A1887">
        <v>1145</v>
      </c>
      <c r="B1887" t="s">
        <v>1944</v>
      </c>
      <c r="C1887">
        <v>934</v>
      </c>
      <c r="D1887">
        <v>2</v>
      </c>
      <c r="E1887">
        <v>555.1</v>
      </c>
      <c r="F1887">
        <v>0</v>
      </c>
      <c r="G1887">
        <v>2772.1</v>
      </c>
      <c r="H1887">
        <v>3</v>
      </c>
      <c r="I1887">
        <v>26.39</v>
      </c>
      <c r="J1887">
        <v>428</v>
      </c>
      <c r="K1887">
        <v>164</v>
      </c>
      <c r="L1887">
        <v>14</v>
      </c>
      <c r="M1887">
        <v>34</v>
      </c>
      <c r="N1887">
        <v>0</v>
      </c>
      <c r="O1887">
        <v>8584</v>
      </c>
      <c r="P1887">
        <v>0</v>
      </c>
      <c r="Q1887">
        <v>-482</v>
      </c>
    </row>
    <row r="1888" spans="1:17" x14ac:dyDescent="0.45">
      <c r="A1888">
        <v>248</v>
      </c>
      <c r="B1888" t="s">
        <v>1945</v>
      </c>
      <c r="C1888">
        <v>5105</v>
      </c>
      <c r="D1888">
        <v>3</v>
      </c>
      <c r="E1888">
        <v>7535.8</v>
      </c>
      <c r="F1888">
        <v>31.5</v>
      </c>
      <c r="G1888">
        <v>1986.5</v>
      </c>
      <c r="H1888">
        <v>2</v>
      </c>
      <c r="I1888">
        <v>24.61</v>
      </c>
      <c r="J1888">
        <v>1741</v>
      </c>
      <c r="K1888">
        <v>578</v>
      </c>
      <c r="L1888">
        <v>235</v>
      </c>
      <c r="M1888">
        <v>402</v>
      </c>
      <c r="N1888">
        <v>0</v>
      </c>
      <c r="O1888">
        <v>792</v>
      </c>
      <c r="P1888">
        <v>0</v>
      </c>
      <c r="Q1888">
        <v>-281</v>
      </c>
    </row>
    <row r="1889" spans="1:17" x14ac:dyDescent="0.45">
      <c r="A1889">
        <v>2278</v>
      </c>
      <c r="B1889" t="s">
        <v>1946</v>
      </c>
      <c r="C1889">
        <v>423</v>
      </c>
      <c r="D1889">
        <v>3</v>
      </c>
      <c r="E1889">
        <v>336.5</v>
      </c>
      <c r="F1889">
        <v>9.1</v>
      </c>
      <c r="G1889">
        <v>427.2</v>
      </c>
      <c r="H1889">
        <v>3</v>
      </c>
      <c r="I1889">
        <v>36.93</v>
      </c>
      <c r="J1889">
        <v>194</v>
      </c>
      <c r="K1889">
        <v>66</v>
      </c>
      <c r="L1889">
        <v>15</v>
      </c>
      <c r="M1889">
        <v>30</v>
      </c>
      <c r="N1889">
        <v>0</v>
      </c>
      <c r="O1889">
        <v>502</v>
      </c>
      <c r="P1889">
        <v>0</v>
      </c>
      <c r="Q1889">
        <v>-140</v>
      </c>
    </row>
    <row r="1890" spans="1:17" x14ac:dyDescent="0.45">
      <c r="A1890">
        <v>6201</v>
      </c>
      <c r="B1890" t="s">
        <v>1948</v>
      </c>
      <c r="C1890">
        <v>485</v>
      </c>
      <c r="D1890">
        <v>3</v>
      </c>
      <c r="E1890">
        <v>939.1</v>
      </c>
      <c r="F1890">
        <v>2.6</v>
      </c>
      <c r="G1890">
        <v>3312</v>
      </c>
      <c r="H1890">
        <v>3</v>
      </c>
      <c r="I1890">
        <v>30.8</v>
      </c>
      <c r="J1890">
        <v>140</v>
      </c>
      <c r="K1890">
        <v>83</v>
      </c>
      <c r="L1890">
        <v>18</v>
      </c>
      <c r="M1890">
        <v>24</v>
      </c>
      <c r="N1890">
        <v>0</v>
      </c>
      <c r="O1890">
        <v>782</v>
      </c>
      <c r="P1890">
        <v>166.13</v>
      </c>
      <c r="Q1890">
        <v>-1365</v>
      </c>
    </row>
    <row r="1891" spans="1:17" x14ac:dyDescent="0.45">
      <c r="A1891">
        <v>3219</v>
      </c>
      <c r="B1891" t="s">
        <v>1949</v>
      </c>
      <c r="C1891">
        <v>1026</v>
      </c>
      <c r="D1891">
        <v>3</v>
      </c>
      <c r="E1891">
        <v>1093.0999999999999</v>
      </c>
      <c r="F1891">
        <v>0</v>
      </c>
      <c r="G1891">
        <v>992.6</v>
      </c>
      <c r="H1891">
        <v>3</v>
      </c>
      <c r="I1891">
        <v>30.49</v>
      </c>
      <c r="J1891">
        <v>369</v>
      </c>
      <c r="K1891">
        <v>154</v>
      </c>
      <c r="L1891">
        <v>29</v>
      </c>
      <c r="M1891">
        <v>43</v>
      </c>
      <c r="N1891">
        <v>0</v>
      </c>
      <c r="O1891">
        <v>2545</v>
      </c>
      <c r="P1891">
        <v>0</v>
      </c>
      <c r="Q1891">
        <v>-582</v>
      </c>
    </row>
    <row r="1892" spans="1:17" x14ac:dyDescent="0.45">
      <c r="A1892">
        <v>249</v>
      </c>
      <c r="B1892" t="s">
        <v>1950</v>
      </c>
      <c r="C1892">
        <v>4119</v>
      </c>
      <c r="D1892">
        <v>3</v>
      </c>
      <c r="E1892">
        <v>3889.5</v>
      </c>
      <c r="F1892">
        <v>870</v>
      </c>
      <c r="G1892">
        <v>701.6</v>
      </c>
      <c r="H1892">
        <v>1</v>
      </c>
      <c r="I1892">
        <v>15.69</v>
      </c>
      <c r="J1892">
        <v>1369</v>
      </c>
      <c r="K1892">
        <v>562</v>
      </c>
      <c r="L1892">
        <v>98</v>
      </c>
      <c r="M1892">
        <v>253</v>
      </c>
      <c r="N1892">
        <v>0</v>
      </c>
      <c r="O1892">
        <v>243</v>
      </c>
      <c r="P1892">
        <v>0</v>
      </c>
      <c r="Q1892">
        <v>-181</v>
      </c>
    </row>
    <row r="1893" spans="1:17" x14ac:dyDescent="0.45">
      <c r="A1893">
        <v>4013</v>
      </c>
      <c r="B1893" t="s">
        <v>1951</v>
      </c>
      <c r="C1893">
        <v>4391</v>
      </c>
      <c r="D1893">
        <v>3</v>
      </c>
      <c r="E1893">
        <v>2729.7</v>
      </c>
      <c r="F1893">
        <v>2835.9</v>
      </c>
      <c r="G1893">
        <v>2740.4</v>
      </c>
      <c r="H1893">
        <v>1</v>
      </c>
      <c r="I1893">
        <v>20.87</v>
      </c>
      <c r="J1893">
        <v>1431</v>
      </c>
      <c r="K1893">
        <v>583</v>
      </c>
      <c r="L1893">
        <v>108</v>
      </c>
      <c r="M1893">
        <v>247</v>
      </c>
      <c r="N1893">
        <v>0</v>
      </c>
      <c r="O1893">
        <v>226</v>
      </c>
      <c r="P1893">
        <v>0</v>
      </c>
      <c r="Q1893">
        <v>-181</v>
      </c>
    </row>
    <row r="1894" spans="1:17" x14ac:dyDescent="0.45">
      <c r="A1894">
        <v>1375</v>
      </c>
      <c r="B1894" t="s">
        <v>1952</v>
      </c>
      <c r="C1894">
        <v>2432</v>
      </c>
      <c r="D1894">
        <v>3</v>
      </c>
      <c r="E1894">
        <v>3808.7</v>
      </c>
      <c r="F1894">
        <v>8.6</v>
      </c>
      <c r="G1894">
        <v>1000.3</v>
      </c>
      <c r="H1894">
        <v>3</v>
      </c>
      <c r="I1894">
        <v>30.7</v>
      </c>
      <c r="J1894">
        <v>1184</v>
      </c>
      <c r="K1894">
        <v>450</v>
      </c>
      <c r="L1894">
        <v>29</v>
      </c>
      <c r="M1894">
        <v>114</v>
      </c>
      <c r="N1894">
        <v>0</v>
      </c>
      <c r="O1894">
        <v>6141</v>
      </c>
      <c r="P1894">
        <v>0</v>
      </c>
      <c r="Q1894">
        <v>-3091</v>
      </c>
    </row>
    <row r="1895" spans="1:17" x14ac:dyDescent="0.45">
      <c r="A1895">
        <v>4146</v>
      </c>
      <c r="B1895" t="s">
        <v>1953</v>
      </c>
      <c r="C1895">
        <v>3519</v>
      </c>
      <c r="D1895">
        <v>3</v>
      </c>
      <c r="E1895">
        <v>2867.7</v>
      </c>
      <c r="F1895">
        <v>98.3</v>
      </c>
      <c r="G1895">
        <v>4189.8</v>
      </c>
      <c r="H1895">
        <v>3</v>
      </c>
      <c r="I1895">
        <v>23.9</v>
      </c>
      <c r="J1895">
        <v>1351</v>
      </c>
      <c r="K1895">
        <v>573</v>
      </c>
      <c r="L1895">
        <v>50</v>
      </c>
      <c r="M1895">
        <v>114</v>
      </c>
      <c r="N1895">
        <v>0</v>
      </c>
      <c r="O1895">
        <v>2325</v>
      </c>
      <c r="P1895">
        <v>0</v>
      </c>
      <c r="Q1895">
        <v>-662</v>
      </c>
    </row>
    <row r="1896" spans="1:17" x14ac:dyDescent="0.45">
      <c r="A1896">
        <v>945</v>
      </c>
      <c r="B1896" t="s">
        <v>1954</v>
      </c>
      <c r="C1896">
        <v>1092</v>
      </c>
      <c r="D1896">
        <v>3</v>
      </c>
      <c r="E1896">
        <v>854.1</v>
      </c>
      <c r="F1896">
        <v>0</v>
      </c>
      <c r="G1896">
        <v>1636.8</v>
      </c>
      <c r="H1896">
        <v>3</v>
      </c>
      <c r="I1896">
        <v>26.41</v>
      </c>
      <c r="J1896">
        <v>333</v>
      </c>
      <c r="K1896">
        <v>148</v>
      </c>
      <c r="L1896">
        <v>8</v>
      </c>
      <c r="M1896">
        <v>19</v>
      </c>
      <c r="N1896">
        <v>0</v>
      </c>
      <c r="O1896">
        <v>3155</v>
      </c>
      <c r="P1896">
        <v>0</v>
      </c>
      <c r="Q1896">
        <v>-261</v>
      </c>
    </row>
    <row r="1897" spans="1:17" x14ac:dyDescent="0.45">
      <c r="A1897">
        <v>4079</v>
      </c>
      <c r="B1897" t="s">
        <v>1955</v>
      </c>
      <c r="C1897">
        <v>1552</v>
      </c>
      <c r="D1897">
        <v>3</v>
      </c>
      <c r="E1897">
        <v>1649.4</v>
      </c>
      <c r="F1897">
        <v>0</v>
      </c>
      <c r="G1897">
        <v>1827.1</v>
      </c>
      <c r="H1897">
        <v>2</v>
      </c>
      <c r="I1897">
        <v>23.46</v>
      </c>
      <c r="J1897">
        <v>677</v>
      </c>
      <c r="K1897">
        <v>238</v>
      </c>
      <c r="L1897">
        <v>60</v>
      </c>
      <c r="M1897">
        <v>124</v>
      </c>
      <c r="N1897">
        <v>0</v>
      </c>
      <c r="O1897">
        <v>1798</v>
      </c>
      <c r="P1897">
        <v>199.35</v>
      </c>
      <c r="Q1897">
        <v>-241</v>
      </c>
    </row>
    <row r="1898" spans="1:17" x14ac:dyDescent="0.45">
      <c r="A1898">
        <v>2463</v>
      </c>
      <c r="B1898" t="s">
        <v>1956</v>
      </c>
      <c r="C1898">
        <v>222</v>
      </c>
      <c r="D1898">
        <v>3</v>
      </c>
      <c r="E1898">
        <v>198.6</v>
      </c>
      <c r="F1898">
        <v>10.5</v>
      </c>
      <c r="G1898">
        <v>406.2</v>
      </c>
      <c r="H1898">
        <v>3</v>
      </c>
      <c r="I1898">
        <v>28.59</v>
      </c>
      <c r="J1898">
        <v>80</v>
      </c>
      <c r="K1898">
        <v>46</v>
      </c>
      <c r="L1898">
        <v>12</v>
      </c>
      <c r="M1898">
        <v>10</v>
      </c>
      <c r="N1898">
        <v>0</v>
      </c>
      <c r="O1898">
        <v>975</v>
      </c>
      <c r="P1898">
        <v>0</v>
      </c>
      <c r="Q1898">
        <v>-100</v>
      </c>
    </row>
    <row r="1899" spans="1:17" x14ac:dyDescent="0.45">
      <c r="A1899">
        <v>1219</v>
      </c>
      <c r="B1899" t="s">
        <v>1957</v>
      </c>
      <c r="C1899">
        <v>715</v>
      </c>
      <c r="D1899">
        <v>3</v>
      </c>
      <c r="E1899">
        <v>330.5</v>
      </c>
      <c r="F1899">
        <v>0</v>
      </c>
      <c r="G1899">
        <v>100.2</v>
      </c>
      <c r="H1899">
        <v>3</v>
      </c>
      <c r="I1899">
        <v>24.76</v>
      </c>
      <c r="J1899">
        <v>178</v>
      </c>
      <c r="K1899">
        <v>230</v>
      </c>
      <c r="L1899">
        <v>3</v>
      </c>
      <c r="M1899">
        <v>18</v>
      </c>
      <c r="N1899">
        <v>0</v>
      </c>
      <c r="O1899">
        <v>2346</v>
      </c>
      <c r="P1899">
        <v>0</v>
      </c>
      <c r="Q1899">
        <v>-1726</v>
      </c>
    </row>
    <row r="1900" spans="1:17" x14ac:dyDescent="0.45">
      <c r="A1900">
        <v>593</v>
      </c>
      <c r="B1900" t="s">
        <v>1958</v>
      </c>
      <c r="C1900">
        <v>5745</v>
      </c>
      <c r="D1900">
        <v>2</v>
      </c>
      <c r="E1900">
        <v>5616.3</v>
      </c>
      <c r="F1900">
        <v>2113.9</v>
      </c>
      <c r="G1900">
        <v>5711</v>
      </c>
      <c r="H1900">
        <v>1</v>
      </c>
      <c r="I1900">
        <v>16.760000000000002</v>
      </c>
      <c r="J1900">
        <v>1549</v>
      </c>
      <c r="K1900">
        <v>772</v>
      </c>
      <c r="L1900">
        <v>89</v>
      </c>
      <c r="M1900">
        <v>233</v>
      </c>
      <c r="N1900">
        <v>0</v>
      </c>
      <c r="O1900">
        <v>2657</v>
      </c>
      <c r="P1900">
        <v>3012.4</v>
      </c>
      <c r="Q1900">
        <v>-1686</v>
      </c>
    </row>
    <row r="1901" spans="1:17" x14ac:dyDescent="0.45">
      <c r="A1901">
        <v>4044</v>
      </c>
      <c r="B1901" t="s">
        <v>1959</v>
      </c>
      <c r="C1901">
        <v>7486</v>
      </c>
      <c r="D1901">
        <v>3</v>
      </c>
      <c r="E1901">
        <v>4835.5</v>
      </c>
      <c r="F1901">
        <v>873.6</v>
      </c>
      <c r="G1901">
        <v>7723.1</v>
      </c>
      <c r="H1901">
        <v>1</v>
      </c>
      <c r="I1901">
        <v>20.87</v>
      </c>
      <c r="J1901">
        <v>2242</v>
      </c>
      <c r="K1901">
        <v>933</v>
      </c>
      <c r="L1901">
        <v>162</v>
      </c>
      <c r="M1901">
        <v>390</v>
      </c>
      <c r="N1901">
        <v>0</v>
      </c>
      <c r="O1901">
        <v>1098</v>
      </c>
      <c r="P1901">
        <v>692.54</v>
      </c>
      <c r="Q1901">
        <v>-702</v>
      </c>
    </row>
    <row r="1902" spans="1:17" x14ac:dyDescent="0.45">
      <c r="A1902">
        <v>3946</v>
      </c>
      <c r="B1902" t="s">
        <v>1960</v>
      </c>
      <c r="C1902">
        <v>2600</v>
      </c>
      <c r="D1902">
        <v>3</v>
      </c>
      <c r="E1902">
        <v>3541.4</v>
      </c>
      <c r="F1902">
        <v>2.4</v>
      </c>
      <c r="G1902">
        <v>2387.8000000000002</v>
      </c>
      <c r="H1902">
        <v>2</v>
      </c>
      <c r="I1902">
        <v>21.73</v>
      </c>
      <c r="J1902">
        <v>900</v>
      </c>
      <c r="K1902">
        <v>515</v>
      </c>
      <c r="L1902">
        <v>56</v>
      </c>
      <c r="M1902">
        <v>113</v>
      </c>
      <c r="N1902">
        <v>300842</v>
      </c>
      <c r="O1902">
        <v>3937</v>
      </c>
      <c r="P1902">
        <v>0</v>
      </c>
      <c r="Q1902">
        <v>-2408</v>
      </c>
    </row>
    <row r="1903" spans="1:17" x14ac:dyDescent="0.45">
      <c r="A1903">
        <v>1709</v>
      </c>
      <c r="B1903" t="s">
        <v>1947</v>
      </c>
      <c r="C1903">
        <v>9243</v>
      </c>
      <c r="D1903">
        <v>2</v>
      </c>
      <c r="E1903">
        <v>11094.9</v>
      </c>
      <c r="F1903">
        <v>78.099999999999994</v>
      </c>
      <c r="G1903">
        <v>5115.8999999999996</v>
      </c>
      <c r="H1903">
        <v>1</v>
      </c>
      <c r="I1903">
        <v>22.43</v>
      </c>
      <c r="J1903">
        <v>3031</v>
      </c>
      <c r="K1903">
        <v>1275</v>
      </c>
      <c r="L1903">
        <v>250</v>
      </c>
      <c r="M1903">
        <v>547</v>
      </c>
      <c r="N1903">
        <v>0</v>
      </c>
      <c r="O1903">
        <v>5158</v>
      </c>
      <c r="P1903">
        <v>0</v>
      </c>
      <c r="Q1903">
        <v>-2669</v>
      </c>
    </row>
    <row r="1904" spans="1:17" x14ac:dyDescent="0.45">
      <c r="A1904">
        <v>250</v>
      </c>
      <c r="B1904" t="s">
        <v>1961</v>
      </c>
      <c r="C1904">
        <v>10332</v>
      </c>
      <c r="D1904">
        <v>3</v>
      </c>
      <c r="E1904">
        <v>8774.2999999999993</v>
      </c>
      <c r="F1904">
        <v>4669.8999999999996</v>
      </c>
      <c r="G1904">
        <v>5182.2</v>
      </c>
      <c r="H1904">
        <v>1</v>
      </c>
      <c r="I1904">
        <v>15.69</v>
      </c>
      <c r="J1904">
        <v>3278</v>
      </c>
      <c r="K1904">
        <v>1906</v>
      </c>
      <c r="L1904">
        <v>304</v>
      </c>
      <c r="M1904">
        <v>767</v>
      </c>
      <c r="N1904">
        <v>0</v>
      </c>
      <c r="O1904">
        <v>687</v>
      </c>
      <c r="P1904">
        <v>0</v>
      </c>
      <c r="Q1904">
        <v>-502</v>
      </c>
    </row>
    <row r="1905" spans="1:17" x14ac:dyDescent="0.45">
      <c r="A1905">
        <v>3670</v>
      </c>
      <c r="B1905" t="s">
        <v>1962</v>
      </c>
      <c r="C1905">
        <v>166</v>
      </c>
      <c r="D1905">
        <v>3</v>
      </c>
      <c r="E1905">
        <v>341.3</v>
      </c>
      <c r="F1905">
        <v>30.8</v>
      </c>
      <c r="G1905">
        <v>260.7</v>
      </c>
      <c r="H1905">
        <v>3</v>
      </c>
      <c r="I1905">
        <v>29.04</v>
      </c>
      <c r="J1905">
        <v>52</v>
      </c>
      <c r="K1905">
        <v>41</v>
      </c>
      <c r="L1905">
        <v>3</v>
      </c>
      <c r="M1905">
        <v>8</v>
      </c>
      <c r="N1905">
        <v>0</v>
      </c>
      <c r="O1905">
        <v>1319</v>
      </c>
      <c r="P1905">
        <v>0</v>
      </c>
      <c r="Q1905">
        <v>-361</v>
      </c>
    </row>
    <row r="1906" spans="1:17" x14ac:dyDescent="0.45">
      <c r="A1906">
        <v>3006</v>
      </c>
      <c r="B1906" t="s">
        <v>1963</v>
      </c>
      <c r="C1906">
        <v>2300</v>
      </c>
      <c r="D1906">
        <v>3</v>
      </c>
      <c r="E1906">
        <v>1728.5</v>
      </c>
      <c r="F1906">
        <v>65.2</v>
      </c>
      <c r="G1906">
        <v>2645.9</v>
      </c>
      <c r="H1906">
        <v>3</v>
      </c>
      <c r="I1906">
        <v>25.09</v>
      </c>
      <c r="J1906">
        <v>852</v>
      </c>
      <c r="K1906">
        <v>490</v>
      </c>
      <c r="L1906">
        <v>18</v>
      </c>
      <c r="M1906">
        <v>68</v>
      </c>
      <c r="N1906">
        <v>0</v>
      </c>
      <c r="O1906">
        <v>11114</v>
      </c>
      <c r="P1906">
        <v>132.9</v>
      </c>
      <c r="Q1906">
        <v>-3793</v>
      </c>
    </row>
    <row r="1907" spans="1:17" x14ac:dyDescent="0.45">
      <c r="A1907">
        <v>344</v>
      </c>
      <c r="B1907" t="s">
        <v>1964</v>
      </c>
      <c r="C1907">
        <v>866</v>
      </c>
      <c r="D1907">
        <v>3</v>
      </c>
      <c r="E1907">
        <v>843.9</v>
      </c>
      <c r="F1907">
        <v>0</v>
      </c>
      <c r="G1907">
        <v>1710.2</v>
      </c>
      <c r="H1907">
        <v>3</v>
      </c>
      <c r="I1907">
        <v>26.41</v>
      </c>
      <c r="J1907">
        <v>394</v>
      </c>
      <c r="K1907">
        <v>105</v>
      </c>
      <c r="L1907">
        <v>15</v>
      </c>
      <c r="M1907">
        <v>39</v>
      </c>
      <c r="N1907">
        <v>0</v>
      </c>
      <c r="O1907">
        <v>3817</v>
      </c>
      <c r="P1907">
        <v>0</v>
      </c>
      <c r="Q1907">
        <v>-542</v>
      </c>
    </row>
    <row r="1908" spans="1:17" x14ac:dyDescent="0.45">
      <c r="A1908">
        <v>5932</v>
      </c>
      <c r="B1908" t="s">
        <v>1965</v>
      </c>
      <c r="C1908">
        <v>231</v>
      </c>
      <c r="D1908">
        <v>3</v>
      </c>
      <c r="E1908">
        <v>435.5</v>
      </c>
      <c r="F1908">
        <v>12</v>
      </c>
      <c r="G1908">
        <v>319</v>
      </c>
      <c r="H1908">
        <v>3</v>
      </c>
      <c r="I1908">
        <v>35.86</v>
      </c>
      <c r="J1908">
        <v>83</v>
      </c>
      <c r="K1908">
        <v>27</v>
      </c>
      <c r="L1908">
        <v>13</v>
      </c>
      <c r="M1908">
        <v>14</v>
      </c>
      <c r="N1908">
        <v>0</v>
      </c>
      <c r="O1908">
        <v>531</v>
      </c>
      <c r="P1908">
        <v>0</v>
      </c>
      <c r="Q1908">
        <v>-140</v>
      </c>
    </row>
    <row r="1909" spans="1:17" x14ac:dyDescent="0.45">
      <c r="A1909">
        <v>2102</v>
      </c>
      <c r="B1909" t="s">
        <v>1966</v>
      </c>
      <c r="C1909">
        <v>3486</v>
      </c>
      <c r="D1909">
        <v>3</v>
      </c>
      <c r="E1909">
        <v>2770.6</v>
      </c>
      <c r="F1909">
        <v>178.1</v>
      </c>
      <c r="G1909">
        <v>5117.2</v>
      </c>
      <c r="H1909">
        <v>3</v>
      </c>
      <c r="I1909">
        <v>36.93</v>
      </c>
      <c r="J1909">
        <v>1364</v>
      </c>
      <c r="K1909">
        <v>501</v>
      </c>
      <c r="L1909">
        <v>110</v>
      </c>
      <c r="M1909">
        <v>240</v>
      </c>
      <c r="N1909">
        <v>0</v>
      </c>
      <c r="O1909">
        <v>7475</v>
      </c>
      <c r="P1909">
        <v>0</v>
      </c>
      <c r="Q1909">
        <v>-743</v>
      </c>
    </row>
    <row r="1910" spans="1:17" x14ac:dyDescent="0.45">
      <c r="A1910">
        <v>551</v>
      </c>
      <c r="B1910" t="s">
        <v>1967</v>
      </c>
      <c r="C1910">
        <v>6410</v>
      </c>
      <c r="D1910">
        <v>1</v>
      </c>
      <c r="E1910">
        <v>4565.5</v>
      </c>
      <c r="F1910">
        <v>1670.4</v>
      </c>
      <c r="G1910">
        <v>4700.7</v>
      </c>
      <c r="H1910">
        <v>1</v>
      </c>
      <c r="I1910">
        <v>16.760000000000002</v>
      </c>
      <c r="J1910">
        <v>2064</v>
      </c>
      <c r="K1910">
        <v>1057</v>
      </c>
      <c r="L1910">
        <v>138</v>
      </c>
      <c r="M1910">
        <v>344</v>
      </c>
      <c r="N1910">
        <v>0</v>
      </c>
      <c r="O1910">
        <v>930</v>
      </c>
      <c r="P1910">
        <v>0</v>
      </c>
      <c r="Q1910">
        <v>-442</v>
      </c>
    </row>
    <row r="1911" spans="1:17" x14ac:dyDescent="0.45">
      <c r="A1911">
        <v>198</v>
      </c>
      <c r="B1911" t="s">
        <v>1968</v>
      </c>
      <c r="C1911">
        <v>35748</v>
      </c>
      <c r="D1911">
        <v>3</v>
      </c>
      <c r="E1911">
        <v>14047.5</v>
      </c>
      <c r="F1911">
        <v>31000.1</v>
      </c>
      <c r="G1911">
        <v>16155.3</v>
      </c>
      <c r="H1911">
        <v>1</v>
      </c>
      <c r="I1911">
        <v>15.69</v>
      </c>
      <c r="J1911">
        <v>9869</v>
      </c>
      <c r="K1911">
        <v>4075</v>
      </c>
      <c r="L1911">
        <v>810</v>
      </c>
      <c r="M1911">
        <v>1691</v>
      </c>
      <c r="N1911">
        <v>0</v>
      </c>
      <c r="O1911">
        <v>5019</v>
      </c>
      <c r="P1911">
        <v>3101</v>
      </c>
      <c r="Q1911">
        <v>-1525</v>
      </c>
    </row>
    <row r="1912" spans="1:17" x14ac:dyDescent="0.45">
      <c r="A1912">
        <v>885</v>
      </c>
      <c r="B1912" t="s">
        <v>1969</v>
      </c>
      <c r="C1912">
        <v>2173</v>
      </c>
      <c r="D1912">
        <v>3</v>
      </c>
      <c r="E1912">
        <v>1779</v>
      </c>
      <c r="F1912">
        <v>11</v>
      </c>
      <c r="G1912">
        <v>1876.9</v>
      </c>
      <c r="H1912">
        <v>2</v>
      </c>
      <c r="I1912">
        <v>24.84</v>
      </c>
      <c r="J1912">
        <v>744</v>
      </c>
      <c r="K1912">
        <v>280</v>
      </c>
      <c r="L1912">
        <v>49</v>
      </c>
      <c r="M1912">
        <v>74</v>
      </c>
      <c r="N1912">
        <v>0</v>
      </c>
      <c r="O1912">
        <v>1258</v>
      </c>
      <c r="P1912">
        <v>0</v>
      </c>
      <c r="Q1912">
        <v>-221</v>
      </c>
    </row>
    <row r="1913" spans="1:17" x14ac:dyDescent="0.45">
      <c r="A1913">
        <v>4451</v>
      </c>
      <c r="B1913" t="s">
        <v>1970</v>
      </c>
      <c r="C1913">
        <v>1918</v>
      </c>
      <c r="D1913">
        <v>3</v>
      </c>
      <c r="E1913">
        <v>1446.6</v>
      </c>
      <c r="F1913">
        <v>1445.9</v>
      </c>
      <c r="G1913">
        <v>1837.2</v>
      </c>
      <c r="H1913">
        <v>2</v>
      </c>
      <c r="I1913">
        <v>21.63</v>
      </c>
      <c r="J1913">
        <v>790</v>
      </c>
      <c r="K1913">
        <v>292</v>
      </c>
      <c r="L1913">
        <v>39</v>
      </c>
      <c r="M1913">
        <v>92</v>
      </c>
      <c r="N1913">
        <v>0</v>
      </c>
      <c r="O1913">
        <v>1239</v>
      </c>
      <c r="P1913">
        <v>0</v>
      </c>
      <c r="Q1913">
        <v>-261</v>
      </c>
    </row>
    <row r="1914" spans="1:17" x14ac:dyDescent="0.45">
      <c r="A1914">
        <v>552</v>
      </c>
      <c r="B1914" t="s">
        <v>1971</v>
      </c>
      <c r="C1914">
        <v>4476</v>
      </c>
      <c r="D1914">
        <v>2</v>
      </c>
      <c r="E1914">
        <v>3157.7</v>
      </c>
      <c r="F1914">
        <v>1614.7</v>
      </c>
      <c r="G1914">
        <v>6059.1</v>
      </c>
      <c r="H1914">
        <v>2</v>
      </c>
      <c r="I1914">
        <v>24.84</v>
      </c>
      <c r="J1914">
        <v>1712</v>
      </c>
      <c r="K1914">
        <v>668</v>
      </c>
      <c r="L1914">
        <v>84</v>
      </c>
      <c r="M1914">
        <v>155</v>
      </c>
      <c r="N1914">
        <v>0</v>
      </c>
      <c r="O1914">
        <v>3383</v>
      </c>
      <c r="P1914">
        <v>0</v>
      </c>
      <c r="Q1914">
        <v>-903</v>
      </c>
    </row>
    <row r="1915" spans="1:17" x14ac:dyDescent="0.45">
      <c r="A1915">
        <v>3339</v>
      </c>
      <c r="B1915" t="s">
        <v>1972</v>
      </c>
      <c r="C1915">
        <v>6850</v>
      </c>
      <c r="D1915">
        <v>3</v>
      </c>
      <c r="E1915">
        <v>3019.4</v>
      </c>
      <c r="F1915">
        <v>5162.8</v>
      </c>
      <c r="G1915">
        <v>6219.4</v>
      </c>
      <c r="H1915">
        <v>1</v>
      </c>
      <c r="I1915">
        <v>22.7</v>
      </c>
      <c r="J1915">
        <v>2104</v>
      </c>
      <c r="K1915">
        <v>1136</v>
      </c>
      <c r="L1915">
        <v>160</v>
      </c>
      <c r="M1915">
        <v>301</v>
      </c>
      <c r="N1915">
        <v>0</v>
      </c>
      <c r="O1915">
        <v>1846</v>
      </c>
      <c r="P1915">
        <v>0</v>
      </c>
      <c r="Q1915">
        <v>-361</v>
      </c>
    </row>
    <row r="1916" spans="1:17" x14ac:dyDescent="0.45">
      <c r="A1916">
        <v>3408</v>
      </c>
      <c r="B1916" t="s">
        <v>1973</v>
      </c>
      <c r="C1916">
        <v>13831</v>
      </c>
      <c r="D1916">
        <v>1</v>
      </c>
      <c r="E1916">
        <v>4310.3999999999996</v>
      </c>
      <c r="F1916">
        <v>15544.2</v>
      </c>
      <c r="G1916">
        <v>18823.8</v>
      </c>
      <c r="H1916">
        <v>1</v>
      </c>
      <c r="I1916">
        <v>22.7</v>
      </c>
      <c r="J1916">
        <v>4735</v>
      </c>
      <c r="K1916">
        <v>2188</v>
      </c>
      <c r="L1916">
        <v>236</v>
      </c>
      <c r="M1916">
        <v>631</v>
      </c>
      <c r="N1916">
        <v>0</v>
      </c>
      <c r="O1916">
        <v>3468</v>
      </c>
      <c r="P1916">
        <v>841.7</v>
      </c>
      <c r="Q1916">
        <v>-482</v>
      </c>
    </row>
    <row r="1917" spans="1:17" x14ac:dyDescent="0.45">
      <c r="A1917">
        <v>5268</v>
      </c>
      <c r="B1917" t="s">
        <v>1974</v>
      </c>
      <c r="C1917">
        <v>3346</v>
      </c>
      <c r="D1917">
        <v>2</v>
      </c>
      <c r="E1917">
        <v>1931.4</v>
      </c>
      <c r="F1917">
        <v>3164</v>
      </c>
      <c r="G1917">
        <v>1704.8</v>
      </c>
      <c r="H1917">
        <v>1</v>
      </c>
      <c r="I1917">
        <v>18.600000000000001</v>
      </c>
      <c r="J1917">
        <v>1357</v>
      </c>
      <c r="K1917">
        <v>442</v>
      </c>
      <c r="L1917">
        <v>62</v>
      </c>
      <c r="M1917">
        <v>290</v>
      </c>
      <c r="N1917">
        <v>0</v>
      </c>
      <c r="O1917">
        <v>0</v>
      </c>
      <c r="P1917">
        <v>1661.25</v>
      </c>
      <c r="Q1917">
        <v>-100</v>
      </c>
    </row>
    <row r="1918" spans="1:17" x14ac:dyDescent="0.45">
      <c r="A1918">
        <v>5240</v>
      </c>
      <c r="B1918" t="s">
        <v>1976</v>
      </c>
      <c r="C1918">
        <v>2992</v>
      </c>
      <c r="D1918">
        <v>3</v>
      </c>
      <c r="E1918">
        <v>3551.7</v>
      </c>
      <c r="F1918">
        <v>50.4</v>
      </c>
      <c r="G1918">
        <v>2114</v>
      </c>
      <c r="H1918">
        <v>2</v>
      </c>
      <c r="I1918">
        <v>22.12</v>
      </c>
      <c r="J1918">
        <v>1254</v>
      </c>
      <c r="K1918">
        <v>414</v>
      </c>
      <c r="L1918">
        <v>68</v>
      </c>
      <c r="M1918">
        <v>249</v>
      </c>
      <c r="N1918">
        <v>0</v>
      </c>
      <c r="O1918">
        <v>26</v>
      </c>
      <c r="P1918">
        <v>0</v>
      </c>
      <c r="Q1918">
        <v>-1586</v>
      </c>
    </row>
    <row r="1919" spans="1:17" x14ac:dyDescent="0.45">
      <c r="A1919">
        <v>3847</v>
      </c>
      <c r="B1919" t="s">
        <v>1977</v>
      </c>
      <c r="C1919">
        <v>1425</v>
      </c>
      <c r="D1919">
        <v>3</v>
      </c>
      <c r="E1919">
        <v>3464</v>
      </c>
      <c r="F1919">
        <v>9.4</v>
      </c>
      <c r="G1919">
        <v>2100.1999999999998</v>
      </c>
      <c r="H1919">
        <v>3</v>
      </c>
      <c r="I1919">
        <v>29.04</v>
      </c>
      <c r="J1919">
        <v>531</v>
      </c>
      <c r="K1919">
        <v>370</v>
      </c>
      <c r="L1919">
        <v>14</v>
      </c>
      <c r="M1919">
        <v>72</v>
      </c>
      <c r="N1919">
        <v>0</v>
      </c>
      <c r="O1919">
        <v>5579</v>
      </c>
      <c r="P1919">
        <v>273.91000000000003</v>
      </c>
      <c r="Q1919">
        <v>-10818</v>
      </c>
    </row>
    <row r="1920" spans="1:17" x14ac:dyDescent="0.45">
      <c r="A1920">
        <v>6730</v>
      </c>
      <c r="B1920" t="s">
        <v>1978</v>
      </c>
      <c r="C1920">
        <v>3285</v>
      </c>
      <c r="D1920">
        <v>3</v>
      </c>
      <c r="E1920">
        <v>5136.3999999999996</v>
      </c>
      <c r="F1920">
        <v>18.7</v>
      </c>
      <c r="G1920">
        <v>4624.3</v>
      </c>
      <c r="H1920">
        <v>2</v>
      </c>
      <c r="I1920">
        <v>31.97</v>
      </c>
      <c r="J1920">
        <v>1356</v>
      </c>
      <c r="K1920">
        <v>380</v>
      </c>
      <c r="L1920">
        <v>74</v>
      </c>
      <c r="M1920">
        <v>155</v>
      </c>
      <c r="N1920">
        <v>0</v>
      </c>
      <c r="O1920">
        <v>11642</v>
      </c>
      <c r="P1920">
        <v>28.8</v>
      </c>
      <c r="Q1920">
        <v>-4215</v>
      </c>
    </row>
    <row r="1921" spans="1:17" x14ac:dyDescent="0.45">
      <c r="A1921">
        <v>6037</v>
      </c>
      <c r="B1921" t="s">
        <v>1975</v>
      </c>
      <c r="C1921">
        <v>10693</v>
      </c>
      <c r="D1921">
        <v>3</v>
      </c>
      <c r="E1921">
        <v>14476.7</v>
      </c>
      <c r="F1921">
        <v>600.5</v>
      </c>
      <c r="G1921">
        <v>7404.1</v>
      </c>
      <c r="H1921">
        <v>2</v>
      </c>
      <c r="I1921">
        <v>30.34</v>
      </c>
      <c r="J1921">
        <v>4984</v>
      </c>
      <c r="K1921">
        <v>2183</v>
      </c>
      <c r="L1921">
        <v>255</v>
      </c>
      <c r="M1921">
        <v>626</v>
      </c>
      <c r="N1921">
        <v>0</v>
      </c>
      <c r="O1921">
        <v>9162</v>
      </c>
      <c r="P1921">
        <v>1129.6500000000001</v>
      </c>
      <c r="Q1921">
        <v>-8891</v>
      </c>
    </row>
    <row r="1922" spans="1:17" x14ac:dyDescent="0.45">
      <c r="A1922">
        <v>6157</v>
      </c>
      <c r="B1922" t="s">
        <v>1984</v>
      </c>
      <c r="C1922">
        <v>2146</v>
      </c>
      <c r="D1922">
        <v>3</v>
      </c>
      <c r="E1922">
        <v>6352</v>
      </c>
      <c r="F1922">
        <v>90.5</v>
      </c>
      <c r="G1922">
        <v>1227.5999999999999</v>
      </c>
      <c r="H1922">
        <v>3</v>
      </c>
      <c r="I1922">
        <v>30.8</v>
      </c>
      <c r="J1922">
        <v>866</v>
      </c>
      <c r="K1922">
        <v>436</v>
      </c>
      <c r="L1922">
        <v>42</v>
      </c>
      <c r="M1922">
        <v>120</v>
      </c>
      <c r="N1922">
        <v>0</v>
      </c>
      <c r="O1922">
        <v>2563</v>
      </c>
      <c r="P1922">
        <v>0</v>
      </c>
      <c r="Q1922">
        <v>-2770</v>
      </c>
    </row>
    <row r="1923" spans="1:17" x14ac:dyDescent="0.45">
      <c r="A1923">
        <v>2163</v>
      </c>
      <c r="B1923" t="s">
        <v>1981</v>
      </c>
      <c r="C1923">
        <v>2620</v>
      </c>
      <c r="D1923">
        <v>3</v>
      </c>
      <c r="E1923">
        <v>3102.8</v>
      </c>
      <c r="F1923">
        <v>45.2</v>
      </c>
      <c r="G1923">
        <v>2964.2</v>
      </c>
      <c r="H1923">
        <v>3</v>
      </c>
      <c r="I1923">
        <v>36.93</v>
      </c>
      <c r="J1923">
        <v>1059</v>
      </c>
      <c r="K1923">
        <v>388</v>
      </c>
      <c r="L1923">
        <v>62</v>
      </c>
      <c r="M1923">
        <v>176</v>
      </c>
      <c r="N1923">
        <v>0</v>
      </c>
      <c r="O1923">
        <v>6531</v>
      </c>
      <c r="P1923">
        <v>457.75</v>
      </c>
      <c r="Q1923">
        <v>-9112</v>
      </c>
    </row>
    <row r="1924" spans="1:17" x14ac:dyDescent="0.45">
      <c r="A1924">
        <v>6487</v>
      </c>
      <c r="B1924" t="s">
        <v>1982</v>
      </c>
      <c r="C1924">
        <v>17410</v>
      </c>
      <c r="D1924">
        <v>2</v>
      </c>
      <c r="E1924">
        <v>18564.5</v>
      </c>
      <c r="F1924">
        <v>11690.4</v>
      </c>
      <c r="G1924">
        <v>21585.9</v>
      </c>
      <c r="H1924">
        <v>2</v>
      </c>
      <c r="I1924">
        <v>30.44</v>
      </c>
      <c r="J1924">
        <v>7114</v>
      </c>
      <c r="K1924">
        <v>2491</v>
      </c>
      <c r="L1924">
        <v>356</v>
      </c>
      <c r="M1924">
        <v>961</v>
      </c>
      <c r="N1924">
        <v>0</v>
      </c>
      <c r="O1924">
        <v>26668</v>
      </c>
      <c r="P1924">
        <v>276.12</v>
      </c>
      <c r="Q1924">
        <v>-8911</v>
      </c>
    </row>
    <row r="1925" spans="1:17" x14ac:dyDescent="0.45">
      <c r="A1925">
        <v>6512</v>
      </c>
      <c r="B1925" t="s">
        <v>1983</v>
      </c>
      <c r="C1925">
        <v>10558</v>
      </c>
      <c r="D1925">
        <v>3</v>
      </c>
      <c r="E1925">
        <v>14441.8</v>
      </c>
      <c r="F1925">
        <v>8713.5</v>
      </c>
      <c r="G1925">
        <v>15608.1</v>
      </c>
      <c r="H1925">
        <v>2</v>
      </c>
      <c r="I1925">
        <v>30.44</v>
      </c>
      <c r="J1925">
        <v>4194</v>
      </c>
      <c r="K1925">
        <v>1317</v>
      </c>
      <c r="L1925">
        <v>186</v>
      </c>
      <c r="M1925">
        <v>561</v>
      </c>
      <c r="N1925">
        <v>0</v>
      </c>
      <c r="O1925">
        <v>25125</v>
      </c>
      <c r="P1925">
        <v>841.7</v>
      </c>
      <c r="Q1925">
        <v>-11801</v>
      </c>
    </row>
    <row r="1926" spans="1:17" x14ac:dyDescent="0.45">
      <c r="A1926">
        <v>717</v>
      </c>
      <c r="B1926" t="s">
        <v>1979</v>
      </c>
      <c r="C1926">
        <v>3918</v>
      </c>
      <c r="D1926">
        <v>1</v>
      </c>
      <c r="E1926">
        <v>8396.2999999999993</v>
      </c>
      <c r="F1926">
        <v>0</v>
      </c>
      <c r="G1926">
        <v>3222.1</v>
      </c>
      <c r="H1926">
        <v>2</v>
      </c>
      <c r="I1926">
        <v>24.84</v>
      </c>
      <c r="J1926">
        <v>1664</v>
      </c>
      <c r="K1926">
        <v>498</v>
      </c>
      <c r="L1926">
        <v>67</v>
      </c>
      <c r="M1926">
        <v>206</v>
      </c>
      <c r="N1926">
        <v>0</v>
      </c>
      <c r="O1926">
        <v>3819</v>
      </c>
      <c r="P1926">
        <v>0</v>
      </c>
      <c r="Q1926">
        <v>-1485</v>
      </c>
    </row>
    <row r="1927" spans="1:17" x14ac:dyDescent="0.45">
      <c r="A1927">
        <v>5831</v>
      </c>
      <c r="B1927" t="s">
        <v>1980</v>
      </c>
      <c r="C1927">
        <v>3362</v>
      </c>
      <c r="D1927">
        <v>3</v>
      </c>
      <c r="E1927">
        <v>4224.6000000000004</v>
      </c>
      <c r="F1927">
        <v>2327.6999999999998</v>
      </c>
      <c r="G1927">
        <v>7008.4</v>
      </c>
      <c r="H1927">
        <v>3</v>
      </c>
      <c r="I1927">
        <v>35.86</v>
      </c>
      <c r="J1927">
        <v>1331</v>
      </c>
      <c r="K1927">
        <v>535</v>
      </c>
      <c r="L1927">
        <v>60</v>
      </c>
      <c r="M1927">
        <v>202</v>
      </c>
      <c r="N1927">
        <v>0</v>
      </c>
      <c r="O1927">
        <v>10730</v>
      </c>
      <c r="P1927">
        <v>180.88</v>
      </c>
      <c r="Q1927">
        <v>-1706</v>
      </c>
    </row>
    <row r="1928" spans="1:17" x14ac:dyDescent="0.45">
      <c r="A1928">
        <v>5933</v>
      </c>
      <c r="B1928" t="s">
        <v>1985</v>
      </c>
      <c r="C1928">
        <v>703</v>
      </c>
      <c r="D1928">
        <v>3</v>
      </c>
      <c r="E1928">
        <v>908.8</v>
      </c>
      <c r="F1928">
        <v>169.7</v>
      </c>
      <c r="G1928">
        <v>698</v>
      </c>
      <c r="H1928">
        <v>1</v>
      </c>
      <c r="I1928">
        <v>19.809999999999999</v>
      </c>
      <c r="J1928">
        <v>291</v>
      </c>
      <c r="K1928">
        <v>101</v>
      </c>
      <c r="L1928">
        <v>15</v>
      </c>
      <c r="M1928">
        <v>44</v>
      </c>
      <c r="N1928">
        <v>0</v>
      </c>
      <c r="O1928">
        <v>493</v>
      </c>
      <c r="P1928">
        <v>0</v>
      </c>
      <c r="Q1928">
        <v>-100</v>
      </c>
    </row>
    <row r="1929" spans="1:17" x14ac:dyDescent="0.45">
      <c r="A1929">
        <v>5763</v>
      </c>
      <c r="B1929" t="s">
        <v>1986</v>
      </c>
      <c r="C1929">
        <v>606</v>
      </c>
      <c r="D1929">
        <v>3</v>
      </c>
      <c r="E1929">
        <v>469.5</v>
      </c>
      <c r="F1929">
        <v>508.7</v>
      </c>
      <c r="G1929">
        <v>665.2</v>
      </c>
      <c r="H1929">
        <v>3</v>
      </c>
      <c r="I1929">
        <v>35.86</v>
      </c>
      <c r="J1929">
        <v>225</v>
      </c>
      <c r="K1929">
        <v>87</v>
      </c>
      <c r="L1929">
        <v>26</v>
      </c>
      <c r="M1929">
        <v>38</v>
      </c>
      <c r="N1929">
        <v>0</v>
      </c>
      <c r="O1929">
        <v>2414</v>
      </c>
      <c r="P1929">
        <v>0</v>
      </c>
      <c r="Q1929">
        <v>-140</v>
      </c>
    </row>
    <row r="1930" spans="1:17" x14ac:dyDescent="0.45">
      <c r="A1930">
        <v>5934</v>
      </c>
      <c r="B1930" t="s">
        <v>1987</v>
      </c>
      <c r="C1930">
        <v>241</v>
      </c>
      <c r="D1930">
        <v>3</v>
      </c>
      <c r="E1930">
        <v>547.5</v>
      </c>
      <c r="F1930">
        <v>0</v>
      </c>
      <c r="G1930">
        <v>257.60000000000002</v>
      </c>
      <c r="H1930">
        <v>3</v>
      </c>
      <c r="I1930">
        <v>35.86</v>
      </c>
      <c r="J1930">
        <v>102</v>
      </c>
      <c r="K1930">
        <v>27</v>
      </c>
      <c r="L1930">
        <v>5</v>
      </c>
      <c r="M1930">
        <v>16</v>
      </c>
      <c r="N1930">
        <v>0</v>
      </c>
      <c r="O1930">
        <v>995</v>
      </c>
      <c r="P1930">
        <v>30.26</v>
      </c>
      <c r="Q1930">
        <v>-120</v>
      </c>
    </row>
    <row r="1931" spans="1:17" x14ac:dyDescent="0.45">
      <c r="A1931">
        <v>2045</v>
      </c>
      <c r="B1931" t="s">
        <v>1988</v>
      </c>
      <c r="C1931">
        <v>501</v>
      </c>
      <c r="D1931">
        <v>3</v>
      </c>
      <c r="E1931">
        <v>418</v>
      </c>
      <c r="F1931">
        <v>7</v>
      </c>
      <c r="G1931">
        <v>610.20000000000005</v>
      </c>
      <c r="H1931">
        <v>3</v>
      </c>
      <c r="I1931">
        <v>36.93</v>
      </c>
      <c r="J1931">
        <v>231</v>
      </c>
      <c r="K1931">
        <v>59</v>
      </c>
      <c r="L1931">
        <v>24</v>
      </c>
      <c r="M1931">
        <v>47</v>
      </c>
      <c r="N1931">
        <v>0</v>
      </c>
      <c r="O1931">
        <v>1165</v>
      </c>
      <c r="P1931">
        <v>0</v>
      </c>
      <c r="Q1931">
        <v>-20</v>
      </c>
    </row>
    <row r="1932" spans="1:17" x14ac:dyDescent="0.45">
      <c r="A1932">
        <v>5764</v>
      </c>
      <c r="B1932" t="s">
        <v>1989</v>
      </c>
      <c r="C1932">
        <v>3958</v>
      </c>
      <c r="D1932">
        <v>3</v>
      </c>
      <c r="E1932">
        <v>4249.8</v>
      </c>
      <c r="F1932">
        <v>4667.2</v>
      </c>
      <c r="G1932">
        <v>2773.5</v>
      </c>
      <c r="H1932">
        <v>2</v>
      </c>
      <c r="I1932">
        <v>26.72</v>
      </c>
      <c r="J1932">
        <v>1351</v>
      </c>
      <c r="K1932">
        <v>532</v>
      </c>
      <c r="L1932">
        <v>61</v>
      </c>
      <c r="M1932">
        <v>183</v>
      </c>
      <c r="N1932">
        <v>0</v>
      </c>
      <c r="O1932">
        <v>2428</v>
      </c>
      <c r="P1932">
        <v>332.25</v>
      </c>
      <c r="Q1932">
        <v>-3031</v>
      </c>
    </row>
    <row r="1933" spans="1:17" x14ac:dyDescent="0.45">
      <c r="A1933">
        <v>3603</v>
      </c>
      <c r="B1933" t="s">
        <v>1990</v>
      </c>
      <c r="C1933">
        <v>955</v>
      </c>
      <c r="D1933">
        <v>3</v>
      </c>
      <c r="E1933">
        <v>1756.5</v>
      </c>
      <c r="F1933">
        <v>0</v>
      </c>
      <c r="G1933">
        <v>380.7</v>
      </c>
      <c r="H1933">
        <v>3</v>
      </c>
      <c r="I1933">
        <v>29.04</v>
      </c>
      <c r="J1933">
        <v>251</v>
      </c>
      <c r="K1933">
        <v>205</v>
      </c>
      <c r="L1933">
        <v>17</v>
      </c>
      <c r="M1933">
        <v>26</v>
      </c>
      <c r="N1933">
        <v>0</v>
      </c>
      <c r="O1933">
        <v>2559</v>
      </c>
      <c r="P1933">
        <v>194.17</v>
      </c>
      <c r="Q1933">
        <v>-4375</v>
      </c>
    </row>
    <row r="1934" spans="1:17" x14ac:dyDescent="0.45">
      <c r="A1934">
        <v>3764</v>
      </c>
      <c r="B1934" t="s">
        <v>1991</v>
      </c>
      <c r="C1934">
        <v>826</v>
      </c>
      <c r="D1934">
        <v>3</v>
      </c>
      <c r="E1934">
        <v>750.2</v>
      </c>
      <c r="F1934">
        <v>55.5</v>
      </c>
      <c r="G1934">
        <v>1739.2</v>
      </c>
      <c r="H1934">
        <v>3</v>
      </c>
      <c r="I1934">
        <v>29.04</v>
      </c>
      <c r="J1934">
        <v>278</v>
      </c>
      <c r="K1934">
        <v>211</v>
      </c>
      <c r="L1934">
        <v>5</v>
      </c>
      <c r="M1934">
        <v>19</v>
      </c>
      <c r="N1934">
        <v>0</v>
      </c>
      <c r="O1934">
        <v>5048</v>
      </c>
      <c r="P1934">
        <v>91.57</v>
      </c>
      <c r="Q1934">
        <v>-9614</v>
      </c>
    </row>
    <row r="1935" spans="1:17" x14ac:dyDescent="0.45">
      <c r="A1935">
        <v>6642</v>
      </c>
      <c r="B1935" t="s">
        <v>1992</v>
      </c>
      <c r="C1935">
        <v>2851</v>
      </c>
      <c r="D1935">
        <v>3</v>
      </c>
      <c r="E1935">
        <v>1946.5</v>
      </c>
      <c r="F1935">
        <v>3056.4</v>
      </c>
      <c r="G1935">
        <v>1284.0999999999999</v>
      </c>
      <c r="H1935">
        <v>1</v>
      </c>
      <c r="I1935">
        <v>10.3</v>
      </c>
      <c r="J1935">
        <v>1048</v>
      </c>
      <c r="K1935">
        <v>237</v>
      </c>
      <c r="L1935">
        <v>110</v>
      </c>
      <c r="M1935">
        <v>280</v>
      </c>
      <c r="N1935">
        <v>0</v>
      </c>
      <c r="O1935">
        <v>357</v>
      </c>
      <c r="P1935">
        <v>0</v>
      </c>
      <c r="Q1935">
        <v>-40</v>
      </c>
    </row>
    <row r="1936" spans="1:17" x14ac:dyDescent="0.45">
      <c r="A1936">
        <v>6116</v>
      </c>
      <c r="B1936" t="s">
        <v>1993</v>
      </c>
      <c r="C1936">
        <v>692</v>
      </c>
      <c r="D1936">
        <v>3</v>
      </c>
      <c r="E1936">
        <v>825.4</v>
      </c>
      <c r="F1936">
        <v>23.6</v>
      </c>
      <c r="G1936">
        <v>456.9</v>
      </c>
      <c r="H1936">
        <v>3</v>
      </c>
      <c r="I1936">
        <v>30.8</v>
      </c>
      <c r="J1936">
        <v>263</v>
      </c>
      <c r="K1936">
        <v>138</v>
      </c>
      <c r="L1936">
        <v>13</v>
      </c>
      <c r="M1936">
        <v>23</v>
      </c>
      <c r="N1936">
        <v>0</v>
      </c>
      <c r="O1936">
        <v>318</v>
      </c>
      <c r="P1936">
        <v>59.05</v>
      </c>
      <c r="Q1936">
        <v>-803</v>
      </c>
    </row>
    <row r="1937" spans="1:17" x14ac:dyDescent="0.45">
      <c r="A1937">
        <v>5765</v>
      </c>
      <c r="B1937" t="s">
        <v>1994</v>
      </c>
      <c r="C1937">
        <v>483</v>
      </c>
      <c r="D1937">
        <v>3</v>
      </c>
      <c r="E1937">
        <v>1002.5</v>
      </c>
      <c r="F1937">
        <v>587.9</v>
      </c>
      <c r="G1937">
        <v>560.9</v>
      </c>
      <c r="H1937">
        <v>3</v>
      </c>
      <c r="I1937">
        <v>35.86</v>
      </c>
      <c r="J1937">
        <v>223</v>
      </c>
      <c r="K1937">
        <v>78</v>
      </c>
      <c r="L1937">
        <v>9</v>
      </c>
      <c r="M1937">
        <v>22</v>
      </c>
      <c r="N1937">
        <v>0</v>
      </c>
      <c r="O1937">
        <v>1642</v>
      </c>
      <c r="P1937">
        <v>44.3</v>
      </c>
      <c r="Q1937">
        <v>-1184</v>
      </c>
    </row>
    <row r="1938" spans="1:17" x14ac:dyDescent="0.45">
      <c r="A1938">
        <v>2155</v>
      </c>
      <c r="B1938" t="s">
        <v>1995</v>
      </c>
      <c r="C1938">
        <v>1116</v>
      </c>
      <c r="D1938">
        <v>3</v>
      </c>
      <c r="E1938">
        <v>1191.9000000000001</v>
      </c>
      <c r="F1938">
        <v>96</v>
      </c>
      <c r="G1938">
        <v>1899.5</v>
      </c>
      <c r="H1938">
        <v>3</v>
      </c>
      <c r="I1938">
        <v>36.93</v>
      </c>
      <c r="J1938">
        <v>505</v>
      </c>
      <c r="K1938">
        <v>196</v>
      </c>
      <c r="L1938">
        <v>25</v>
      </c>
      <c r="M1938">
        <v>79</v>
      </c>
      <c r="N1938">
        <v>0</v>
      </c>
      <c r="O1938">
        <v>5204</v>
      </c>
      <c r="P1938">
        <v>0</v>
      </c>
      <c r="Q1938">
        <v>-522</v>
      </c>
    </row>
    <row r="1939" spans="1:17" x14ac:dyDescent="0.45">
      <c r="A1939">
        <v>5650</v>
      </c>
      <c r="B1939" t="s">
        <v>1996</v>
      </c>
      <c r="C1939">
        <v>185</v>
      </c>
      <c r="D1939">
        <v>3</v>
      </c>
      <c r="E1939">
        <v>193.1</v>
      </c>
      <c r="F1939">
        <v>0</v>
      </c>
      <c r="G1939">
        <v>713.7</v>
      </c>
      <c r="H1939">
        <v>3</v>
      </c>
      <c r="I1939">
        <v>35.86</v>
      </c>
      <c r="J1939">
        <v>84</v>
      </c>
      <c r="K1939">
        <v>29</v>
      </c>
      <c r="L1939">
        <v>9</v>
      </c>
      <c r="M1939">
        <v>14</v>
      </c>
      <c r="N1939">
        <v>0</v>
      </c>
      <c r="O1939">
        <v>1315</v>
      </c>
      <c r="P1939">
        <v>0</v>
      </c>
      <c r="Q1939">
        <v>-60</v>
      </c>
    </row>
    <row r="1940" spans="1:17" x14ac:dyDescent="0.45">
      <c r="A1940">
        <v>3506</v>
      </c>
      <c r="B1940" t="s">
        <v>1997</v>
      </c>
      <c r="C1940">
        <v>2749</v>
      </c>
      <c r="D1940">
        <v>3</v>
      </c>
      <c r="E1940">
        <v>13226.1</v>
      </c>
      <c r="F1940">
        <v>50.8</v>
      </c>
      <c r="G1940">
        <v>3637.7</v>
      </c>
      <c r="H1940">
        <v>3</v>
      </c>
      <c r="I1940">
        <v>29.04</v>
      </c>
      <c r="J1940">
        <v>884</v>
      </c>
      <c r="K1940">
        <v>593</v>
      </c>
      <c r="L1940">
        <v>62</v>
      </c>
      <c r="M1940">
        <v>159</v>
      </c>
      <c r="N1940">
        <v>0</v>
      </c>
      <c r="O1940">
        <v>2975</v>
      </c>
      <c r="P1940">
        <v>1382.87</v>
      </c>
      <c r="Q1940">
        <v>-3131</v>
      </c>
    </row>
    <row r="1941" spans="1:17" x14ac:dyDescent="0.45">
      <c r="A1941">
        <v>359</v>
      </c>
      <c r="B1941" t="s">
        <v>1998</v>
      </c>
      <c r="C1941">
        <v>5694</v>
      </c>
      <c r="D1941">
        <v>2</v>
      </c>
      <c r="E1941">
        <v>4925.7</v>
      </c>
      <c r="F1941">
        <v>5.4</v>
      </c>
      <c r="G1941">
        <v>4636.7</v>
      </c>
      <c r="H1941">
        <v>1</v>
      </c>
      <c r="I1941">
        <v>16.760000000000002</v>
      </c>
      <c r="J1941">
        <v>1978</v>
      </c>
      <c r="K1941">
        <v>770</v>
      </c>
      <c r="L1941">
        <v>149</v>
      </c>
      <c r="M1941">
        <v>269</v>
      </c>
      <c r="N1941">
        <v>0</v>
      </c>
      <c r="O1941">
        <v>8304</v>
      </c>
      <c r="P1941">
        <v>0</v>
      </c>
      <c r="Q1941">
        <v>-1465</v>
      </c>
    </row>
    <row r="1942" spans="1:17" x14ac:dyDescent="0.45">
      <c r="A1942">
        <v>4120</v>
      </c>
      <c r="B1942" t="s">
        <v>1999</v>
      </c>
      <c r="C1942">
        <v>1517</v>
      </c>
      <c r="D1942">
        <v>3</v>
      </c>
      <c r="E1942">
        <v>1812.7</v>
      </c>
      <c r="F1942">
        <v>0</v>
      </c>
      <c r="G1942">
        <v>1516.3</v>
      </c>
      <c r="H1942">
        <v>2</v>
      </c>
      <c r="I1942">
        <v>23.46</v>
      </c>
      <c r="J1942">
        <v>662</v>
      </c>
      <c r="K1942">
        <v>242</v>
      </c>
      <c r="L1942">
        <v>46</v>
      </c>
      <c r="M1942">
        <v>73</v>
      </c>
      <c r="N1942">
        <v>0</v>
      </c>
      <c r="O1942">
        <v>1450</v>
      </c>
      <c r="P1942">
        <v>0</v>
      </c>
      <c r="Q1942">
        <v>-341</v>
      </c>
    </row>
    <row r="1943" spans="1:17" x14ac:dyDescent="0.45">
      <c r="A1943">
        <v>6806</v>
      </c>
      <c r="B1943" t="s">
        <v>2000</v>
      </c>
      <c r="C1943">
        <v>546</v>
      </c>
      <c r="D1943">
        <v>3</v>
      </c>
      <c r="E1943">
        <v>899.6</v>
      </c>
      <c r="F1943">
        <v>0</v>
      </c>
      <c r="G1943">
        <v>1478</v>
      </c>
      <c r="H1943">
        <v>3</v>
      </c>
      <c r="I1943">
        <v>27.66</v>
      </c>
      <c r="J1943">
        <v>236</v>
      </c>
      <c r="K1943">
        <v>66</v>
      </c>
      <c r="L1943">
        <v>17</v>
      </c>
      <c r="M1943">
        <v>34</v>
      </c>
      <c r="N1943">
        <v>0</v>
      </c>
      <c r="O1943">
        <v>3573</v>
      </c>
      <c r="P1943">
        <v>0</v>
      </c>
      <c r="Q1943">
        <v>-662</v>
      </c>
    </row>
    <row r="1944" spans="1:17" x14ac:dyDescent="0.45">
      <c r="A1944">
        <v>5230</v>
      </c>
      <c r="B1944" t="s">
        <v>2001</v>
      </c>
      <c r="C1944">
        <v>620</v>
      </c>
      <c r="D1944">
        <v>3</v>
      </c>
      <c r="E1944">
        <v>887.2</v>
      </c>
      <c r="F1944">
        <v>4.2</v>
      </c>
      <c r="G1944">
        <v>640</v>
      </c>
      <c r="H1944">
        <v>1</v>
      </c>
      <c r="I1944">
        <v>18.600000000000001</v>
      </c>
      <c r="J1944">
        <v>267</v>
      </c>
      <c r="K1944">
        <v>87</v>
      </c>
      <c r="L1944">
        <v>28</v>
      </c>
      <c r="M1944">
        <v>62</v>
      </c>
      <c r="N1944">
        <v>0</v>
      </c>
      <c r="O1944">
        <v>3</v>
      </c>
      <c r="P1944">
        <v>0</v>
      </c>
      <c r="Q1944">
        <v>-221</v>
      </c>
    </row>
    <row r="1945" spans="1:17" x14ac:dyDescent="0.45">
      <c r="A1945">
        <v>6219</v>
      </c>
      <c r="B1945" t="s">
        <v>2002</v>
      </c>
      <c r="C1945">
        <v>1812</v>
      </c>
      <c r="D1945">
        <v>3</v>
      </c>
      <c r="E1945">
        <v>2018</v>
      </c>
      <c r="F1945">
        <v>41</v>
      </c>
      <c r="G1945">
        <v>4224.6000000000004</v>
      </c>
      <c r="H1945">
        <v>2</v>
      </c>
      <c r="I1945">
        <v>30.34</v>
      </c>
      <c r="J1945">
        <v>942</v>
      </c>
      <c r="K1945">
        <v>388</v>
      </c>
      <c r="L1945">
        <v>40</v>
      </c>
      <c r="M1945">
        <v>72</v>
      </c>
      <c r="N1945">
        <v>0</v>
      </c>
      <c r="O1945">
        <v>608</v>
      </c>
      <c r="P1945">
        <v>0</v>
      </c>
      <c r="Q1945">
        <v>-582</v>
      </c>
    </row>
    <row r="1946" spans="1:17" x14ac:dyDescent="0.45">
      <c r="A1946">
        <v>6643</v>
      </c>
      <c r="B1946" t="s">
        <v>2003</v>
      </c>
      <c r="C1946">
        <v>36572</v>
      </c>
      <c r="D1946">
        <v>3</v>
      </c>
      <c r="E1946">
        <v>8841.7999999999993</v>
      </c>
      <c r="F1946">
        <v>9048.2999999999993</v>
      </c>
      <c r="G1946">
        <v>13688.5</v>
      </c>
      <c r="H1946">
        <v>1</v>
      </c>
      <c r="I1946">
        <v>10.3</v>
      </c>
      <c r="J1946">
        <v>9381</v>
      </c>
      <c r="K1946">
        <v>3436</v>
      </c>
      <c r="L1946">
        <v>352</v>
      </c>
      <c r="M1946">
        <v>1655</v>
      </c>
      <c r="N1946">
        <v>0</v>
      </c>
      <c r="O1946">
        <v>56</v>
      </c>
      <c r="P1946">
        <v>37271.050000000003</v>
      </c>
      <c r="Q1946">
        <v>-181</v>
      </c>
    </row>
    <row r="1947" spans="1:17" x14ac:dyDescent="0.45">
      <c r="A1947">
        <v>6644</v>
      </c>
      <c r="B1947" t="s">
        <v>2005</v>
      </c>
      <c r="C1947">
        <v>13337</v>
      </c>
      <c r="D1947">
        <v>3</v>
      </c>
      <c r="E1947">
        <v>6599.4</v>
      </c>
      <c r="F1947">
        <v>7219.5</v>
      </c>
      <c r="G1947">
        <v>3040.6</v>
      </c>
      <c r="H1947">
        <v>1</v>
      </c>
      <c r="I1947">
        <v>10.3</v>
      </c>
      <c r="J1947">
        <v>3932</v>
      </c>
      <c r="K1947">
        <v>1154</v>
      </c>
      <c r="L1947">
        <v>159</v>
      </c>
      <c r="M1947">
        <v>737</v>
      </c>
      <c r="N1947">
        <v>0</v>
      </c>
      <c r="O1947">
        <v>347</v>
      </c>
      <c r="P1947">
        <v>0</v>
      </c>
      <c r="Q1947">
        <v>-803</v>
      </c>
    </row>
    <row r="1948" spans="1:17" x14ac:dyDescent="0.45">
      <c r="A1948">
        <v>5399</v>
      </c>
      <c r="B1948" t="s">
        <v>2006</v>
      </c>
      <c r="C1948">
        <v>804</v>
      </c>
      <c r="D1948">
        <v>3</v>
      </c>
      <c r="E1948">
        <v>661.9</v>
      </c>
      <c r="F1948">
        <v>23.5</v>
      </c>
      <c r="G1948">
        <v>336.1</v>
      </c>
      <c r="H1948">
        <v>3</v>
      </c>
      <c r="I1948">
        <v>25.45</v>
      </c>
      <c r="J1948">
        <v>329</v>
      </c>
      <c r="K1948">
        <v>108</v>
      </c>
      <c r="L1948">
        <v>13</v>
      </c>
      <c r="M1948">
        <v>33</v>
      </c>
      <c r="N1948">
        <v>0</v>
      </c>
      <c r="O1948">
        <v>812</v>
      </c>
      <c r="P1948">
        <v>0</v>
      </c>
      <c r="Q1948">
        <v>-20652</v>
      </c>
    </row>
    <row r="1949" spans="1:17" x14ac:dyDescent="0.45">
      <c r="A1949">
        <v>5890</v>
      </c>
      <c r="B1949" t="s">
        <v>2008</v>
      </c>
      <c r="C1949">
        <v>19738</v>
      </c>
      <c r="D1949">
        <v>3</v>
      </c>
      <c r="E1949">
        <v>10242.299999999999</v>
      </c>
      <c r="F1949">
        <v>20158.599999999999</v>
      </c>
      <c r="G1949">
        <v>2945.1</v>
      </c>
      <c r="H1949">
        <v>1</v>
      </c>
      <c r="I1949">
        <v>19.809999999999999</v>
      </c>
      <c r="J1949">
        <v>4449</v>
      </c>
      <c r="K1949">
        <v>1673</v>
      </c>
      <c r="L1949">
        <v>208</v>
      </c>
      <c r="M1949">
        <v>887</v>
      </c>
      <c r="N1949">
        <v>0</v>
      </c>
      <c r="O1949">
        <v>3</v>
      </c>
      <c r="P1949">
        <v>3676.9</v>
      </c>
      <c r="Q1949">
        <v>-20</v>
      </c>
    </row>
    <row r="1950" spans="1:17" x14ac:dyDescent="0.45">
      <c r="A1950">
        <v>6089</v>
      </c>
      <c r="B1950" t="s">
        <v>2009</v>
      </c>
      <c r="C1950">
        <v>1854</v>
      </c>
      <c r="D1950">
        <v>3</v>
      </c>
      <c r="E1950">
        <v>4044.7</v>
      </c>
      <c r="F1950">
        <v>411.8</v>
      </c>
      <c r="G1950">
        <v>1079.7</v>
      </c>
      <c r="H1950">
        <v>3</v>
      </c>
      <c r="I1950">
        <v>30.8</v>
      </c>
      <c r="J1950">
        <v>858</v>
      </c>
      <c r="K1950">
        <v>327</v>
      </c>
      <c r="L1950">
        <v>54</v>
      </c>
      <c r="M1950">
        <v>104</v>
      </c>
      <c r="N1950">
        <v>0</v>
      </c>
      <c r="O1950">
        <v>902</v>
      </c>
      <c r="P1950">
        <v>0</v>
      </c>
      <c r="Q1950">
        <v>-1124</v>
      </c>
    </row>
    <row r="1951" spans="1:17" x14ac:dyDescent="0.45">
      <c r="A1951">
        <v>6645</v>
      </c>
      <c r="B1951" t="s">
        <v>2010</v>
      </c>
      <c r="C1951">
        <v>11901</v>
      </c>
      <c r="D1951">
        <v>3</v>
      </c>
      <c r="E1951">
        <v>6097.2</v>
      </c>
      <c r="F1951">
        <v>5225.1000000000004</v>
      </c>
      <c r="G1951">
        <v>6294.7</v>
      </c>
      <c r="H1951">
        <v>1</v>
      </c>
      <c r="I1951">
        <v>10.3</v>
      </c>
      <c r="J1951">
        <v>3795</v>
      </c>
      <c r="K1951">
        <v>913</v>
      </c>
      <c r="L1951">
        <v>276</v>
      </c>
      <c r="M1951">
        <v>788</v>
      </c>
      <c r="N1951">
        <v>0</v>
      </c>
      <c r="O1951">
        <v>542</v>
      </c>
      <c r="P1951">
        <v>0</v>
      </c>
      <c r="Q1951">
        <v>-201</v>
      </c>
    </row>
    <row r="1952" spans="1:17" x14ac:dyDescent="0.45">
      <c r="A1952">
        <v>6267</v>
      </c>
      <c r="B1952" t="s">
        <v>2011</v>
      </c>
      <c r="C1952">
        <v>594</v>
      </c>
      <c r="D1952">
        <v>3</v>
      </c>
      <c r="E1952">
        <v>1786.7</v>
      </c>
      <c r="F1952">
        <v>7.3</v>
      </c>
      <c r="G1952">
        <v>376.8</v>
      </c>
      <c r="H1952">
        <v>2</v>
      </c>
      <c r="I1952">
        <v>30.34</v>
      </c>
      <c r="J1952">
        <v>254</v>
      </c>
      <c r="K1952">
        <v>142</v>
      </c>
      <c r="L1952">
        <v>16</v>
      </c>
      <c r="M1952">
        <v>30</v>
      </c>
      <c r="N1952">
        <v>0</v>
      </c>
      <c r="O1952">
        <v>375</v>
      </c>
      <c r="P1952">
        <v>0</v>
      </c>
      <c r="Q1952">
        <v>-80</v>
      </c>
    </row>
    <row r="1953" spans="1:17" x14ac:dyDescent="0.45">
      <c r="A1953">
        <v>5891</v>
      </c>
      <c r="B1953" t="s">
        <v>2012</v>
      </c>
      <c r="C1953">
        <v>975</v>
      </c>
      <c r="D1953">
        <v>3</v>
      </c>
      <c r="E1953">
        <v>906</v>
      </c>
      <c r="F1953">
        <v>1295.9000000000001</v>
      </c>
      <c r="G1953">
        <v>329</v>
      </c>
      <c r="H1953">
        <v>1</v>
      </c>
      <c r="I1953">
        <v>19.809999999999999</v>
      </c>
      <c r="J1953">
        <v>277</v>
      </c>
      <c r="K1953">
        <v>96</v>
      </c>
      <c r="L1953">
        <v>12</v>
      </c>
      <c r="M1953">
        <v>63</v>
      </c>
      <c r="N1953">
        <v>0</v>
      </c>
      <c r="O1953">
        <v>0</v>
      </c>
      <c r="P1953">
        <v>0</v>
      </c>
      <c r="Q1953">
        <v>-1004</v>
      </c>
    </row>
    <row r="1954" spans="1:17" x14ac:dyDescent="0.45">
      <c r="A1954">
        <v>5231</v>
      </c>
      <c r="B1954" t="s">
        <v>2013</v>
      </c>
      <c r="C1954">
        <v>1917</v>
      </c>
      <c r="D1954">
        <v>2</v>
      </c>
      <c r="E1954">
        <v>1772.5</v>
      </c>
      <c r="F1954">
        <v>1260.7</v>
      </c>
      <c r="G1954">
        <v>1736.8</v>
      </c>
      <c r="H1954">
        <v>1</v>
      </c>
      <c r="I1954">
        <v>18.600000000000001</v>
      </c>
      <c r="J1954">
        <v>713</v>
      </c>
      <c r="K1954">
        <v>272</v>
      </c>
      <c r="L1954">
        <v>41</v>
      </c>
      <c r="M1954">
        <v>153</v>
      </c>
      <c r="N1954">
        <v>0</v>
      </c>
      <c r="O1954">
        <v>468</v>
      </c>
      <c r="P1954">
        <v>0</v>
      </c>
      <c r="Q1954">
        <v>-60</v>
      </c>
    </row>
    <row r="1955" spans="1:17" x14ac:dyDescent="0.45">
      <c r="A1955">
        <v>5732</v>
      </c>
      <c r="B1955" t="s">
        <v>2014</v>
      </c>
      <c r="C1955">
        <v>1160</v>
      </c>
      <c r="D1955">
        <v>3</v>
      </c>
      <c r="E1955">
        <v>838.9</v>
      </c>
      <c r="F1955">
        <v>734</v>
      </c>
      <c r="G1955">
        <v>1126.5999999999999</v>
      </c>
      <c r="H1955">
        <v>1</v>
      </c>
      <c r="I1955">
        <v>19.809999999999999</v>
      </c>
      <c r="J1955">
        <v>532</v>
      </c>
      <c r="K1955">
        <v>130</v>
      </c>
      <c r="L1955">
        <v>55</v>
      </c>
      <c r="M1955">
        <v>116</v>
      </c>
      <c r="N1955">
        <v>0</v>
      </c>
      <c r="O1955">
        <v>77</v>
      </c>
      <c r="P1955">
        <v>0</v>
      </c>
      <c r="Q1955">
        <v>-80</v>
      </c>
    </row>
    <row r="1956" spans="1:17" x14ac:dyDescent="0.45">
      <c r="A1956">
        <v>5233</v>
      </c>
      <c r="B1956" t="s">
        <v>2015</v>
      </c>
      <c r="C1956">
        <v>415</v>
      </c>
      <c r="D1956">
        <v>3</v>
      </c>
      <c r="E1956">
        <v>1181.7</v>
      </c>
      <c r="F1956">
        <v>9.1</v>
      </c>
      <c r="G1956">
        <v>159</v>
      </c>
      <c r="H1956">
        <v>3</v>
      </c>
      <c r="I1956">
        <v>25.45</v>
      </c>
      <c r="J1956">
        <v>180</v>
      </c>
      <c r="K1956">
        <v>46</v>
      </c>
      <c r="L1956">
        <v>20</v>
      </c>
      <c r="M1956">
        <v>45</v>
      </c>
      <c r="N1956">
        <v>0</v>
      </c>
      <c r="O1956">
        <v>30</v>
      </c>
      <c r="P1956">
        <v>0</v>
      </c>
      <c r="Q1956">
        <v>-281</v>
      </c>
    </row>
    <row r="1957" spans="1:17" x14ac:dyDescent="0.45">
      <c r="A1957">
        <v>5935</v>
      </c>
      <c r="B1957" t="s">
        <v>2017</v>
      </c>
      <c r="C1957">
        <v>91</v>
      </c>
      <c r="D1957">
        <v>3</v>
      </c>
      <c r="E1957">
        <v>147.5</v>
      </c>
      <c r="F1957">
        <v>89.7</v>
      </c>
      <c r="G1957">
        <v>113.3</v>
      </c>
      <c r="H1957">
        <v>3</v>
      </c>
      <c r="I1957">
        <v>35.86</v>
      </c>
      <c r="J1957">
        <v>42</v>
      </c>
      <c r="K1957">
        <v>14</v>
      </c>
      <c r="L1957">
        <v>6</v>
      </c>
      <c r="M1957">
        <v>5</v>
      </c>
      <c r="N1957">
        <v>0</v>
      </c>
      <c r="O1957">
        <v>266</v>
      </c>
      <c r="P1957">
        <v>0</v>
      </c>
      <c r="Q1957">
        <v>-20</v>
      </c>
    </row>
    <row r="1958" spans="1:17" x14ac:dyDescent="0.45">
      <c r="A1958">
        <v>5651</v>
      </c>
      <c r="B1958" t="s">
        <v>2020</v>
      </c>
      <c r="C1958">
        <v>982</v>
      </c>
      <c r="D1958">
        <v>3</v>
      </c>
      <c r="E1958">
        <v>783.6</v>
      </c>
      <c r="F1958">
        <v>774.2</v>
      </c>
      <c r="G1958">
        <v>1886.9</v>
      </c>
      <c r="H1958">
        <v>1</v>
      </c>
      <c r="I1958">
        <v>19.809999999999999</v>
      </c>
      <c r="J1958">
        <v>501</v>
      </c>
      <c r="K1958">
        <v>200</v>
      </c>
      <c r="L1958">
        <v>38</v>
      </c>
      <c r="M1958">
        <v>130</v>
      </c>
      <c r="N1958">
        <v>0</v>
      </c>
      <c r="O1958">
        <v>268</v>
      </c>
      <c r="P1958">
        <v>0</v>
      </c>
      <c r="Q1958">
        <v>-20</v>
      </c>
    </row>
    <row r="1959" spans="1:17" x14ac:dyDescent="0.45">
      <c r="A1959">
        <v>5690</v>
      </c>
      <c r="B1959" t="s">
        <v>2018</v>
      </c>
      <c r="C1959">
        <v>138</v>
      </c>
      <c r="D1959">
        <v>3</v>
      </c>
      <c r="E1959">
        <v>375.8</v>
      </c>
      <c r="F1959">
        <v>17.7</v>
      </c>
      <c r="G1959">
        <v>121.9</v>
      </c>
      <c r="H1959">
        <v>3</v>
      </c>
      <c r="I1959">
        <v>35.86</v>
      </c>
      <c r="J1959">
        <v>53</v>
      </c>
      <c r="K1959">
        <v>21</v>
      </c>
      <c r="L1959">
        <v>3</v>
      </c>
      <c r="M1959">
        <v>12</v>
      </c>
      <c r="N1959">
        <v>0</v>
      </c>
      <c r="O1959">
        <v>882</v>
      </c>
      <c r="P1959">
        <v>0</v>
      </c>
      <c r="Q1959">
        <v>-201</v>
      </c>
    </row>
    <row r="1960" spans="1:17" x14ac:dyDescent="0.45">
      <c r="A1960">
        <v>5537</v>
      </c>
      <c r="B1960" t="s">
        <v>2019</v>
      </c>
      <c r="C1960">
        <v>1307</v>
      </c>
      <c r="D1960">
        <v>3</v>
      </c>
      <c r="E1960">
        <v>554.29999999999995</v>
      </c>
      <c r="F1960">
        <v>1001.5</v>
      </c>
      <c r="G1960">
        <v>3081.8</v>
      </c>
      <c r="H1960">
        <v>2</v>
      </c>
      <c r="I1960">
        <v>26.72</v>
      </c>
      <c r="J1960">
        <v>531</v>
      </c>
      <c r="K1960">
        <v>137</v>
      </c>
      <c r="L1960">
        <v>22</v>
      </c>
      <c r="M1960">
        <v>94</v>
      </c>
      <c r="N1960">
        <v>0</v>
      </c>
      <c r="O1960">
        <v>2764</v>
      </c>
      <c r="P1960">
        <v>0</v>
      </c>
      <c r="Q1960">
        <v>-201</v>
      </c>
    </row>
    <row r="1961" spans="1:17" x14ac:dyDescent="0.45">
      <c r="A1961">
        <v>5652</v>
      </c>
      <c r="B1961" t="s">
        <v>2021</v>
      </c>
      <c r="C1961">
        <v>615</v>
      </c>
      <c r="D1961">
        <v>3</v>
      </c>
      <c r="E1961">
        <v>478.9</v>
      </c>
      <c r="F1961">
        <v>496.9</v>
      </c>
      <c r="G1961">
        <v>431.4</v>
      </c>
      <c r="H1961">
        <v>3</v>
      </c>
      <c r="I1961">
        <v>35.86</v>
      </c>
      <c r="J1961">
        <v>246</v>
      </c>
      <c r="K1961">
        <v>66</v>
      </c>
      <c r="L1961">
        <v>18</v>
      </c>
      <c r="M1961">
        <v>37</v>
      </c>
      <c r="N1961">
        <v>0</v>
      </c>
      <c r="O1961">
        <v>1299</v>
      </c>
      <c r="P1961">
        <v>38.409999999999997</v>
      </c>
      <c r="Q1961">
        <v>-100</v>
      </c>
    </row>
    <row r="1962" spans="1:17" x14ac:dyDescent="0.45">
      <c r="A1962">
        <v>2228</v>
      </c>
      <c r="B1962" t="s">
        <v>2022</v>
      </c>
      <c r="C1962">
        <v>12328</v>
      </c>
      <c r="D1962">
        <v>2</v>
      </c>
      <c r="E1962">
        <v>4071.5</v>
      </c>
      <c r="F1962">
        <v>6798.6</v>
      </c>
      <c r="G1962">
        <v>6382.5</v>
      </c>
      <c r="H1962">
        <v>1</v>
      </c>
      <c r="I1962">
        <v>23.82</v>
      </c>
      <c r="J1962">
        <v>3769</v>
      </c>
      <c r="K1962">
        <v>1315</v>
      </c>
      <c r="L1962">
        <v>250</v>
      </c>
      <c r="M1962">
        <v>795</v>
      </c>
      <c r="N1962">
        <v>7933</v>
      </c>
      <c r="O1962">
        <v>300</v>
      </c>
      <c r="P1962">
        <v>1661.25</v>
      </c>
      <c r="Q1962">
        <v>-201</v>
      </c>
    </row>
    <row r="1963" spans="1:17" x14ac:dyDescent="0.45">
      <c r="A1963">
        <v>2230</v>
      </c>
      <c r="B1963" t="s">
        <v>2016</v>
      </c>
      <c r="C1963">
        <v>68</v>
      </c>
      <c r="D1963">
        <v>3</v>
      </c>
      <c r="E1963">
        <v>67.8</v>
      </c>
      <c r="F1963">
        <v>0</v>
      </c>
      <c r="G1963">
        <v>1819.1</v>
      </c>
      <c r="H1963">
        <v>3</v>
      </c>
      <c r="I1963">
        <v>36.93</v>
      </c>
      <c r="J1963">
        <v>36</v>
      </c>
      <c r="K1963">
        <v>14</v>
      </c>
      <c r="L1963">
        <v>0</v>
      </c>
      <c r="M1963">
        <v>2</v>
      </c>
      <c r="N1963">
        <v>0</v>
      </c>
      <c r="O1963">
        <v>958</v>
      </c>
      <c r="P1963">
        <v>0</v>
      </c>
      <c r="Q1963">
        <v>-60</v>
      </c>
    </row>
    <row r="1964" spans="1:17" x14ac:dyDescent="0.45">
      <c r="A1964">
        <v>5830</v>
      </c>
      <c r="B1964" t="s">
        <v>2023</v>
      </c>
      <c r="C1964">
        <v>487</v>
      </c>
      <c r="D1964">
        <v>3</v>
      </c>
      <c r="E1964">
        <v>829.2</v>
      </c>
      <c r="F1964">
        <v>496.7</v>
      </c>
      <c r="G1964">
        <v>843.2</v>
      </c>
      <c r="H1964">
        <v>3</v>
      </c>
      <c r="I1964">
        <v>35.86</v>
      </c>
      <c r="J1964">
        <v>197</v>
      </c>
      <c r="K1964">
        <v>73</v>
      </c>
      <c r="L1964">
        <v>15</v>
      </c>
      <c r="M1964">
        <v>23</v>
      </c>
      <c r="N1964">
        <v>0</v>
      </c>
      <c r="O1964">
        <v>1722</v>
      </c>
      <c r="P1964">
        <v>0</v>
      </c>
      <c r="Q1964">
        <v>-361</v>
      </c>
    </row>
    <row r="1965" spans="1:17" x14ac:dyDescent="0.45">
      <c r="A1965">
        <v>2117</v>
      </c>
      <c r="B1965" t="s">
        <v>2024</v>
      </c>
      <c r="C1965">
        <v>2345</v>
      </c>
      <c r="D1965">
        <v>3</v>
      </c>
      <c r="E1965">
        <v>2344.3000000000002</v>
      </c>
      <c r="F1965">
        <v>231.5</v>
      </c>
      <c r="G1965">
        <v>5509.1</v>
      </c>
      <c r="H1965">
        <v>3</v>
      </c>
      <c r="I1965">
        <v>36.93</v>
      </c>
      <c r="J1965">
        <v>1045</v>
      </c>
      <c r="K1965">
        <v>287</v>
      </c>
      <c r="L1965">
        <v>54</v>
      </c>
      <c r="M1965">
        <v>138</v>
      </c>
      <c r="N1965">
        <v>0</v>
      </c>
      <c r="O1965">
        <v>7147</v>
      </c>
      <c r="P1965">
        <v>0</v>
      </c>
      <c r="Q1965">
        <v>-622</v>
      </c>
    </row>
    <row r="1966" spans="1:17" x14ac:dyDescent="0.45">
      <c r="A1966">
        <v>5414</v>
      </c>
      <c r="B1966" t="s">
        <v>2025</v>
      </c>
      <c r="C1966">
        <v>5968</v>
      </c>
      <c r="D1966">
        <v>3</v>
      </c>
      <c r="E1966">
        <v>2659.1</v>
      </c>
      <c r="F1966">
        <v>6573.8</v>
      </c>
      <c r="G1966">
        <v>7285.9</v>
      </c>
      <c r="H1966">
        <v>1</v>
      </c>
      <c r="I1966">
        <v>19.809999999999999</v>
      </c>
      <c r="J1966">
        <v>1652</v>
      </c>
      <c r="K1966">
        <v>770</v>
      </c>
      <c r="L1966">
        <v>92</v>
      </c>
      <c r="M1966">
        <v>269</v>
      </c>
      <c r="N1966">
        <v>0</v>
      </c>
      <c r="O1966">
        <v>398</v>
      </c>
      <c r="P1966">
        <v>0</v>
      </c>
      <c r="Q1966">
        <v>-3532</v>
      </c>
    </row>
    <row r="1967" spans="1:17" x14ac:dyDescent="0.45">
      <c r="A1967">
        <v>448</v>
      </c>
      <c r="B1967" t="s">
        <v>2026</v>
      </c>
      <c r="C1967">
        <v>923</v>
      </c>
      <c r="D1967">
        <v>1</v>
      </c>
      <c r="E1967">
        <v>1364.5</v>
      </c>
      <c r="F1967">
        <v>164.2</v>
      </c>
      <c r="G1967">
        <v>1123.9000000000001</v>
      </c>
      <c r="H1967">
        <v>2</v>
      </c>
      <c r="I1967">
        <v>24.84</v>
      </c>
      <c r="J1967">
        <v>371</v>
      </c>
      <c r="K1967">
        <v>130</v>
      </c>
      <c r="L1967">
        <v>12</v>
      </c>
      <c r="M1967">
        <v>38</v>
      </c>
      <c r="N1967">
        <v>0</v>
      </c>
      <c r="O1967">
        <v>2343</v>
      </c>
      <c r="P1967">
        <v>376.55</v>
      </c>
      <c r="Q1967">
        <v>-1525</v>
      </c>
    </row>
    <row r="1968" spans="1:17" x14ac:dyDescent="0.45">
      <c r="A1968">
        <v>4121</v>
      </c>
      <c r="B1968" t="s">
        <v>2027</v>
      </c>
      <c r="C1968">
        <v>2179</v>
      </c>
      <c r="D1968">
        <v>3</v>
      </c>
      <c r="E1968">
        <v>1176.8</v>
      </c>
      <c r="F1968">
        <v>15.8</v>
      </c>
      <c r="G1968">
        <v>2291.1999999999998</v>
      </c>
      <c r="H1968">
        <v>2</v>
      </c>
      <c r="I1968">
        <v>23.46</v>
      </c>
      <c r="J1968">
        <v>906</v>
      </c>
      <c r="K1968">
        <v>329</v>
      </c>
      <c r="L1968">
        <v>67</v>
      </c>
      <c r="M1968">
        <v>118</v>
      </c>
      <c r="N1968">
        <v>0</v>
      </c>
      <c r="O1968">
        <v>1255</v>
      </c>
      <c r="P1968">
        <v>609.13</v>
      </c>
      <c r="Q1968">
        <v>-1104</v>
      </c>
    </row>
    <row r="1969" spans="1:17" x14ac:dyDescent="0.45">
      <c r="A1969">
        <v>4080</v>
      </c>
      <c r="B1969" t="s">
        <v>2028</v>
      </c>
      <c r="C1969">
        <v>7869</v>
      </c>
      <c r="D1969">
        <v>3</v>
      </c>
      <c r="E1969">
        <v>5787.7</v>
      </c>
      <c r="F1969">
        <v>5100.8999999999996</v>
      </c>
      <c r="G1969">
        <v>14063.6</v>
      </c>
      <c r="H1969">
        <v>1</v>
      </c>
      <c r="I1969">
        <v>20.87</v>
      </c>
      <c r="J1969">
        <v>2644</v>
      </c>
      <c r="K1969">
        <v>1158</v>
      </c>
      <c r="L1969">
        <v>162</v>
      </c>
      <c r="M1969">
        <v>417</v>
      </c>
      <c r="N1969">
        <v>0</v>
      </c>
      <c r="O1969">
        <v>2834</v>
      </c>
      <c r="P1969">
        <v>0</v>
      </c>
      <c r="Q1969">
        <v>-803</v>
      </c>
    </row>
    <row r="1970" spans="1:17" x14ac:dyDescent="0.45">
      <c r="A1970">
        <v>4122</v>
      </c>
      <c r="B1970" t="s">
        <v>2029</v>
      </c>
      <c r="C1970">
        <v>1664</v>
      </c>
      <c r="D1970">
        <v>3</v>
      </c>
      <c r="E1970">
        <v>2140.8000000000002</v>
      </c>
      <c r="F1970">
        <v>0</v>
      </c>
      <c r="G1970">
        <v>830.3</v>
      </c>
      <c r="H1970">
        <v>3</v>
      </c>
      <c r="I1970">
        <v>23.9</v>
      </c>
      <c r="J1970">
        <v>625</v>
      </c>
      <c r="K1970">
        <v>254</v>
      </c>
      <c r="L1970">
        <v>37</v>
      </c>
      <c r="M1970">
        <v>66</v>
      </c>
      <c r="N1970">
        <v>0</v>
      </c>
      <c r="O1970">
        <v>562</v>
      </c>
      <c r="P1970">
        <v>293.13</v>
      </c>
      <c r="Q1970">
        <v>-562</v>
      </c>
    </row>
    <row r="1971" spans="1:17" x14ac:dyDescent="0.45">
      <c r="A1971">
        <v>2114</v>
      </c>
      <c r="B1971" t="s">
        <v>2030</v>
      </c>
      <c r="C1971">
        <v>1512</v>
      </c>
      <c r="D1971">
        <v>3</v>
      </c>
      <c r="E1971">
        <v>1481.1</v>
      </c>
      <c r="F1971">
        <v>43.6</v>
      </c>
      <c r="G1971">
        <v>3879.4</v>
      </c>
      <c r="H1971">
        <v>3</v>
      </c>
      <c r="I1971">
        <v>36.93</v>
      </c>
      <c r="J1971">
        <v>705</v>
      </c>
      <c r="K1971">
        <v>217</v>
      </c>
      <c r="L1971">
        <v>47</v>
      </c>
      <c r="M1971">
        <v>72</v>
      </c>
      <c r="N1971">
        <v>0</v>
      </c>
      <c r="O1971">
        <v>8820</v>
      </c>
      <c r="P1971">
        <v>0</v>
      </c>
      <c r="Q1971">
        <v>-863</v>
      </c>
    </row>
    <row r="1972" spans="1:17" x14ac:dyDescent="0.45">
      <c r="A1972">
        <v>3297</v>
      </c>
      <c r="B1972" t="s">
        <v>2031</v>
      </c>
      <c r="C1972">
        <v>5015</v>
      </c>
      <c r="D1972">
        <v>2</v>
      </c>
      <c r="E1972">
        <v>4598.2</v>
      </c>
      <c r="F1972">
        <v>1314.8</v>
      </c>
      <c r="G1972">
        <v>6607.3</v>
      </c>
      <c r="H1972">
        <v>1</v>
      </c>
      <c r="I1972">
        <v>22.7</v>
      </c>
      <c r="J1972">
        <v>1642</v>
      </c>
      <c r="K1972">
        <v>1050</v>
      </c>
      <c r="L1972">
        <v>113</v>
      </c>
      <c r="M1972">
        <v>213</v>
      </c>
      <c r="N1972">
        <v>0</v>
      </c>
      <c r="O1972">
        <v>4895</v>
      </c>
      <c r="P1972">
        <v>0</v>
      </c>
      <c r="Q1972">
        <v>-2127</v>
      </c>
    </row>
    <row r="1973" spans="1:17" x14ac:dyDescent="0.45">
      <c r="A1973">
        <v>502</v>
      </c>
      <c r="B1973" t="s">
        <v>2032</v>
      </c>
      <c r="C1973">
        <v>888</v>
      </c>
      <c r="D1973">
        <v>2</v>
      </c>
      <c r="E1973">
        <v>729.9</v>
      </c>
      <c r="F1973">
        <v>7</v>
      </c>
      <c r="G1973">
        <v>1316</v>
      </c>
      <c r="H1973">
        <v>3</v>
      </c>
      <c r="I1973">
        <v>26.41</v>
      </c>
      <c r="J1973">
        <v>362</v>
      </c>
      <c r="K1973">
        <v>149</v>
      </c>
      <c r="L1973">
        <v>20</v>
      </c>
      <c r="M1973">
        <v>52</v>
      </c>
      <c r="N1973">
        <v>0</v>
      </c>
      <c r="O1973">
        <v>1271</v>
      </c>
      <c r="P1973">
        <v>0</v>
      </c>
      <c r="Q1973">
        <v>-321</v>
      </c>
    </row>
    <row r="1974" spans="1:17" x14ac:dyDescent="0.45">
      <c r="A1974">
        <v>5863</v>
      </c>
      <c r="B1974" t="s">
        <v>2033</v>
      </c>
      <c r="C1974">
        <v>379</v>
      </c>
      <c r="D1974">
        <v>3</v>
      </c>
      <c r="E1974">
        <v>217.4</v>
      </c>
      <c r="F1974">
        <v>607.9</v>
      </c>
      <c r="G1974">
        <v>929.5</v>
      </c>
      <c r="H1974">
        <v>2</v>
      </c>
      <c r="I1974">
        <v>26.72</v>
      </c>
      <c r="J1974">
        <v>163</v>
      </c>
      <c r="K1974">
        <v>52</v>
      </c>
      <c r="L1974">
        <v>17</v>
      </c>
      <c r="M1974">
        <v>25</v>
      </c>
      <c r="N1974">
        <v>0</v>
      </c>
      <c r="O1974">
        <v>212</v>
      </c>
      <c r="P1974">
        <v>0</v>
      </c>
      <c r="Q1974">
        <v>-40</v>
      </c>
    </row>
    <row r="1975" spans="1:17" x14ac:dyDescent="0.45">
      <c r="A1975">
        <v>6158</v>
      </c>
      <c r="B1975" t="s">
        <v>2034</v>
      </c>
      <c r="C1975">
        <v>2902</v>
      </c>
      <c r="D1975">
        <v>3</v>
      </c>
      <c r="E1975">
        <v>1367</v>
      </c>
      <c r="F1975">
        <v>1009.8</v>
      </c>
      <c r="G1975">
        <v>2402.6</v>
      </c>
      <c r="H1975">
        <v>2</v>
      </c>
      <c r="I1975">
        <v>30.34</v>
      </c>
      <c r="J1975">
        <v>1433</v>
      </c>
      <c r="K1975">
        <v>509</v>
      </c>
      <c r="L1975">
        <v>85</v>
      </c>
      <c r="M1975">
        <v>235</v>
      </c>
      <c r="N1975">
        <v>0</v>
      </c>
      <c r="O1975">
        <v>1576</v>
      </c>
      <c r="P1975">
        <v>262.83</v>
      </c>
      <c r="Q1975">
        <v>-2268</v>
      </c>
    </row>
    <row r="1976" spans="1:17" x14ac:dyDescent="0.45">
      <c r="A1976">
        <v>6297</v>
      </c>
      <c r="B1976" t="s">
        <v>2035</v>
      </c>
      <c r="C1976">
        <v>8305</v>
      </c>
      <c r="D1976">
        <v>3</v>
      </c>
      <c r="E1976">
        <v>9409.7000000000007</v>
      </c>
      <c r="F1976">
        <v>870.3</v>
      </c>
      <c r="G1976">
        <v>8811.9</v>
      </c>
      <c r="H1976">
        <v>1</v>
      </c>
      <c r="I1976">
        <v>24.74</v>
      </c>
      <c r="J1976">
        <v>2578</v>
      </c>
      <c r="K1976">
        <v>1662</v>
      </c>
      <c r="L1976">
        <v>237</v>
      </c>
      <c r="M1976">
        <v>406</v>
      </c>
      <c r="N1976">
        <v>151829</v>
      </c>
      <c r="O1976">
        <v>1729</v>
      </c>
      <c r="P1976">
        <v>17226.060000000001</v>
      </c>
      <c r="Q1976">
        <v>-1525</v>
      </c>
    </row>
    <row r="1977" spans="1:17" x14ac:dyDescent="0.45">
      <c r="A1977">
        <v>6298</v>
      </c>
      <c r="B1977" t="s">
        <v>2036</v>
      </c>
      <c r="C1977">
        <v>1310</v>
      </c>
      <c r="D1977">
        <v>3</v>
      </c>
      <c r="E1977">
        <v>2138.8000000000002</v>
      </c>
      <c r="F1977">
        <v>7.8</v>
      </c>
      <c r="G1977">
        <v>2100.9</v>
      </c>
      <c r="H1977">
        <v>3</v>
      </c>
      <c r="I1977">
        <v>30.8</v>
      </c>
      <c r="J1977">
        <v>322</v>
      </c>
      <c r="K1977">
        <v>241</v>
      </c>
      <c r="L1977">
        <v>27</v>
      </c>
      <c r="M1977">
        <v>44</v>
      </c>
      <c r="N1977">
        <v>0</v>
      </c>
      <c r="O1977">
        <v>873</v>
      </c>
      <c r="P1977">
        <v>0</v>
      </c>
      <c r="Q1977">
        <v>-3472</v>
      </c>
    </row>
    <row r="1978" spans="1:17" x14ac:dyDescent="0.45">
      <c r="A1978">
        <v>1068</v>
      </c>
      <c r="B1978" t="s">
        <v>2037</v>
      </c>
      <c r="C1978">
        <v>1461</v>
      </c>
      <c r="D1978">
        <v>3</v>
      </c>
      <c r="E1978">
        <v>1527.3</v>
      </c>
      <c r="F1978">
        <v>0</v>
      </c>
      <c r="G1978">
        <v>1504.8</v>
      </c>
      <c r="H1978">
        <v>3</v>
      </c>
      <c r="I1978">
        <v>26.39</v>
      </c>
      <c r="J1978">
        <v>531</v>
      </c>
      <c r="K1978">
        <v>180</v>
      </c>
      <c r="L1978">
        <v>48</v>
      </c>
      <c r="M1978">
        <v>93</v>
      </c>
      <c r="N1978">
        <v>0</v>
      </c>
      <c r="O1978">
        <v>1447</v>
      </c>
      <c r="P1978">
        <v>0</v>
      </c>
      <c r="Q1978">
        <v>-883</v>
      </c>
    </row>
    <row r="1979" spans="1:17" x14ac:dyDescent="0.45">
      <c r="A1979">
        <v>43</v>
      </c>
      <c r="B1979" t="s">
        <v>2038</v>
      </c>
      <c r="C1979">
        <v>381</v>
      </c>
      <c r="D1979">
        <v>3</v>
      </c>
      <c r="E1979">
        <v>326.60000000000002</v>
      </c>
      <c r="F1979">
        <v>0</v>
      </c>
      <c r="G1979">
        <v>189.3</v>
      </c>
      <c r="H1979">
        <v>2</v>
      </c>
      <c r="I1979">
        <v>24.61</v>
      </c>
      <c r="J1979">
        <v>148</v>
      </c>
      <c r="K1979">
        <v>65</v>
      </c>
      <c r="L1979">
        <v>5</v>
      </c>
      <c r="M1979">
        <v>20</v>
      </c>
      <c r="N1979">
        <v>0</v>
      </c>
      <c r="O1979">
        <v>746</v>
      </c>
      <c r="P1979">
        <v>0</v>
      </c>
      <c r="Q1979">
        <v>-161</v>
      </c>
    </row>
    <row r="1980" spans="1:17" x14ac:dyDescent="0.45">
      <c r="A1980">
        <v>199</v>
      </c>
      <c r="B1980" t="s">
        <v>2039</v>
      </c>
      <c r="C1980">
        <v>19412</v>
      </c>
      <c r="D1980">
        <v>3</v>
      </c>
      <c r="E1980">
        <v>12622.9</v>
      </c>
      <c r="F1980">
        <v>11955.2</v>
      </c>
      <c r="G1980">
        <v>13863.2</v>
      </c>
      <c r="H1980">
        <v>1</v>
      </c>
      <c r="I1980">
        <v>15.69</v>
      </c>
      <c r="J1980">
        <v>6734</v>
      </c>
      <c r="K1980">
        <v>2980</v>
      </c>
      <c r="L1980">
        <v>521</v>
      </c>
      <c r="M1980">
        <v>1277</v>
      </c>
      <c r="N1980">
        <v>0</v>
      </c>
      <c r="O1980">
        <v>2854</v>
      </c>
      <c r="P1980">
        <v>0</v>
      </c>
      <c r="Q1980">
        <v>-682</v>
      </c>
    </row>
    <row r="1981" spans="1:17" x14ac:dyDescent="0.45">
      <c r="A1981">
        <v>4287</v>
      </c>
      <c r="B1981" t="s">
        <v>2040</v>
      </c>
      <c r="C1981">
        <v>1978</v>
      </c>
      <c r="D1981">
        <v>3</v>
      </c>
      <c r="E1981">
        <v>2250.8000000000002</v>
      </c>
      <c r="F1981">
        <v>6.8</v>
      </c>
      <c r="G1981">
        <v>3295.1</v>
      </c>
      <c r="H1981">
        <v>2</v>
      </c>
      <c r="I1981">
        <v>23.46</v>
      </c>
      <c r="J1981">
        <v>801</v>
      </c>
      <c r="K1981">
        <v>260</v>
      </c>
      <c r="L1981">
        <v>47</v>
      </c>
      <c r="M1981">
        <v>122</v>
      </c>
      <c r="N1981">
        <v>0</v>
      </c>
      <c r="O1981">
        <v>1036</v>
      </c>
      <c r="P1981">
        <v>0</v>
      </c>
      <c r="Q1981">
        <v>-1144</v>
      </c>
    </row>
    <row r="1982" spans="1:17" x14ac:dyDescent="0.45">
      <c r="A1982">
        <v>1348</v>
      </c>
      <c r="B1982" t="s">
        <v>2041</v>
      </c>
      <c r="C1982">
        <v>983</v>
      </c>
      <c r="D1982">
        <v>3</v>
      </c>
      <c r="E1982">
        <v>1082.3</v>
      </c>
      <c r="F1982">
        <v>15.1</v>
      </c>
      <c r="G1982">
        <v>636.6</v>
      </c>
      <c r="H1982">
        <v>3</v>
      </c>
      <c r="I1982">
        <v>30.7</v>
      </c>
      <c r="J1982">
        <v>477</v>
      </c>
      <c r="K1982">
        <v>214</v>
      </c>
      <c r="L1982">
        <v>6</v>
      </c>
      <c r="M1982">
        <v>47</v>
      </c>
      <c r="N1982">
        <v>0</v>
      </c>
      <c r="O1982">
        <v>4037</v>
      </c>
      <c r="P1982">
        <v>76.77</v>
      </c>
      <c r="Q1982">
        <v>-3091</v>
      </c>
    </row>
    <row r="1983" spans="1:17" x14ac:dyDescent="0.45">
      <c r="A1983">
        <v>6159</v>
      </c>
      <c r="B1983" t="s">
        <v>2042</v>
      </c>
      <c r="C1983">
        <v>4473</v>
      </c>
      <c r="D1983">
        <v>3</v>
      </c>
      <c r="E1983">
        <v>3052.5</v>
      </c>
      <c r="F1983">
        <v>1508.5</v>
      </c>
      <c r="G1983">
        <v>3543.4</v>
      </c>
      <c r="H1983">
        <v>2</v>
      </c>
      <c r="I1983">
        <v>30.34</v>
      </c>
      <c r="J1983">
        <v>1977</v>
      </c>
      <c r="K1983">
        <v>828</v>
      </c>
      <c r="L1983">
        <v>105</v>
      </c>
      <c r="M1983">
        <v>290</v>
      </c>
      <c r="N1983">
        <v>0</v>
      </c>
      <c r="O1983">
        <v>3355</v>
      </c>
      <c r="P1983">
        <v>221.5</v>
      </c>
      <c r="Q1983">
        <v>-2509</v>
      </c>
    </row>
    <row r="1984" spans="1:17" x14ac:dyDescent="0.45">
      <c r="A1984">
        <v>2160</v>
      </c>
      <c r="B1984" t="s">
        <v>2043</v>
      </c>
      <c r="C1984">
        <v>2541</v>
      </c>
      <c r="D1984">
        <v>3</v>
      </c>
      <c r="E1984">
        <v>2083.8000000000002</v>
      </c>
      <c r="F1984">
        <v>119.4</v>
      </c>
      <c r="G1984">
        <v>4855.8</v>
      </c>
      <c r="H1984">
        <v>1</v>
      </c>
      <c r="I1984">
        <v>23.82</v>
      </c>
      <c r="J1984">
        <v>1115</v>
      </c>
      <c r="K1984">
        <v>420</v>
      </c>
      <c r="L1984">
        <v>67</v>
      </c>
      <c r="M1984">
        <v>172</v>
      </c>
      <c r="N1984">
        <v>0</v>
      </c>
      <c r="O1984">
        <v>6330</v>
      </c>
      <c r="P1984">
        <v>0</v>
      </c>
      <c r="Q1984">
        <v>-462</v>
      </c>
    </row>
    <row r="1985" spans="1:17" x14ac:dyDescent="0.45">
      <c r="A1985">
        <v>5539</v>
      </c>
      <c r="B1985" t="s">
        <v>2044</v>
      </c>
      <c r="C1985">
        <v>1107</v>
      </c>
      <c r="D1985">
        <v>3</v>
      </c>
      <c r="E1985">
        <v>664.8</v>
      </c>
      <c r="F1985">
        <v>994.6</v>
      </c>
      <c r="G1985">
        <v>2246.6999999999998</v>
      </c>
      <c r="H1985">
        <v>3</v>
      </c>
      <c r="I1985">
        <v>35.86</v>
      </c>
      <c r="J1985">
        <v>468</v>
      </c>
      <c r="K1985">
        <v>99</v>
      </c>
      <c r="L1985">
        <v>30</v>
      </c>
      <c r="M1985">
        <v>88</v>
      </c>
      <c r="N1985">
        <v>0</v>
      </c>
      <c r="O1985">
        <v>2919</v>
      </c>
      <c r="P1985">
        <v>41.33</v>
      </c>
      <c r="Q1985">
        <v>-421</v>
      </c>
    </row>
    <row r="1986" spans="1:17" x14ac:dyDescent="0.45">
      <c r="A1986">
        <v>5692</v>
      </c>
      <c r="B1986" t="s">
        <v>2045</v>
      </c>
      <c r="C1986">
        <v>635</v>
      </c>
      <c r="D1986">
        <v>3</v>
      </c>
      <c r="E1986">
        <v>701.4</v>
      </c>
      <c r="F1986">
        <v>298.89999999999998</v>
      </c>
      <c r="G1986">
        <v>1064.9000000000001</v>
      </c>
      <c r="H1986">
        <v>3</v>
      </c>
      <c r="I1986">
        <v>35.86</v>
      </c>
      <c r="J1986">
        <v>262</v>
      </c>
      <c r="K1986">
        <v>81</v>
      </c>
      <c r="L1986">
        <v>24</v>
      </c>
      <c r="M1986">
        <v>57</v>
      </c>
      <c r="N1986">
        <v>0</v>
      </c>
      <c r="O1986">
        <v>882</v>
      </c>
      <c r="P1986">
        <v>0</v>
      </c>
      <c r="Q1986">
        <v>-161</v>
      </c>
    </row>
    <row r="1987" spans="1:17" x14ac:dyDescent="0.45">
      <c r="A1987">
        <v>5503</v>
      </c>
      <c r="B1987" t="s">
        <v>2046</v>
      </c>
      <c r="C1987">
        <v>1337</v>
      </c>
      <c r="D1987">
        <v>3</v>
      </c>
      <c r="E1987">
        <v>1070.5999999999999</v>
      </c>
      <c r="F1987">
        <v>1391</v>
      </c>
      <c r="G1987">
        <v>4803.7</v>
      </c>
      <c r="H1987">
        <v>2</v>
      </c>
      <c r="I1987">
        <v>26.72</v>
      </c>
      <c r="J1987">
        <v>541</v>
      </c>
      <c r="K1987">
        <v>146</v>
      </c>
      <c r="L1987">
        <v>43</v>
      </c>
      <c r="M1987">
        <v>141</v>
      </c>
      <c r="N1987">
        <v>0</v>
      </c>
      <c r="O1987">
        <v>926</v>
      </c>
      <c r="P1987">
        <v>0</v>
      </c>
      <c r="Q1987">
        <v>-241</v>
      </c>
    </row>
    <row r="1988" spans="1:17" x14ac:dyDescent="0.45">
      <c r="A1988">
        <v>5653</v>
      </c>
      <c r="B1988" t="s">
        <v>2047</v>
      </c>
      <c r="C1988">
        <v>884</v>
      </c>
      <c r="D1988">
        <v>3</v>
      </c>
      <c r="E1988">
        <v>590.29999999999995</v>
      </c>
      <c r="F1988">
        <v>872</v>
      </c>
      <c r="G1988">
        <v>818.4</v>
      </c>
      <c r="H1988">
        <v>2</v>
      </c>
      <c r="I1988">
        <v>26.72</v>
      </c>
      <c r="J1988">
        <v>325</v>
      </c>
      <c r="K1988">
        <v>85</v>
      </c>
      <c r="L1988">
        <v>28</v>
      </c>
      <c r="M1988">
        <v>62</v>
      </c>
      <c r="N1988">
        <v>0</v>
      </c>
      <c r="O1988">
        <v>191</v>
      </c>
      <c r="P1988">
        <v>0</v>
      </c>
      <c r="Q1988">
        <v>-60</v>
      </c>
    </row>
    <row r="1989" spans="1:17" x14ac:dyDescent="0.45">
      <c r="A1989">
        <v>5937</v>
      </c>
      <c r="B1989" t="s">
        <v>2048</v>
      </c>
      <c r="C1989">
        <v>137</v>
      </c>
      <c r="D1989">
        <v>3</v>
      </c>
      <c r="E1989">
        <v>178</v>
      </c>
      <c r="F1989">
        <v>0</v>
      </c>
      <c r="G1989">
        <v>69.5</v>
      </c>
      <c r="H1989">
        <v>3</v>
      </c>
      <c r="I1989">
        <v>35.86</v>
      </c>
      <c r="J1989">
        <v>59</v>
      </c>
      <c r="K1989">
        <v>27</v>
      </c>
      <c r="L1989">
        <v>5</v>
      </c>
      <c r="M1989">
        <v>3</v>
      </c>
      <c r="N1989">
        <v>0</v>
      </c>
      <c r="O1989">
        <v>459</v>
      </c>
      <c r="P1989">
        <v>19.18</v>
      </c>
      <c r="Q1989">
        <v>-361</v>
      </c>
    </row>
    <row r="1990" spans="1:17" x14ac:dyDescent="0.45">
      <c r="A1990">
        <v>2113</v>
      </c>
      <c r="B1990" t="s">
        <v>2049</v>
      </c>
      <c r="C1990">
        <v>2381</v>
      </c>
      <c r="D1990">
        <v>3</v>
      </c>
      <c r="E1990">
        <v>2783</v>
      </c>
      <c r="F1990">
        <v>193.8</v>
      </c>
      <c r="G1990">
        <v>4053.6</v>
      </c>
      <c r="H1990">
        <v>3</v>
      </c>
      <c r="I1990">
        <v>36.93</v>
      </c>
      <c r="J1990">
        <v>1059</v>
      </c>
      <c r="K1990">
        <v>364</v>
      </c>
      <c r="L1990">
        <v>55</v>
      </c>
      <c r="M1990">
        <v>123</v>
      </c>
      <c r="N1990">
        <v>0</v>
      </c>
      <c r="O1990">
        <v>16598</v>
      </c>
      <c r="P1990">
        <v>0</v>
      </c>
      <c r="Q1990">
        <v>-662</v>
      </c>
    </row>
    <row r="1991" spans="1:17" x14ac:dyDescent="0.45">
      <c r="A1991">
        <v>5766</v>
      </c>
      <c r="B1991" t="s">
        <v>2050</v>
      </c>
      <c r="C1991">
        <v>592</v>
      </c>
      <c r="D1991">
        <v>3</v>
      </c>
      <c r="E1991">
        <v>410.5</v>
      </c>
      <c r="F1991">
        <v>720.9</v>
      </c>
      <c r="G1991">
        <v>553.79999999999995</v>
      </c>
      <c r="H1991">
        <v>3</v>
      </c>
      <c r="I1991">
        <v>35.86</v>
      </c>
      <c r="J1991">
        <v>257</v>
      </c>
      <c r="K1991">
        <v>89</v>
      </c>
      <c r="L1991">
        <v>11</v>
      </c>
      <c r="M1991">
        <v>37</v>
      </c>
      <c r="N1991">
        <v>0</v>
      </c>
      <c r="O1991">
        <v>1525</v>
      </c>
      <c r="P1991">
        <v>28.04</v>
      </c>
      <c r="Q1991">
        <v>-421</v>
      </c>
    </row>
    <row r="1992" spans="1:17" x14ac:dyDescent="0.45">
      <c r="A1992">
        <v>5803</v>
      </c>
      <c r="B1992" t="s">
        <v>2051</v>
      </c>
      <c r="C1992">
        <v>633</v>
      </c>
      <c r="D1992">
        <v>3</v>
      </c>
      <c r="E1992">
        <v>597.79999999999995</v>
      </c>
      <c r="F1992">
        <v>708.3</v>
      </c>
      <c r="G1992">
        <v>814.7</v>
      </c>
      <c r="H1992">
        <v>3</v>
      </c>
      <c r="I1992">
        <v>35.86</v>
      </c>
      <c r="J1992">
        <v>267</v>
      </c>
      <c r="K1992">
        <v>57</v>
      </c>
      <c r="L1992">
        <v>22</v>
      </c>
      <c r="M1992">
        <v>43</v>
      </c>
      <c r="N1992">
        <v>0</v>
      </c>
      <c r="O1992">
        <v>2368</v>
      </c>
      <c r="P1992">
        <v>262.12</v>
      </c>
      <c r="Q1992">
        <v>-341</v>
      </c>
    </row>
    <row r="1993" spans="1:17" x14ac:dyDescent="0.45">
      <c r="A1993">
        <v>5654</v>
      </c>
      <c r="B1993" t="s">
        <v>2052</v>
      </c>
      <c r="C1993">
        <v>561</v>
      </c>
      <c r="D1993">
        <v>3</v>
      </c>
      <c r="E1993">
        <v>763.1</v>
      </c>
      <c r="F1993">
        <v>709.4</v>
      </c>
      <c r="G1993">
        <v>464.3</v>
      </c>
      <c r="H1993">
        <v>3</v>
      </c>
      <c r="I1993">
        <v>35.86</v>
      </c>
      <c r="J1993">
        <v>250</v>
      </c>
      <c r="K1993">
        <v>69</v>
      </c>
      <c r="L1993">
        <v>23</v>
      </c>
      <c r="M1993">
        <v>25</v>
      </c>
      <c r="N1993">
        <v>0</v>
      </c>
      <c r="O1993">
        <v>1140</v>
      </c>
      <c r="P1993">
        <v>34.69</v>
      </c>
      <c r="Q1993">
        <v>-120</v>
      </c>
    </row>
    <row r="1994" spans="1:17" x14ac:dyDescent="0.45">
      <c r="A1994">
        <v>5464</v>
      </c>
      <c r="B1994" t="s">
        <v>2053</v>
      </c>
      <c r="C1994">
        <v>3528</v>
      </c>
      <c r="D1994">
        <v>3</v>
      </c>
      <c r="E1994">
        <v>4499</v>
      </c>
      <c r="F1994">
        <v>132.69999999999999</v>
      </c>
      <c r="G1994">
        <v>6352.2</v>
      </c>
      <c r="H1994">
        <v>3</v>
      </c>
      <c r="I1994">
        <v>35.86</v>
      </c>
      <c r="J1994">
        <v>1542</v>
      </c>
      <c r="K1994">
        <v>499</v>
      </c>
      <c r="L1994">
        <v>140</v>
      </c>
      <c r="M1994">
        <v>226</v>
      </c>
      <c r="N1994">
        <v>0</v>
      </c>
      <c r="O1994">
        <v>4855</v>
      </c>
      <c r="P1994">
        <v>213.35</v>
      </c>
      <c r="Q1994">
        <v>-743</v>
      </c>
    </row>
    <row r="1995" spans="1:17" x14ac:dyDescent="0.45">
      <c r="A1995">
        <v>6220</v>
      </c>
      <c r="B1995" t="s">
        <v>2004</v>
      </c>
      <c r="C1995">
        <v>866</v>
      </c>
      <c r="D1995">
        <v>3</v>
      </c>
      <c r="E1995">
        <v>792</v>
      </c>
      <c r="F1995">
        <v>178.2</v>
      </c>
      <c r="G1995">
        <v>803</v>
      </c>
      <c r="H1995">
        <v>3</v>
      </c>
      <c r="I1995">
        <v>30.8</v>
      </c>
      <c r="J1995">
        <v>379</v>
      </c>
      <c r="K1995">
        <v>166</v>
      </c>
      <c r="L1995">
        <v>24</v>
      </c>
      <c r="M1995">
        <v>62</v>
      </c>
      <c r="N1995">
        <v>0</v>
      </c>
      <c r="O1995">
        <v>847</v>
      </c>
      <c r="P1995">
        <v>0</v>
      </c>
      <c r="Q1995">
        <v>-1164</v>
      </c>
    </row>
    <row r="1996" spans="1:17" x14ac:dyDescent="0.45">
      <c r="A1996">
        <v>6025</v>
      </c>
      <c r="B1996" t="s">
        <v>2007</v>
      </c>
      <c r="C1996">
        <v>6510</v>
      </c>
      <c r="D1996">
        <v>3</v>
      </c>
      <c r="E1996">
        <v>2847.5</v>
      </c>
      <c r="F1996">
        <v>4037.7</v>
      </c>
      <c r="G1996">
        <v>9571.7000000000007</v>
      </c>
      <c r="H1996">
        <v>1</v>
      </c>
      <c r="I1996">
        <v>24.74</v>
      </c>
      <c r="J1996">
        <v>2978</v>
      </c>
      <c r="K1996">
        <v>1210</v>
      </c>
      <c r="L1996">
        <v>182</v>
      </c>
      <c r="M1996">
        <v>289</v>
      </c>
      <c r="N1996">
        <v>0</v>
      </c>
      <c r="O1996">
        <v>2184</v>
      </c>
      <c r="P1996">
        <v>708.8</v>
      </c>
      <c r="Q1996">
        <v>-401</v>
      </c>
    </row>
    <row r="1997" spans="1:17" x14ac:dyDescent="0.45">
      <c r="A1997">
        <v>946</v>
      </c>
      <c r="B1997" t="s">
        <v>2054</v>
      </c>
      <c r="C1997">
        <v>224</v>
      </c>
      <c r="D1997">
        <v>3</v>
      </c>
      <c r="E1997">
        <v>239.5</v>
      </c>
      <c r="F1997">
        <v>0</v>
      </c>
      <c r="G1997">
        <v>521.70000000000005</v>
      </c>
      <c r="H1997">
        <v>3</v>
      </c>
      <c r="I1997">
        <v>26.41</v>
      </c>
      <c r="J1997">
        <v>0</v>
      </c>
      <c r="K1997">
        <v>0</v>
      </c>
      <c r="L1997">
        <v>0</v>
      </c>
      <c r="M1997">
        <v>0</v>
      </c>
      <c r="N1997">
        <v>0</v>
      </c>
      <c r="O1997">
        <v>2158</v>
      </c>
      <c r="P1997">
        <v>0</v>
      </c>
      <c r="Q1997">
        <v>-161</v>
      </c>
    </row>
    <row r="1998" spans="1:17" x14ac:dyDescent="0.45">
      <c r="A1998">
        <v>4871</v>
      </c>
      <c r="B1998" t="s">
        <v>2056</v>
      </c>
      <c r="C1998">
        <v>1787</v>
      </c>
      <c r="D1998">
        <v>3</v>
      </c>
      <c r="E1998">
        <v>2378.1999999999998</v>
      </c>
      <c r="F1998">
        <v>702.6</v>
      </c>
      <c r="G1998">
        <v>2157.6999999999998</v>
      </c>
      <c r="H1998">
        <v>2</v>
      </c>
      <c r="I1998">
        <v>21.63</v>
      </c>
      <c r="J1998">
        <v>725</v>
      </c>
      <c r="K1998">
        <v>318</v>
      </c>
      <c r="L1998">
        <v>39</v>
      </c>
      <c r="M1998">
        <v>72</v>
      </c>
      <c r="N1998">
        <v>0</v>
      </c>
      <c r="O1998">
        <v>2892</v>
      </c>
      <c r="P1998">
        <v>0</v>
      </c>
      <c r="Q1998">
        <v>-662</v>
      </c>
    </row>
    <row r="1999" spans="1:17" x14ac:dyDescent="0.45">
      <c r="A1999">
        <v>2792</v>
      </c>
      <c r="B1999" t="s">
        <v>2057</v>
      </c>
      <c r="C1999">
        <v>1542</v>
      </c>
      <c r="D1999">
        <v>1</v>
      </c>
      <c r="E1999">
        <v>1677.6</v>
      </c>
      <c r="F1999">
        <v>0</v>
      </c>
      <c r="G1999">
        <v>933.2</v>
      </c>
      <c r="H1999">
        <v>2</v>
      </c>
      <c r="I1999">
        <v>20.72</v>
      </c>
      <c r="J1999">
        <v>615</v>
      </c>
      <c r="K1999">
        <v>213</v>
      </c>
      <c r="L1999">
        <v>14</v>
      </c>
      <c r="M1999">
        <v>69</v>
      </c>
      <c r="N1999">
        <v>0</v>
      </c>
      <c r="O1999">
        <v>1876</v>
      </c>
      <c r="P1999">
        <v>0</v>
      </c>
      <c r="Q1999">
        <v>-361</v>
      </c>
    </row>
    <row r="2000" spans="1:17" x14ac:dyDescent="0.45">
      <c r="A2000">
        <v>1710</v>
      </c>
      <c r="B2000" t="s">
        <v>2058</v>
      </c>
      <c r="C2000">
        <v>3934</v>
      </c>
      <c r="D2000">
        <v>3</v>
      </c>
      <c r="E2000">
        <v>5142.3999999999996</v>
      </c>
      <c r="F2000">
        <v>11.1</v>
      </c>
      <c r="G2000">
        <v>1802.6</v>
      </c>
      <c r="H2000">
        <v>2</v>
      </c>
      <c r="I2000">
        <v>24.17</v>
      </c>
      <c r="J2000">
        <v>1740</v>
      </c>
      <c r="K2000">
        <v>604</v>
      </c>
      <c r="L2000">
        <v>150</v>
      </c>
      <c r="M2000">
        <v>296</v>
      </c>
      <c r="N2000">
        <v>0</v>
      </c>
      <c r="O2000">
        <v>3862</v>
      </c>
      <c r="P2000">
        <v>0</v>
      </c>
      <c r="Q2000">
        <v>-1164</v>
      </c>
    </row>
    <row r="2001" spans="1:17" x14ac:dyDescent="0.45">
      <c r="A2001">
        <v>3036</v>
      </c>
      <c r="B2001" t="s">
        <v>2059</v>
      </c>
      <c r="C2001">
        <v>914</v>
      </c>
      <c r="D2001">
        <v>3</v>
      </c>
      <c r="E2001">
        <v>876.2</v>
      </c>
      <c r="F2001">
        <v>570.29999999999995</v>
      </c>
      <c r="G2001">
        <v>1735.7</v>
      </c>
      <c r="H2001">
        <v>3</v>
      </c>
      <c r="I2001">
        <v>25.09</v>
      </c>
      <c r="J2001">
        <v>360</v>
      </c>
      <c r="K2001">
        <v>211</v>
      </c>
      <c r="L2001">
        <v>10</v>
      </c>
      <c r="M2001">
        <v>30</v>
      </c>
      <c r="N2001">
        <v>0</v>
      </c>
      <c r="O2001">
        <v>2066</v>
      </c>
      <c r="P2001">
        <v>0</v>
      </c>
      <c r="Q2001">
        <v>-361</v>
      </c>
    </row>
    <row r="2002" spans="1:17" x14ac:dyDescent="0.45">
      <c r="A2002">
        <v>888</v>
      </c>
      <c r="B2002" t="s">
        <v>2060</v>
      </c>
      <c r="C2002">
        <v>1176</v>
      </c>
      <c r="D2002">
        <v>2</v>
      </c>
      <c r="E2002">
        <v>1177.7</v>
      </c>
      <c r="F2002">
        <v>38.4</v>
      </c>
      <c r="G2002">
        <v>1374.5</v>
      </c>
      <c r="H2002">
        <v>3</v>
      </c>
      <c r="I2002">
        <v>26.41</v>
      </c>
      <c r="J2002">
        <v>426</v>
      </c>
      <c r="K2002">
        <v>210</v>
      </c>
      <c r="L2002">
        <v>21</v>
      </c>
      <c r="M2002">
        <v>44</v>
      </c>
      <c r="N2002">
        <v>0</v>
      </c>
      <c r="O2002">
        <v>5885</v>
      </c>
      <c r="P2002">
        <v>0</v>
      </c>
      <c r="Q2002">
        <v>-482</v>
      </c>
    </row>
    <row r="2003" spans="1:17" x14ac:dyDescent="0.45">
      <c r="A2003">
        <v>120</v>
      </c>
      <c r="B2003" t="s">
        <v>2061</v>
      </c>
      <c r="C2003">
        <v>10343</v>
      </c>
      <c r="D2003">
        <v>3</v>
      </c>
      <c r="E2003">
        <v>12630.2</v>
      </c>
      <c r="F2003">
        <v>191.1</v>
      </c>
      <c r="G2003">
        <v>6985.9</v>
      </c>
      <c r="H2003">
        <v>2</v>
      </c>
      <c r="I2003">
        <v>24.61</v>
      </c>
      <c r="J2003">
        <v>3568</v>
      </c>
      <c r="K2003">
        <v>1648</v>
      </c>
      <c r="L2003">
        <v>181</v>
      </c>
      <c r="M2003">
        <v>436</v>
      </c>
      <c r="N2003">
        <v>0</v>
      </c>
      <c r="O2003">
        <v>8482</v>
      </c>
      <c r="P2003">
        <v>728.74</v>
      </c>
      <c r="Q2003">
        <v>-1586</v>
      </c>
    </row>
    <row r="2004" spans="1:17" x14ac:dyDescent="0.45">
      <c r="A2004">
        <v>2895</v>
      </c>
      <c r="B2004" t="s">
        <v>2062</v>
      </c>
      <c r="C2004">
        <v>1099</v>
      </c>
      <c r="D2004">
        <v>1</v>
      </c>
      <c r="E2004">
        <v>1912.6</v>
      </c>
      <c r="F2004">
        <v>12.6</v>
      </c>
      <c r="G2004">
        <v>1010.7</v>
      </c>
      <c r="H2004">
        <v>2</v>
      </c>
      <c r="I2004">
        <v>20.72</v>
      </c>
      <c r="J2004">
        <v>411</v>
      </c>
      <c r="K2004">
        <v>152</v>
      </c>
      <c r="L2004">
        <v>14</v>
      </c>
      <c r="M2004">
        <v>40</v>
      </c>
      <c r="N2004">
        <v>0</v>
      </c>
      <c r="O2004">
        <v>1046</v>
      </c>
      <c r="P2004">
        <v>0</v>
      </c>
      <c r="Q2004">
        <v>-1004</v>
      </c>
    </row>
    <row r="2005" spans="1:17" x14ac:dyDescent="0.45">
      <c r="A2005">
        <v>3444</v>
      </c>
      <c r="B2005" t="s">
        <v>2064</v>
      </c>
      <c r="C2005">
        <v>3528</v>
      </c>
      <c r="D2005">
        <v>1</v>
      </c>
      <c r="E2005">
        <v>2798.1</v>
      </c>
      <c r="F2005">
        <v>1.1000000000000001</v>
      </c>
      <c r="G2005">
        <v>15435</v>
      </c>
      <c r="H2005">
        <v>2</v>
      </c>
      <c r="I2005">
        <v>22.8</v>
      </c>
      <c r="J2005">
        <v>1289</v>
      </c>
      <c r="K2005">
        <v>574</v>
      </c>
      <c r="L2005">
        <v>108</v>
      </c>
      <c r="M2005">
        <v>169</v>
      </c>
      <c r="N2005">
        <v>0</v>
      </c>
      <c r="O2005">
        <v>14686</v>
      </c>
      <c r="P2005">
        <v>0</v>
      </c>
      <c r="Q2005">
        <v>-1726</v>
      </c>
    </row>
    <row r="2006" spans="1:17" x14ac:dyDescent="0.45">
      <c r="A2006">
        <v>3007</v>
      </c>
      <c r="B2006" t="s">
        <v>2065</v>
      </c>
      <c r="C2006">
        <v>1849</v>
      </c>
      <c r="D2006">
        <v>3</v>
      </c>
      <c r="E2006">
        <v>1202.8</v>
      </c>
      <c r="F2006">
        <v>1310.7</v>
      </c>
      <c r="G2006">
        <v>3386.9</v>
      </c>
      <c r="H2006">
        <v>2</v>
      </c>
      <c r="I2006">
        <v>17.79</v>
      </c>
      <c r="J2006">
        <v>642</v>
      </c>
      <c r="K2006">
        <v>320</v>
      </c>
      <c r="L2006">
        <v>37</v>
      </c>
      <c r="M2006">
        <v>76</v>
      </c>
      <c r="N2006">
        <v>0</v>
      </c>
      <c r="O2006">
        <v>3612</v>
      </c>
      <c r="P2006">
        <v>99.68</v>
      </c>
      <c r="Q2006">
        <v>-341</v>
      </c>
    </row>
    <row r="2007" spans="1:17" x14ac:dyDescent="0.45">
      <c r="A2007">
        <v>3298</v>
      </c>
      <c r="B2007" t="s">
        <v>2066</v>
      </c>
      <c r="C2007">
        <v>5763</v>
      </c>
      <c r="D2007">
        <v>3</v>
      </c>
      <c r="E2007">
        <v>6746.6</v>
      </c>
      <c r="F2007">
        <v>10</v>
      </c>
      <c r="G2007">
        <v>8669</v>
      </c>
      <c r="H2007">
        <v>2</v>
      </c>
      <c r="I2007">
        <v>22.8</v>
      </c>
      <c r="J2007">
        <v>1721</v>
      </c>
      <c r="K2007">
        <v>1082</v>
      </c>
      <c r="L2007">
        <v>132</v>
      </c>
      <c r="M2007">
        <v>251</v>
      </c>
      <c r="N2007">
        <v>0</v>
      </c>
      <c r="O2007">
        <v>5072</v>
      </c>
      <c r="P2007">
        <v>339.65</v>
      </c>
      <c r="Q2007">
        <v>-3372</v>
      </c>
    </row>
    <row r="2008" spans="1:17" x14ac:dyDescent="0.45">
      <c r="A2008">
        <v>626</v>
      </c>
      <c r="B2008" t="s">
        <v>2067</v>
      </c>
      <c r="C2008">
        <v>1795</v>
      </c>
      <c r="D2008">
        <v>2</v>
      </c>
      <c r="E2008">
        <v>1621.2</v>
      </c>
      <c r="F2008">
        <v>6.6</v>
      </c>
      <c r="G2008">
        <v>1668.7</v>
      </c>
      <c r="H2008">
        <v>3</v>
      </c>
      <c r="I2008">
        <v>26.41</v>
      </c>
      <c r="J2008">
        <v>770</v>
      </c>
      <c r="K2008">
        <v>333</v>
      </c>
      <c r="L2008">
        <v>38</v>
      </c>
      <c r="M2008">
        <v>84</v>
      </c>
      <c r="N2008">
        <v>0</v>
      </c>
      <c r="O2008">
        <v>6681</v>
      </c>
      <c r="P2008">
        <v>0</v>
      </c>
      <c r="Q2008">
        <v>-1244</v>
      </c>
    </row>
    <row r="2009" spans="1:17" x14ac:dyDescent="0.45">
      <c r="A2009">
        <v>4261</v>
      </c>
      <c r="B2009" t="s">
        <v>2068</v>
      </c>
      <c r="C2009">
        <v>2061</v>
      </c>
      <c r="D2009">
        <v>3</v>
      </c>
      <c r="E2009">
        <v>1211.2</v>
      </c>
      <c r="F2009">
        <v>1038.8</v>
      </c>
      <c r="G2009">
        <v>2939.9</v>
      </c>
      <c r="H2009">
        <v>1</v>
      </c>
      <c r="I2009">
        <v>20.87</v>
      </c>
      <c r="J2009">
        <v>860</v>
      </c>
      <c r="K2009">
        <v>324</v>
      </c>
      <c r="L2009">
        <v>64</v>
      </c>
      <c r="M2009">
        <v>125</v>
      </c>
      <c r="N2009">
        <v>0</v>
      </c>
      <c r="O2009">
        <v>810</v>
      </c>
      <c r="P2009">
        <v>332.25</v>
      </c>
      <c r="Q2009">
        <v>-261</v>
      </c>
    </row>
    <row r="2010" spans="1:17" x14ac:dyDescent="0.45">
      <c r="A2010">
        <v>69</v>
      </c>
      <c r="B2010" t="s">
        <v>2069</v>
      </c>
      <c r="C2010">
        <v>17299</v>
      </c>
      <c r="D2010">
        <v>3</v>
      </c>
      <c r="E2010">
        <v>5913</v>
      </c>
      <c r="F2010">
        <v>12988.3</v>
      </c>
      <c r="G2010">
        <v>7642.1</v>
      </c>
      <c r="H2010">
        <v>1</v>
      </c>
      <c r="I2010">
        <v>15.69</v>
      </c>
      <c r="J2010">
        <v>5100</v>
      </c>
      <c r="K2010">
        <v>2778</v>
      </c>
      <c r="L2010">
        <v>772</v>
      </c>
      <c r="M2010">
        <v>1552</v>
      </c>
      <c r="N2010">
        <v>0</v>
      </c>
      <c r="O2010">
        <v>359</v>
      </c>
      <c r="P2010">
        <v>0</v>
      </c>
      <c r="Q2010">
        <v>-281</v>
      </c>
    </row>
    <row r="2011" spans="1:17" x14ac:dyDescent="0.45">
      <c r="A2011">
        <v>990</v>
      </c>
      <c r="B2011" t="s">
        <v>2070</v>
      </c>
      <c r="C2011">
        <v>226</v>
      </c>
      <c r="D2011">
        <v>2</v>
      </c>
      <c r="E2011">
        <v>309.3</v>
      </c>
      <c r="F2011">
        <v>0</v>
      </c>
      <c r="G2011">
        <v>95</v>
      </c>
      <c r="H2011">
        <v>3</v>
      </c>
      <c r="I2011">
        <v>26.41</v>
      </c>
      <c r="J2011">
        <v>104</v>
      </c>
      <c r="K2011">
        <v>38</v>
      </c>
      <c r="L2011">
        <v>8</v>
      </c>
      <c r="M2011">
        <v>10</v>
      </c>
      <c r="N2011">
        <v>0</v>
      </c>
      <c r="O2011">
        <v>473</v>
      </c>
      <c r="P2011">
        <v>0</v>
      </c>
      <c r="Q2011">
        <v>-60</v>
      </c>
    </row>
    <row r="2012" spans="1:17" x14ac:dyDescent="0.45">
      <c r="A2012">
        <v>991</v>
      </c>
      <c r="B2012" t="s">
        <v>2071</v>
      </c>
      <c r="C2012">
        <v>615</v>
      </c>
      <c r="D2012">
        <v>2</v>
      </c>
      <c r="E2012">
        <v>671.7</v>
      </c>
      <c r="F2012">
        <v>4</v>
      </c>
      <c r="G2012">
        <v>591.70000000000005</v>
      </c>
      <c r="H2012">
        <v>3</v>
      </c>
      <c r="I2012">
        <v>26.41</v>
      </c>
      <c r="J2012">
        <v>274</v>
      </c>
      <c r="K2012">
        <v>101</v>
      </c>
      <c r="L2012">
        <v>11</v>
      </c>
      <c r="M2012">
        <v>30</v>
      </c>
      <c r="N2012">
        <v>0</v>
      </c>
      <c r="O2012">
        <v>758</v>
      </c>
      <c r="P2012">
        <v>0</v>
      </c>
      <c r="Q2012">
        <v>-201</v>
      </c>
    </row>
    <row r="2013" spans="1:17" x14ac:dyDescent="0.45">
      <c r="A2013">
        <v>754</v>
      </c>
      <c r="B2013" t="s">
        <v>2072</v>
      </c>
      <c r="C2013">
        <v>1020</v>
      </c>
      <c r="D2013">
        <v>3</v>
      </c>
      <c r="E2013">
        <v>1072.8</v>
      </c>
      <c r="F2013">
        <v>31.7</v>
      </c>
      <c r="G2013">
        <v>2288.6999999999998</v>
      </c>
      <c r="H2013">
        <v>3</v>
      </c>
      <c r="I2013">
        <v>26.41</v>
      </c>
      <c r="J2013">
        <v>434</v>
      </c>
      <c r="K2013">
        <v>181</v>
      </c>
      <c r="L2013">
        <v>30</v>
      </c>
      <c r="M2013">
        <v>41</v>
      </c>
      <c r="N2013">
        <v>0</v>
      </c>
      <c r="O2013">
        <v>2354</v>
      </c>
      <c r="P2013">
        <v>0</v>
      </c>
      <c r="Q2013">
        <v>-120</v>
      </c>
    </row>
    <row r="2014" spans="1:17" x14ac:dyDescent="0.45">
      <c r="A2014">
        <v>4240</v>
      </c>
      <c r="B2014" t="s">
        <v>2073</v>
      </c>
      <c r="C2014">
        <v>3088</v>
      </c>
      <c r="D2014">
        <v>3</v>
      </c>
      <c r="E2014">
        <v>2335.6999999999998</v>
      </c>
      <c r="F2014">
        <v>550.70000000000005</v>
      </c>
      <c r="G2014">
        <v>3241.1</v>
      </c>
      <c r="H2014">
        <v>2</v>
      </c>
      <c r="I2014">
        <v>23.46</v>
      </c>
      <c r="J2014">
        <v>1330</v>
      </c>
      <c r="K2014">
        <v>459</v>
      </c>
      <c r="L2014">
        <v>87</v>
      </c>
      <c r="M2014">
        <v>209</v>
      </c>
      <c r="N2014">
        <v>0</v>
      </c>
      <c r="O2014">
        <v>2513</v>
      </c>
      <c r="P2014">
        <v>0</v>
      </c>
      <c r="Q2014">
        <v>-181</v>
      </c>
    </row>
    <row r="2015" spans="1:17" x14ac:dyDescent="0.45">
      <c r="A2015">
        <v>959</v>
      </c>
      <c r="B2015" t="s">
        <v>2074</v>
      </c>
      <c r="C2015">
        <v>526</v>
      </c>
      <c r="D2015">
        <v>3</v>
      </c>
      <c r="E2015">
        <v>322.10000000000002</v>
      </c>
      <c r="F2015">
        <v>0</v>
      </c>
      <c r="G2015">
        <v>1027.7</v>
      </c>
      <c r="H2015">
        <v>3</v>
      </c>
      <c r="I2015">
        <v>26.41</v>
      </c>
      <c r="J2015">
        <v>343</v>
      </c>
      <c r="K2015">
        <v>131</v>
      </c>
      <c r="L2015">
        <v>5</v>
      </c>
      <c r="M2015">
        <v>22</v>
      </c>
      <c r="N2015">
        <v>0</v>
      </c>
      <c r="O2015">
        <v>4702</v>
      </c>
      <c r="P2015">
        <v>0</v>
      </c>
      <c r="Q2015">
        <v>-321</v>
      </c>
    </row>
    <row r="2016" spans="1:17" x14ac:dyDescent="0.45">
      <c r="A2016">
        <v>2585</v>
      </c>
      <c r="B2016" t="s">
        <v>2075</v>
      </c>
      <c r="C2016">
        <v>764</v>
      </c>
      <c r="D2016">
        <v>2</v>
      </c>
      <c r="E2016">
        <v>744.3</v>
      </c>
      <c r="F2016">
        <v>287.5</v>
      </c>
      <c r="G2016">
        <v>1543.2</v>
      </c>
      <c r="H2016">
        <v>2</v>
      </c>
      <c r="I2016">
        <v>26.37</v>
      </c>
      <c r="J2016">
        <v>347</v>
      </c>
      <c r="K2016">
        <v>131</v>
      </c>
      <c r="L2016">
        <v>13</v>
      </c>
      <c r="M2016">
        <v>38</v>
      </c>
      <c r="N2016">
        <v>0</v>
      </c>
      <c r="O2016">
        <v>2984</v>
      </c>
      <c r="P2016">
        <v>0</v>
      </c>
      <c r="Q2016">
        <v>-321</v>
      </c>
    </row>
    <row r="2017" spans="1:17" x14ac:dyDescent="0.45">
      <c r="A2017">
        <v>3037</v>
      </c>
      <c r="B2017" t="s">
        <v>2076</v>
      </c>
      <c r="C2017">
        <v>1984</v>
      </c>
      <c r="D2017">
        <v>3</v>
      </c>
      <c r="E2017">
        <v>2820.3</v>
      </c>
      <c r="F2017">
        <v>1549.2</v>
      </c>
      <c r="G2017">
        <v>2145</v>
      </c>
      <c r="H2017">
        <v>2</v>
      </c>
      <c r="I2017">
        <v>17.79</v>
      </c>
      <c r="J2017">
        <v>801</v>
      </c>
      <c r="K2017">
        <v>469</v>
      </c>
      <c r="L2017">
        <v>61</v>
      </c>
      <c r="M2017">
        <v>94</v>
      </c>
      <c r="N2017">
        <v>0</v>
      </c>
      <c r="O2017">
        <v>2173</v>
      </c>
      <c r="P2017">
        <v>0</v>
      </c>
      <c r="Q2017">
        <v>-462</v>
      </c>
    </row>
    <row r="2018" spans="1:17" x14ac:dyDescent="0.45">
      <c r="A2018">
        <v>1349</v>
      </c>
      <c r="B2018" t="s">
        <v>2077</v>
      </c>
      <c r="C2018">
        <v>5489</v>
      </c>
      <c r="D2018">
        <v>3</v>
      </c>
      <c r="E2018">
        <v>4423.3999999999996</v>
      </c>
      <c r="F2018">
        <v>558.70000000000005</v>
      </c>
      <c r="G2018">
        <v>7578.4</v>
      </c>
      <c r="H2018">
        <v>1</v>
      </c>
      <c r="I2018">
        <v>35.31</v>
      </c>
      <c r="J2018">
        <v>1695</v>
      </c>
      <c r="K2018">
        <v>715</v>
      </c>
      <c r="L2018">
        <v>99</v>
      </c>
      <c r="M2018">
        <v>238</v>
      </c>
      <c r="N2018">
        <v>0</v>
      </c>
      <c r="O2018">
        <v>3014</v>
      </c>
      <c r="P2018">
        <v>0</v>
      </c>
      <c r="Q2018">
        <v>-161</v>
      </c>
    </row>
    <row r="2019" spans="1:17" x14ac:dyDescent="0.45">
      <c r="A2019">
        <v>992</v>
      </c>
      <c r="B2019" t="s">
        <v>2078</v>
      </c>
      <c r="C2019">
        <v>2796</v>
      </c>
      <c r="D2019">
        <v>2</v>
      </c>
      <c r="E2019">
        <v>3326.4</v>
      </c>
      <c r="F2019">
        <v>0</v>
      </c>
      <c r="G2019">
        <v>3675.5</v>
      </c>
      <c r="H2019">
        <v>3</v>
      </c>
      <c r="I2019">
        <v>26.41</v>
      </c>
      <c r="J2019">
        <v>1176</v>
      </c>
      <c r="K2019">
        <v>601</v>
      </c>
      <c r="L2019">
        <v>51</v>
      </c>
      <c r="M2019">
        <v>122</v>
      </c>
      <c r="N2019">
        <v>0</v>
      </c>
      <c r="O2019">
        <v>2954</v>
      </c>
      <c r="P2019">
        <v>522.74</v>
      </c>
      <c r="Q2019">
        <v>-421</v>
      </c>
    </row>
    <row r="2020" spans="1:17" x14ac:dyDescent="0.45">
      <c r="A2020">
        <v>2586</v>
      </c>
      <c r="B2020" t="s">
        <v>2079</v>
      </c>
      <c r="C2020">
        <v>5452</v>
      </c>
      <c r="D2020">
        <v>2</v>
      </c>
      <c r="E2020">
        <v>3802.5</v>
      </c>
      <c r="F2020">
        <v>2610.3000000000002</v>
      </c>
      <c r="G2020">
        <v>3830.4</v>
      </c>
      <c r="H2020">
        <v>1</v>
      </c>
      <c r="I2020">
        <v>19.07</v>
      </c>
      <c r="J2020">
        <v>1777</v>
      </c>
      <c r="K2020">
        <v>734</v>
      </c>
      <c r="L2020">
        <v>106</v>
      </c>
      <c r="M2020">
        <v>234</v>
      </c>
      <c r="N2020">
        <v>0</v>
      </c>
      <c r="O2020">
        <v>886</v>
      </c>
      <c r="P2020">
        <v>0</v>
      </c>
      <c r="Q2020">
        <v>-743</v>
      </c>
    </row>
    <row r="2021" spans="1:17" x14ac:dyDescent="0.45">
      <c r="A2021">
        <v>200</v>
      </c>
      <c r="B2021" t="s">
        <v>2080</v>
      </c>
      <c r="C2021">
        <v>8097</v>
      </c>
      <c r="D2021">
        <v>3</v>
      </c>
      <c r="E2021">
        <v>7691.8</v>
      </c>
      <c r="F2021">
        <v>2688.4</v>
      </c>
      <c r="G2021">
        <v>3709.6</v>
      </c>
      <c r="H2021">
        <v>1</v>
      </c>
      <c r="I2021">
        <v>15.69</v>
      </c>
      <c r="J2021">
        <v>2762</v>
      </c>
      <c r="K2021">
        <v>1183</v>
      </c>
      <c r="L2021">
        <v>229</v>
      </c>
      <c r="M2021">
        <v>477</v>
      </c>
      <c r="N2021">
        <v>0</v>
      </c>
      <c r="O2021">
        <v>1723</v>
      </c>
      <c r="P2021">
        <v>0</v>
      </c>
      <c r="Q2021">
        <v>-401</v>
      </c>
    </row>
    <row r="2022" spans="1:17" x14ac:dyDescent="0.45">
      <c r="A2022">
        <v>3276</v>
      </c>
      <c r="B2022" t="s">
        <v>2082</v>
      </c>
      <c r="C2022">
        <v>5395</v>
      </c>
      <c r="D2022">
        <v>3</v>
      </c>
      <c r="E2022">
        <v>4149.8999999999996</v>
      </c>
      <c r="F2022">
        <v>2303</v>
      </c>
      <c r="G2022">
        <v>8226.1</v>
      </c>
      <c r="H2022">
        <v>3</v>
      </c>
      <c r="I2022">
        <v>30.49</v>
      </c>
      <c r="J2022">
        <v>1912</v>
      </c>
      <c r="K2022">
        <v>1090</v>
      </c>
      <c r="L2022">
        <v>101</v>
      </c>
      <c r="M2022">
        <v>187</v>
      </c>
      <c r="N2022">
        <v>0</v>
      </c>
      <c r="O2022">
        <v>5577</v>
      </c>
      <c r="P2022">
        <v>443</v>
      </c>
      <c r="Q2022">
        <v>-2950</v>
      </c>
    </row>
    <row r="2023" spans="1:17" x14ac:dyDescent="0.45">
      <c r="A2023">
        <v>4621</v>
      </c>
      <c r="B2023" t="s">
        <v>2083</v>
      </c>
      <c r="C2023">
        <v>1400</v>
      </c>
      <c r="D2023">
        <v>3</v>
      </c>
      <c r="E2023">
        <v>1286.3</v>
      </c>
      <c r="F2023">
        <v>350.1</v>
      </c>
      <c r="G2023">
        <v>1822.5</v>
      </c>
      <c r="H2023">
        <v>3</v>
      </c>
      <c r="I2023">
        <v>26.04</v>
      </c>
      <c r="J2023">
        <v>578</v>
      </c>
      <c r="K2023">
        <v>221</v>
      </c>
      <c r="L2023">
        <v>68</v>
      </c>
      <c r="M2023">
        <v>78</v>
      </c>
      <c r="N2023">
        <v>0</v>
      </c>
      <c r="O2023">
        <v>2228</v>
      </c>
      <c r="P2023">
        <v>0</v>
      </c>
      <c r="Q2023">
        <v>-442</v>
      </c>
    </row>
    <row r="2024" spans="1:17" x14ac:dyDescent="0.45">
      <c r="A2024">
        <v>1220</v>
      </c>
      <c r="B2024" t="s">
        <v>2084</v>
      </c>
      <c r="C2024">
        <v>416</v>
      </c>
      <c r="D2024">
        <v>3</v>
      </c>
      <c r="E2024">
        <v>458.8</v>
      </c>
      <c r="F2024">
        <v>9.4</v>
      </c>
      <c r="G2024">
        <v>51.9</v>
      </c>
      <c r="H2024">
        <v>3</v>
      </c>
      <c r="I2024">
        <v>24.76</v>
      </c>
      <c r="J2024">
        <v>134</v>
      </c>
      <c r="K2024">
        <v>110</v>
      </c>
      <c r="L2024">
        <v>4</v>
      </c>
      <c r="M2024">
        <v>17</v>
      </c>
      <c r="N2024">
        <v>0</v>
      </c>
      <c r="O2024">
        <v>982</v>
      </c>
      <c r="P2024">
        <v>62.77</v>
      </c>
      <c r="Q2024">
        <v>-4636</v>
      </c>
    </row>
    <row r="2025" spans="1:17" x14ac:dyDescent="0.45">
      <c r="A2025">
        <v>70</v>
      </c>
      <c r="B2025" t="s">
        <v>2085</v>
      </c>
      <c r="C2025">
        <v>589</v>
      </c>
      <c r="D2025">
        <v>3</v>
      </c>
      <c r="E2025">
        <v>492.2</v>
      </c>
      <c r="F2025">
        <v>0</v>
      </c>
      <c r="G2025">
        <v>273</v>
      </c>
      <c r="H2025">
        <v>3</v>
      </c>
      <c r="I2025">
        <v>25.15</v>
      </c>
      <c r="J2025">
        <v>230</v>
      </c>
      <c r="K2025">
        <v>104</v>
      </c>
      <c r="L2025">
        <v>16</v>
      </c>
      <c r="M2025">
        <v>37</v>
      </c>
      <c r="N2025">
        <v>0</v>
      </c>
      <c r="O2025">
        <v>588</v>
      </c>
      <c r="P2025">
        <v>0</v>
      </c>
      <c r="Q2025">
        <v>-341</v>
      </c>
    </row>
    <row r="2026" spans="1:17" x14ac:dyDescent="0.45">
      <c r="A2026">
        <v>886</v>
      </c>
      <c r="B2026" t="s">
        <v>2086</v>
      </c>
      <c r="C2026">
        <v>3165</v>
      </c>
      <c r="D2026">
        <v>2</v>
      </c>
      <c r="E2026">
        <v>2893.6</v>
      </c>
      <c r="F2026">
        <v>0</v>
      </c>
      <c r="G2026">
        <v>2347.6</v>
      </c>
      <c r="H2026">
        <v>2</v>
      </c>
      <c r="I2026">
        <v>24.84</v>
      </c>
      <c r="J2026">
        <v>1197</v>
      </c>
      <c r="K2026">
        <v>475</v>
      </c>
      <c r="L2026">
        <v>43</v>
      </c>
      <c r="M2026">
        <v>98</v>
      </c>
      <c r="N2026">
        <v>0</v>
      </c>
      <c r="O2026">
        <v>3743</v>
      </c>
      <c r="P2026">
        <v>0</v>
      </c>
      <c r="Q2026">
        <v>-1425</v>
      </c>
    </row>
    <row r="2027" spans="1:17" x14ac:dyDescent="0.45">
      <c r="A2027">
        <v>3379</v>
      </c>
      <c r="B2027" t="s">
        <v>2087</v>
      </c>
      <c r="C2027">
        <v>8954</v>
      </c>
      <c r="D2027">
        <v>3</v>
      </c>
      <c r="E2027">
        <v>5955.4</v>
      </c>
      <c r="F2027">
        <v>4563.8</v>
      </c>
      <c r="G2027">
        <v>9504.7999999999993</v>
      </c>
      <c r="H2027">
        <v>1</v>
      </c>
      <c r="I2027">
        <v>22.7</v>
      </c>
      <c r="J2027">
        <v>2609</v>
      </c>
      <c r="K2027">
        <v>1370</v>
      </c>
      <c r="L2027">
        <v>127</v>
      </c>
      <c r="M2027">
        <v>300</v>
      </c>
      <c r="N2027">
        <v>0</v>
      </c>
      <c r="O2027">
        <v>17043</v>
      </c>
      <c r="P2027">
        <v>1484.05</v>
      </c>
      <c r="Q2027">
        <v>-3633</v>
      </c>
    </row>
    <row r="2028" spans="1:17" x14ac:dyDescent="0.45">
      <c r="A2028">
        <v>1146</v>
      </c>
      <c r="B2028" t="s">
        <v>2088</v>
      </c>
      <c r="C2028">
        <v>2558</v>
      </c>
      <c r="D2028">
        <v>2</v>
      </c>
      <c r="E2028">
        <v>1379</v>
      </c>
      <c r="F2028">
        <v>0</v>
      </c>
      <c r="G2028">
        <v>5066</v>
      </c>
      <c r="H2028">
        <v>3</v>
      </c>
      <c r="I2028">
        <v>26.39</v>
      </c>
      <c r="J2028">
        <v>926</v>
      </c>
      <c r="K2028">
        <v>481</v>
      </c>
      <c r="L2028">
        <v>78</v>
      </c>
      <c r="M2028">
        <v>102</v>
      </c>
      <c r="N2028">
        <v>0</v>
      </c>
      <c r="O2028">
        <v>2379</v>
      </c>
      <c r="P2028">
        <v>0</v>
      </c>
      <c r="Q2028">
        <v>-40</v>
      </c>
    </row>
    <row r="2029" spans="1:17" x14ac:dyDescent="0.45">
      <c r="A2029">
        <v>3316</v>
      </c>
      <c r="B2029" t="s">
        <v>2089</v>
      </c>
      <c r="C2029">
        <v>1845</v>
      </c>
      <c r="D2029">
        <v>3</v>
      </c>
      <c r="E2029">
        <v>2546.1999999999998</v>
      </c>
      <c r="F2029">
        <v>123.1</v>
      </c>
      <c r="G2029">
        <v>1679.4</v>
      </c>
      <c r="H2029">
        <v>2</v>
      </c>
      <c r="I2029">
        <v>22.8</v>
      </c>
      <c r="J2029">
        <v>716</v>
      </c>
      <c r="K2029">
        <v>345</v>
      </c>
      <c r="L2029">
        <v>60</v>
      </c>
      <c r="M2029">
        <v>155</v>
      </c>
      <c r="N2029">
        <v>0</v>
      </c>
      <c r="O2029">
        <v>1413</v>
      </c>
      <c r="P2029">
        <v>0</v>
      </c>
      <c r="Q2029">
        <v>-482</v>
      </c>
    </row>
    <row r="2030" spans="1:17" x14ac:dyDescent="0.45">
      <c r="A2030">
        <v>4262</v>
      </c>
      <c r="B2030" t="s">
        <v>2090</v>
      </c>
      <c r="C2030">
        <v>1007</v>
      </c>
      <c r="D2030">
        <v>3</v>
      </c>
      <c r="E2030">
        <v>1590.3</v>
      </c>
      <c r="F2030">
        <v>0</v>
      </c>
      <c r="G2030">
        <v>883.2</v>
      </c>
      <c r="H2030">
        <v>3</v>
      </c>
      <c r="I2030">
        <v>23.9</v>
      </c>
      <c r="J2030">
        <v>399</v>
      </c>
      <c r="K2030">
        <v>185</v>
      </c>
      <c r="L2030">
        <v>21</v>
      </c>
      <c r="M2030">
        <v>55</v>
      </c>
      <c r="N2030">
        <v>0</v>
      </c>
      <c r="O2030">
        <v>2508</v>
      </c>
      <c r="P2030">
        <v>0</v>
      </c>
      <c r="Q2030">
        <v>-462</v>
      </c>
    </row>
    <row r="2031" spans="1:17" x14ac:dyDescent="0.45">
      <c r="A2031">
        <v>1069</v>
      </c>
      <c r="B2031" t="s">
        <v>2091</v>
      </c>
      <c r="C2031">
        <v>4570</v>
      </c>
      <c r="D2031">
        <v>2</v>
      </c>
      <c r="E2031">
        <v>5759.8</v>
      </c>
      <c r="F2031">
        <v>23.3</v>
      </c>
      <c r="G2031">
        <v>4777.3999999999996</v>
      </c>
      <c r="H2031">
        <v>2</v>
      </c>
      <c r="I2031">
        <v>28.41</v>
      </c>
      <c r="J2031">
        <v>1649</v>
      </c>
      <c r="K2031">
        <v>683</v>
      </c>
      <c r="L2031">
        <v>134</v>
      </c>
      <c r="M2031">
        <v>351</v>
      </c>
      <c r="N2031">
        <v>0</v>
      </c>
      <c r="O2031">
        <v>2983</v>
      </c>
      <c r="P2031">
        <v>788.54</v>
      </c>
      <c r="Q2031">
        <v>-783</v>
      </c>
    </row>
    <row r="2032" spans="1:17" x14ac:dyDescent="0.45">
      <c r="A2032">
        <v>102</v>
      </c>
      <c r="B2032" t="s">
        <v>2092</v>
      </c>
      <c r="C2032">
        <v>2077</v>
      </c>
      <c r="D2032">
        <v>3</v>
      </c>
      <c r="E2032">
        <v>1389</v>
      </c>
      <c r="F2032">
        <v>23</v>
      </c>
      <c r="G2032">
        <v>1446.8</v>
      </c>
      <c r="H2032">
        <v>2</v>
      </c>
      <c r="I2032">
        <v>24.61</v>
      </c>
      <c r="J2032">
        <v>811</v>
      </c>
      <c r="K2032">
        <v>378</v>
      </c>
      <c r="L2032">
        <v>53</v>
      </c>
      <c r="M2032">
        <v>127</v>
      </c>
      <c r="N2032">
        <v>0</v>
      </c>
      <c r="O2032">
        <v>720</v>
      </c>
      <c r="P2032">
        <v>82.71</v>
      </c>
      <c r="Q2032">
        <v>-963</v>
      </c>
    </row>
    <row r="2033" spans="1:17" x14ac:dyDescent="0.45">
      <c r="A2033">
        <v>4946</v>
      </c>
      <c r="B2033" t="s">
        <v>2093</v>
      </c>
      <c r="C2033">
        <v>11893</v>
      </c>
      <c r="D2033">
        <v>3</v>
      </c>
      <c r="E2033">
        <v>6379.3</v>
      </c>
      <c r="F2033">
        <v>12836.8</v>
      </c>
      <c r="G2033">
        <v>22106.9</v>
      </c>
      <c r="H2033">
        <v>1</v>
      </c>
      <c r="I2033">
        <v>21</v>
      </c>
      <c r="J2033">
        <v>4633</v>
      </c>
      <c r="K2033">
        <v>1994</v>
      </c>
      <c r="L2033">
        <v>409</v>
      </c>
      <c r="M2033">
        <v>879</v>
      </c>
      <c r="N2033">
        <v>0</v>
      </c>
      <c r="O2033">
        <v>2961</v>
      </c>
      <c r="P2033">
        <v>83721</v>
      </c>
      <c r="Q2033">
        <v>-662</v>
      </c>
    </row>
    <row r="2034" spans="1:17" x14ac:dyDescent="0.45">
      <c r="A2034">
        <v>251</v>
      </c>
      <c r="B2034" t="s">
        <v>2094</v>
      </c>
      <c r="C2034">
        <v>4883</v>
      </c>
      <c r="D2034">
        <v>3</v>
      </c>
      <c r="E2034">
        <v>4211.3</v>
      </c>
      <c r="F2034">
        <v>1465.4</v>
      </c>
      <c r="G2034">
        <v>2045.8</v>
      </c>
      <c r="H2034">
        <v>1</v>
      </c>
      <c r="I2034">
        <v>15.69</v>
      </c>
      <c r="J2034">
        <v>1972</v>
      </c>
      <c r="K2034">
        <v>897</v>
      </c>
      <c r="L2034">
        <v>192</v>
      </c>
      <c r="M2034">
        <v>317</v>
      </c>
      <c r="N2034">
        <v>0</v>
      </c>
      <c r="O2034">
        <v>484</v>
      </c>
      <c r="P2034">
        <v>0</v>
      </c>
      <c r="Q2034">
        <v>-421</v>
      </c>
    </row>
    <row r="2035" spans="1:17" x14ac:dyDescent="0.45">
      <c r="A2035">
        <v>180</v>
      </c>
      <c r="B2035" t="s">
        <v>2095</v>
      </c>
      <c r="C2035">
        <v>3436</v>
      </c>
      <c r="D2035">
        <v>3</v>
      </c>
      <c r="E2035">
        <v>4475.5</v>
      </c>
      <c r="F2035">
        <v>18.8</v>
      </c>
      <c r="G2035">
        <v>2242.5</v>
      </c>
      <c r="H2035">
        <v>2</v>
      </c>
      <c r="I2035">
        <v>24.61</v>
      </c>
      <c r="J2035">
        <v>1339</v>
      </c>
      <c r="K2035">
        <v>543</v>
      </c>
      <c r="L2035">
        <v>125</v>
      </c>
      <c r="M2035">
        <v>183</v>
      </c>
      <c r="N2035">
        <v>0</v>
      </c>
      <c r="O2035">
        <v>4078</v>
      </c>
      <c r="P2035">
        <v>93.03</v>
      </c>
      <c r="Q2035">
        <v>-1124</v>
      </c>
    </row>
    <row r="2036" spans="1:17" x14ac:dyDescent="0.45">
      <c r="A2036">
        <v>2430</v>
      </c>
      <c r="B2036" t="s">
        <v>2096</v>
      </c>
      <c r="C2036">
        <v>1162</v>
      </c>
      <c r="D2036">
        <v>2</v>
      </c>
      <c r="E2036">
        <v>2291.6</v>
      </c>
      <c r="F2036">
        <v>0</v>
      </c>
      <c r="G2036">
        <v>784.1</v>
      </c>
      <c r="H2036">
        <v>3</v>
      </c>
      <c r="I2036">
        <v>28.59</v>
      </c>
      <c r="J2036">
        <v>478</v>
      </c>
      <c r="K2036">
        <v>209</v>
      </c>
      <c r="L2036">
        <v>15</v>
      </c>
      <c r="M2036">
        <v>51</v>
      </c>
      <c r="N2036">
        <v>0</v>
      </c>
      <c r="O2036">
        <v>5114</v>
      </c>
      <c r="P2036">
        <v>88.6</v>
      </c>
      <c r="Q2036">
        <v>-2970</v>
      </c>
    </row>
    <row r="2037" spans="1:17" x14ac:dyDescent="0.45">
      <c r="A2037">
        <v>394</v>
      </c>
      <c r="B2037" t="s">
        <v>2097</v>
      </c>
      <c r="C2037">
        <v>633</v>
      </c>
      <c r="D2037">
        <v>2</v>
      </c>
      <c r="E2037">
        <v>916</v>
      </c>
      <c r="F2037">
        <v>6.2</v>
      </c>
      <c r="G2037">
        <v>1099</v>
      </c>
      <c r="H2037">
        <v>3</v>
      </c>
      <c r="I2037">
        <v>26.41</v>
      </c>
      <c r="J2037">
        <v>272</v>
      </c>
      <c r="K2037">
        <v>131</v>
      </c>
      <c r="L2037">
        <v>19</v>
      </c>
      <c r="M2037">
        <v>14</v>
      </c>
      <c r="N2037">
        <v>0</v>
      </c>
      <c r="O2037">
        <v>2515</v>
      </c>
      <c r="P2037">
        <v>0</v>
      </c>
      <c r="Q2037">
        <v>-241</v>
      </c>
    </row>
    <row r="2038" spans="1:17" x14ac:dyDescent="0.45">
      <c r="A2038">
        <v>2865</v>
      </c>
      <c r="B2038" t="s">
        <v>2098</v>
      </c>
      <c r="C2038">
        <v>692</v>
      </c>
      <c r="D2038">
        <v>1</v>
      </c>
      <c r="E2038">
        <v>823.5</v>
      </c>
      <c r="F2038">
        <v>0</v>
      </c>
      <c r="G2038">
        <v>640.6</v>
      </c>
      <c r="H2038">
        <v>3</v>
      </c>
      <c r="I2038">
        <v>22.09</v>
      </c>
      <c r="J2038">
        <v>241</v>
      </c>
      <c r="K2038">
        <v>117</v>
      </c>
      <c r="L2038">
        <v>11</v>
      </c>
      <c r="M2038">
        <v>34</v>
      </c>
      <c r="N2038">
        <v>0</v>
      </c>
      <c r="O2038">
        <v>1524</v>
      </c>
      <c r="P2038">
        <v>33.229999999999997</v>
      </c>
      <c r="Q2038">
        <v>-341</v>
      </c>
    </row>
    <row r="2039" spans="1:17" x14ac:dyDescent="0.45">
      <c r="A2039">
        <v>1009</v>
      </c>
      <c r="B2039" t="s">
        <v>2099</v>
      </c>
      <c r="C2039">
        <v>2168</v>
      </c>
      <c r="D2039">
        <v>2</v>
      </c>
      <c r="E2039">
        <v>1357.2</v>
      </c>
      <c r="F2039">
        <v>0</v>
      </c>
      <c r="G2039">
        <v>4863.1000000000004</v>
      </c>
      <c r="H2039">
        <v>3</v>
      </c>
      <c r="I2039">
        <v>26.39</v>
      </c>
      <c r="J2039">
        <v>837</v>
      </c>
      <c r="K2039">
        <v>371</v>
      </c>
      <c r="L2039">
        <v>30</v>
      </c>
      <c r="M2039">
        <v>68</v>
      </c>
      <c r="N2039">
        <v>0</v>
      </c>
      <c r="O2039">
        <v>6682</v>
      </c>
      <c r="P2039">
        <v>509.45</v>
      </c>
      <c r="Q2039">
        <v>-923</v>
      </c>
    </row>
    <row r="2040" spans="1:17" x14ac:dyDescent="0.45">
      <c r="A2040">
        <v>4045</v>
      </c>
      <c r="B2040" t="s">
        <v>2100</v>
      </c>
      <c r="C2040">
        <v>21094</v>
      </c>
      <c r="D2040">
        <v>3</v>
      </c>
      <c r="E2040">
        <v>19205.8</v>
      </c>
      <c r="F2040">
        <v>8402</v>
      </c>
      <c r="G2040">
        <v>5878.7</v>
      </c>
      <c r="H2040">
        <v>1</v>
      </c>
      <c r="I2040">
        <v>20.87</v>
      </c>
      <c r="J2040">
        <v>6186</v>
      </c>
      <c r="K2040">
        <v>2607</v>
      </c>
      <c r="L2040">
        <v>386</v>
      </c>
      <c r="M2040">
        <v>1027</v>
      </c>
      <c r="N2040">
        <v>0</v>
      </c>
      <c r="O2040">
        <v>1085</v>
      </c>
      <c r="P2040">
        <v>0</v>
      </c>
      <c r="Q2040">
        <v>-783</v>
      </c>
    </row>
    <row r="2041" spans="1:17" x14ac:dyDescent="0.45">
      <c r="A2041">
        <v>14</v>
      </c>
      <c r="B2041" t="s">
        <v>2101</v>
      </c>
      <c r="C2041">
        <v>5282</v>
      </c>
      <c r="D2041">
        <v>3</v>
      </c>
      <c r="E2041">
        <v>5947.9</v>
      </c>
      <c r="F2041">
        <v>288.60000000000002</v>
      </c>
      <c r="G2041">
        <v>3393.1</v>
      </c>
      <c r="H2041">
        <v>2</v>
      </c>
      <c r="I2041">
        <v>24.61</v>
      </c>
      <c r="J2041">
        <v>1730</v>
      </c>
      <c r="K2041">
        <v>713</v>
      </c>
      <c r="L2041">
        <v>264</v>
      </c>
      <c r="M2041">
        <v>365</v>
      </c>
      <c r="N2041">
        <v>0</v>
      </c>
      <c r="O2041">
        <v>373</v>
      </c>
      <c r="P2041">
        <v>0</v>
      </c>
      <c r="Q2041">
        <v>-161</v>
      </c>
    </row>
    <row r="2042" spans="1:17" x14ac:dyDescent="0.45">
      <c r="A2042">
        <v>121</v>
      </c>
      <c r="B2042" t="s">
        <v>2102</v>
      </c>
      <c r="C2042">
        <v>26018</v>
      </c>
      <c r="D2042">
        <v>3</v>
      </c>
      <c r="E2042">
        <v>15046.7</v>
      </c>
      <c r="F2042">
        <v>18717.5</v>
      </c>
      <c r="G2042">
        <v>15850.7</v>
      </c>
      <c r="H2042">
        <v>1</v>
      </c>
      <c r="I2042">
        <v>15.69</v>
      </c>
      <c r="J2042">
        <v>8180</v>
      </c>
      <c r="K2042">
        <v>3383</v>
      </c>
      <c r="L2042">
        <v>542</v>
      </c>
      <c r="M2042">
        <v>1264</v>
      </c>
      <c r="N2042">
        <v>0</v>
      </c>
      <c r="O2042">
        <v>3645</v>
      </c>
      <c r="P2042">
        <v>1229.33</v>
      </c>
      <c r="Q2042">
        <v>-562</v>
      </c>
    </row>
    <row r="2043" spans="1:17" x14ac:dyDescent="0.45">
      <c r="A2043">
        <v>632</v>
      </c>
      <c r="B2043" t="s">
        <v>2103</v>
      </c>
      <c r="C2043">
        <v>4350</v>
      </c>
      <c r="D2043">
        <v>2</v>
      </c>
      <c r="E2043">
        <v>3700.5</v>
      </c>
      <c r="F2043">
        <v>0</v>
      </c>
      <c r="G2043">
        <v>5456.6</v>
      </c>
      <c r="H2043">
        <v>2</v>
      </c>
      <c r="I2043">
        <v>24.84</v>
      </c>
      <c r="J2043">
        <v>1623</v>
      </c>
      <c r="K2043">
        <v>615</v>
      </c>
      <c r="L2043">
        <v>77</v>
      </c>
      <c r="M2043">
        <v>165</v>
      </c>
      <c r="N2043">
        <v>0</v>
      </c>
      <c r="O2043">
        <v>2711</v>
      </c>
      <c r="P2043">
        <v>0</v>
      </c>
      <c r="Q2043">
        <v>-522</v>
      </c>
    </row>
    <row r="2044" spans="1:17" x14ac:dyDescent="0.45">
      <c r="A2044">
        <v>4081</v>
      </c>
      <c r="B2044" t="s">
        <v>2104</v>
      </c>
      <c r="C2044">
        <v>3877</v>
      </c>
      <c r="D2044">
        <v>3</v>
      </c>
      <c r="E2044">
        <v>5153.2</v>
      </c>
      <c r="F2044">
        <v>0</v>
      </c>
      <c r="G2044">
        <v>2427</v>
      </c>
      <c r="H2044">
        <v>1</v>
      </c>
      <c r="I2044">
        <v>20.87</v>
      </c>
      <c r="J2044">
        <v>1403</v>
      </c>
      <c r="K2044">
        <v>459</v>
      </c>
      <c r="L2044">
        <v>109</v>
      </c>
      <c r="M2044">
        <v>215</v>
      </c>
      <c r="N2044">
        <v>0</v>
      </c>
      <c r="O2044">
        <v>447</v>
      </c>
      <c r="P2044">
        <v>0</v>
      </c>
      <c r="Q2044">
        <v>-80</v>
      </c>
    </row>
    <row r="2045" spans="1:17" x14ac:dyDescent="0.45">
      <c r="A2045">
        <v>3238</v>
      </c>
      <c r="B2045" t="s">
        <v>2105</v>
      </c>
      <c r="C2045">
        <v>10178</v>
      </c>
      <c r="D2045">
        <v>3</v>
      </c>
      <c r="E2045">
        <v>7551</v>
      </c>
      <c r="F2045">
        <v>5476.8</v>
      </c>
      <c r="G2045">
        <v>10209</v>
      </c>
      <c r="H2045">
        <v>1</v>
      </c>
      <c r="I2045">
        <v>22.7</v>
      </c>
      <c r="J2045">
        <v>3677</v>
      </c>
      <c r="K2045">
        <v>1803</v>
      </c>
      <c r="L2045">
        <v>242</v>
      </c>
      <c r="M2045">
        <v>482</v>
      </c>
      <c r="N2045">
        <v>0</v>
      </c>
      <c r="O2045">
        <v>1907</v>
      </c>
      <c r="P2045">
        <v>0</v>
      </c>
      <c r="Q2045">
        <v>0</v>
      </c>
    </row>
    <row r="2046" spans="1:17" x14ac:dyDescent="0.45">
      <c r="A2046">
        <v>995</v>
      </c>
      <c r="B2046" t="s">
        <v>2106</v>
      </c>
      <c r="C2046">
        <v>2550</v>
      </c>
      <c r="D2046">
        <v>2</v>
      </c>
      <c r="E2046">
        <v>3570</v>
      </c>
      <c r="F2046">
        <v>6.9</v>
      </c>
      <c r="G2046">
        <v>2937.7</v>
      </c>
      <c r="H2046">
        <v>3</v>
      </c>
      <c r="I2046">
        <v>26.41</v>
      </c>
      <c r="J2046">
        <v>1009</v>
      </c>
      <c r="K2046">
        <v>436</v>
      </c>
      <c r="L2046">
        <v>60</v>
      </c>
      <c r="M2046">
        <v>131</v>
      </c>
      <c r="N2046">
        <v>0</v>
      </c>
      <c r="O2046">
        <v>2082</v>
      </c>
      <c r="P2046">
        <v>0</v>
      </c>
      <c r="Q2046">
        <v>-401</v>
      </c>
    </row>
    <row r="2047" spans="1:17" x14ac:dyDescent="0.45">
      <c r="A2047">
        <v>298</v>
      </c>
      <c r="B2047" t="s">
        <v>2107</v>
      </c>
      <c r="C2047">
        <v>6710</v>
      </c>
      <c r="D2047">
        <v>3</v>
      </c>
      <c r="E2047">
        <v>5074.7</v>
      </c>
      <c r="F2047">
        <v>1706.9</v>
      </c>
      <c r="G2047">
        <v>5154.2</v>
      </c>
      <c r="H2047">
        <v>2</v>
      </c>
      <c r="I2047">
        <v>24.61</v>
      </c>
      <c r="J2047">
        <v>2357</v>
      </c>
      <c r="K2047">
        <v>870</v>
      </c>
      <c r="L2047">
        <v>239</v>
      </c>
      <c r="M2047">
        <v>344</v>
      </c>
      <c r="N2047">
        <v>0</v>
      </c>
      <c r="O2047">
        <v>6288</v>
      </c>
      <c r="P2047">
        <v>0</v>
      </c>
      <c r="Q2047">
        <v>-863</v>
      </c>
    </row>
    <row r="2048" spans="1:17" x14ac:dyDescent="0.45">
      <c r="A2048">
        <v>553</v>
      </c>
      <c r="B2048" t="s">
        <v>2108</v>
      </c>
      <c r="C2048">
        <v>105</v>
      </c>
      <c r="D2048">
        <v>2</v>
      </c>
      <c r="E2048">
        <v>109.6</v>
      </c>
      <c r="F2048">
        <v>0</v>
      </c>
      <c r="G2048">
        <v>524.20000000000005</v>
      </c>
      <c r="H2048">
        <v>3</v>
      </c>
      <c r="I2048">
        <v>26.41</v>
      </c>
      <c r="J2048">
        <v>33</v>
      </c>
      <c r="K2048">
        <v>23</v>
      </c>
      <c r="L2048">
        <v>4</v>
      </c>
      <c r="M2048">
        <v>2</v>
      </c>
      <c r="N2048">
        <v>0</v>
      </c>
      <c r="O2048">
        <v>517</v>
      </c>
      <c r="P2048">
        <v>0</v>
      </c>
      <c r="Q2048">
        <v>-40</v>
      </c>
    </row>
    <row r="2049" spans="1:17" x14ac:dyDescent="0.45">
      <c r="A2049">
        <v>4951</v>
      </c>
      <c r="B2049" t="s">
        <v>2109</v>
      </c>
      <c r="C2049">
        <v>2600</v>
      </c>
      <c r="D2049">
        <v>3</v>
      </c>
      <c r="E2049">
        <v>2233.9</v>
      </c>
      <c r="F2049">
        <v>1313.1</v>
      </c>
      <c r="G2049">
        <v>5898.4</v>
      </c>
      <c r="H2049">
        <v>3</v>
      </c>
      <c r="I2049">
        <v>26.04</v>
      </c>
      <c r="J2049">
        <v>1108</v>
      </c>
      <c r="K2049">
        <v>496</v>
      </c>
      <c r="L2049">
        <v>85</v>
      </c>
      <c r="M2049">
        <v>110</v>
      </c>
      <c r="N2049">
        <v>0</v>
      </c>
      <c r="O2049">
        <v>6062</v>
      </c>
      <c r="P2049">
        <v>0</v>
      </c>
      <c r="Q2049">
        <v>-421</v>
      </c>
    </row>
    <row r="2050" spans="1:17" x14ac:dyDescent="0.45">
      <c r="A2050">
        <v>1147</v>
      </c>
      <c r="B2050" t="s">
        <v>2110</v>
      </c>
      <c r="C2050">
        <v>1486</v>
      </c>
      <c r="D2050">
        <v>2</v>
      </c>
      <c r="E2050">
        <v>1101.9000000000001</v>
      </c>
      <c r="F2050">
        <v>443.8</v>
      </c>
      <c r="G2050">
        <v>2664.2</v>
      </c>
      <c r="H2050">
        <v>1</v>
      </c>
      <c r="I2050">
        <v>19.39</v>
      </c>
      <c r="J2050">
        <v>545</v>
      </c>
      <c r="K2050">
        <v>273</v>
      </c>
      <c r="L2050">
        <v>30</v>
      </c>
      <c r="M2050">
        <v>74</v>
      </c>
      <c r="N2050">
        <v>0</v>
      </c>
      <c r="O2050">
        <v>1459</v>
      </c>
      <c r="P2050">
        <v>0</v>
      </c>
      <c r="Q2050">
        <v>-843</v>
      </c>
    </row>
    <row r="2051" spans="1:17" x14ac:dyDescent="0.45">
      <c r="A2051">
        <v>3427</v>
      </c>
      <c r="B2051" t="s">
        <v>2111</v>
      </c>
      <c r="C2051">
        <v>24541</v>
      </c>
      <c r="D2051">
        <v>3</v>
      </c>
      <c r="E2051">
        <v>18436.8</v>
      </c>
      <c r="F2051">
        <v>15251.6</v>
      </c>
      <c r="G2051">
        <v>22493.1</v>
      </c>
      <c r="H2051">
        <v>1</v>
      </c>
      <c r="I2051">
        <v>22.7</v>
      </c>
      <c r="J2051">
        <v>7778</v>
      </c>
      <c r="K2051">
        <v>3626</v>
      </c>
      <c r="L2051">
        <v>614</v>
      </c>
      <c r="M2051">
        <v>1240</v>
      </c>
      <c r="N2051">
        <v>0</v>
      </c>
      <c r="O2051">
        <v>7630</v>
      </c>
      <c r="P2051">
        <v>1247.8</v>
      </c>
      <c r="Q2051">
        <v>-763</v>
      </c>
    </row>
    <row r="2052" spans="1:17" x14ac:dyDescent="0.45">
      <c r="A2052">
        <v>71</v>
      </c>
      <c r="B2052" t="s">
        <v>2112</v>
      </c>
      <c r="C2052">
        <v>1564</v>
      </c>
      <c r="D2052">
        <v>3</v>
      </c>
      <c r="E2052">
        <v>1545.6</v>
      </c>
      <c r="F2052">
        <v>7.2</v>
      </c>
      <c r="G2052">
        <v>2684</v>
      </c>
      <c r="H2052">
        <v>3</v>
      </c>
      <c r="I2052">
        <v>25.15</v>
      </c>
      <c r="J2052">
        <v>571</v>
      </c>
      <c r="K2052">
        <v>266</v>
      </c>
      <c r="L2052">
        <v>62</v>
      </c>
      <c r="M2052">
        <v>73</v>
      </c>
      <c r="N2052">
        <v>0</v>
      </c>
      <c r="O2052">
        <v>2015</v>
      </c>
      <c r="P2052">
        <v>0</v>
      </c>
      <c r="Q2052">
        <v>-542</v>
      </c>
    </row>
    <row r="2053" spans="1:17" x14ac:dyDescent="0.45">
      <c r="A2053">
        <v>181</v>
      </c>
      <c r="B2053" t="s">
        <v>2113</v>
      </c>
      <c r="C2053">
        <v>2043</v>
      </c>
      <c r="D2053">
        <v>3</v>
      </c>
      <c r="E2053">
        <v>2399.1</v>
      </c>
      <c r="F2053">
        <v>6.5</v>
      </c>
      <c r="G2053">
        <v>1775</v>
      </c>
      <c r="H2053">
        <v>2</v>
      </c>
      <c r="I2053">
        <v>24.61</v>
      </c>
      <c r="J2053">
        <v>847</v>
      </c>
      <c r="K2053">
        <v>385</v>
      </c>
      <c r="L2053">
        <v>57</v>
      </c>
      <c r="M2053">
        <v>102</v>
      </c>
      <c r="N2053">
        <v>0</v>
      </c>
      <c r="O2053">
        <v>2341</v>
      </c>
      <c r="P2053">
        <v>0</v>
      </c>
      <c r="Q2053">
        <v>-903</v>
      </c>
    </row>
    <row r="2054" spans="1:17" x14ac:dyDescent="0.45">
      <c r="A2054">
        <v>2974</v>
      </c>
      <c r="B2054" t="s">
        <v>2114</v>
      </c>
      <c r="C2054">
        <v>1738</v>
      </c>
      <c r="D2054">
        <v>3</v>
      </c>
      <c r="E2054">
        <v>1634.6</v>
      </c>
      <c r="F2054">
        <v>45.7</v>
      </c>
      <c r="G2054">
        <v>3563</v>
      </c>
      <c r="H2054">
        <v>3</v>
      </c>
      <c r="I2054">
        <v>19.850000000000001</v>
      </c>
      <c r="J2054">
        <v>708</v>
      </c>
      <c r="K2054">
        <v>343</v>
      </c>
      <c r="L2054">
        <v>52</v>
      </c>
      <c r="M2054">
        <v>64</v>
      </c>
      <c r="N2054">
        <v>0</v>
      </c>
      <c r="O2054">
        <v>7125</v>
      </c>
      <c r="P2054">
        <v>33.229999999999997</v>
      </c>
      <c r="Q2054">
        <v>-1806</v>
      </c>
    </row>
    <row r="2055" spans="1:17" x14ac:dyDescent="0.45">
      <c r="A2055">
        <v>182</v>
      </c>
      <c r="B2055" t="s">
        <v>2115</v>
      </c>
      <c r="C2055">
        <v>1029</v>
      </c>
      <c r="D2055">
        <v>3</v>
      </c>
      <c r="E2055">
        <v>1155.7</v>
      </c>
      <c r="F2055">
        <v>0</v>
      </c>
      <c r="G2055">
        <v>834.1</v>
      </c>
      <c r="H2055">
        <v>3</v>
      </c>
      <c r="I2055">
        <v>25.15</v>
      </c>
      <c r="J2055">
        <v>416</v>
      </c>
      <c r="K2055">
        <v>171</v>
      </c>
      <c r="L2055">
        <v>18</v>
      </c>
      <c r="M2055">
        <v>51</v>
      </c>
      <c r="N2055">
        <v>0</v>
      </c>
      <c r="O2055">
        <v>3384</v>
      </c>
      <c r="P2055">
        <v>0</v>
      </c>
      <c r="Q2055">
        <v>-743</v>
      </c>
    </row>
    <row r="2056" spans="1:17" x14ac:dyDescent="0.45">
      <c r="A2056">
        <v>594</v>
      </c>
      <c r="B2056" t="s">
        <v>2116</v>
      </c>
      <c r="C2056">
        <v>2697</v>
      </c>
      <c r="D2056">
        <v>2</v>
      </c>
      <c r="E2056">
        <v>3301.5</v>
      </c>
      <c r="F2056">
        <v>25.2</v>
      </c>
      <c r="G2056">
        <v>1918.7</v>
      </c>
      <c r="H2056">
        <v>2</v>
      </c>
      <c r="I2056">
        <v>24.84</v>
      </c>
      <c r="J2056">
        <v>825</v>
      </c>
      <c r="K2056">
        <v>411</v>
      </c>
      <c r="L2056">
        <v>34</v>
      </c>
      <c r="M2056">
        <v>117</v>
      </c>
      <c r="N2056">
        <v>0</v>
      </c>
      <c r="O2056">
        <v>1780</v>
      </c>
      <c r="P2056">
        <v>0</v>
      </c>
      <c r="Q2056">
        <v>-1525</v>
      </c>
    </row>
    <row r="2057" spans="1:17" x14ac:dyDescent="0.45">
      <c r="A2057">
        <v>3359</v>
      </c>
      <c r="B2057" t="s">
        <v>2117</v>
      </c>
      <c r="C2057">
        <v>2612</v>
      </c>
      <c r="D2057">
        <v>3</v>
      </c>
      <c r="E2057">
        <v>5688.9</v>
      </c>
      <c r="F2057">
        <v>24.8</v>
      </c>
      <c r="G2057">
        <v>3418.4</v>
      </c>
      <c r="H2057">
        <v>3</v>
      </c>
      <c r="I2057">
        <v>30.49</v>
      </c>
      <c r="J2057">
        <v>882</v>
      </c>
      <c r="K2057">
        <v>585</v>
      </c>
      <c r="L2057">
        <v>28</v>
      </c>
      <c r="M2057">
        <v>89</v>
      </c>
      <c r="N2057">
        <v>0</v>
      </c>
      <c r="O2057">
        <v>12647</v>
      </c>
      <c r="P2057">
        <v>138.08000000000001</v>
      </c>
      <c r="Q2057">
        <v>-4415</v>
      </c>
    </row>
    <row r="2058" spans="1:17" x14ac:dyDescent="0.45">
      <c r="A2058">
        <v>4786</v>
      </c>
      <c r="B2058" t="s">
        <v>2118</v>
      </c>
      <c r="C2058">
        <v>2508</v>
      </c>
      <c r="D2058">
        <v>1</v>
      </c>
      <c r="E2058">
        <v>519.20000000000005</v>
      </c>
      <c r="F2058">
        <v>2643.9</v>
      </c>
      <c r="G2058">
        <v>3218.2</v>
      </c>
      <c r="H2058">
        <v>1</v>
      </c>
      <c r="I2058">
        <v>21</v>
      </c>
      <c r="J2058">
        <v>869</v>
      </c>
      <c r="K2058">
        <v>334</v>
      </c>
      <c r="L2058">
        <v>69</v>
      </c>
      <c r="M2058">
        <v>110</v>
      </c>
      <c r="N2058">
        <v>0</v>
      </c>
      <c r="O2058">
        <v>694</v>
      </c>
      <c r="P2058">
        <v>0</v>
      </c>
      <c r="Q2058">
        <v>-80</v>
      </c>
    </row>
    <row r="2059" spans="1:17" x14ac:dyDescent="0.45">
      <c r="A2059">
        <v>6202</v>
      </c>
      <c r="B2059" t="s">
        <v>2119</v>
      </c>
      <c r="C2059">
        <v>554</v>
      </c>
      <c r="D2059">
        <v>3</v>
      </c>
      <c r="E2059">
        <v>1216.9000000000001</v>
      </c>
      <c r="F2059">
        <v>16.2</v>
      </c>
      <c r="G2059">
        <v>339.2</v>
      </c>
      <c r="H2059">
        <v>3</v>
      </c>
      <c r="I2059">
        <v>30.8</v>
      </c>
      <c r="J2059">
        <v>118</v>
      </c>
      <c r="K2059">
        <v>116</v>
      </c>
      <c r="L2059">
        <v>12</v>
      </c>
      <c r="M2059">
        <v>28</v>
      </c>
      <c r="N2059">
        <v>0</v>
      </c>
      <c r="O2059">
        <v>731</v>
      </c>
      <c r="P2059">
        <v>0</v>
      </c>
      <c r="Q2059">
        <v>-642</v>
      </c>
    </row>
    <row r="2060" spans="1:17" x14ac:dyDescent="0.45">
      <c r="A2060">
        <v>554</v>
      </c>
      <c r="B2060" t="s">
        <v>2120</v>
      </c>
      <c r="C2060">
        <v>1037</v>
      </c>
      <c r="D2060">
        <v>2</v>
      </c>
      <c r="E2060">
        <v>926.8</v>
      </c>
      <c r="F2060">
        <v>0</v>
      </c>
      <c r="G2060">
        <v>1533.3</v>
      </c>
      <c r="H2060">
        <v>3</v>
      </c>
      <c r="I2060">
        <v>26.41</v>
      </c>
      <c r="J2060">
        <v>387</v>
      </c>
      <c r="K2060">
        <v>137</v>
      </c>
      <c r="L2060">
        <v>20</v>
      </c>
      <c r="M2060">
        <v>37</v>
      </c>
      <c r="N2060">
        <v>0</v>
      </c>
      <c r="O2060">
        <v>637</v>
      </c>
      <c r="P2060">
        <v>0</v>
      </c>
      <c r="Q2060">
        <v>-241</v>
      </c>
    </row>
    <row r="2061" spans="1:17" x14ac:dyDescent="0.45">
      <c r="A2061">
        <v>671</v>
      </c>
      <c r="B2061" t="s">
        <v>2121</v>
      </c>
      <c r="C2061">
        <v>380</v>
      </c>
      <c r="D2061">
        <v>2</v>
      </c>
      <c r="E2061">
        <v>435.4</v>
      </c>
      <c r="F2061">
        <v>0</v>
      </c>
      <c r="G2061">
        <v>189.2</v>
      </c>
      <c r="H2061">
        <v>3</v>
      </c>
      <c r="I2061">
        <v>26.41</v>
      </c>
      <c r="J2061">
        <v>163</v>
      </c>
      <c r="K2061">
        <v>54</v>
      </c>
      <c r="L2061">
        <v>7</v>
      </c>
      <c r="M2061">
        <v>12</v>
      </c>
      <c r="N2061">
        <v>0</v>
      </c>
      <c r="O2061">
        <v>915</v>
      </c>
      <c r="P2061">
        <v>22.15</v>
      </c>
      <c r="Q2061">
        <v>-241</v>
      </c>
    </row>
    <row r="2062" spans="1:17" x14ac:dyDescent="0.45">
      <c r="A2062">
        <v>4288</v>
      </c>
      <c r="B2062" t="s">
        <v>2122</v>
      </c>
      <c r="C2062">
        <v>167</v>
      </c>
      <c r="D2062">
        <v>3</v>
      </c>
      <c r="E2062">
        <v>73.2</v>
      </c>
      <c r="F2062">
        <v>0</v>
      </c>
      <c r="G2062">
        <v>192</v>
      </c>
      <c r="H2062">
        <v>3</v>
      </c>
      <c r="I2062">
        <v>23.9</v>
      </c>
      <c r="J2062">
        <v>86</v>
      </c>
      <c r="K2062">
        <v>26</v>
      </c>
      <c r="L2062">
        <v>5</v>
      </c>
      <c r="M2062">
        <v>9</v>
      </c>
      <c r="N2062">
        <v>0</v>
      </c>
      <c r="O2062">
        <v>596</v>
      </c>
      <c r="P2062">
        <v>0</v>
      </c>
      <c r="Q2062">
        <v>-40</v>
      </c>
    </row>
    <row r="2063" spans="1:17" x14ac:dyDescent="0.45">
      <c r="A2063">
        <v>423</v>
      </c>
      <c r="B2063" t="s">
        <v>2123</v>
      </c>
      <c r="C2063">
        <v>191</v>
      </c>
      <c r="D2063">
        <v>2</v>
      </c>
      <c r="E2063">
        <v>197.5</v>
      </c>
      <c r="F2063">
        <v>0</v>
      </c>
      <c r="G2063">
        <v>353.6</v>
      </c>
      <c r="H2063">
        <v>3</v>
      </c>
      <c r="I2063">
        <v>26.41</v>
      </c>
      <c r="J2063">
        <v>97</v>
      </c>
      <c r="K2063">
        <v>35</v>
      </c>
      <c r="L2063">
        <v>4</v>
      </c>
      <c r="M2063">
        <v>7</v>
      </c>
      <c r="N2063">
        <v>0</v>
      </c>
      <c r="O2063">
        <v>1116</v>
      </c>
      <c r="P2063">
        <v>0</v>
      </c>
      <c r="Q2063">
        <v>-100</v>
      </c>
    </row>
    <row r="2064" spans="1:17" x14ac:dyDescent="0.45">
      <c r="A2064">
        <v>1151</v>
      </c>
      <c r="B2064" t="s">
        <v>2124</v>
      </c>
      <c r="C2064">
        <v>9108</v>
      </c>
      <c r="D2064">
        <v>2</v>
      </c>
      <c r="E2064">
        <v>7789.9</v>
      </c>
      <c r="F2064">
        <v>0</v>
      </c>
      <c r="G2064">
        <v>22994.9</v>
      </c>
      <c r="H2064">
        <v>2</v>
      </c>
      <c r="I2064">
        <v>28.41</v>
      </c>
      <c r="J2064">
        <v>3290</v>
      </c>
      <c r="K2064">
        <v>1290</v>
      </c>
      <c r="L2064">
        <v>186</v>
      </c>
      <c r="M2064">
        <v>347</v>
      </c>
      <c r="N2064">
        <v>0</v>
      </c>
      <c r="O2064">
        <v>23385</v>
      </c>
      <c r="P2064">
        <v>0</v>
      </c>
      <c r="Q2064">
        <v>-2549</v>
      </c>
    </row>
    <row r="2065" spans="1:17" x14ac:dyDescent="0.45">
      <c r="A2065">
        <v>769</v>
      </c>
      <c r="B2065" t="s">
        <v>2125</v>
      </c>
      <c r="C2065">
        <v>2645</v>
      </c>
      <c r="D2065">
        <v>3</v>
      </c>
      <c r="E2065">
        <v>1695.8</v>
      </c>
      <c r="F2065">
        <v>4.0999999999999996</v>
      </c>
      <c r="G2065">
        <v>2158</v>
      </c>
      <c r="H2065">
        <v>2</v>
      </c>
      <c r="I2065">
        <v>24.84</v>
      </c>
      <c r="J2065">
        <v>986</v>
      </c>
      <c r="K2065">
        <v>497</v>
      </c>
      <c r="L2065">
        <v>36</v>
      </c>
      <c r="M2065">
        <v>74</v>
      </c>
      <c r="N2065">
        <v>0</v>
      </c>
      <c r="O2065">
        <v>3644</v>
      </c>
      <c r="P2065">
        <v>0</v>
      </c>
      <c r="Q2065">
        <v>-2127</v>
      </c>
    </row>
    <row r="2066" spans="1:17" x14ac:dyDescent="0.45">
      <c r="A2066">
        <v>4123</v>
      </c>
      <c r="B2066" t="s">
        <v>2126</v>
      </c>
      <c r="C2066">
        <v>8022</v>
      </c>
      <c r="D2066">
        <v>3</v>
      </c>
      <c r="E2066">
        <v>4402.8999999999996</v>
      </c>
      <c r="F2066">
        <v>4499.6000000000004</v>
      </c>
      <c r="G2066">
        <v>4499.1000000000004</v>
      </c>
      <c r="H2066">
        <v>1</v>
      </c>
      <c r="I2066">
        <v>20.87</v>
      </c>
      <c r="J2066">
        <v>2208</v>
      </c>
      <c r="K2066">
        <v>987</v>
      </c>
      <c r="L2066">
        <v>137</v>
      </c>
      <c r="M2066">
        <v>288</v>
      </c>
      <c r="N2066">
        <v>0</v>
      </c>
      <c r="O2066">
        <v>81</v>
      </c>
      <c r="P2066">
        <v>1329</v>
      </c>
      <c r="Q2066">
        <v>-241</v>
      </c>
    </row>
    <row r="2067" spans="1:17" x14ac:dyDescent="0.45">
      <c r="A2067">
        <v>72</v>
      </c>
      <c r="B2067" t="s">
        <v>2127</v>
      </c>
      <c r="C2067">
        <v>4858</v>
      </c>
      <c r="D2067">
        <v>3</v>
      </c>
      <c r="E2067">
        <v>3966.4</v>
      </c>
      <c r="F2067">
        <v>449</v>
      </c>
      <c r="G2067">
        <v>4005.3</v>
      </c>
      <c r="H2067">
        <v>1</v>
      </c>
      <c r="I2067">
        <v>15.69</v>
      </c>
      <c r="J2067">
        <v>1902</v>
      </c>
      <c r="K2067">
        <v>616</v>
      </c>
      <c r="L2067">
        <v>215</v>
      </c>
      <c r="M2067">
        <v>438</v>
      </c>
      <c r="N2067">
        <v>0</v>
      </c>
      <c r="O2067">
        <v>1507</v>
      </c>
      <c r="P2067">
        <v>0</v>
      </c>
      <c r="Q2067">
        <v>-442</v>
      </c>
    </row>
    <row r="2068" spans="1:17" x14ac:dyDescent="0.45">
      <c r="A2068">
        <v>2866</v>
      </c>
      <c r="B2068" t="s">
        <v>2128</v>
      </c>
      <c r="C2068">
        <v>616</v>
      </c>
      <c r="D2068">
        <v>1</v>
      </c>
      <c r="E2068">
        <v>938.3</v>
      </c>
      <c r="F2068">
        <v>0</v>
      </c>
      <c r="G2068">
        <v>294.89999999999998</v>
      </c>
      <c r="H2068">
        <v>3</v>
      </c>
      <c r="I2068">
        <v>22.09</v>
      </c>
      <c r="J2068">
        <v>290</v>
      </c>
      <c r="K2068">
        <v>95</v>
      </c>
      <c r="L2068">
        <v>15</v>
      </c>
      <c r="M2068">
        <v>36</v>
      </c>
      <c r="N2068">
        <v>0</v>
      </c>
      <c r="O2068">
        <v>1627</v>
      </c>
      <c r="P2068">
        <v>28.04</v>
      </c>
      <c r="Q2068">
        <v>-462</v>
      </c>
    </row>
    <row r="2069" spans="1:17" x14ac:dyDescent="0.45">
      <c r="A2069">
        <v>230</v>
      </c>
      <c r="B2069" t="s">
        <v>2129</v>
      </c>
      <c r="C2069">
        <v>116906</v>
      </c>
      <c r="D2069">
        <v>1</v>
      </c>
      <c r="E2069">
        <v>49350.9</v>
      </c>
      <c r="F2069">
        <v>68650</v>
      </c>
      <c r="G2069">
        <v>60682.1</v>
      </c>
      <c r="H2069">
        <v>1</v>
      </c>
      <c r="I2069">
        <v>15.69</v>
      </c>
      <c r="J2069">
        <v>26557</v>
      </c>
      <c r="K2069">
        <v>12774</v>
      </c>
      <c r="L2069">
        <v>2004</v>
      </c>
      <c r="M2069">
        <v>4341</v>
      </c>
      <c r="N2069">
        <v>0</v>
      </c>
      <c r="O2069">
        <v>6009</v>
      </c>
      <c r="P2069">
        <v>111702.5</v>
      </c>
      <c r="Q2069">
        <v>-5539</v>
      </c>
    </row>
    <row r="2070" spans="1:17" x14ac:dyDescent="0.45">
      <c r="A2070">
        <v>2501</v>
      </c>
      <c r="B2070" t="s">
        <v>2130</v>
      </c>
      <c r="C2070">
        <v>2017</v>
      </c>
      <c r="D2070">
        <v>2</v>
      </c>
      <c r="E2070">
        <v>1837.7</v>
      </c>
      <c r="F2070">
        <v>57.1</v>
      </c>
      <c r="G2070">
        <v>2314.6</v>
      </c>
      <c r="H2070">
        <v>1</v>
      </c>
      <c r="I2070">
        <v>19.07</v>
      </c>
      <c r="J2070">
        <v>781</v>
      </c>
      <c r="K2070">
        <v>252</v>
      </c>
      <c r="L2070">
        <v>36</v>
      </c>
      <c r="M2070">
        <v>87</v>
      </c>
      <c r="N2070">
        <v>0</v>
      </c>
      <c r="O2070">
        <v>877</v>
      </c>
      <c r="P2070">
        <v>2447.58</v>
      </c>
      <c r="Q2070">
        <v>-301</v>
      </c>
    </row>
    <row r="2071" spans="1:17" x14ac:dyDescent="0.45">
      <c r="A2071">
        <v>2502</v>
      </c>
      <c r="B2071" t="s">
        <v>2131</v>
      </c>
      <c r="C2071">
        <v>437</v>
      </c>
      <c r="D2071">
        <v>3</v>
      </c>
      <c r="E2071">
        <v>522</v>
      </c>
      <c r="F2071">
        <v>0</v>
      </c>
      <c r="G2071">
        <v>579.4</v>
      </c>
      <c r="H2071">
        <v>3</v>
      </c>
      <c r="I2071">
        <v>28.59</v>
      </c>
      <c r="J2071">
        <v>158</v>
      </c>
      <c r="K2071">
        <v>77</v>
      </c>
      <c r="L2071">
        <v>19</v>
      </c>
      <c r="M2071">
        <v>20</v>
      </c>
      <c r="N2071">
        <v>0</v>
      </c>
      <c r="O2071">
        <v>1365</v>
      </c>
      <c r="P2071">
        <v>28.04</v>
      </c>
      <c r="Q2071">
        <v>-321</v>
      </c>
    </row>
    <row r="2072" spans="1:17" x14ac:dyDescent="0.45">
      <c r="A2072">
        <v>3204</v>
      </c>
      <c r="B2072" t="s">
        <v>2132</v>
      </c>
      <c r="C2072">
        <v>9914</v>
      </c>
      <c r="D2072">
        <v>3</v>
      </c>
      <c r="E2072">
        <v>9580.5</v>
      </c>
      <c r="F2072">
        <v>568.4</v>
      </c>
      <c r="G2072">
        <v>8098.2</v>
      </c>
      <c r="H2072">
        <v>1</v>
      </c>
      <c r="I2072">
        <v>22.7</v>
      </c>
      <c r="J2072">
        <v>3036</v>
      </c>
      <c r="K2072">
        <v>1428</v>
      </c>
      <c r="L2072">
        <v>214</v>
      </c>
      <c r="M2072">
        <v>407</v>
      </c>
      <c r="N2072">
        <v>0</v>
      </c>
      <c r="O2072">
        <v>4696</v>
      </c>
      <c r="P2072">
        <v>8306.25</v>
      </c>
      <c r="Q2072">
        <v>-462</v>
      </c>
    </row>
    <row r="2073" spans="1:17" x14ac:dyDescent="0.45">
      <c r="A2073">
        <v>2481</v>
      </c>
      <c r="B2073" t="s">
        <v>2133</v>
      </c>
      <c r="C2073">
        <v>1446</v>
      </c>
      <c r="D2073">
        <v>2</v>
      </c>
      <c r="E2073">
        <v>1863.9</v>
      </c>
      <c r="F2073">
        <v>0</v>
      </c>
      <c r="G2073">
        <v>1193.9000000000001</v>
      </c>
      <c r="H2073">
        <v>2</v>
      </c>
      <c r="I2073">
        <v>26.37</v>
      </c>
      <c r="J2073">
        <v>555</v>
      </c>
      <c r="K2073">
        <v>166</v>
      </c>
      <c r="L2073">
        <v>27</v>
      </c>
      <c r="M2073">
        <v>80</v>
      </c>
      <c r="N2073">
        <v>0</v>
      </c>
      <c r="O2073">
        <v>399</v>
      </c>
      <c r="P2073">
        <v>0</v>
      </c>
      <c r="Q2073">
        <v>-100</v>
      </c>
    </row>
    <row r="2074" spans="1:17" x14ac:dyDescent="0.45">
      <c r="A2074">
        <v>2867</v>
      </c>
      <c r="B2074" t="s">
        <v>2134</v>
      </c>
      <c r="C2074">
        <v>428</v>
      </c>
      <c r="D2074">
        <v>1</v>
      </c>
      <c r="E2074">
        <v>271</v>
      </c>
      <c r="F2074">
        <v>8.9</v>
      </c>
      <c r="G2074">
        <v>503.5</v>
      </c>
      <c r="H2074">
        <v>3</v>
      </c>
      <c r="I2074">
        <v>22.09</v>
      </c>
      <c r="J2074">
        <v>187</v>
      </c>
      <c r="K2074">
        <v>73</v>
      </c>
      <c r="L2074">
        <v>14</v>
      </c>
      <c r="M2074">
        <v>23</v>
      </c>
      <c r="N2074">
        <v>0</v>
      </c>
      <c r="O2074">
        <v>540</v>
      </c>
      <c r="P2074">
        <v>0</v>
      </c>
      <c r="Q2074">
        <v>-201</v>
      </c>
    </row>
    <row r="2075" spans="1:17" x14ac:dyDescent="0.45">
      <c r="A2075">
        <v>4181</v>
      </c>
      <c r="B2075" t="s">
        <v>2135</v>
      </c>
      <c r="C2075">
        <v>1385</v>
      </c>
      <c r="D2075">
        <v>3</v>
      </c>
      <c r="E2075">
        <v>961.7</v>
      </c>
      <c r="F2075">
        <v>3.6</v>
      </c>
      <c r="G2075">
        <v>2984.6</v>
      </c>
      <c r="H2075">
        <v>3</v>
      </c>
      <c r="I2075">
        <v>23.9</v>
      </c>
      <c r="J2075">
        <v>550</v>
      </c>
      <c r="K2075">
        <v>254</v>
      </c>
      <c r="L2075">
        <v>40</v>
      </c>
      <c r="M2075">
        <v>60</v>
      </c>
      <c r="N2075">
        <v>0</v>
      </c>
      <c r="O2075">
        <v>1368</v>
      </c>
      <c r="P2075">
        <v>0</v>
      </c>
      <c r="Q2075">
        <v>-1204</v>
      </c>
    </row>
    <row r="2076" spans="1:17" x14ac:dyDescent="0.45">
      <c r="A2076">
        <v>4082</v>
      </c>
      <c r="B2076" t="s">
        <v>2136</v>
      </c>
      <c r="C2076">
        <v>17133</v>
      </c>
      <c r="D2076">
        <v>3</v>
      </c>
      <c r="E2076">
        <v>10472.700000000001</v>
      </c>
      <c r="F2076">
        <v>11768.2</v>
      </c>
      <c r="G2076">
        <v>15629.4</v>
      </c>
      <c r="H2076">
        <v>1</v>
      </c>
      <c r="I2076">
        <v>20.87</v>
      </c>
      <c r="J2076">
        <v>5946</v>
      </c>
      <c r="K2076">
        <v>2767</v>
      </c>
      <c r="L2076">
        <v>436</v>
      </c>
      <c r="M2076">
        <v>992</v>
      </c>
      <c r="N2076">
        <v>0</v>
      </c>
      <c r="O2076">
        <v>2383</v>
      </c>
      <c r="P2076">
        <v>2768.75</v>
      </c>
      <c r="Q2076">
        <v>-682</v>
      </c>
    </row>
    <row r="2077" spans="1:17" x14ac:dyDescent="0.45">
      <c r="A2077">
        <v>360</v>
      </c>
      <c r="B2077" t="s">
        <v>2137</v>
      </c>
      <c r="C2077">
        <v>9348</v>
      </c>
      <c r="D2077">
        <v>3</v>
      </c>
      <c r="E2077">
        <v>8592.7000000000007</v>
      </c>
      <c r="F2077">
        <v>718.2</v>
      </c>
      <c r="G2077">
        <v>8554.9</v>
      </c>
      <c r="H2077">
        <v>2</v>
      </c>
      <c r="I2077">
        <v>24.84</v>
      </c>
      <c r="J2077">
        <v>2820</v>
      </c>
      <c r="K2077">
        <v>1103</v>
      </c>
      <c r="L2077">
        <v>227</v>
      </c>
      <c r="M2077">
        <v>374</v>
      </c>
      <c r="N2077">
        <v>0</v>
      </c>
      <c r="O2077">
        <v>10682</v>
      </c>
      <c r="P2077">
        <v>775.25</v>
      </c>
      <c r="Q2077">
        <v>-2328</v>
      </c>
    </row>
    <row r="2078" spans="1:17" x14ac:dyDescent="0.45">
      <c r="A2078">
        <v>4046</v>
      </c>
      <c r="B2078" t="s">
        <v>2138</v>
      </c>
      <c r="C2078">
        <v>1820</v>
      </c>
      <c r="D2078">
        <v>3</v>
      </c>
      <c r="E2078">
        <v>1258.3</v>
      </c>
      <c r="F2078">
        <v>4.7</v>
      </c>
      <c r="G2078">
        <v>1935.2</v>
      </c>
      <c r="H2078">
        <v>2</v>
      </c>
      <c r="I2078">
        <v>23.46</v>
      </c>
      <c r="J2078">
        <v>695</v>
      </c>
      <c r="K2078">
        <v>269</v>
      </c>
      <c r="L2078">
        <v>60</v>
      </c>
      <c r="M2078">
        <v>95</v>
      </c>
      <c r="N2078">
        <v>0</v>
      </c>
      <c r="O2078">
        <v>482</v>
      </c>
      <c r="P2078">
        <v>0</v>
      </c>
      <c r="Q2078">
        <v>-281</v>
      </c>
    </row>
    <row r="2079" spans="1:17" x14ac:dyDescent="0.45">
      <c r="A2079">
        <v>1511</v>
      </c>
      <c r="B2079" t="s">
        <v>2139</v>
      </c>
      <c r="C2079">
        <v>2105</v>
      </c>
      <c r="D2079">
        <v>3</v>
      </c>
      <c r="E2079">
        <v>1695.2</v>
      </c>
      <c r="F2079">
        <v>10.5</v>
      </c>
      <c r="G2079">
        <v>1170.9000000000001</v>
      </c>
      <c r="H2079">
        <v>3</v>
      </c>
      <c r="I2079">
        <v>44.23</v>
      </c>
      <c r="J2079">
        <v>720</v>
      </c>
      <c r="K2079">
        <v>488</v>
      </c>
      <c r="L2079">
        <v>29</v>
      </c>
      <c r="M2079">
        <v>63</v>
      </c>
      <c r="N2079">
        <v>0</v>
      </c>
      <c r="O2079">
        <v>5397</v>
      </c>
      <c r="P2079">
        <v>0</v>
      </c>
      <c r="Q2079">
        <v>-5901</v>
      </c>
    </row>
    <row r="2080" spans="1:17" x14ac:dyDescent="0.45">
      <c r="A2080">
        <v>3038</v>
      </c>
      <c r="B2080" t="s">
        <v>2140</v>
      </c>
      <c r="C2080">
        <v>1880</v>
      </c>
      <c r="D2080">
        <v>3</v>
      </c>
      <c r="E2080">
        <v>1442.4</v>
      </c>
      <c r="F2080">
        <v>1224.5999999999999</v>
      </c>
      <c r="G2080">
        <v>2799.5</v>
      </c>
      <c r="H2080">
        <v>2</v>
      </c>
      <c r="I2080">
        <v>17.79</v>
      </c>
      <c r="J2080">
        <v>736</v>
      </c>
      <c r="K2080">
        <v>379</v>
      </c>
      <c r="L2080">
        <v>34</v>
      </c>
      <c r="M2080">
        <v>80</v>
      </c>
      <c r="N2080">
        <v>0</v>
      </c>
      <c r="O2080">
        <v>2243</v>
      </c>
      <c r="P2080">
        <v>0</v>
      </c>
      <c r="Q2080">
        <v>-401</v>
      </c>
    </row>
    <row r="2081" spans="1:17" x14ac:dyDescent="0.45">
      <c r="A2081">
        <v>2408</v>
      </c>
      <c r="B2081" t="s">
        <v>2142</v>
      </c>
      <c r="C2081">
        <v>2385</v>
      </c>
      <c r="D2081">
        <v>3</v>
      </c>
      <c r="E2081">
        <v>2010.7</v>
      </c>
      <c r="F2081">
        <v>12.2</v>
      </c>
      <c r="G2081">
        <v>3976.5</v>
      </c>
      <c r="H2081">
        <v>3</v>
      </c>
      <c r="I2081">
        <v>28.59</v>
      </c>
      <c r="J2081">
        <v>1021</v>
      </c>
      <c r="K2081">
        <v>392</v>
      </c>
      <c r="L2081">
        <v>63</v>
      </c>
      <c r="M2081">
        <v>127</v>
      </c>
      <c r="N2081">
        <v>0</v>
      </c>
      <c r="O2081">
        <v>1700</v>
      </c>
      <c r="P2081">
        <v>0</v>
      </c>
      <c r="Q2081">
        <v>-381</v>
      </c>
    </row>
    <row r="2082" spans="1:17" x14ac:dyDescent="0.45">
      <c r="A2082">
        <v>1107</v>
      </c>
      <c r="B2082" t="s">
        <v>2143</v>
      </c>
      <c r="C2082">
        <v>4446</v>
      </c>
      <c r="D2082">
        <v>2</v>
      </c>
      <c r="E2082">
        <v>3702.4</v>
      </c>
      <c r="F2082">
        <v>371.7</v>
      </c>
      <c r="G2082">
        <v>6537.7</v>
      </c>
      <c r="H2082">
        <v>2</v>
      </c>
      <c r="I2082">
        <v>28.41</v>
      </c>
      <c r="J2082">
        <v>1875</v>
      </c>
      <c r="K2082">
        <v>779</v>
      </c>
      <c r="L2082">
        <v>78</v>
      </c>
      <c r="M2082">
        <v>197</v>
      </c>
      <c r="N2082">
        <v>0</v>
      </c>
      <c r="O2082">
        <v>7304</v>
      </c>
      <c r="P2082">
        <v>0</v>
      </c>
      <c r="Q2082">
        <v>-803</v>
      </c>
    </row>
    <row r="2083" spans="1:17" x14ac:dyDescent="0.45">
      <c r="A2083">
        <v>1323</v>
      </c>
      <c r="B2083" t="s">
        <v>2144</v>
      </c>
      <c r="C2083">
        <v>7495</v>
      </c>
      <c r="D2083">
        <v>3</v>
      </c>
      <c r="E2083">
        <v>5495.7</v>
      </c>
      <c r="F2083">
        <v>5432.6</v>
      </c>
      <c r="G2083">
        <v>4214.2</v>
      </c>
      <c r="H2083">
        <v>1</v>
      </c>
      <c r="I2083">
        <v>35.31</v>
      </c>
      <c r="J2083">
        <v>3550</v>
      </c>
      <c r="K2083">
        <v>1249</v>
      </c>
      <c r="L2083">
        <v>387</v>
      </c>
      <c r="M2083">
        <v>717</v>
      </c>
      <c r="N2083">
        <v>0</v>
      </c>
      <c r="O2083">
        <v>2483</v>
      </c>
      <c r="P2083">
        <v>0</v>
      </c>
      <c r="Q2083">
        <v>-161</v>
      </c>
    </row>
    <row r="2084" spans="1:17" x14ac:dyDescent="0.45">
      <c r="A2084">
        <v>627</v>
      </c>
      <c r="B2084" t="s">
        <v>2145</v>
      </c>
      <c r="C2084">
        <v>11460</v>
      </c>
      <c r="D2084">
        <v>2</v>
      </c>
      <c r="E2084">
        <v>9683.7999999999993</v>
      </c>
      <c r="F2084">
        <v>172.4</v>
      </c>
      <c r="G2084">
        <v>10911.3</v>
      </c>
      <c r="H2084">
        <v>2</v>
      </c>
      <c r="I2084">
        <v>24.84</v>
      </c>
      <c r="J2084">
        <v>3654</v>
      </c>
      <c r="K2084">
        <v>1397</v>
      </c>
      <c r="L2084">
        <v>189</v>
      </c>
      <c r="M2084">
        <v>431</v>
      </c>
      <c r="N2084">
        <v>0</v>
      </c>
      <c r="O2084">
        <v>7777</v>
      </c>
      <c r="P2084">
        <v>0</v>
      </c>
      <c r="Q2084">
        <v>-883</v>
      </c>
    </row>
    <row r="2085" spans="1:17" x14ac:dyDescent="0.45">
      <c r="A2085">
        <v>755</v>
      </c>
      <c r="B2085" t="s">
        <v>2146</v>
      </c>
      <c r="C2085">
        <v>2501</v>
      </c>
      <c r="D2085">
        <v>2</v>
      </c>
      <c r="E2085">
        <v>1801.4</v>
      </c>
      <c r="F2085">
        <v>66.7</v>
      </c>
      <c r="G2085">
        <v>1406.3</v>
      </c>
      <c r="H2085">
        <v>1</v>
      </c>
      <c r="I2085">
        <v>16.760000000000002</v>
      </c>
      <c r="J2085">
        <v>945</v>
      </c>
      <c r="K2085">
        <v>369</v>
      </c>
      <c r="L2085">
        <v>54</v>
      </c>
      <c r="M2085">
        <v>153</v>
      </c>
      <c r="N2085">
        <v>0</v>
      </c>
      <c r="O2085">
        <v>1409</v>
      </c>
      <c r="P2085">
        <v>0</v>
      </c>
      <c r="Q2085">
        <v>-40</v>
      </c>
    </row>
    <row r="2086" spans="1:17" x14ac:dyDescent="0.45">
      <c r="A2086">
        <v>4791</v>
      </c>
      <c r="B2086" t="s">
        <v>2148</v>
      </c>
      <c r="C2086">
        <v>1189</v>
      </c>
      <c r="D2086">
        <v>3</v>
      </c>
      <c r="E2086">
        <v>1028.8</v>
      </c>
      <c r="F2086">
        <v>6</v>
      </c>
      <c r="G2086">
        <v>2292.5</v>
      </c>
      <c r="H2086">
        <v>3</v>
      </c>
      <c r="I2086">
        <v>26.04</v>
      </c>
      <c r="J2086">
        <v>503</v>
      </c>
      <c r="K2086">
        <v>226</v>
      </c>
      <c r="L2086">
        <v>38</v>
      </c>
      <c r="M2086">
        <v>43</v>
      </c>
      <c r="N2086">
        <v>0</v>
      </c>
      <c r="O2086">
        <v>6652</v>
      </c>
      <c r="P2086">
        <v>0</v>
      </c>
      <c r="Q2086">
        <v>-421</v>
      </c>
    </row>
    <row r="2087" spans="1:17" x14ac:dyDescent="0.45">
      <c r="A2087">
        <v>345</v>
      </c>
      <c r="B2087" t="s">
        <v>2151</v>
      </c>
      <c r="C2087">
        <v>1676</v>
      </c>
      <c r="D2087">
        <v>2</v>
      </c>
      <c r="E2087">
        <v>2291.6</v>
      </c>
      <c r="F2087">
        <v>9.1999999999999993</v>
      </c>
      <c r="G2087">
        <v>1790.7</v>
      </c>
      <c r="H2087">
        <v>3</v>
      </c>
      <c r="I2087">
        <v>26.41</v>
      </c>
      <c r="J2087">
        <v>675</v>
      </c>
      <c r="K2087">
        <v>294</v>
      </c>
      <c r="L2087">
        <v>27</v>
      </c>
      <c r="M2087">
        <v>96</v>
      </c>
      <c r="N2087">
        <v>0</v>
      </c>
      <c r="O2087">
        <v>1271</v>
      </c>
      <c r="P2087">
        <v>1904.9</v>
      </c>
      <c r="Q2087">
        <v>-381</v>
      </c>
    </row>
    <row r="2088" spans="1:17" x14ac:dyDescent="0.45">
      <c r="A2088">
        <v>424</v>
      </c>
      <c r="B2088" t="s">
        <v>2152</v>
      </c>
      <c r="C2088">
        <v>2071</v>
      </c>
      <c r="D2088">
        <v>3</v>
      </c>
      <c r="E2088">
        <v>1258.0999999999999</v>
      </c>
      <c r="F2088">
        <v>7.8</v>
      </c>
      <c r="G2088">
        <v>1763.9</v>
      </c>
      <c r="H2088">
        <v>3</v>
      </c>
      <c r="I2088">
        <v>26.41</v>
      </c>
      <c r="J2088">
        <v>806</v>
      </c>
      <c r="K2088">
        <v>325</v>
      </c>
      <c r="L2088">
        <v>38</v>
      </c>
      <c r="M2088">
        <v>72</v>
      </c>
      <c r="N2088">
        <v>0</v>
      </c>
      <c r="O2088">
        <v>11711</v>
      </c>
      <c r="P2088">
        <v>0</v>
      </c>
      <c r="Q2088">
        <v>-2087</v>
      </c>
    </row>
    <row r="2089" spans="1:17" x14ac:dyDescent="0.45">
      <c r="A2089">
        <v>960</v>
      </c>
      <c r="B2089" t="s">
        <v>2153</v>
      </c>
      <c r="C2089">
        <v>1105</v>
      </c>
      <c r="D2089">
        <v>2</v>
      </c>
      <c r="E2089">
        <v>1326.4</v>
      </c>
      <c r="F2089">
        <v>68.599999999999994</v>
      </c>
      <c r="G2089">
        <v>2889.5</v>
      </c>
      <c r="H2089">
        <v>3</v>
      </c>
      <c r="I2089">
        <v>26.41</v>
      </c>
      <c r="J2089">
        <v>491</v>
      </c>
      <c r="K2089">
        <v>186</v>
      </c>
      <c r="L2089">
        <v>43</v>
      </c>
      <c r="M2089">
        <v>30</v>
      </c>
      <c r="N2089">
        <v>0</v>
      </c>
      <c r="O2089">
        <v>7644</v>
      </c>
      <c r="P2089">
        <v>0</v>
      </c>
      <c r="Q2089">
        <v>-462</v>
      </c>
    </row>
    <row r="2090" spans="1:17" x14ac:dyDescent="0.45">
      <c r="A2090">
        <v>293</v>
      </c>
      <c r="B2090" t="s">
        <v>2055</v>
      </c>
      <c r="C2090">
        <v>25193</v>
      </c>
      <c r="D2090">
        <v>3</v>
      </c>
      <c r="E2090">
        <v>19981.099999999999</v>
      </c>
      <c r="F2090">
        <v>17073.7</v>
      </c>
      <c r="G2090">
        <v>11493.9</v>
      </c>
      <c r="H2090">
        <v>1</v>
      </c>
      <c r="I2090">
        <v>15.69</v>
      </c>
      <c r="J2090">
        <v>7697</v>
      </c>
      <c r="K2090">
        <v>2990</v>
      </c>
      <c r="L2090">
        <v>683</v>
      </c>
      <c r="M2090">
        <v>1354</v>
      </c>
      <c r="N2090">
        <v>0</v>
      </c>
      <c r="O2090">
        <v>14698</v>
      </c>
      <c r="P2090">
        <v>2665.4</v>
      </c>
      <c r="Q2090">
        <v>-1044</v>
      </c>
    </row>
    <row r="2091" spans="1:17" x14ac:dyDescent="0.45">
      <c r="A2091">
        <v>4701</v>
      </c>
      <c r="B2091" t="s">
        <v>2063</v>
      </c>
      <c r="C2091">
        <v>1119</v>
      </c>
      <c r="D2091">
        <v>3</v>
      </c>
      <c r="E2091">
        <v>1347.7</v>
      </c>
      <c r="F2091">
        <v>188.7</v>
      </c>
      <c r="G2091">
        <v>2849.6</v>
      </c>
      <c r="H2091">
        <v>3</v>
      </c>
      <c r="I2091">
        <v>26.04</v>
      </c>
      <c r="J2091">
        <v>522</v>
      </c>
      <c r="K2091">
        <v>239</v>
      </c>
      <c r="L2091">
        <v>30</v>
      </c>
      <c r="M2091">
        <v>51</v>
      </c>
      <c r="N2091">
        <v>0</v>
      </c>
      <c r="O2091">
        <v>5206</v>
      </c>
      <c r="P2091">
        <v>0</v>
      </c>
      <c r="Q2091">
        <v>-401</v>
      </c>
    </row>
    <row r="2092" spans="1:17" x14ac:dyDescent="0.45">
      <c r="A2092">
        <v>4781</v>
      </c>
      <c r="B2092" t="s">
        <v>2081</v>
      </c>
      <c r="C2092">
        <v>4816</v>
      </c>
      <c r="D2092">
        <v>3</v>
      </c>
      <c r="E2092">
        <v>4629.8999999999996</v>
      </c>
      <c r="F2092">
        <v>1809.2</v>
      </c>
      <c r="G2092">
        <v>7426.3</v>
      </c>
      <c r="H2092">
        <v>2</v>
      </c>
      <c r="I2092">
        <v>21.63</v>
      </c>
      <c r="J2092">
        <v>1955</v>
      </c>
      <c r="K2092">
        <v>879</v>
      </c>
      <c r="L2092">
        <v>162</v>
      </c>
      <c r="M2092">
        <v>223</v>
      </c>
      <c r="N2092">
        <v>0</v>
      </c>
      <c r="O2092">
        <v>7892</v>
      </c>
      <c r="P2092">
        <v>0</v>
      </c>
      <c r="Q2092">
        <v>-522</v>
      </c>
    </row>
    <row r="2093" spans="1:17" x14ac:dyDescent="0.45">
      <c r="A2093">
        <v>4182</v>
      </c>
      <c r="B2093" t="s">
        <v>2141</v>
      </c>
      <c r="C2093">
        <v>1029</v>
      </c>
      <c r="D2093">
        <v>3</v>
      </c>
      <c r="E2093">
        <v>949.1</v>
      </c>
      <c r="F2093">
        <v>0</v>
      </c>
      <c r="G2093">
        <v>2021.4</v>
      </c>
      <c r="H2093">
        <v>3</v>
      </c>
      <c r="I2093">
        <v>23.9</v>
      </c>
      <c r="J2093">
        <v>424</v>
      </c>
      <c r="K2093">
        <v>175</v>
      </c>
      <c r="L2093">
        <v>24</v>
      </c>
      <c r="M2093">
        <v>33</v>
      </c>
      <c r="N2093">
        <v>0</v>
      </c>
      <c r="O2093">
        <v>3939</v>
      </c>
      <c r="P2093">
        <v>0</v>
      </c>
      <c r="Q2093">
        <v>-582</v>
      </c>
    </row>
    <row r="2094" spans="1:17" x14ac:dyDescent="0.45">
      <c r="A2094">
        <v>2309</v>
      </c>
      <c r="B2094" t="s">
        <v>2147</v>
      </c>
      <c r="C2094">
        <v>5641</v>
      </c>
      <c r="D2094">
        <v>3</v>
      </c>
      <c r="E2094">
        <v>4520.1000000000004</v>
      </c>
      <c r="F2094">
        <v>66.599999999999994</v>
      </c>
      <c r="G2094">
        <v>4534</v>
      </c>
      <c r="H2094">
        <v>2</v>
      </c>
      <c r="I2094">
        <v>28.63</v>
      </c>
      <c r="J2094">
        <v>1987</v>
      </c>
      <c r="K2094">
        <v>865</v>
      </c>
      <c r="L2094">
        <v>94</v>
      </c>
      <c r="M2094">
        <v>274</v>
      </c>
      <c r="N2094">
        <v>0</v>
      </c>
      <c r="O2094">
        <v>4186</v>
      </c>
      <c r="P2094">
        <v>0</v>
      </c>
      <c r="Q2094">
        <v>-421</v>
      </c>
    </row>
    <row r="2095" spans="1:17" x14ac:dyDescent="0.45">
      <c r="A2095">
        <v>4047</v>
      </c>
      <c r="B2095" t="s">
        <v>2149</v>
      </c>
      <c r="C2095">
        <v>5005</v>
      </c>
      <c r="D2095">
        <v>3</v>
      </c>
      <c r="E2095">
        <v>919.4</v>
      </c>
      <c r="F2095">
        <v>7.6</v>
      </c>
      <c r="G2095">
        <v>4078.2</v>
      </c>
      <c r="H2095">
        <v>2</v>
      </c>
      <c r="I2095">
        <v>23.46</v>
      </c>
      <c r="J2095">
        <v>1836</v>
      </c>
      <c r="K2095">
        <v>868</v>
      </c>
      <c r="L2095">
        <v>91</v>
      </c>
      <c r="M2095">
        <v>259</v>
      </c>
      <c r="N2095">
        <v>320994</v>
      </c>
      <c r="O2095">
        <v>1974</v>
      </c>
      <c r="P2095">
        <v>269.48</v>
      </c>
      <c r="Q2095">
        <v>-883</v>
      </c>
    </row>
    <row r="2096" spans="1:17" x14ac:dyDescent="0.45">
      <c r="A2096">
        <v>4048</v>
      </c>
      <c r="B2096" t="s">
        <v>2150</v>
      </c>
      <c r="C2096">
        <v>6727</v>
      </c>
      <c r="D2096">
        <v>3</v>
      </c>
      <c r="E2096">
        <v>7569.4</v>
      </c>
      <c r="F2096">
        <v>9.9</v>
      </c>
      <c r="G2096">
        <v>5506</v>
      </c>
      <c r="H2096">
        <v>1</v>
      </c>
      <c r="I2096">
        <v>20.87</v>
      </c>
      <c r="J2096">
        <v>2370</v>
      </c>
      <c r="K2096">
        <v>881</v>
      </c>
      <c r="L2096">
        <v>210</v>
      </c>
      <c r="M2096">
        <v>370</v>
      </c>
      <c r="N2096">
        <v>0</v>
      </c>
      <c r="O2096">
        <v>1178</v>
      </c>
      <c r="P2096">
        <v>0</v>
      </c>
      <c r="Q2096">
        <v>-582</v>
      </c>
    </row>
    <row r="2097" spans="1:17" x14ac:dyDescent="0.45">
      <c r="A2097">
        <v>5655</v>
      </c>
      <c r="B2097" t="s">
        <v>2154</v>
      </c>
      <c r="C2097">
        <v>1511</v>
      </c>
      <c r="D2097">
        <v>3</v>
      </c>
      <c r="E2097">
        <v>820</v>
      </c>
      <c r="F2097">
        <v>1397.3</v>
      </c>
      <c r="G2097">
        <v>2199.9</v>
      </c>
      <c r="H2097">
        <v>3</v>
      </c>
      <c r="I2097">
        <v>35.86</v>
      </c>
      <c r="J2097">
        <v>565</v>
      </c>
      <c r="K2097">
        <v>195</v>
      </c>
      <c r="L2097">
        <v>71</v>
      </c>
      <c r="M2097">
        <v>101</v>
      </c>
      <c r="N2097">
        <v>0</v>
      </c>
      <c r="O2097">
        <v>1841</v>
      </c>
      <c r="P2097">
        <v>0</v>
      </c>
      <c r="Q2097">
        <v>-702</v>
      </c>
    </row>
    <row r="2098" spans="1:17" x14ac:dyDescent="0.45">
      <c r="A2098">
        <v>5938</v>
      </c>
      <c r="B2098" t="s">
        <v>2155</v>
      </c>
      <c r="C2098">
        <v>29827</v>
      </c>
      <c r="D2098">
        <v>3</v>
      </c>
      <c r="E2098">
        <v>14671.2</v>
      </c>
      <c r="F2098">
        <v>31879.7</v>
      </c>
      <c r="G2098">
        <v>16478.400000000001</v>
      </c>
      <c r="H2098">
        <v>1</v>
      </c>
      <c r="I2098">
        <v>19.809999999999999</v>
      </c>
      <c r="J2098">
        <v>8782</v>
      </c>
      <c r="K2098">
        <v>3360</v>
      </c>
      <c r="L2098">
        <v>417</v>
      </c>
      <c r="M2098">
        <v>1321</v>
      </c>
      <c r="N2098">
        <v>0</v>
      </c>
      <c r="O2098">
        <v>1737</v>
      </c>
      <c r="P2098">
        <v>2558.33</v>
      </c>
      <c r="Q2098">
        <v>-201</v>
      </c>
    </row>
    <row r="2099" spans="1:17" x14ac:dyDescent="0.45">
      <c r="A2099">
        <v>5939</v>
      </c>
      <c r="B2099" t="s">
        <v>2156</v>
      </c>
      <c r="C2099">
        <v>3529</v>
      </c>
      <c r="D2099">
        <v>3</v>
      </c>
      <c r="E2099">
        <v>2628.5</v>
      </c>
      <c r="F2099">
        <v>1576.4</v>
      </c>
      <c r="G2099">
        <v>6239.7</v>
      </c>
      <c r="H2099">
        <v>2</v>
      </c>
      <c r="I2099">
        <v>26.72</v>
      </c>
      <c r="J2099">
        <v>1236</v>
      </c>
      <c r="K2099">
        <v>367</v>
      </c>
      <c r="L2099">
        <v>74</v>
      </c>
      <c r="M2099">
        <v>181</v>
      </c>
      <c r="N2099">
        <v>0</v>
      </c>
      <c r="O2099">
        <v>1981</v>
      </c>
      <c r="P2099">
        <v>274.66000000000003</v>
      </c>
      <c r="Q2099">
        <v>-903</v>
      </c>
    </row>
    <row r="2100" spans="1:17" x14ac:dyDescent="0.45">
      <c r="A2100">
        <v>5415</v>
      </c>
      <c r="B2100" t="s">
        <v>2157</v>
      </c>
      <c r="C2100">
        <v>1086</v>
      </c>
      <c r="D2100">
        <v>2</v>
      </c>
      <c r="E2100">
        <v>988.4</v>
      </c>
      <c r="F2100">
        <v>1253.0999999999999</v>
      </c>
      <c r="G2100">
        <v>1239.5999999999999</v>
      </c>
      <c r="H2100">
        <v>3</v>
      </c>
      <c r="I2100">
        <v>35.86</v>
      </c>
      <c r="J2100">
        <v>464</v>
      </c>
      <c r="K2100">
        <v>151</v>
      </c>
      <c r="L2100">
        <v>21</v>
      </c>
      <c r="M2100">
        <v>61</v>
      </c>
      <c r="N2100">
        <v>0</v>
      </c>
      <c r="O2100">
        <v>909</v>
      </c>
      <c r="P2100">
        <v>88.6</v>
      </c>
      <c r="Q2100">
        <v>-943</v>
      </c>
    </row>
    <row r="2101" spans="1:17" x14ac:dyDescent="0.45">
      <c r="A2101">
        <v>2868</v>
      </c>
      <c r="B2101" t="s">
        <v>2159</v>
      </c>
      <c r="C2101">
        <v>502</v>
      </c>
      <c r="D2101">
        <v>1</v>
      </c>
      <c r="E2101">
        <v>306.5</v>
      </c>
      <c r="F2101">
        <v>7.3</v>
      </c>
      <c r="G2101">
        <v>1304.2</v>
      </c>
      <c r="H2101">
        <v>3</v>
      </c>
      <c r="I2101">
        <v>22.09</v>
      </c>
      <c r="J2101">
        <v>181</v>
      </c>
      <c r="K2101">
        <v>86</v>
      </c>
      <c r="L2101">
        <v>10</v>
      </c>
      <c r="M2101">
        <v>23</v>
      </c>
      <c r="N2101">
        <v>0</v>
      </c>
      <c r="O2101">
        <v>2352</v>
      </c>
      <c r="P2101">
        <v>0</v>
      </c>
      <c r="Q2101">
        <v>-702</v>
      </c>
    </row>
    <row r="2102" spans="1:17" x14ac:dyDescent="0.45">
      <c r="A2102">
        <v>4183</v>
      </c>
      <c r="B2102" t="s">
        <v>2160</v>
      </c>
      <c r="C2102">
        <v>1220</v>
      </c>
      <c r="D2102">
        <v>3</v>
      </c>
      <c r="E2102">
        <v>743.5</v>
      </c>
      <c r="F2102">
        <v>33.6</v>
      </c>
      <c r="G2102">
        <v>1566.9</v>
      </c>
      <c r="H2102">
        <v>3</v>
      </c>
      <c r="I2102">
        <v>23.9</v>
      </c>
      <c r="J2102">
        <v>479</v>
      </c>
      <c r="K2102">
        <v>245</v>
      </c>
      <c r="L2102">
        <v>40</v>
      </c>
      <c r="M2102">
        <v>51</v>
      </c>
      <c r="N2102">
        <v>0</v>
      </c>
      <c r="O2102">
        <v>2128</v>
      </c>
      <c r="P2102">
        <v>44.3</v>
      </c>
      <c r="Q2102">
        <v>-522</v>
      </c>
    </row>
    <row r="2103" spans="1:17" x14ac:dyDescent="0.45">
      <c r="A2103">
        <v>4263</v>
      </c>
      <c r="B2103" t="s">
        <v>2161</v>
      </c>
      <c r="C2103">
        <v>2494</v>
      </c>
      <c r="D2103">
        <v>3</v>
      </c>
      <c r="E2103">
        <v>3335</v>
      </c>
      <c r="F2103">
        <v>25.5</v>
      </c>
      <c r="G2103">
        <v>2495.1</v>
      </c>
      <c r="H2103">
        <v>2</v>
      </c>
      <c r="I2103">
        <v>23.46</v>
      </c>
      <c r="J2103">
        <v>1057</v>
      </c>
      <c r="K2103">
        <v>401</v>
      </c>
      <c r="L2103">
        <v>66</v>
      </c>
      <c r="M2103">
        <v>144</v>
      </c>
      <c r="N2103">
        <v>0</v>
      </c>
      <c r="O2103">
        <v>1334</v>
      </c>
      <c r="P2103">
        <v>0</v>
      </c>
      <c r="Q2103">
        <v>-983</v>
      </c>
    </row>
    <row r="2104" spans="1:17" x14ac:dyDescent="0.45">
      <c r="A2104">
        <v>1150</v>
      </c>
      <c r="B2104" t="s">
        <v>2162</v>
      </c>
      <c r="C2104">
        <v>2119</v>
      </c>
      <c r="D2104">
        <v>2</v>
      </c>
      <c r="E2104">
        <v>2004.8</v>
      </c>
      <c r="F2104">
        <v>0</v>
      </c>
      <c r="G2104">
        <v>4452.8</v>
      </c>
      <c r="H2104">
        <v>3</v>
      </c>
      <c r="I2104">
        <v>26.39</v>
      </c>
      <c r="J2104">
        <v>902</v>
      </c>
      <c r="K2104">
        <v>351</v>
      </c>
      <c r="L2104">
        <v>58</v>
      </c>
      <c r="M2104">
        <v>85</v>
      </c>
      <c r="N2104">
        <v>0</v>
      </c>
      <c r="O2104">
        <v>7181</v>
      </c>
      <c r="P2104">
        <v>0</v>
      </c>
      <c r="Q2104">
        <v>-582</v>
      </c>
    </row>
    <row r="2105" spans="1:17" x14ac:dyDescent="0.45">
      <c r="A2105">
        <v>231</v>
      </c>
      <c r="B2105" t="s">
        <v>2163</v>
      </c>
      <c r="C2105">
        <v>6491</v>
      </c>
      <c r="D2105">
        <v>3</v>
      </c>
      <c r="E2105">
        <v>6470.3</v>
      </c>
      <c r="F2105">
        <v>11.7</v>
      </c>
      <c r="G2105">
        <v>3147.3</v>
      </c>
      <c r="H2105">
        <v>2</v>
      </c>
      <c r="I2105">
        <v>24.61</v>
      </c>
      <c r="J2105">
        <v>2284</v>
      </c>
      <c r="K2105">
        <v>930</v>
      </c>
      <c r="L2105">
        <v>114</v>
      </c>
      <c r="M2105">
        <v>278</v>
      </c>
      <c r="N2105">
        <v>0</v>
      </c>
      <c r="O2105">
        <v>3115</v>
      </c>
      <c r="P2105">
        <v>0</v>
      </c>
      <c r="Q2105">
        <v>-1064</v>
      </c>
    </row>
    <row r="2106" spans="1:17" x14ac:dyDescent="0.45">
      <c r="A2106">
        <v>6299</v>
      </c>
      <c r="B2106" t="s">
        <v>2164</v>
      </c>
      <c r="C2106">
        <v>312</v>
      </c>
      <c r="D2106">
        <v>3</v>
      </c>
      <c r="E2106">
        <v>386.6</v>
      </c>
      <c r="F2106">
        <v>4</v>
      </c>
      <c r="G2106">
        <v>666.6</v>
      </c>
      <c r="H2106">
        <v>3</v>
      </c>
      <c r="I2106">
        <v>30.8</v>
      </c>
      <c r="J2106">
        <v>86</v>
      </c>
      <c r="K2106">
        <v>62</v>
      </c>
      <c r="L2106">
        <v>12</v>
      </c>
      <c r="M2106">
        <v>9</v>
      </c>
      <c r="N2106">
        <v>0</v>
      </c>
      <c r="O2106">
        <v>622</v>
      </c>
      <c r="P2106">
        <v>0</v>
      </c>
      <c r="Q2106">
        <v>-903</v>
      </c>
    </row>
    <row r="2107" spans="1:17" x14ac:dyDescent="0.45">
      <c r="A2107">
        <v>6300</v>
      </c>
      <c r="B2107" t="s">
        <v>2165</v>
      </c>
      <c r="C2107">
        <v>5746</v>
      </c>
      <c r="D2107">
        <v>3</v>
      </c>
      <c r="E2107">
        <v>19075.8</v>
      </c>
      <c r="F2107">
        <v>963</v>
      </c>
      <c r="G2107">
        <v>976.3</v>
      </c>
      <c r="H2107">
        <v>1</v>
      </c>
      <c r="I2107">
        <v>24.74</v>
      </c>
      <c r="J2107">
        <v>1061</v>
      </c>
      <c r="K2107">
        <v>791</v>
      </c>
      <c r="L2107">
        <v>198</v>
      </c>
      <c r="M2107">
        <v>145</v>
      </c>
      <c r="N2107">
        <v>0</v>
      </c>
      <c r="O2107">
        <v>489</v>
      </c>
      <c r="P2107">
        <v>1738.02</v>
      </c>
      <c r="Q2107">
        <v>-1987</v>
      </c>
    </row>
    <row r="2108" spans="1:17" x14ac:dyDescent="0.45">
      <c r="A2108">
        <v>3746</v>
      </c>
      <c r="B2108" t="s">
        <v>2166</v>
      </c>
      <c r="C2108">
        <v>1532</v>
      </c>
      <c r="D2108">
        <v>3</v>
      </c>
      <c r="E2108">
        <v>2455.8000000000002</v>
      </c>
      <c r="F2108">
        <v>4.8</v>
      </c>
      <c r="G2108">
        <v>699.6</v>
      </c>
      <c r="H2108">
        <v>3</v>
      </c>
      <c r="I2108">
        <v>29.04</v>
      </c>
      <c r="J2108">
        <v>478</v>
      </c>
      <c r="K2108">
        <v>402</v>
      </c>
      <c r="L2108">
        <v>30</v>
      </c>
      <c r="M2108">
        <v>53</v>
      </c>
      <c r="N2108">
        <v>0</v>
      </c>
      <c r="O2108">
        <v>4132</v>
      </c>
      <c r="P2108">
        <v>249.54</v>
      </c>
      <c r="Q2108">
        <v>-19829</v>
      </c>
    </row>
    <row r="2109" spans="1:17" x14ac:dyDescent="0.45">
      <c r="A2109">
        <v>4147</v>
      </c>
      <c r="B2109" t="s">
        <v>2167</v>
      </c>
      <c r="C2109">
        <v>1382</v>
      </c>
      <c r="D2109">
        <v>3</v>
      </c>
      <c r="E2109">
        <v>1515.7</v>
      </c>
      <c r="F2109">
        <v>0</v>
      </c>
      <c r="G2109">
        <v>1126.5999999999999</v>
      </c>
      <c r="H2109">
        <v>3</v>
      </c>
      <c r="I2109">
        <v>23.9</v>
      </c>
      <c r="J2109">
        <v>561</v>
      </c>
      <c r="K2109">
        <v>262</v>
      </c>
      <c r="L2109">
        <v>24</v>
      </c>
      <c r="M2109">
        <v>52</v>
      </c>
      <c r="N2109">
        <v>0</v>
      </c>
      <c r="O2109">
        <v>1482</v>
      </c>
      <c r="P2109">
        <v>0</v>
      </c>
      <c r="Q2109">
        <v>-421</v>
      </c>
    </row>
    <row r="2110" spans="1:17" x14ac:dyDescent="0.45">
      <c r="A2110">
        <v>2834</v>
      </c>
      <c r="B2110" t="s">
        <v>2168</v>
      </c>
      <c r="C2110">
        <v>1632</v>
      </c>
      <c r="D2110">
        <v>1</v>
      </c>
      <c r="E2110">
        <v>1629.5</v>
      </c>
      <c r="F2110">
        <v>8.1999999999999993</v>
      </c>
      <c r="G2110">
        <v>2108.1</v>
      </c>
      <c r="H2110">
        <v>3</v>
      </c>
      <c r="I2110">
        <v>22.09</v>
      </c>
      <c r="J2110">
        <v>544</v>
      </c>
      <c r="K2110">
        <v>215</v>
      </c>
      <c r="L2110">
        <v>34</v>
      </c>
      <c r="M2110">
        <v>83</v>
      </c>
      <c r="N2110">
        <v>0</v>
      </c>
      <c r="O2110">
        <v>1975</v>
      </c>
      <c r="P2110">
        <v>0</v>
      </c>
      <c r="Q2110">
        <v>-743</v>
      </c>
    </row>
    <row r="2111" spans="1:17" x14ac:dyDescent="0.45">
      <c r="A2111">
        <v>556</v>
      </c>
      <c r="B2111" t="s">
        <v>2169</v>
      </c>
      <c r="C2111">
        <v>331</v>
      </c>
      <c r="D2111">
        <v>3</v>
      </c>
      <c r="E2111">
        <v>404.1</v>
      </c>
      <c r="F2111">
        <v>11.4</v>
      </c>
      <c r="G2111">
        <v>504.5</v>
      </c>
      <c r="H2111">
        <v>2</v>
      </c>
      <c r="I2111">
        <v>24.84</v>
      </c>
      <c r="J2111">
        <v>135</v>
      </c>
      <c r="K2111">
        <v>51</v>
      </c>
      <c r="L2111">
        <v>5</v>
      </c>
      <c r="M2111">
        <v>12</v>
      </c>
      <c r="N2111">
        <v>0</v>
      </c>
      <c r="O2111">
        <v>527</v>
      </c>
      <c r="P2111">
        <v>0</v>
      </c>
      <c r="Q2111">
        <v>-181</v>
      </c>
    </row>
    <row r="2112" spans="1:17" x14ac:dyDescent="0.45">
      <c r="A2112">
        <v>4511</v>
      </c>
      <c r="B2112" t="s">
        <v>2170</v>
      </c>
      <c r="C2112">
        <v>2534</v>
      </c>
      <c r="D2112">
        <v>3</v>
      </c>
      <c r="E2112">
        <v>2179.6</v>
      </c>
      <c r="F2112">
        <v>1049.4000000000001</v>
      </c>
      <c r="G2112">
        <v>6014.9</v>
      </c>
      <c r="H2112">
        <v>3</v>
      </c>
      <c r="I2112">
        <v>26.04</v>
      </c>
      <c r="J2112">
        <v>951</v>
      </c>
      <c r="K2112">
        <v>414</v>
      </c>
      <c r="L2112">
        <v>58</v>
      </c>
      <c r="M2112">
        <v>116</v>
      </c>
      <c r="N2112">
        <v>0</v>
      </c>
      <c r="O2112">
        <v>4875</v>
      </c>
      <c r="P2112">
        <v>0</v>
      </c>
      <c r="Q2112">
        <v>-361</v>
      </c>
    </row>
    <row r="2113" spans="1:17" x14ac:dyDescent="0.45">
      <c r="A2113">
        <v>3712</v>
      </c>
      <c r="B2113" t="s">
        <v>2171</v>
      </c>
      <c r="C2113">
        <v>404</v>
      </c>
      <c r="D2113">
        <v>3</v>
      </c>
      <c r="E2113">
        <v>45.2</v>
      </c>
      <c r="F2113">
        <v>0</v>
      </c>
      <c r="G2113">
        <v>207.5</v>
      </c>
      <c r="H2113">
        <v>3</v>
      </c>
      <c r="I2113">
        <v>29.04</v>
      </c>
      <c r="J2113">
        <v>142</v>
      </c>
      <c r="K2113">
        <v>111</v>
      </c>
      <c r="L2113">
        <v>20</v>
      </c>
      <c r="M2113">
        <v>21</v>
      </c>
      <c r="N2113">
        <v>0</v>
      </c>
      <c r="O2113">
        <v>1659</v>
      </c>
      <c r="P2113">
        <v>221.5</v>
      </c>
      <c r="Q2113">
        <v>-2147</v>
      </c>
    </row>
    <row r="2114" spans="1:17" x14ac:dyDescent="0.45">
      <c r="A2114">
        <v>3947</v>
      </c>
      <c r="B2114" t="s">
        <v>2172</v>
      </c>
      <c r="C2114">
        <v>3545</v>
      </c>
      <c r="D2114">
        <v>3</v>
      </c>
      <c r="E2114">
        <v>5259.9</v>
      </c>
      <c r="F2114">
        <v>0</v>
      </c>
      <c r="G2114">
        <v>4739.7</v>
      </c>
      <c r="H2114">
        <v>1</v>
      </c>
      <c r="I2114">
        <v>21.87</v>
      </c>
      <c r="J2114">
        <v>1233</v>
      </c>
      <c r="K2114">
        <v>783</v>
      </c>
      <c r="L2114">
        <v>93</v>
      </c>
      <c r="M2114">
        <v>155</v>
      </c>
      <c r="N2114">
        <v>0</v>
      </c>
      <c r="O2114">
        <v>2182</v>
      </c>
      <c r="P2114">
        <v>0</v>
      </c>
      <c r="Q2114">
        <v>-763</v>
      </c>
    </row>
    <row r="2115" spans="1:17" x14ac:dyDescent="0.45">
      <c r="A2115">
        <v>4289</v>
      </c>
      <c r="B2115" t="s">
        <v>2173</v>
      </c>
      <c r="C2115">
        <v>12453</v>
      </c>
      <c r="D2115">
        <v>3</v>
      </c>
      <c r="E2115">
        <v>9281.6</v>
      </c>
      <c r="F2115">
        <v>8367.2999999999993</v>
      </c>
      <c r="G2115">
        <v>9752.7999999999993</v>
      </c>
      <c r="H2115">
        <v>1</v>
      </c>
      <c r="I2115">
        <v>20.87</v>
      </c>
      <c r="J2115">
        <v>4205</v>
      </c>
      <c r="K2115">
        <v>1794</v>
      </c>
      <c r="L2115">
        <v>347</v>
      </c>
      <c r="M2115">
        <v>773</v>
      </c>
      <c r="N2115">
        <v>0</v>
      </c>
      <c r="O2115">
        <v>1002</v>
      </c>
      <c r="P2115">
        <v>0</v>
      </c>
      <c r="Q2115">
        <v>-1044</v>
      </c>
    </row>
    <row r="2116" spans="1:17" x14ac:dyDescent="0.45">
      <c r="A2116">
        <v>361</v>
      </c>
      <c r="B2116" t="s">
        <v>2174</v>
      </c>
      <c r="C2116">
        <v>11140</v>
      </c>
      <c r="D2116">
        <v>2</v>
      </c>
      <c r="E2116">
        <v>7766.3</v>
      </c>
      <c r="F2116">
        <v>4458.3999999999996</v>
      </c>
      <c r="G2116">
        <v>5240.8</v>
      </c>
      <c r="H2116">
        <v>1</v>
      </c>
      <c r="I2116">
        <v>16.760000000000002</v>
      </c>
      <c r="J2116">
        <v>3489</v>
      </c>
      <c r="K2116">
        <v>2108</v>
      </c>
      <c r="L2116">
        <v>190</v>
      </c>
      <c r="M2116">
        <v>481</v>
      </c>
      <c r="N2116">
        <v>0</v>
      </c>
      <c r="O2116">
        <v>3211</v>
      </c>
      <c r="P2116">
        <v>0</v>
      </c>
      <c r="Q2116">
        <v>-120</v>
      </c>
    </row>
    <row r="2117" spans="1:17" x14ac:dyDescent="0.45">
      <c r="A2117">
        <v>161</v>
      </c>
      <c r="B2117" t="s">
        <v>2175</v>
      </c>
      <c r="C2117">
        <v>13472</v>
      </c>
      <c r="D2117">
        <v>3</v>
      </c>
      <c r="E2117">
        <v>14559.1</v>
      </c>
      <c r="F2117">
        <v>9522.1</v>
      </c>
      <c r="G2117">
        <v>2435.9</v>
      </c>
      <c r="H2117">
        <v>1</v>
      </c>
      <c r="I2117">
        <v>15.69</v>
      </c>
      <c r="J2117">
        <v>4209</v>
      </c>
      <c r="K2117">
        <v>1382</v>
      </c>
      <c r="L2117">
        <v>388</v>
      </c>
      <c r="M2117">
        <v>913</v>
      </c>
      <c r="N2117">
        <v>0</v>
      </c>
      <c r="O2117">
        <v>183</v>
      </c>
      <c r="P2117">
        <v>0</v>
      </c>
      <c r="Q2117">
        <v>-602</v>
      </c>
    </row>
    <row r="2118" spans="1:17" x14ac:dyDescent="0.45">
      <c r="A2118">
        <v>2534</v>
      </c>
      <c r="B2118" t="s">
        <v>2176</v>
      </c>
      <c r="C2118">
        <v>9331</v>
      </c>
      <c r="D2118">
        <v>1</v>
      </c>
      <c r="E2118">
        <v>2503.5</v>
      </c>
      <c r="F2118">
        <v>4354.3999999999996</v>
      </c>
      <c r="G2118">
        <v>11348.1</v>
      </c>
      <c r="H2118">
        <v>1</v>
      </c>
      <c r="I2118">
        <v>19.07</v>
      </c>
      <c r="J2118">
        <v>2898</v>
      </c>
      <c r="K2118">
        <v>1453</v>
      </c>
      <c r="L2118">
        <v>161</v>
      </c>
      <c r="M2118">
        <v>467</v>
      </c>
      <c r="N2118">
        <v>0</v>
      </c>
      <c r="O2118">
        <v>84</v>
      </c>
      <c r="P2118">
        <v>125526.23</v>
      </c>
      <c r="Q2118">
        <v>-161</v>
      </c>
    </row>
    <row r="2119" spans="1:17" x14ac:dyDescent="0.45">
      <c r="A2119">
        <v>4083</v>
      </c>
      <c r="B2119" t="s">
        <v>2177</v>
      </c>
      <c r="C2119">
        <v>4713</v>
      </c>
      <c r="D2119">
        <v>3</v>
      </c>
      <c r="E2119">
        <v>6022.4</v>
      </c>
      <c r="F2119">
        <v>20</v>
      </c>
      <c r="G2119">
        <v>2826.2</v>
      </c>
      <c r="H2119">
        <v>1</v>
      </c>
      <c r="I2119">
        <v>20.87</v>
      </c>
      <c r="J2119">
        <v>1762</v>
      </c>
      <c r="K2119">
        <v>666</v>
      </c>
      <c r="L2119">
        <v>150</v>
      </c>
      <c r="M2119">
        <v>289</v>
      </c>
      <c r="N2119">
        <v>0</v>
      </c>
      <c r="O2119">
        <v>337</v>
      </c>
      <c r="P2119">
        <v>0</v>
      </c>
      <c r="Q2119">
        <v>-261</v>
      </c>
    </row>
    <row r="2120" spans="1:17" x14ac:dyDescent="0.45">
      <c r="A2120">
        <v>1711</v>
      </c>
      <c r="B2120" t="s">
        <v>2178</v>
      </c>
      <c r="C2120">
        <v>31469</v>
      </c>
      <c r="D2120">
        <v>1</v>
      </c>
      <c r="E2120">
        <v>14050.3</v>
      </c>
      <c r="F2120">
        <v>21516.7</v>
      </c>
      <c r="G2120">
        <v>18652.5</v>
      </c>
      <c r="H2120">
        <v>1</v>
      </c>
      <c r="I2120">
        <v>22.43</v>
      </c>
      <c r="J2120">
        <v>10121</v>
      </c>
      <c r="K2120">
        <v>4846</v>
      </c>
      <c r="L2120">
        <v>1202</v>
      </c>
      <c r="M2120">
        <v>3056</v>
      </c>
      <c r="N2120">
        <v>0</v>
      </c>
      <c r="O2120">
        <v>5314</v>
      </c>
      <c r="P2120">
        <v>0</v>
      </c>
      <c r="Q2120">
        <v>-1626</v>
      </c>
    </row>
    <row r="2121" spans="1:17" x14ac:dyDescent="0.45">
      <c r="A2121">
        <v>2622</v>
      </c>
      <c r="B2121" t="s">
        <v>2179</v>
      </c>
      <c r="C2121">
        <v>660</v>
      </c>
      <c r="D2121">
        <v>2</v>
      </c>
      <c r="E2121">
        <v>913.8</v>
      </c>
      <c r="F2121">
        <v>0</v>
      </c>
      <c r="G2121">
        <v>735</v>
      </c>
      <c r="H2121">
        <v>2</v>
      </c>
      <c r="I2121">
        <v>26.37</v>
      </c>
      <c r="J2121">
        <v>268</v>
      </c>
      <c r="K2121">
        <v>101</v>
      </c>
      <c r="L2121">
        <v>15</v>
      </c>
      <c r="M2121">
        <v>22</v>
      </c>
      <c r="N2121">
        <v>0</v>
      </c>
      <c r="O2121">
        <v>525</v>
      </c>
      <c r="P2121">
        <v>174.23</v>
      </c>
      <c r="Q2121">
        <v>-341</v>
      </c>
    </row>
    <row r="2122" spans="1:17" x14ac:dyDescent="0.45">
      <c r="A2122">
        <v>160</v>
      </c>
      <c r="B2122" t="s">
        <v>2180</v>
      </c>
      <c r="C2122">
        <v>5633</v>
      </c>
      <c r="D2122">
        <v>3</v>
      </c>
      <c r="E2122">
        <v>8753.2999999999993</v>
      </c>
      <c r="F2122">
        <v>3.5</v>
      </c>
      <c r="G2122">
        <v>2474</v>
      </c>
      <c r="H2122">
        <v>1</v>
      </c>
      <c r="I2122">
        <v>15.69</v>
      </c>
      <c r="J2122">
        <v>1876</v>
      </c>
      <c r="K2122">
        <v>628</v>
      </c>
      <c r="L2122">
        <v>228</v>
      </c>
      <c r="M2122">
        <v>416</v>
      </c>
      <c r="N2122">
        <v>0</v>
      </c>
      <c r="O2122">
        <v>23</v>
      </c>
      <c r="P2122">
        <v>295.35000000000002</v>
      </c>
      <c r="Q2122">
        <v>-321</v>
      </c>
    </row>
    <row r="2123" spans="1:17" x14ac:dyDescent="0.45">
      <c r="A2123">
        <v>2869</v>
      </c>
      <c r="B2123" t="s">
        <v>2181</v>
      </c>
      <c r="C2123">
        <v>2719</v>
      </c>
      <c r="D2123">
        <v>1</v>
      </c>
      <c r="E2123">
        <v>2928</v>
      </c>
      <c r="F2123">
        <v>0</v>
      </c>
      <c r="G2123">
        <v>1937.9</v>
      </c>
      <c r="H2123">
        <v>2</v>
      </c>
      <c r="I2123">
        <v>20.72</v>
      </c>
      <c r="J2123">
        <v>975</v>
      </c>
      <c r="K2123">
        <v>380</v>
      </c>
      <c r="L2123">
        <v>57</v>
      </c>
      <c r="M2123">
        <v>125</v>
      </c>
      <c r="N2123">
        <v>0</v>
      </c>
      <c r="O2123">
        <v>1585</v>
      </c>
      <c r="P2123">
        <v>0</v>
      </c>
      <c r="Q2123">
        <v>-682</v>
      </c>
    </row>
    <row r="2124" spans="1:17" x14ac:dyDescent="0.45">
      <c r="A2124">
        <v>3791</v>
      </c>
      <c r="B2124" t="s">
        <v>2182</v>
      </c>
      <c r="C2124">
        <v>1228</v>
      </c>
      <c r="D2124">
        <v>3</v>
      </c>
      <c r="E2124">
        <v>5478.1</v>
      </c>
      <c r="F2124">
        <v>4.4000000000000004</v>
      </c>
      <c r="G2124">
        <v>360.9</v>
      </c>
      <c r="H2124">
        <v>3</v>
      </c>
      <c r="I2124">
        <v>29.04</v>
      </c>
      <c r="J2124">
        <v>453</v>
      </c>
      <c r="K2124">
        <v>256</v>
      </c>
      <c r="L2124">
        <v>18</v>
      </c>
      <c r="M2124">
        <v>39</v>
      </c>
      <c r="N2124">
        <v>0</v>
      </c>
      <c r="O2124">
        <v>1042</v>
      </c>
      <c r="P2124">
        <v>0</v>
      </c>
      <c r="Q2124">
        <v>-1325</v>
      </c>
    </row>
    <row r="2125" spans="1:17" x14ac:dyDescent="0.45">
      <c r="A2125">
        <v>4324</v>
      </c>
      <c r="B2125" t="s">
        <v>2184</v>
      </c>
      <c r="C2125">
        <v>7911</v>
      </c>
      <c r="D2125">
        <v>3</v>
      </c>
      <c r="E2125">
        <v>10651.1</v>
      </c>
      <c r="F2125">
        <v>260.3</v>
      </c>
      <c r="G2125">
        <v>7914.7</v>
      </c>
      <c r="H2125">
        <v>2</v>
      </c>
      <c r="I2125">
        <v>23.46</v>
      </c>
      <c r="J2125">
        <v>2886</v>
      </c>
      <c r="K2125">
        <v>1513</v>
      </c>
      <c r="L2125">
        <v>180</v>
      </c>
      <c r="M2125">
        <v>401</v>
      </c>
      <c r="N2125">
        <v>0</v>
      </c>
      <c r="O2125">
        <v>6084</v>
      </c>
      <c r="P2125">
        <v>612.79999999999995</v>
      </c>
      <c r="Q2125">
        <v>-2087</v>
      </c>
    </row>
    <row r="2126" spans="1:17" x14ac:dyDescent="0.45">
      <c r="A2126">
        <v>4264</v>
      </c>
      <c r="B2126" t="s">
        <v>2185</v>
      </c>
      <c r="C2126">
        <v>892</v>
      </c>
      <c r="D2126">
        <v>3</v>
      </c>
      <c r="E2126">
        <v>805.3</v>
      </c>
      <c r="F2126">
        <v>4.0999999999999996</v>
      </c>
      <c r="G2126">
        <v>1275.8</v>
      </c>
      <c r="H2126">
        <v>3</v>
      </c>
      <c r="I2126">
        <v>23.9</v>
      </c>
      <c r="J2126">
        <v>364</v>
      </c>
      <c r="K2126">
        <v>149</v>
      </c>
      <c r="L2126">
        <v>27</v>
      </c>
      <c r="M2126">
        <v>42</v>
      </c>
      <c r="N2126">
        <v>0</v>
      </c>
      <c r="O2126">
        <v>2578</v>
      </c>
      <c r="P2126">
        <v>0</v>
      </c>
      <c r="Q2126">
        <v>-582</v>
      </c>
    </row>
    <row r="2127" spans="1:17" x14ac:dyDescent="0.45">
      <c r="A2127">
        <v>557</v>
      </c>
      <c r="B2127" t="s">
        <v>2186</v>
      </c>
      <c r="C2127">
        <v>542</v>
      </c>
      <c r="D2127">
        <v>3</v>
      </c>
      <c r="E2127">
        <v>727.1</v>
      </c>
      <c r="F2127">
        <v>0</v>
      </c>
      <c r="G2127">
        <v>1051.3</v>
      </c>
      <c r="H2127">
        <v>3</v>
      </c>
      <c r="I2127">
        <v>26.41</v>
      </c>
      <c r="J2127">
        <v>214</v>
      </c>
      <c r="K2127">
        <v>90</v>
      </c>
      <c r="L2127">
        <v>20</v>
      </c>
      <c r="M2127">
        <v>19</v>
      </c>
      <c r="N2127">
        <v>0</v>
      </c>
      <c r="O2127">
        <v>1523</v>
      </c>
      <c r="P2127">
        <v>0</v>
      </c>
      <c r="Q2127">
        <v>-181</v>
      </c>
    </row>
    <row r="2128" spans="1:17" x14ac:dyDescent="0.45">
      <c r="A2128">
        <v>3426</v>
      </c>
      <c r="B2128" t="s">
        <v>2187</v>
      </c>
      <c r="C2128">
        <v>4997</v>
      </c>
      <c r="D2128">
        <v>3</v>
      </c>
      <c r="E2128">
        <v>2833.4</v>
      </c>
      <c r="F2128">
        <v>4081.1</v>
      </c>
      <c r="G2128">
        <v>7730.3</v>
      </c>
      <c r="H2128">
        <v>2</v>
      </c>
      <c r="I2128">
        <v>22.8</v>
      </c>
      <c r="J2128">
        <v>2037</v>
      </c>
      <c r="K2128">
        <v>812</v>
      </c>
      <c r="L2128">
        <v>182</v>
      </c>
      <c r="M2128">
        <v>307</v>
      </c>
      <c r="N2128">
        <v>0</v>
      </c>
      <c r="O2128">
        <v>3748</v>
      </c>
      <c r="P2128">
        <v>349.22</v>
      </c>
      <c r="Q2128">
        <v>-401</v>
      </c>
    </row>
    <row r="2129" spans="1:17" x14ac:dyDescent="0.45">
      <c r="A2129">
        <v>794</v>
      </c>
      <c r="B2129" t="s">
        <v>2188</v>
      </c>
      <c r="C2129">
        <v>3083</v>
      </c>
      <c r="D2129">
        <v>3</v>
      </c>
      <c r="E2129">
        <v>2872.3</v>
      </c>
      <c r="F2129">
        <v>17.3</v>
      </c>
      <c r="G2129">
        <v>2903.5</v>
      </c>
      <c r="H2129">
        <v>3</v>
      </c>
      <c r="I2129">
        <v>26.41</v>
      </c>
      <c r="J2129">
        <v>1061</v>
      </c>
      <c r="K2129">
        <v>642</v>
      </c>
      <c r="L2129">
        <v>43</v>
      </c>
      <c r="M2129">
        <v>71</v>
      </c>
      <c r="N2129">
        <v>0</v>
      </c>
      <c r="O2129">
        <v>10253</v>
      </c>
      <c r="P2129">
        <v>1329</v>
      </c>
      <c r="Q2129">
        <v>-4415</v>
      </c>
    </row>
    <row r="2130" spans="1:17" x14ac:dyDescent="0.45">
      <c r="A2130">
        <v>2793</v>
      </c>
      <c r="B2130" t="s">
        <v>2189</v>
      </c>
      <c r="C2130">
        <v>2685</v>
      </c>
      <c r="D2130">
        <v>1</v>
      </c>
      <c r="E2130">
        <v>3202.5</v>
      </c>
      <c r="F2130">
        <v>218.3</v>
      </c>
      <c r="G2130">
        <v>3766.4</v>
      </c>
      <c r="H2130">
        <v>2</v>
      </c>
      <c r="I2130">
        <v>20.72</v>
      </c>
      <c r="J2130">
        <v>1139</v>
      </c>
      <c r="K2130">
        <v>470</v>
      </c>
      <c r="L2130">
        <v>40</v>
      </c>
      <c r="M2130">
        <v>136</v>
      </c>
      <c r="N2130">
        <v>0</v>
      </c>
      <c r="O2130">
        <v>1462</v>
      </c>
      <c r="P2130">
        <v>1306.8499999999999</v>
      </c>
      <c r="Q2130">
        <v>-341</v>
      </c>
    </row>
    <row r="2131" spans="1:17" x14ac:dyDescent="0.45">
      <c r="A2131">
        <v>6011</v>
      </c>
      <c r="B2131" t="s">
        <v>2190</v>
      </c>
      <c r="C2131">
        <v>73</v>
      </c>
      <c r="D2131">
        <v>3</v>
      </c>
      <c r="E2131">
        <v>0</v>
      </c>
      <c r="F2131">
        <v>0</v>
      </c>
      <c r="G2131">
        <v>82508</v>
      </c>
      <c r="H2131">
        <v>3</v>
      </c>
      <c r="I2131">
        <v>30.8</v>
      </c>
      <c r="J2131">
        <v>29</v>
      </c>
      <c r="K2131">
        <v>18</v>
      </c>
      <c r="L2131">
        <v>1</v>
      </c>
      <c r="M2131">
        <v>5</v>
      </c>
      <c r="N2131">
        <v>0</v>
      </c>
      <c r="O2131">
        <v>178</v>
      </c>
      <c r="P2131">
        <v>0</v>
      </c>
      <c r="Q2131">
        <v>-4415</v>
      </c>
    </row>
    <row r="2132" spans="1:17" x14ac:dyDescent="0.45">
      <c r="A2132">
        <v>628</v>
      </c>
      <c r="B2132" t="s">
        <v>2158</v>
      </c>
      <c r="C2132">
        <v>1623</v>
      </c>
      <c r="D2132">
        <v>2</v>
      </c>
      <c r="E2132">
        <v>1421.8</v>
      </c>
      <c r="F2132">
        <v>0</v>
      </c>
      <c r="G2132">
        <v>1417.3</v>
      </c>
      <c r="H2132">
        <v>2</v>
      </c>
      <c r="I2132">
        <v>24.84</v>
      </c>
      <c r="J2132">
        <v>639</v>
      </c>
      <c r="K2132">
        <v>239</v>
      </c>
      <c r="L2132">
        <v>28</v>
      </c>
      <c r="M2132">
        <v>74</v>
      </c>
      <c r="N2132">
        <v>0</v>
      </c>
      <c r="O2132">
        <v>2329</v>
      </c>
      <c r="P2132">
        <v>0</v>
      </c>
      <c r="Q2132">
        <v>-261</v>
      </c>
    </row>
    <row r="2133" spans="1:17" x14ac:dyDescent="0.45">
      <c r="A2133">
        <v>261</v>
      </c>
      <c r="B2133" t="s">
        <v>2183</v>
      </c>
      <c r="C2133">
        <v>427721</v>
      </c>
      <c r="D2133">
        <v>1</v>
      </c>
      <c r="E2133">
        <v>195529.2</v>
      </c>
      <c r="F2133">
        <v>462390</v>
      </c>
      <c r="G2133">
        <v>80787</v>
      </c>
      <c r="H2133">
        <v>1</v>
      </c>
      <c r="I2133">
        <v>15.69</v>
      </c>
      <c r="J2133">
        <v>76082</v>
      </c>
      <c r="K2133">
        <v>36735</v>
      </c>
      <c r="L2133">
        <v>8628</v>
      </c>
      <c r="M2133">
        <v>17428</v>
      </c>
      <c r="N2133">
        <v>38</v>
      </c>
      <c r="O2133">
        <v>2332</v>
      </c>
      <c r="P2133">
        <v>157741</v>
      </c>
      <c r="Q2133">
        <v>-4656</v>
      </c>
    </row>
    <row r="2134" spans="1:17" x14ac:dyDescent="0.45">
      <c r="D2134" s="238"/>
    </row>
    <row r="2135" spans="1:17" x14ac:dyDescent="0.45">
      <c r="D2135" s="238"/>
    </row>
    <row r="2136" spans="1:17" x14ac:dyDescent="0.45">
      <c r="D2136" s="238"/>
    </row>
    <row r="2137" spans="1:17" x14ac:dyDescent="0.45">
      <c r="D2137" s="238"/>
    </row>
    <row r="2138" spans="1:17" x14ac:dyDescent="0.45">
      <c r="D2138" s="238"/>
    </row>
    <row r="2139" spans="1:17" x14ac:dyDescent="0.45">
      <c r="D2139" s="238"/>
    </row>
    <row r="2140" spans="1:17" x14ac:dyDescent="0.45">
      <c r="D2140" s="238"/>
    </row>
    <row r="2141" spans="1:17" x14ac:dyDescent="0.45">
      <c r="D2141" s="238"/>
    </row>
    <row r="2142" spans="1:17" x14ac:dyDescent="0.45">
      <c r="D2142" s="238"/>
    </row>
    <row r="2143" spans="1:17" x14ac:dyDescent="0.45">
      <c r="D2143" s="238"/>
    </row>
    <row r="2144" spans="1:17" x14ac:dyDescent="0.45">
      <c r="D2144" s="238"/>
    </row>
    <row r="2145" spans="3:4" x14ac:dyDescent="0.45">
      <c r="D2145" s="238"/>
    </row>
    <row r="2146" spans="3:4" x14ac:dyDescent="0.45">
      <c r="D2146" s="238"/>
    </row>
    <row r="2147" spans="3:4" x14ac:dyDescent="0.45">
      <c r="C2147" s="238"/>
      <c r="D2147" s="238"/>
    </row>
  </sheetData>
  <sheetProtection sheet="1" objects="1" scenarios="1"/>
  <autoFilter ref="A1:Q2133" xr:uid="{24D4BD17-98C2-4880-8DE2-8ACE8238331B}"/>
  <pageMargins left="0.7" right="0.7" top="0.78740157499999996" bottom="0.78740157499999996"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AEB469-8481-4ED9-9C45-EF0A637A5947}">
  <sheetPr codeName="Tabelle9">
    <tabColor rgb="FFCAD2D9"/>
  </sheetPr>
  <dimension ref="A1:H187"/>
  <sheetViews>
    <sheetView zoomScaleNormal="100" workbookViewId="0">
      <selection activeCell="C113" sqref="C113"/>
    </sheetView>
  </sheetViews>
  <sheetFormatPr baseColWidth="10" defaultRowHeight="14.25" x14ac:dyDescent="0.45"/>
  <cols>
    <col min="1" max="1" width="8.73046875" style="2" customWidth="1"/>
    <col min="2" max="3" width="46.73046875" style="2" customWidth="1"/>
    <col min="4" max="4" width="44" style="2" customWidth="1"/>
    <col min="5" max="5" width="4.265625" customWidth="1"/>
  </cols>
  <sheetData>
    <row r="1" spans="1:8" s="11" customFormat="1" x14ac:dyDescent="0.45">
      <c r="A1" s="54" t="s">
        <v>39</v>
      </c>
      <c r="B1" s="54" t="s">
        <v>40</v>
      </c>
      <c r="C1" s="54" t="s">
        <v>41</v>
      </c>
      <c r="D1" s="54" t="s">
        <v>42</v>
      </c>
      <c r="F1" t="s">
        <v>37</v>
      </c>
      <c r="G1" t="s">
        <v>2879</v>
      </c>
    </row>
    <row r="2" spans="1:8" x14ac:dyDescent="0.45">
      <c r="A2" s="2" t="s">
        <v>2196</v>
      </c>
      <c r="B2" s="2" t="s">
        <v>37</v>
      </c>
      <c r="C2" s="2" t="s">
        <v>2191</v>
      </c>
      <c r="D2" s="2" t="s">
        <v>2192</v>
      </c>
      <c r="F2" s="12" t="s">
        <v>2818</v>
      </c>
      <c r="G2" s="11">
        <v>2</v>
      </c>
      <c r="H2" s="11"/>
    </row>
    <row r="3" spans="1:8" x14ac:dyDescent="0.45">
      <c r="A3" s="2" t="s">
        <v>2197</v>
      </c>
      <c r="B3" s="2" t="s">
        <v>38</v>
      </c>
      <c r="C3" s="2" t="s">
        <v>45</v>
      </c>
      <c r="D3" s="2" t="s">
        <v>46</v>
      </c>
      <c r="F3" s="11" t="s">
        <v>40</v>
      </c>
      <c r="G3" s="11">
        <v>2</v>
      </c>
    </row>
    <row r="4" spans="1:8" x14ac:dyDescent="0.45">
      <c r="A4" s="2" t="s">
        <v>2198</v>
      </c>
      <c r="B4" s="2" t="s">
        <v>2193</v>
      </c>
      <c r="C4" s="2" t="s">
        <v>2194</v>
      </c>
      <c r="D4" s="2" t="s">
        <v>2195</v>
      </c>
      <c r="F4" s="11" t="s">
        <v>41</v>
      </c>
      <c r="G4" s="11">
        <v>3</v>
      </c>
    </row>
    <row r="5" spans="1:8" x14ac:dyDescent="0.45">
      <c r="A5" s="2" t="s">
        <v>2199</v>
      </c>
      <c r="B5" s="2" t="s">
        <v>24</v>
      </c>
      <c r="C5" s="2" t="s">
        <v>24</v>
      </c>
      <c r="D5" s="2" t="s">
        <v>24</v>
      </c>
      <c r="F5" s="11" t="s">
        <v>42</v>
      </c>
      <c r="G5" s="11">
        <v>4</v>
      </c>
    </row>
    <row r="6" spans="1:8" x14ac:dyDescent="0.45">
      <c r="A6" s="2" t="s">
        <v>2200</v>
      </c>
      <c r="B6" s="2" t="s">
        <v>25</v>
      </c>
      <c r="C6" s="2" t="s">
        <v>25</v>
      </c>
      <c r="D6" s="2" t="s">
        <v>25</v>
      </c>
      <c r="F6" s="11"/>
      <c r="G6" s="11"/>
    </row>
    <row r="7" spans="1:8" x14ac:dyDescent="0.45">
      <c r="A7" s="2" t="s">
        <v>2201</v>
      </c>
      <c r="B7" s="2" t="s">
        <v>2684</v>
      </c>
      <c r="C7" s="2" t="s">
        <v>2684</v>
      </c>
      <c r="D7" s="2" t="s">
        <v>2684</v>
      </c>
      <c r="F7" s="11"/>
      <c r="G7" s="11"/>
    </row>
    <row r="8" spans="1:8" x14ac:dyDescent="0.45">
      <c r="A8" s="2" t="s">
        <v>2202</v>
      </c>
      <c r="B8" s="2" t="s">
        <v>2685</v>
      </c>
      <c r="C8" s="2" t="s">
        <v>2687</v>
      </c>
      <c r="D8" s="2" t="s">
        <v>2689</v>
      </c>
      <c r="F8" s="11"/>
      <c r="G8" s="11"/>
    </row>
    <row r="9" spans="1:8" x14ac:dyDescent="0.45">
      <c r="A9" s="2" t="s">
        <v>2203</v>
      </c>
      <c r="B9" s="2" t="s">
        <v>2686</v>
      </c>
      <c r="C9" s="2" t="s">
        <v>2688</v>
      </c>
      <c r="D9" s="2" t="s">
        <v>2690</v>
      </c>
      <c r="F9" s="11"/>
      <c r="G9" s="11"/>
    </row>
    <row r="10" spans="1:8" x14ac:dyDescent="0.45">
      <c r="A10" s="2" t="s">
        <v>2204</v>
      </c>
      <c r="B10" s="2" t="s">
        <v>19</v>
      </c>
      <c r="C10" s="2" t="s">
        <v>19</v>
      </c>
      <c r="D10" s="2" t="s">
        <v>2320</v>
      </c>
      <c r="F10" s="11"/>
      <c r="G10" s="11"/>
    </row>
    <row r="11" spans="1:8" x14ac:dyDescent="0.45">
      <c r="A11" s="2" t="s">
        <v>2205</v>
      </c>
      <c r="B11" s="2" t="s">
        <v>2699</v>
      </c>
      <c r="C11" s="2" t="s">
        <v>2731</v>
      </c>
      <c r="D11" s="2" t="s">
        <v>2976</v>
      </c>
      <c r="F11" s="11"/>
      <c r="G11" s="11"/>
    </row>
    <row r="12" spans="1:8" x14ac:dyDescent="0.45">
      <c r="A12" s="2" t="s">
        <v>2206</v>
      </c>
      <c r="B12" s="2" t="s">
        <v>2332</v>
      </c>
      <c r="C12" s="2" t="s">
        <v>2331</v>
      </c>
      <c r="D12" s="2" t="s">
        <v>2889</v>
      </c>
    </row>
    <row r="13" spans="1:8" x14ac:dyDescent="0.45">
      <c r="A13" s="2" t="s">
        <v>2207</v>
      </c>
      <c r="B13" s="4" t="s">
        <v>18</v>
      </c>
      <c r="C13" s="2" t="s">
        <v>2304</v>
      </c>
      <c r="D13" s="2" t="s">
        <v>2321</v>
      </c>
    </row>
    <row r="14" spans="1:8" x14ac:dyDescent="0.45">
      <c r="A14" s="2" t="s">
        <v>2208</v>
      </c>
      <c r="B14" s="4" t="s">
        <v>17</v>
      </c>
      <c r="C14" s="2" t="s">
        <v>2305</v>
      </c>
      <c r="D14" s="2" t="s">
        <v>2322</v>
      </c>
    </row>
    <row r="15" spans="1:8" x14ac:dyDescent="0.45">
      <c r="A15" s="2" t="s">
        <v>2209</v>
      </c>
      <c r="B15" s="2" t="s">
        <v>2335</v>
      </c>
      <c r="C15" s="2" t="s">
        <v>2334</v>
      </c>
      <c r="D15" s="2" t="s">
        <v>2890</v>
      </c>
    </row>
    <row r="16" spans="1:8" x14ac:dyDescent="0.45">
      <c r="A16" s="2" t="s">
        <v>2210</v>
      </c>
      <c r="B16" s="2" t="s">
        <v>0</v>
      </c>
      <c r="C16" s="2" t="s">
        <v>47</v>
      </c>
      <c r="D16" s="2" t="s">
        <v>48</v>
      </c>
    </row>
    <row r="17" spans="1:4" x14ac:dyDescent="0.45">
      <c r="A17" s="2" t="s">
        <v>2211</v>
      </c>
      <c r="B17" s="2" t="s">
        <v>3</v>
      </c>
      <c r="C17" s="2" t="s">
        <v>2377</v>
      </c>
      <c r="D17" s="2" t="s">
        <v>2323</v>
      </c>
    </row>
    <row r="18" spans="1:4" x14ac:dyDescent="0.45">
      <c r="A18" s="2" t="s">
        <v>2212</v>
      </c>
      <c r="B18" s="2" t="s">
        <v>36</v>
      </c>
      <c r="C18" s="2" t="s">
        <v>2306</v>
      </c>
      <c r="D18" s="2" t="s">
        <v>2324</v>
      </c>
    </row>
    <row r="19" spans="1:4" x14ac:dyDescent="0.45">
      <c r="A19" s="2" t="s">
        <v>2213</v>
      </c>
      <c r="B19" s="2" t="s">
        <v>5</v>
      </c>
      <c r="C19" s="2" t="s">
        <v>2307</v>
      </c>
      <c r="D19" s="2" t="s">
        <v>2752</v>
      </c>
    </row>
    <row r="20" spans="1:4" x14ac:dyDescent="0.45">
      <c r="A20" s="2" t="s">
        <v>2214</v>
      </c>
      <c r="B20" s="2" t="s">
        <v>4</v>
      </c>
      <c r="C20" s="2" t="s">
        <v>2308</v>
      </c>
      <c r="D20" s="2" t="s">
        <v>4</v>
      </c>
    </row>
    <row r="21" spans="1:4" x14ac:dyDescent="0.45">
      <c r="A21" s="2" t="s">
        <v>2215</v>
      </c>
      <c r="B21" s="2" t="s">
        <v>2753</v>
      </c>
      <c r="C21" s="2" t="s">
        <v>2754</v>
      </c>
      <c r="D21" s="2" t="s">
        <v>2755</v>
      </c>
    </row>
    <row r="22" spans="1:4" x14ac:dyDescent="0.45">
      <c r="A22" s="2" t="s">
        <v>2216</v>
      </c>
      <c r="B22" s="2" t="s">
        <v>5</v>
      </c>
      <c r="C22" s="2" t="s">
        <v>2307</v>
      </c>
      <c r="D22" s="2" t="s">
        <v>2752</v>
      </c>
    </row>
    <row r="23" spans="1:4" x14ac:dyDescent="0.45">
      <c r="A23" s="2" t="s">
        <v>2217</v>
      </c>
      <c r="B23" s="2" t="s">
        <v>4</v>
      </c>
      <c r="C23" s="2" t="s">
        <v>2308</v>
      </c>
      <c r="D23" s="2" t="s">
        <v>4</v>
      </c>
    </row>
    <row r="24" spans="1:4" x14ac:dyDescent="0.45">
      <c r="A24" s="2" t="s">
        <v>2218</v>
      </c>
      <c r="B24" s="2" t="s">
        <v>2680</v>
      </c>
      <c r="C24" s="2" t="s">
        <v>2681</v>
      </c>
      <c r="D24" s="2" t="s">
        <v>2891</v>
      </c>
    </row>
    <row r="25" spans="1:4" x14ac:dyDescent="0.45">
      <c r="A25" s="2" t="s">
        <v>2219</v>
      </c>
      <c r="B25" s="2" t="s">
        <v>2700</v>
      </c>
      <c r="C25" s="2" t="s">
        <v>2378</v>
      </c>
      <c r="D25" s="2" t="s">
        <v>2325</v>
      </c>
    </row>
    <row r="26" spans="1:4" x14ac:dyDescent="0.45">
      <c r="A26" s="2" t="s">
        <v>2220</v>
      </c>
      <c r="B26" s="2" t="s">
        <v>9</v>
      </c>
      <c r="C26" s="2" t="s">
        <v>2309</v>
      </c>
      <c r="D26" s="2" t="s">
        <v>2326</v>
      </c>
    </row>
    <row r="27" spans="1:4" x14ac:dyDescent="0.45">
      <c r="A27" s="2" t="s">
        <v>2221</v>
      </c>
      <c r="B27" s="2" t="s">
        <v>10</v>
      </c>
      <c r="C27" s="2" t="s">
        <v>2310</v>
      </c>
      <c r="D27" s="2" t="s">
        <v>2327</v>
      </c>
    </row>
    <row r="28" spans="1:4" x14ac:dyDescent="0.45">
      <c r="A28" s="2" t="s">
        <v>2222</v>
      </c>
      <c r="B28" s="2" t="s">
        <v>11</v>
      </c>
      <c r="C28" s="2" t="s">
        <v>2330</v>
      </c>
      <c r="D28" s="2" t="s">
        <v>2892</v>
      </c>
    </row>
    <row r="29" spans="1:4" x14ac:dyDescent="0.45">
      <c r="A29" s="2" t="s">
        <v>2223</v>
      </c>
      <c r="B29" s="2" t="s">
        <v>12</v>
      </c>
      <c r="C29" s="2" t="s">
        <v>2311</v>
      </c>
      <c r="D29" s="2" t="s">
        <v>2756</v>
      </c>
    </row>
    <row r="30" spans="1:4" x14ac:dyDescent="0.45">
      <c r="A30" s="2" t="s">
        <v>2224</v>
      </c>
      <c r="B30" s="2" t="s">
        <v>1</v>
      </c>
      <c r="C30" s="2" t="s">
        <v>2379</v>
      </c>
      <c r="D30" s="2" t="s">
        <v>49</v>
      </c>
    </row>
    <row r="31" spans="1:4" x14ac:dyDescent="0.45">
      <c r="A31" s="2" t="s">
        <v>2225</v>
      </c>
      <c r="B31" s="2" t="s">
        <v>2620</v>
      </c>
      <c r="C31" s="2" t="s">
        <v>2312</v>
      </c>
      <c r="D31" s="2" t="s">
        <v>2328</v>
      </c>
    </row>
    <row r="32" spans="1:4" x14ac:dyDescent="0.45">
      <c r="A32" s="2" t="s">
        <v>2226</v>
      </c>
      <c r="B32" s="2" t="s">
        <v>2701</v>
      </c>
      <c r="C32" s="2" t="s">
        <v>2313</v>
      </c>
      <c r="D32" s="2" t="s">
        <v>2757</v>
      </c>
    </row>
    <row r="33" spans="1:4" x14ac:dyDescent="0.45">
      <c r="A33" s="2" t="s">
        <v>2227</v>
      </c>
      <c r="B33" s="2" t="s">
        <v>2955</v>
      </c>
      <c r="C33" s="2" t="s">
        <v>2956</v>
      </c>
      <c r="D33" s="2" t="s">
        <v>2957</v>
      </c>
    </row>
    <row r="34" spans="1:4" x14ac:dyDescent="0.45">
      <c r="A34" s="2" t="s">
        <v>2228</v>
      </c>
      <c r="B34" s="2" t="s">
        <v>2</v>
      </c>
      <c r="C34" s="2" t="s">
        <v>50</v>
      </c>
      <c r="D34" s="2" t="s">
        <v>51</v>
      </c>
    </row>
    <row r="35" spans="1:4" x14ac:dyDescent="0.45">
      <c r="A35" s="2" t="s">
        <v>2229</v>
      </c>
      <c r="B35" s="2" t="s">
        <v>2702</v>
      </c>
      <c r="C35" s="2" t="s">
        <v>2678</v>
      </c>
      <c r="D35" s="2" t="s">
        <v>2893</v>
      </c>
    </row>
    <row r="36" spans="1:4" x14ac:dyDescent="0.45">
      <c r="A36" s="2" t="s">
        <v>2230</v>
      </c>
      <c r="B36" s="2" t="s">
        <v>6</v>
      </c>
      <c r="C36" s="2" t="s">
        <v>2314</v>
      </c>
      <c r="D36" s="2" t="s">
        <v>2333</v>
      </c>
    </row>
    <row r="37" spans="1:4" x14ac:dyDescent="0.45">
      <c r="A37" s="2" t="s">
        <v>2231</v>
      </c>
      <c r="B37" s="2" t="s">
        <v>7</v>
      </c>
      <c r="C37" s="2" t="s">
        <v>7</v>
      </c>
      <c r="D37" s="2" t="s">
        <v>7</v>
      </c>
    </row>
    <row r="38" spans="1:4" x14ac:dyDescent="0.45">
      <c r="A38" s="2" t="s">
        <v>2232</v>
      </c>
      <c r="B38" s="2" t="s">
        <v>2595</v>
      </c>
      <c r="C38" s="55" t="s">
        <v>2596</v>
      </c>
      <c r="D38" s="2" t="s">
        <v>2758</v>
      </c>
    </row>
    <row r="39" spans="1:4" x14ac:dyDescent="0.45">
      <c r="A39" s="2" t="s">
        <v>2233</v>
      </c>
      <c r="B39" s="2" t="s">
        <v>8</v>
      </c>
      <c r="C39" s="2" t="s">
        <v>2315</v>
      </c>
      <c r="D39" s="2" t="s">
        <v>58</v>
      </c>
    </row>
    <row r="40" spans="1:4" x14ac:dyDescent="0.45">
      <c r="A40" s="2" t="s">
        <v>2234</v>
      </c>
      <c r="B40" s="2" t="s">
        <v>2853</v>
      </c>
      <c r="C40" s="2" t="s">
        <v>2854</v>
      </c>
      <c r="D40" s="2" t="s">
        <v>2894</v>
      </c>
    </row>
    <row r="41" spans="1:4" x14ac:dyDescent="0.45">
      <c r="A41" s="2" t="s">
        <v>2235</v>
      </c>
      <c r="B41" s="2" t="s">
        <v>2703</v>
      </c>
      <c r="C41" s="2" t="s">
        <v>2316</v>
      </c>
      <c r="D41" s="2" t="s">
        <v>2329</v>
      </c>
    </row>
    <row r="42" spans="1:4" x14ac:dyDescent="0.45">
      <c r="A42" s="2" t="s">
        <v>2236</v>
      </c>
      <c r="B42" s="2" t="s">
        <v>2704</v>
      </c>
      <c r="C42" s="2" t="s">
        <v>2317</v>
      </c>
      <c r="D42" s="2" t="s">
        <v>2895</v>
      </c>
    </row>
    <row r="43" spans="1:4" x14ac:dyDescent="0.45">
      <c r="A43" s="2" t="s">
        <v>2237</v>
      </c>
      <c r="B43" s="2" t="s">
        <v>20</v>
      </c>
      <c r="C43" s="2" t="s">
        <v>56</v>
      </c>
      <c r="D43" s="2" t="s">
        <v>57</v>
      </c>
    </row>
    <row r="44" spans="1:4" x14ac:dyDescent="0.45">
      <c r="A44" s="2" t="s">
        <v>2238</v>
      </c>
      <c r="B44" s="2" t="s">
        <v>30</v>
      </c>
      <c r="C44" s="2" t="s">
        <v>2318</v>
      </c>
      <c r="D44" s="2" t="s">
        <v>2759</v>
      </c>
    </row>
    <row r="45" spans="1:4" x14ac:dyDescent="0.45">
      <c r="A45" s="2" t="s">
        <v>2239</v>
      </c>
      <c r="B45" s="2" t="s">
        <v>2953</v>
      </c>
      <c r="C45" s="2" t="s">
        <v>2954</v>
      </c>
      <c r="D45" s="2" t="s">
        <v>2977</v>
      </c>
    </row>
    <row r="46" spans="1:4" x14ac:dyDescent="0.45">
      <c r="A46" s="2" t="s">
        <v>2240</v>
      </c>
      <c r="B46" s="2" t="s">
        <v>2705</v>
      </c>
      <c r="C46" s="2" t="s">
        <v>2319</v>
      </c>
      <c r="D46" s="2" t="s">
        <v>2760</v>
      </c>
    </row>
    <row r="47" spans="1:4" x14ac:dyDescent="0.45">
      <c r="A47" s="2" t="s">
        <v>2241</v>
      </c>
      <c r="B47" s="2" t="s">
        <v>2355</v>
      </c>
      <c r="C47" s="2" t="s">
        <v>2885</v>
      </c>
      <c r="D47" s="2" t="s">
        <v>2354</v>
      </c>
    </row>
    <row r="48" spans="1:4" x14ac:dyDescent="0.45">
      <c r="A48" s="2" t="s">
        <v>2242</v>
      </c>
      <c r="B48" s="4" t="s">
        <v>2351</v>
      </c>
      <c r="C48" s="2" t="s">
        <v>2352</v>
      </c>
      <c r="D48" s="2" t="s">
        <v>2353</v>
      </c>
    </row>
    <row r="49" spans="1:4" x14ac:dyDescent="0.45">
      <c r="A49" s="2" t="s">
        <v>2243</v>
      </c>
      <c r="B49" s="4" t="s">
        <v>2421</v>
      </c>
      <c r="C49" s="2" t="s">
        <v>2422</v>
      </c>
      <c r="D49" s="2" t="s">
        <v>2761</v>
      </c>
    </row>
    <row r="50" spans="1:4" x14ac:dyDescent="0.45">
      <c r="A50" s="2" t="s">
        <v>2244</v>
      </c>
      <c r="B50" s="2" t="s">
        <v>13</v>
      </c>
      <c r="C50" s="2" t="s">
        <v>2338</v>
      </c>
      <c r="D50" s="2" t="s">
        <v>2762</v>
      </c>
    </row>
    <row r="51" spans="1:4" x14ac:dyDescent="0.45">
      <c r="A51" s="2" t="s">
        <v>2245</v>
      </c>
      <c r="B51" s="2" t="s">
        <v>31</v>
      </c>
      <c r="C51" s="2" t="s">
        <v>2339</v>
      </c>
      <c r="D51" s="2" t="s">
        <v>2763</v>
      </c>
    </row>
    <row r="52" spans="1:4" x14ac:dyDescent="0.45">
      <c r="A52" s="2" t="s">
        <v>2246</v>
      </c>
      <c r="B52" s="2" t="s">
        <v>14</v>
      </c>
      <c r="C52" s="2" t="s">
        <v>2336</v>
      </c>
      <c r="D52" s="2" t="s">
        <v>2341</v>
      </c>
    </row>
    <row r="53" spans="1:4" x14ac:dyDescent="0.45">
      <c r="A53" s="2" t="s">
        <v>2247</v>
      </c>
      <c r="B53" s="2" t="s">
        <v>15</v>
      </c>
      <c r="C53" s="2" t="s">
        <v>2340</v>
      </c>
      <c r="D53" s="2" t="s">
        <v>2764</v>
      </c>
    </row>
    <row r="54" spans="1:4" x14ac:dyDescent="0.45">
      <c r="A54" s="2" t="s">
        <v>2248</v>
      </c>
      <c r="B54" s="2" t="s">
        <v>2370</v>
      </c>
      <c r="C54" s="2" t="s">
        <v>2371</v>
      </c>
      <c r="D54" s="2" t="s">
        <v>2765</v>
      </c>
    </row>
    <row r="55" spans="1:4" x14ac:dyDescent="0.45">
      <c r="A55" s="2" t="s">
        <v>2249</v>
      </c>
      <c r="B55" s="2" t="s">
        <v>16</v>
      </c>
      <c r="C55" s="2" t="s">
        <v>2337</v>
      </c>
      <c r="D55" s="2" t="s">
        <v>2766</v>
      </c>
    </row>
    <row r="56" spans="1:4" x14ac:dyDescent="0.45">
      <c r="A56" s="2" t="s">
        <v>2250</v>
      </c>
      <c r="B56" s="2" t="s">
        <v>2342</v>
      </c>
      <c r="C56" s="2" t="s">
        <v>2343</v>
      </c>
      <c r="D56" s="2" t="s">
        <v>2344</v>
      </c>
    </row>
    <row r="57" spans="1:4" x14ac:dyDescent="0.45">
      <c r="A57" s="2" t="s">
        <v>2251</v>
      </c>
      <c r="B57" s="2" t="s">
        <v>2345</v>
      </c>
      <c r="C57" s="2" t="s">
        <v>2346</v>
      </c>
      <c r="D57" s="2" t="s">
        <v>2978</v>
      </c>
    </row>
    <row r="58" spans="1:4" x14ac:dyDescent="0.45">
      <c r="A58" s="2" t="s">
        <v>2252</v>
      </c>
      <c r="B58" s="2" t="s">
        <v>2347</v>
      </c>
      <c r="C58" s="2" t="s">
        <v>2348</v>
      </c>
      <c r="D58" s="2" t="s">
        <v>2349</v>
      </c>
    </row>
    <row r="59" spans="1:4" x14ac:dyDescent="0.45">
      <c r="A59" s="2" t="s">
        <v>2253</v>
      </c>
      <c r="B59" s="2" t="s">
        <v>2796</v>
      </c>
      <c r="C59" s="2" t="s">
        <v>2356</v>
      </c>
      <c r="D59" s="2" t="s">
        <v>2357</v>
      </c>
    </row>
    <row r="60" spans="1:4" x14ac:dyDescent="0.45">
      <c r="A60" s="2" t="s">
        <v>2254</v>
      </c>
      <c r="B60" s="2" t="s">
        <v>2795</v>
      </c>
      <c r="C60" s="2" t="s">
        <v>2358</v>
      </c>
      <c r="D60" s="2" t="s">
        <v>2767</v>
      </c>
    </row>
    <row r="61" spans="1:4" x14ac:dyDescent="0.45">
      <c r="A61" s="2" t="s">
        <v>2255</v>
      </c>
      <c r="B61" s="2" t="s">
        <v>2417</v>
      </c>
      <c r="C61" s="2" t="s">
        <v>2359</v>
      </c>
      <c r="D61" s="2" t="s">
        <v>2768</v>
      </c>
    </row>
    <row r="62" spans="1:4" x14ac:dyDescent="0.45">
      <c r="A62" s="2" t="s">
        <v>2256</v>
      </c>
      <c r="B62" s="2" t="s">
        <v>43</v>
      </c>
      <c r="C62" s="2" t="s">
        <v>44</v>
      </c>
      <c r="D62" s="2" t="s">
        <v>2896</v>
      </c>
    </row>
    <row r="63" spans="1:4" x14ac:dyDescent="0.45">
      <c r="A63" s="2" t="s">
        <v>2257</v>
      </c>
      <c r="B63" s="2" t="s">
        <v>2360</v>
      </c>
      <c r="C63" s="2" t="s">
        <v>2360</v>
      </c>
      <c r="D63" s="2" t="s">
        <v>2361</v>
      </c>
    </row>
    <row r="64" spans="1:4" x14ac:dyDescent="0.45">
      <c r="A64" s="2" t="s">
        <v>2258</v>
      </c>
      <c r="B64" s="2" t="s">
        <v>2367</v>
      </c>
      <c r="C64" s="2" t="s">
        <v>2362</v>
      </c>
      <c r="D64" s="2" t="s">
        <v>2769</v>
      </c>
    </row>
    <row r="65" spans="1:4" x14ac:dyDescent="0.45">
      <c r="A65" s="2" t="s">
        <v>2259</v>
      </c>
      <c r="B65" s="2" t="s">
        <v>2368</v>
      </c>
      <c r="C65" s="2" t="s">
        <v>2363</v>
      </c>
      <c r="D65" s="2" t="s">
        <v>2365</v>
      </c>
    </row>
    <row r="66" spans="1:4" x14ac:dyDescent="0.45">
      <c r="A66" s="2" t="s">
        <v>2260</v>
      </c>
      <c r="B66" s="2" t="s">
        <v>2369</v>
      </c>
      <c r="C66" s="2" t="s">
        <v>2364</v>
      </c>
      <c r="D66" s="2" t="s">
        <v>2366</v>
      </c>
    </row>
    <row r="67" spans="1:4" x14ac:dyDescent="0.45">
      <c r="A67" s="2" t="s">
        <v>2261</v>
      </c>
      <c r="B67" s="2" t="s">
        <v>53</v>
      </c>
      <c r="C67" s="48" t="s">
        <v>54</v>
      </c>
      <c r="D67" s="48" t="s">
        <v>55</v>
      </c>
    </row>
    <row r="68" spans="1:4" x14ac:dyDescent="0.45">
      <c r="A68" s="2" t="s">
        <v>2262</v>
      </c>
      <c r="B68" s="2" t="s">
        <v>2382</v>
      </c>
      <c r="C68" s="2" t="s">
        <v>2383</v>
      </c>
      <c r="D68" s="2" t="s">
        <v>2386</v>
      </c>
    </row>
    <row r="69" spans="1:4" x14ac:dyDescent="0.45">
      <c r="A69" s="2" t="s">
        <v>2263</v>
      </c>
      <c r="B69" s="2" t="s">
        <v>2384</v>
      </c>
      <c r="C69" s="2" t="s">
        <v>2385</v>
      </c>
      <c r="D69" s="2" t="s">
        <v>2387</v>
      </c>
    </row>
    <row r="70" spans="1:4" x14ac:dyDescent="0.45">
      <c r="A70" s="2" t="s">
        <v>2264</v>
      </c>
      <c r="B70" s="2" t="s">
        <v>2388</v>
      </c>
      <c r="C70" s="2" t="s">
        <v>2389</v>
      </c>
      <c r="D70" s="2" t="s">
        <v>2390</v>
      </c>
    </row>
    <row r="71" spans="1:4" x14ac:dyDescent="0.45">
      <c r="A71" s="2" t="s">
        <v>2265</v>
      </c>
      <c r="B71" s="2" t="s">
        <v>2392</v>
      </c>
      <c r="C71" s="2" t="s">
        <v>2391</v>
      </c>
      <c r="D71" s="2" t="s">
        <v>2770</v>
      </c>
    </row>
    <row r="72" spans="1:4" x14ac:dyDescent="0.45">
      <c r="A72" s="2" t="s">
        <v>2266</v>
      </c>
      <c r="B72" s="2" t="s">
        <v>2394</v>
      </c>
      <c r="C72" s="2" t="s">
        <v>2393</v>
      </c>
      <c r="D72" s="2" t="s">
        <v>2395</v>
      </c>
    </row>
    <row r="73" spans="1:4" x14ac:dyDescent="0.45">
      <c r="A73" s="2" t="s">
        <v>2267</v>
      </c>
      <c r="B73" s="2" t="s">
        <v>2396</v>
      </c>
      <c r="C73" s="2" t="s">
        <v>2397</v>
      </c>
      <c r="D73" s="2" t="s">
        <v>2398</v>
      </c>
    </row>
    <row r="74" spans="1:4" x14ac:dyDescent="0.45">
      <c r="A74" s="2" t="s">
        <v>2268</v>
      </c>
      <c r="B74" s="2" t="s">
        <v>2723</v>
      </c>
      <c r="C74" s="2" t="s">
        <v>2724</v>
      </c>
      <c r="D74" s="2" t="s">
        <v>2963</v>
      </c>
    </row>
    <row r="75" spans="1:4" x14ac:dyDescent="0.45">
      <c r="A75" s="2" t="s">
        <v>2269</v>
      </c>
      <c r="B75" s="2" t="s">
        <v>2593</v>
      </c>
      <c r="C75" s="2" t="s">
        <v>2594</v>
      </c>
      <c r="D75" s="2" t="s">
        <v>2593</v>
      </c>
    </row>
    <row r="76" spans="1:4" x14ac:dyDescent="0.45">
      <c r="A76" s="2" t="s">
        <v>2270</v>
      </c>
      <c r="B76" s="2" t="s">
        <v>2940</v>
      </c>
      <c r="C76" s="2" t="s">
        <v>2937</v>
      </c>
      <c r="D76" s="2" t="s">
        <v>2941</v>
      </c>
    </row>
    <row r="77" spans="1:4" x14ac:dyDescent="0.45">
      <c r="A77" s="2" t="s">
        <v>2271</v>
      </c>
      <c r="B77" s="2" t="s">
        <v>2406</v>
      </c>
      <c r="C77" s="2" t="s">
        <v>2407</v>
      </c>
      <c r="D77" s="2" t="s">
        <v>2771</v>
      </c>
    </row>
    <row r="78" spans="1:4" x14ac:dyDescent="0.45">
      <c r="A78" s="2" t="s">
        <v>2272</v>
      </c>
      <c r="B78" s="2" t="s">
        <v>2409</v>
      </c>
      <c r="C78" s="2" t="s">
        <v>2408</v>
      </c>
      <c r="D78" s="2" t="s">
        <v>2410</v>
      </c>
    </row>
    <row r="79" spans="1:4" x14ac:dyDescent="0.45">
      <c r="A79" s="2" t="s">
        <v>2273</v>
      </c>
      <c r="B79" s="2" t="s">
        <v>2413</v>
      </c>
      <c r="C79" s="2" t="s">
        <v>2414</v>
      </c>
      <c r="D79" s="2" t="s">
        <v>2413</v>
      </c>
    </row>
    <row r="80" spans="1:4" x14ac:dyDescent="0.45">
      <c r="A80" s="2" t="s">
        <v>2274</v>
      </c>
      <c r="B80" s="2" t="s">
        <v>2419</v>
      </c>
      <c r="C80" s="2" t="s">
        <v>2418</v>
      </c>
      <c r="D80" s="2" t="s">
        <v>2420</v>
      </c>
    </row>
    <row r="81" spans="1:4" x14ac:dyDescent="0.45">
      <c r="A81" s="2" t="s">
        <v>2275</v>
      </c>
      <c r="B81" s="2" t="s">
        <v>22</v>
      </c>
      <c r="C81" s="2" t="s">
        <v>22</v>
      </c>
      <c r="D81" s="2" t="s">
        <v>22</v>
      </c>
    </row>
    <row r="82" spans="1:4" x14ac:dyDescent="0.45">
      <c r="A82" s="2" t="s">
        <v>2276</v>
      </c>
      <c r="B82" s="2" t="s">
        <v>2423</v>
      </c>
      <c r="C82" s="2" t="s">
        <v>2423</v>
      </c>
      <c r="D82" s="2" t="s">
        <v>2897</v>
      </c>
    </row>
    <row r="83" spans="1:4" x14ac:dyDescent="0.45">
      <c r="A83" s="2" t="s">
        <v>2277</v>
      </c>
      <c r="B83" s="2" t="s">
        <v>2424</v>
      </c>
      <c r="C83" s="2" t="s">
        <v>2424</v>
      </c>
      <c r="D83" s="2" t="s">
        <v>2898</v>
      </c>
    </row>
    <row r="84" spans="1:4" x14ac:dyDescent="0.45">
      <c r="A84" s="2" t="s">
        <v>2278</v>
      </c>
      <c r="B84" s="2" t="s">
        <v>2425</v>
      </c>
      <c r="C84" s="2" t="s">
        <v>2425</v>
      </c>
      <c r="D84" s="2" t="s">
        <v>2899</v>
      </c>
    </row>
    <row r="85" spans="1:4" x14ac:dyDescent="0.45">
      <c r="A85" s="2" t="s">
        <v>2279</v>
      </c>
      <c r="B85" s="2" t="s">
        <v>2426</v>
      </c>
      <c r="C85" s="2" t="s">
        <v>2426</v>
      </c>
      <c r="D85" s="2" t="s">
        <v>2900</v>
      </c>
    </row>
    <row r="86" spans="1:4" x14ac:dyDescent="0.45">
      <c r="A86" s="2" t="s">
        <v>2280</v>
      </c>
      <c r="B86" s="2" t="s">
        <v>2798</v>
      </c>
      <c r="C86" s="2" t="s">
        <v>2798</v>
      </c>
      <c r="D86" s="2" t="s">
        <v>2798</v>
      </c>
    </row>
    <row r="87" spans="1:4" x14ac:dyDescent="0.45">
      <c r="A87" s="2" t="s">
        <v>2281</v>
      </c>
      <c r="B87" s="2" t="s">
        <v>2798</v>
      </c>
      <c r="C87" s="2" t="s">
        <v>2798</v>
      </c>
      <c r="D87" s="2" t="s">
        <v>2798</v>
      </c>
    </row>
    <row r="88" spans="1:4" x14ac:dyDescent="0.45">
      <c r="A88" s="2" t="s">
        <v>2282</v>
      </c>
      <c r="B88" s="2" t="s">
        <v>2797</v>
      </c>
      <c r="C88" s="2" t="s">
        <v>2819</v>
      </c>
      <c r="D88" s="2" t="s">
        <v>2979</v>
      </c>
    </row>
    <row r="89" spans="1:4" x14ac:dyDescent="0.45">
      <c r="A89" s="2" t="s">
        <v>2283</v>
      </c>
      <c r="B89" s="2" t="s">
        <v>2427</v>
      </c>
      <c r="C89" s="2" t="s">
        <v>2428</v>
      </c>
      <c r="D89" s="2" t="s">
        <v>2429</v>
      </c>
    </row>
    <row r="90" spans="1:4" x14ac:dyDescent="0.45">
      <c r="A90" s="2" t="s">
        <v>2284</v>
      </c>
      <c r="B90" s="2" t="s">
        <v>2431</v>
      </c>
      <c r="C90" s="2" t="s">
        <v>2432</v>
      </c>
      <c r="D90" s="2" t="s">
        <v>2433</v>
      </c>
    </row>
    <row r="91" spans="1:4" x14ac:dyDescent="0.45">
      <c r="A91" s="2" t="s">
        <v>2285</v>
      </c>
      <c r="B91" s="2" t="s">
        <v>2440</v>
      </c>
      <c r="C91" s="2" t="s">
        <v>2442</v>
      </c>
      <c r="D91" s="2" t="s">
        <v>2772</v>
      </c>
    </row>
    <row r="92" spans="1:4" x14ac:dyDescent="0.45">
      <c r="A92" s="2" t="s">
        <v>2286</v>
      </c>
      <c r="B92" s="2" t="s">
        <v>28</v>
      </c>
      <c r="C92" s="2" t="s">
        <v>2443</v>
      </c>
      <c r="D92" s="2" t="s">
        <v>2445</v>
      </c>
    </row>
    <row r="93" spans="1:4" x14ac:dyDescent="0.45">
      <c r="A93" s="2" t="s">
        <v>2287</v>
      </c>
      <c r="B93" s="2" t="s">
        <v>2441</v>
      </c>
      <c r="C93" s="2" t="s">
        <v>2444</v>
      </c>
      <c r="D93" s="2" t="s">
        <v>2446</v>
      </c>
    </row>
    <row r="94" spans="1:4" x14ac:dyDescent="0.45">
      <c r="A94" s="2" t="s">
        <v>2288</v>
      </c>
      <c r="B94" s="2" t="s">
        <v>2447</v>
      </c>
      <c r="C94" s="2" t="s">
        <v>2883</v>
      </c>
      <c r="D94" s="2" t="s">
        <v>2448</v>
      </c>
    </row>
    <row r="95" spans="1:4" x14ac:dyDescent="0.45">
      <c r="A95" s="2" t="s">
        <v>2289</v>
      </c>
      <c r="B95" s="2" t="s">
        <v>2451</v>
      </c>
      <c r="C95" s="2" t="s">
        <v>2449</v>
      </c>
      <c r="D95" s="2" t="s">
        <v>2450</v>
      </c>
    </row>
    <row r="96" spans="1:4" x14ac:dyDescent="0.45">
      <c r="A96" s="2" t="s">
        <v>2290</v>
      </c>
      <c r="B96" s="2" t="s">
        <v>2527</v>
      </c>
      <c r="C96" s="2" t="s">
        <v>2528</v>
      </c>
      <c r="D96" s="2" t="s">
        <v>2773</v>
      </c>
    </row>
    <row r="97" spans="1:4" ht="15" x14ac:dyDescent="0.5">
      <c r="A97" s="2" t="s">
        <v>2291</v>
      </c>
      <c r="B97" s="2" t="s">
        <v>2691</v>
      </c>
      <c r="C97" s="2" t="s">
        <v>2692</v>
      </c>
      <c r="D97" s="2" t="s">
        <v>2774</v>
      </c>
    </row>
    <row r="98" spans="1:4" ht="15" x14ac:dyDescent="0.5">
      <c r="A98" s="2" t="s">
        <v>2292</v>
      </c>
      <c r="B98" s="2" t="s">
        <v>2693</v>
      </c>
      <c r="C98" s="2" t="s">
        <v>2886</v>
      </c>
      <c r="D98" s="2" t="s">
        <v>2775</v>
      </c>
    </row>
    <row r="99" spans="1:4" ht="15" x14ac:dyDescent="0.5">
      <c r="A99" s="2" t="s">
        <v>2293</v>
      </c>
      <c r="B99" s="2" t="s">
        <v>2694</v>
      </c>
      <c r="C99" s="2" t="s">
        <v>2695</v>
      </c>
      <c r="D99" s="2" t="s">
        <v>2776</v>
      </c>
    </row>
    <row r="100" spans="1:4" x14ac:dyDescent="0.45">
      <c r="A100" s="2" t="s">
        <v>2294</v>
      </c>
      <c r="B100" s="2" t="s">
        <v>2533</v>
      </c>
      <c r="C100" s="2" t="s">
        <v>2531</v>
      </c>
      <c r="D100" s="2" t="s">
        <v>2532</v>
      </c>
    </row>
    <row r="101" spans="1:4" x14ac:dyDescent="0.45">
      <c r="A101" s="2" t="s">
        <v>2295</v>
      </c>
      <c r="B101" s="2" t="s">
        <v>2535</v>
      </c>
      <c r="C101" s="2" t="s">
        <v>2534</v>
      </c>
      <c r="D101" s="2" t="s">
        <v>2536</v>
      </c>
    </row>
    <row r="102" spans="1:4" x14ac:dyDescent="0.45">
      <c r="A102" s="2" t="s">
        <v>2296</v>
      </c>
      <c r="B102" s="2" t="s">
        <v>2537</v>
      </c>
      <c r="C102" s="2" t="s">
        <v>2538</v>
      </c>
      <c r="D102" s="2" t="s">
        <v>2901</v>
      </c>
    </row>
    <row r="103" spans="1:4" x14ac:dyDescent="0.45">
      <c r="A103" s="2" t="s">
        <v>2297</v>
      </c>
      <c r="B103" s="2" t="s">
        <v>2540</v>
      </c>
      <c r="C103" s="2" t="s">
        <v>2539</v>
      </c>
      <c r="D103" s="2" t="s">
        <v>2777</v>
      </c>
    </row>
    <row r="104" spans="1:4" x14ac:dyDescent="0.45">
      <c r="A104" s="2" t="s">
        <v>2298</v>
      </c>
      <c r="B104" s="2" t="s">
        <v>2543</v>
      </c>
      <c r="C104" s="2" t="s">
        <v>2541</v>
      </c>
      <c r="D104" s="2" t="s">
        <v>2542</v>
      </c>
    </row>
    <row r="105" spans="1:4" x14ac:dyDescent="0.45">
      <c r="A105" s="2" t="s">
        <v>2299</v>
      </c>
      <c r="B105" s="2" t="s">
        <v>2545</v>
      </c>
      <c r="C105" s="2" t="s">
        <v>2544</v>
      </c>
      <c r="D105" s="2" t="s">
        <v>2546</v>
      </c>
    </row>
    <row r="106" spans="1:4" x14ac:dyDescent="0.45">
      <c r="A106" s="2" t="s">
        <v>2452</v>
      </c>
      <c r="B106" s="2" t="s">
        <v>2548</v>
      </c>
      <c r="C106" s="2" t="s">
        <v>2887</v>
      </c>
      <c r="D106" s="2" t="s">
        <v>2547</v>
      </c>
    </row>
    <row r="107" spans="1:4" x14ac:dyDescent="0.45">
      <c r="A107" s="2" t="s">
        <v>2453</v>
      </c>
      <c r="B107" s="2" t="s">
        <v>2549</v>
      </c>
      <c r="C107" s="2" t="s">
        <v>2554</v>
      </c>
      <c r="D107" s="2" t="s">
        <v>2778</v>
      </c>
    </row>
    <row r="108" spans="1:4" x14ac:dyDescent="0.45">
      <c r="A108" s="2" t="s">
        <v>2454</v>
      </c>
      <c r="B108" s="2" t="s">
        <v>2550</v>
      </c>
      <c r="C108" s="2" t="s">
        <v>2888</v>
      </c>
      <c r="D108" s="2" t="s">
        <v>2551</v>
      </c>
    </row>
    <row r="109" spans="1:4" x14ac:dyDescent="0.45">
      <c r="A109" s="2" t="s">
        <v>2455</v>
      </c>
      <c r="B109" s="2" t="s">
        <v>2553</v>
      </c>
      <c r="C109" s="2" t="s">
        <v>2552</v>
      </c>
      <c r="D109" s="2" t="s">
        <v>2779</v>
      </c>
    </row>
    <row r="110" spans="1:4" x14ac:dyDescent="0.45">
      <c r="A110" s="2" t="s">
        <v>2456</v>
      </c>
      <c r="B110" s="2" t="s">
        <v>2556</v>
      </c>
      <c r="C110" s="2" t="s">
        <v>2555</v>
      </c>
      <c r="D110" s="2" t="s">
        <v>2780</v>
      </c>
    </row>
    <row r="111" spans="1:4" x14ac:dyDescent="0.45">
      <c r="A111" s="2" t="s">
        <v>2457</v>
      </c>
      <c r="B111" s="2" t="s">
        <v>2557</v>
      </c>
      <c r="C111" s="2" t="s">
        <v>2558</v>
      </c>
      <c r="D111" s="2" t="s">
        <v>2559</v>
      </c>
    </row>
    <row r="112" spans="1:4" x14ac:dyDescent="0.45">
      <c r="A112" s="2" t="s">
        <v>2458</v>
      </c>
      <c r="B112" s="2" t="s">
        <v>2416</v>
      </c>
      <c r="C112" s="2" t="s">
        <v>2561</v>
      </c>
      <c r="D112" s="2" t="s">
        <v>2560</v>
      </c>
    </row>
    <row r="113" spans="1:4" x14ac:dyDescent="0.45">
      <c r="A113" s="2" t="s">
        <v>2459</v>
      </c>
      <c r="B113" s="2" t="s">
        <v>2706</v>
      </c>
      <c r="C113" s="2" t="s">
        <v>2562</v>
      </c>
      <c r="D113" s="2" t="s">
        <v>2781</v>
      </c>
    </row>
    <row r="114" spans="1:4" x14ac:dyDescent="0.45">
      <c r="A114" s="2" t="s">
        <v>2460</v>
      </c>
      <c r="B114" s="2" t="s">
        <v>2565</v>
      </c>
      <c r="C114" s="2" t="s">
        <v>2566</v>
      </c>
      <c r="D114" s="2" t="s">
        <v>2782</v>
      </c>
    </row>
    <row r="115" spans="1:4" x14ac:dyDescent="0.45">
      <c r="A115" s="2" t="s">
        <v>2461</v>
      </c>
      <c r="B115" s="2" t="s">
        <v>2564</v>
      </c>
      <c r="C115" s="2" t="s">
        <v>2983</v>
      </c>
      <c r="D115" s="2" t="s">
        <v>2783</v>
      </c>
    </row>
    <row r="116" spans="1:4" x14ac:dyDescent="0.45">
      <c r="A116" s="2" t="s">
        <v>2462</v>
      </c>
      <c r="B116" s="2" t="s">
        <v>2567</v>
      </c>
      <c r="C116" s="2" t="s">
        <v>2568</v>
      </c>
      <c r="D116" s="2" t="s">
        <v>2623</v>
      </c>
    </row>
    <row r="117" spans="1:4" x14ac:dyDescent="0.45">
      <c r="A117" s="2" t="s">
        <v>2463</v>
      </c>
      <c r="B117" s="2" t="s">
        <v>2569</v>
      </c>
      <c r="C117" s="2" t="s">
        <v>2570</v>
      </c>
      <c r="D117" s="2" t="s">
        <v>2784</v>
      </c>
    </row>
    <row r="118" spans="1:4" x14ac:dyDescent="0.45">
      <c r="A118" s="2" t="s">
        <v>2464</v>
      </c>
      <c r="B118" s="2" t="s">
        <v>2574</v>
      </c>
      <c r="C118" s="2" t="s">
        <v>2572</v>
      </c>
      <c r="D118" s="2" t="s">
        <v>2573</v>
      </c>
    </row>
    <row r="119" spans="1:4" x14ac:dyDescent="0.45">
      <c r="A119" s="2" t="s">
        <v>2465</v>
      </c>
      <c r="B119" s="2" t="s">
        <v>2707</v>
      </c>
      <c r="C119" s="2" t="s">
        <v>2707</v>
      </c>
      <c r="D119" s="2" t="s">
        <v>2707</v>
      </c>
    </row>
    <row r="120" spans="1:4" x14ac:dyDescent="0.45">
      <c r="A120" s="2" t="s">
        <v>2466</v>
      </c>
      <c r="B120" s="2" t="s">
        <v>2580</v>
      </c>
      <c r="C120" s="2" t="s">
        <v>2581</v>
      </c>
      <c r="D120" s="2" t="s">
        <v>2785</v>
      </c>
    </row>
    <row r="121" spans="1:4" x14ac:dyDescent="0.45">
      <c r="A121" s="2" t="s">
        <v>2467</v>
      </c>
      <c r="B121" s="2" t="s">
        <v>2584</v>
      </c>
      <c r="C121" s="2" t="s">
        <v>2583</v>
      </c>
      <c r="D121" s="2" t="s">
        <v>2902</v>
      </c>
    </row>
    <row r="122" spans="1:4" x14ac:dyDescent="0.45">
      <c r="A122" s="2" t="s">
        <v>2468</v>
      </c>
      <c r="B122" s="2" t="s">
        <v>2587</v>
      </c>
      <c r="C122" s="2" t="s">
        <v>2586</v>
      </c>
      <c r="D122" s="2" t="s">
        <v>2786</v>
      </c>
    </row>
    <row r="123" spans="1:4" x14ac:dyDescent="0.45">
      <c r="A123" s="2" t="s">
        <v>2469</v>
      </c>
      <c r="B123" s="2" t="s">
        <v>2550</v>
      </c>
      <c r="C123" s="2" t="s">
        <v>2888</v>
      </c>
      <c r="D123" s="2" t="s">
        <v>2551</v>
      </c>
    </row>
    <row r="124" spans="1:4" x14ac:dyDescent="0.45">
      <c r="A124" s="2" t="s">
        <v>2470</v>
      </c>
      <c r="B124" s="2" t="s">
        <v>2597</v>
      </c>
      <c r="C124" s="2" t="s">
        <v>2598</v>
      </c>
      <c r="D124" s="2" t="s">
        <v>2599</v>
      </c>
    </row>
    <row r="125" spans="1:4" x14ac:dyDescent="0.45">
      <c r="A125" s="2" t="s">
        <v>2471</v>
      </c>
      <c r="B125" s="2" t="s">
        <v>2718</v>
      </c>
      <c r="C125" s="2" t="s">
        <v>2719</v>
      </c>
      <c r="D125" s="2" t="s">
        <v>2903</v>
      </c>
    </row>
    <row r="126" spans="1:4" x14ac:dyDescent="0.45">
      <c r="A126" s="2" t="s">
        <v>2472</v>
      </c>
      <c r="B126" s="2" t="s">
        <v>2600</v>
      </c>
      <c r="C126" s="2" t="s">
        <v>2601</v>
      </c>
      <c r="D126" s="2" t="s">
        <v>2602</v>
      </c>
    </row>
    <row r="127" spans="1:4" x14ac:dyDescent="0.45">
      <c r="A127" s="2" t="s">
        <v>2473</v>
      </c>
      <c r="B127" s="56" t="s">
        <v>2604</v>
      </c>
      <c r="C127" s="2" t="s">
        <v>2610</v>
      </c>
      <c r="D127" s="2" t="s">
        <v>2607</v>
      </c>
    </row>
    <row r="128" spans="1:4" x14ac:dyDescent="0.45">
      <c r="A128" s="2" t="s">
        <v>2474</v>
      </c>
      <c r="B128" s="56" t="s">
        <v>2605</v>
      </c>
      <c r="C128" s="2" t="s">
        <v>2611</v>
      </c>
      <c r="D128" s="2" t="s">
        <v>2608</v>
      </c>
    </row>
    <row r="129" spans="1:4" x14ac:dyDescent="0.45">
      <c r="A129" s="2" t="s">
        <v>2475</v>
      </c>
      <c r="B129" s="56" t="s">
        <v>2606</v>
      </c>
      <c r="C129" s="2" t="s">
        <v>2612</v>
      </c>
      <c r="D129" s="2" t="s">
        <v>2609</v>
      </c>
    </row>
    <row r="130" spans="1:4" x14ac:dyDescent="0.45">
      <c r="A130" s="2" t="s">
        <v>2476</v>
      </c>
      <c r="B130" s="2" t="s">
        <v>2613</v>
      </c>
      <c r="C130" s="2" t="s">
        <v>2613</v>
      </c>
      <c r="D130" s="2" t="s">
        <v>2904</v>
      </c>
    </row>
    <row r="131" spans="1:4" x14ac:dyDescent="0.45">
      <c r="A131" s="2" t="s">
        <v>2477</v>
      </c>
      <c r="B131" s="2" t="s">
        <v>2614</v>
      </c>
      <c r="C131" s="2" t="s">
        <v>2614</v>
      </c>
      <c r="D131" s="2" t="s">
        <v>2905</v>
      </c>
    </row>
    <row r="132" spans="1:4" x14ac:dyDescent="0.45">
      <c r="A132" s="2" t="s">
        <v>2478</v>
      </c>
      <c r="B132" s="2" t="s">
        <v>2615</v>
      </c>
      <c r="C132" s="2" t="s">
        <v>2615</v>
      </c>
      <c r="D132" s="2" t="s">
        <v>2906</v>
      </c>
    </row>
    <row r="133" spans="1:4" x14ac:dyDescent="0.45">
      <c r="A133" s="2" t="s">
        <v>2479</v>
      </c>
      <c r="B133" s="2" t="s">
        <v>2616</v>
      </c>
      <c r="C133" s="2" t="s">
        <v>2618</v>
      </c>
      <c r="D133" s="2" t="s">
        <v>2907</v>
      </c>
    </row>
    <row r="134" spans="1:4" x14ac:dyDescent="0.45">
      <c r="A134" s="2" t="s">
        <v>2480</v>
      </c>
      <c r="B134" s="2" t="s">
        <v>2617</v>
      </c>
      <c r="C134" s="2" t="s">
        <v>2619</v>
      </c>
      <c r="D134" s="2" t="s">
        <v>2908</v>
      </c>
    </row>
    <row r="135" spans="1:4" x14ac:dyDescent="0.45">
      <c r="A135" s="2" t="s">
        <v>2481</v>
      </c>
      <c r="B135" s="2" t="s">
        <v>2567</v>
      </c>
      <c r="C135" s="2" t="s">
        <v>2568</v>
      </c>
      <c r="D135" s="2" t="s">
        <v>2623</v>
      </c>
    </row>
    <row r="136" spans="1:4" x14ac:dyDescent="0.45">
      <c r="A136" s="2" t="s">
        <v>2482</v>
      </c>
      <c r="B136" s="2" t="s">
        <v>2626</v>
      </c>
      <c r="C136" s="2" t="s">
        <v>2624</v>
      </c>
      <c r="D136" s="2" t="s">
        <v>2625</v>
      </c>
    </row>
    <row r="137" spans="1:4" x14ac:dyDescent="0.45">
      <c r="A137" s="2" t="s">
        <v>2483</v>
      </c>
      <c r="B137" s="2" t="s">
        <v>2628</v>
      </c>
      <c r="C137" s="2" t="s">
        <v>2627</v>
      </c>
      <c r="D137" s="2" t="s">
        <v>2629</v>
      </c>
    </row>
    <row r="138" spans="1:4" x14ac:dyDescent="0.45">
      <c r="A138" s="2" t="s">
        <v>2484</v>
      </c>
      <c r="B138" s="2" t="s">
        <v>2630</v>
      </c>
      <c r="C138" s="2" t="s">
        <v>2632</v>
      </c>
      <c r="D138" s="2" t="s">
        <v>2631</v>
      </c>
    </row>
    <row r="139" spans="1:4" x14ac:dyDescent="0.45">
      <c r="A139" s="2" t="s">
        <v>2485</v>
      </c>
      <c r="B139" s="2" t="s">
        <v>2675</v>
      </c>
      <c r="C139" s="2" t="s">
        <v>2676</v>
      </c>
      <c r="D139" s="2" t="s">
        <v>2677</v>
      </c>
    </row>
    <row r="140" spans="1:4" x14ac:dyDescent="0.45">
      <c r="A140" s="2" t="s">
        <v>2486</v>
      </c>
      <c r="B140" s="2" t="s">
        <v>2661</v>
      </c>
      <c r="C140" s="2" t="s">
        <v>2660</v>
      </c>
      <c r="D140" s="2" t="s">
        <v>2662</v>
      </c>
    </row>
    <row r="141" spans="1:4" x14ac:dyDescent="0.45">
      <c r="A141" s="2" t="s">
        <v>2487</v>
      </c>
      <c r="B141" s="2" t="s">
        <v>2663</v>
      </c>
      <c r="C141" s="2" t="s">
        <v>2665</v>
      </c>
      <c r="D141" s="2" t="s">
        <v>2664</v>
      </c>
    </row>
    <row r="142" spans="1:4" x14ac:dyDescent="0.45">
      <c r="A142" s="2" t="s">
        <v>2488</v>
      </c>
      <c r="B142" s="2" t="s">
        <v>2725</v>
      </c>
      <c r="C142" s="2" t="s">
        <v>2726</v>
      </c>
      <c r="D142" s="2" t="s">
        <v>2909</v>
      </c>
    </row>
    <row r="143" spans="1:4" x14ac:dyDescent="0.45">
      <c r="A143" s="2" t="s">
        <v>2489</v>
      </c>
      <c r="B143" s="2" t="s">
        <v>2697</v>
      </c>
      <c r="C143" s="2" t="s">
        <v>2696</v>
      </c>
      <c r="D143" s="2" t="s">
        <v>2910</v>
      </c>
    </row>
    <row r="144" spans="1:4" x14ac:dyDescent="0.45">
      <c r="A144" s="2" t="s">
        <v>2490</v>
      </c>
      <c r="B144" s="2" t="s">
        <v>2709</v>
      </c>
      <c r="C144" s="2" t="s">
        <v>2708</v>
      </c>
      <c r="D144" s="2" t="s">
        <v>2710</v>
      </c>
    </row>
    <row r="145" spans="1:4" x14ac:dyDescent="0.45">
      <c r="A145" s="2" t="s">
        <v>2491</v>
      </c>
      <c r="B145" s="2" t="s">
        <v>2712</v>
      </c>
      <c r="C145" s="2" t="s">
        <v>2711</v>
      </c>
      <c r="D145" s="2" t="s">
        <v>2713</v>
      </c>
    </row>
    <row r="146" spans="1:4" x14ac:dyDescent="0.45">
      <c r="A146" s="2" t="s">
        <v>2492</v>
      </c>
      <c r="B146" s="2" t="s">
        <v>2716</v>
      </c>
      <c r="C146" s="2" t="s">
        <v>2714</v>
      </c>
      <c r="D146" s="2" t="s">
        <v>2715</v>
      </c>
    </row>
    <row r="147" spans="1:4" x14ac:dyDescent="0.45">
      <c r="A147" s="2" t="s">
        <v>2493</v>
      </c>
      <c r="B147" s="2" t="s">
        <v>2717</v>
      </c>
      <c r="C147" s="2" t="s">
        <v>2936</v>
      </c>
      <c r="D147" s="2" t="s">
        <v>2980</v>
      </c>
    </row>
    <row r="148" spans="1:4" x14ac:dyDescent="0.45">
      <c r="A148" s="2" t="s">
        <v>2494</v>
      </c>
      <c r="B148" s="2" t="s">
        <v>2817</v>
      </c>
      <c r="C148" s="2" t="s">
        <v>2817</v>
      </c>
      <c r="D148" s="2" t="s">
        <v>2817</v>
      </c>
    </row>
    <row r="149" spans="1:4" x14ac:dyDescent="0.45">
      <c r="A149" s="2" t="s">
        <v>2495</v>
      </c>
      <c r="B149" s="2" t="s">
        <v>2720</v>
      </c>
      <c r="C149" s="2" t="s">
        <v>2721</v>
      </c>
      <c r="D149" s="2" t="s">
        <v>2720</v>
      </c>
    </row>
    <row r="150" spans="1:4" x14ac:dyDescent="0.45">
      <c r="A150" s="2" t="s">
        <v>2496</v>
      </c>
      <c r="B150" s="2" t="s">
        <v>61</v>
      </c>
      <c r="C150" s="2" t="s">
        <v>2727</v>
      </c>
      <c r="D150" s="2" t="s">
        <v>2728</v>
      </c>
    </row>
    <row r="151" spans="1:4" x14ac:dyDescent="0.45">
      <c r="A151" s="2" t="s">
        <v>2497</v>
      </c>
      <c r="B151" s="2" t="s">
        <v>2730</v>
      </c>
      <c r="C151" s="2" t="s">
        <v>2729</v>
      </c>
      <c r="D151" s="2" t="s">
        <v>2911</v>
      </c>
    </row>
    <row r="152" spans="1:4" x14ac:dyDescent="0.45">
      <c r="A152" s="2" t="s">
        <v>2498</v>
      </c>
      <c r="B152" s="2" t="s">
        <v>2732</v>
      </c>
      <c r="C152" s="2" t="s">
        <v>2733</v>
      </c>
      <c r="D152" s="2" t="s">
        <v>2981</v>
      </c>
    </row>
    <row r="153" spans="1:4" x14ac:dyDescent="0.45">
      <c r="A153" s="2" t="s">
        <v>2499</v>
      </c>
      <c r="B153" t="s">
        <v>2748</v>
      </c>
      <c r="C153" t="s">
        <v>2749</v>
      </c>
      <c r="D153" s="2" t="s">
        <v>2747</v>
      </c>
    </row>
    <row r="154" spans="1:4" x14ac:dyDescent="0.45">
      <c r="A154" s="2" t="s">
        <v>2500</v>
      </c>
      <c r="B154" s="2" t="s">
        <v>2743</v>
      </c>
      <c r="C154" s="2" t="s">
        <v>2750</v>
      </c>
      <c r="D154" s="2" t="s">
        <v>2912</v>
      </c>
    </row>
    <row r="155" spans="1:4" x14ac:dyDescent="0.45">
      <c r="A155" s="2" t="s">
        <v>2501</v>
      </c>
      <c r="B155" s="2" t="s">
        <v>2788</v>
      </c>
      <c r="C155" s="2" t="s">
        <v>2787</v>
      </c>
      <c r="D155" s="2" t="s">
        <v>2913</v>
      </c>
    </row>
    <row r="156" spans="1:4" x14ac:dyDescent="0.45">
      <c r="A156" s="2" t="s">
        <v>2502</v>
      </c>
      <c r="B156" s="2" t="s">
        <v>2441</v>
      </c>
      <c r="C156" s="2" t="s">
        <v>2444</v>
      </c>
      <c r="D156" s="2" t="s">
        <v>2446</v>
      </c>
    </row>
    <row r="157" spans="1:4" x14ac:dyDescent="0.45">
      <c r="A157" s="2" t="s">
        <v>2503</v>
      </c>
      <c r="B157" s="2" t="s">
        <v>28</v>
      </c>
      <c r="C157" s="2" t="s">
        <v>2443</v>
      </c>
      <c r="D157" s="2" t="s">
        <v>2445</v>
      </c>
    </row>
    <row r="158" spans="1:4" x14ac:dyDescent="0.45">
      <c r="A158" s="2" t="s">
        <v>2504</v>
      </c>
      <c r="B158" s="2" t="s">
        <v>2812</v>
      </c>
      <c r="C158" s="2" t="s">
        <v>2811</v>
      </c>
      <c r="D158" s="2" t="s">
        <v>2813</v>
      </c>
    </row>
    <row r="159" spans="1:4" x14ac:dyDescent="0.45">
      <c r="A159" s="2" t="s">
        <v>2505</v>
      </c>
      <c r="B159" s="2" t="s">
        <v>2825</v>
      </c>
      <c r="C159" s="2" t="s">
        <v>2824</v>
      </c>
      <c r="D159" s="2" t="s">
        <v>2826</v>
      </c>
    </row>
    <row r="160" spans="1:4" x14ac:dyDescent="0.45">
      <c r="A160" s="2" t="s">
        <v>2506</v>
      </c>
      <c r="B160" s="2" t="s">
        <v>2828</v>
      </c>
      <c r="C160" s="2" t="s">
        <v>2827</v>
      </c>
      <c r="D160" s="2" t="s">
        <v>2914</v>
      </c>
    </row>
    <row r="161" spans="1:4" x14ac:dyDescent="0.45">
      <c r="A161" s="2" t="s">
        <v>2507</v>
      </c>
      <c r="B161" s="2" t="s">
        <v>2829</v>
      </c>
      <c r="C161" s="2" t="s">
        <v>2830</v>
      </c>
      <c r="D161" s="2" t="s">
        <v>2915</v>
      </c>
    </row>
    <row r="162" spans="1:4" x14ac:dyDescent="0.45">
      <c r="A162" s="2" t="s">
        <v>2508</v>
      </c>
      <c r="B162" s="2" t="s">
        <v>2831</v>
      </c>
      <c r="C162" s="2" t="s">
        <v>2832</v>
      </c>
      <c r="D162" s="2" t="s">
        <v>2916</v>
      </c>
    </row>
    <row r="163" spans="1:4" x14ac:dyDescent="0.45">
      <c r="A163" s="2" t="s">
        <v>2509</v>
      </c>
      <c r="B163" s="2" t="s">
        <v>2835</v>
      </c>
      <c r="C163" s="2" t="s">
        <v>2833</v>
      </c>
      <c r="D163" s="2" t="s">
        <v>2834</v>
      </c>
    </row>
    <row r="164" spans="1:4" x14ac:dyDescent="0.45">
      <c r="A164" s="2" t="s">
        <v>2510</v>
      </c>
      <c r="B164" s="2" t="s">
        <v>2837</v>
      </c>
      <c r="C164" s="2" t="s">
        <v>2836</v>
      </c>
      <c r="D164" s="2" t="s">
        <v>2917</v>
      </c>
    </row>
    <row r="165" spans="1:4" x14ac:dyDescent="0.45">
      <c r="A165" s="2" t="s">
        <v>2511</v>
      </c>
      <c r="B165" s="4" t="s">
        <v>2820</v>
      </c>
      <c r="C165" s="2" t="s">
        <v>2839</v>
      </c>
      <c r="D165" s="2" t="s">
        <v>2918</v>
      </c>
    </row>
    <row r="166" spans="1:4" x14ac:dyDescent="0.45">
      <c r="A166" s="2" t="s">
        <v>2512</v>
      </c>
      <c r="B166" s="4" t="s">
        <v>2821</v>
      </c>
      <c r="C166" s="2" t="s">
        <v>2840</v>
      </c>
      <c r="D166" s="2" t="s">
        <v>2919</v>
      </c>
    </row>
    <row r="167" spans="1:4" x14ac:dyDescent="0.45">
      <c r="A167" s="2" t="s">
        <v>2513</v>
      </c>
      <c r="B167" s="4" t="s">
        <v>2838</v>
      </c>
      <c r="C167" s="2" t="s">
        <v>2884</v>
      </c>
      <c r="D167" s="2" t="s">
        <v>2920</v>
      </c>
    </row>
    <row r="168" spans="1:4" x14ac:dyDescent="0.45">
      <c r="A168" s="2" t="s">
        <v>2514</v>
      </c>
      <c r="B168" s="4" t="s">
        <v>2822</v>
      </c>
      <c r="C168" s="2" t="s">
        <v>2841</v>
      </c>
      <c r="D168" s="2" t="s">
        <v>2921</v>
      </c>
    </row>
    <row r="169" spans="1:4" x14ac:dyDescent="0.45">
      <c r="A169" s="2" t="s">
        <v>2515</v>
      </c>
      <c r="B169" s="2" t="s">
        <v>2843</v>
      </c>
      <c r="C169" s="2" t="s">
        <v>2844</v>
      </c>
      <c r="D169" s="2" t="s">
        <v>2922</v>
      </c>
    </row>
    <row r="170" spans="1:4" x14ac:dyDescent="0.45">
      <c r="A170" s="2" t="s">
        <v>2516</v>
      </c>
      <c r="B170" s="4" t="s">
        <v>2823</v>
      </c>
      <c r="C170" s="2" t="s">
        <v>2842</v>
      </c>
      <c r="D170" s="2" t="s">
        <v>2923</v>
      </c>
    </row>
    <row r="171" spans="1:4" x14ac:dyDescent="0.45">
      <c r="A171" s="2" t="s">
        <v>2517</v>
      </c>
      <c r="B171" s="2" t="s">
        <v>2846</v>
      </c>
      <c r="C171" s="2" t="s">
        <v>2845</v>
      </c>
      <c r="D171" s="2" t="s">
        <v>2924</v>
      </c>
    </row>
    <row r="172" spans="1:4" x14ac:dyDescent="0.45">
      <c r="A172" s="2" t="s">
        <v>2518</v>
      </c>
      <c r="B172" s="2" t="s">
        <v>2848</v>
      </c>
      <c r="C172" s="2" t="s">
        <v>2847</v>
      </c>
      <c r="D172" s="2" t="s">
        <v>2849</v>
      </c>
    </row>
    <row r="173" spans="1:4" x14ac:dyDescent="0.45">
      <c r="A173" s="2" t="s">
        <v>2519</v>
      </c>
      <c r="B173" s="2" t="s">
        <v>2850</v>
      </c>
      <c r="C173" s="2" t="s">
        <v>2851</v>
      </c>
      <c r="D173" s="2" t="s">
        <v>2925</v>
      </c>
    </row>
    <row r="174" spans="1:4" x14ac:dyDescent="0.45">
      <c r="A174" s="2" t="s">
        <v>2520</v>
      </c>
      <c r="B174" s="2" t="s">
        <v>2857</v>
      </c>
      <c r="C174" s="2" t="s">
        <v>2855</v>
      </c>
      <c r="D174" s="2" t="s">
        <v>2926</v>
      </c>
    </row>
    <row r="175" spans="1:4" x14ac:dyDescent="0.45">
      <c r="A175" s="2" t="s">
        <v>2521</v>
      </c>
      <c r="B175" s="2" t="s">
        <v>2858</v>
      </c>
      <c r="C175" s="2" t="s">
        <v>2856</v>
      </c>
      <c r="D175" s="2" t="s">
        <v>2927</v>
      </c>
    </row>
    <row r="176" spans="1:4" x14ac:dyDescent="0.45">
      <c r="A176" s="2" t="s">
        <v>2522</v>
      </c>
      <c r="B176" s="2" t="s">
        <v>2861</v>
      </c>
      <c r="C176" s="2" t="s">
        <v>2860</v>
      </c>
      <c r="D176" s="2" t="s">
        <v>2862</v>
      </c>
    </row>
    <row r="177" spans="1:4" x14ac:dyDescent="0.45">
      <c r="A177" s="2" t="s">
        <v>2523</v>
      </c>
      <c r="B177" s="2" t="s">
        <v>2874</v>
      </c>
      <c r="C177" s="2" t="s">
        <v>2875</v>
      </c>
      <c r="D177" s="2" t="s">
        <v>2982</v>
      </c>
    </row>
    <row r="178" spans="1:4" x14ac:dyDescent="0.45">
      <c r="A178" s="2" t="s">
        <v>2524</v>
      </c>
      <c r="B178" s="2" t="s">
        <v>2859</v>
      </c>
      <c r="C178" s="2" t="s">
        <v>2880</v>
      </c>
      <c r="D178" s="2" t="s">
        <v>2928</v>
      </c>
    </row>
    <row r="179" spans="1:4" x14ac:dyDescent="0.45">
      <c r="A179" s="2" t="s">
        <v>2525</v>
      </c>
      <c r="B179" s="2" t="s">
        <v>2939</v>
      </c>
      <c r="C179" s="2" t="s">
        <v>2938</v>
      </c>
      <c r="D179" s="2" t="s">
        <v>2942</v>
      </c>
    </row>
    <row r="180" spans="1:4" x14ac:dyDescent="0.45">
      <c r="A180" s="2" t="s">
        <v>2526</v>
      </c>
      <c r="B180" s="2" t="s">
        <v>2948</v>
      </c>
      <c r="C180" s="2" t="s">
        <v>2947</v>
      </c>
      <c r="D180" s="2" t="s">
        <v>2949</v>
      </c>
    </row>
    <row r="181" spans="1:4" x14ac:dyDescent="0.45">
      <c r="A181" s="2" t="s">
        <v>2867</v>
      </c>
      <c r="B181" s="2" t="s">
        <v>2951</v>
      </c>
      <c r="C181" s="2" t="s">
        <v>2950</v>
      </c>
      <c r="D181" s="2" t="s">
        <v>2952</v>
      </c>
    </row>
    <row r="182" spans="1:4" x14ac:dyDescent="0.45">
      <c r="A182" s="2" t="s">
        <v>2868</v>
      </c>
    </row>
    <row r="183" spans="1:4" x14ac:dyDescent="0.45">
      <c r="A183" s="2" t="s">
        <v>2869</v>
      </c>
    </row>
    <row r="184" spans="1:4" x14ac:dyDescent="0.45">
      <c r="A184" s="2" t="s">
        <v>2870</v>
      </c>
    </row>
    <row r="185" spans="1:4" x14ac:dyDescent="0.45">
      <c r="A185" s="2" t="s">
        <v>2871</v>
      </c>
    </row>
    <row r="186" spans="1:4" x14ac:dyDescent="0.45">
      <c r="A186" s="2" t="s">
        <v>2872</v>
      </c>
    </row>
    <row r="187" spans="1:4" x14ac:dyDescent="0.45">
      <c r="A187" s="2" t="s">
        <v>2873</v>
      </c>
    </row>
  </sheetData>
  <sheetProtection sheet="1" objects="1" scenarios="1"/>
  <phoneticPr fontId="5" type="noConversion"/>
  <conditionalFormatting sqref="B47:B51 B170">
    <cfRule type="expression" dxfId="5" priority="13">
      <formula>$B47=FALSE</formula>
    </cfRule>
  </conditionalFormatting>
  <conditionalFormatting sqref="B53:B55">
    <cfRule type="expression" dxfId="4" priority="10">
      <formula>$B53=FALSE</formula>
    </cfRule>
  </conditionalFormatting>
  <conditionalFormatting sqref="B123">
    <cfRule type="expression" dxfId="3" priority="9">
      <formula>$B123=FALSE</formula>
    </cfRule>
  </conditionalFormatting>
  <conditionalFormatting sqref="B125">
    <cfRule type="expression" dxfId="2" priority="8">
      <formula>$B125=FALSE</formula>
    </cfRule>
  </conditionalFormatting>
  <conditionalFormatting sqref="B165:B168">
    <cfRule type="expression" dxfId="1" priority="5">
      <formula>$B165=FALSE</formula>
    </cfRule>
  </conditionalFormatting>
  <conditionalFormatting sqref="D125">
    <cfRule type="expression" dxfId="0" priority="1">
      <formula>$B125=FALSE</formula>
    </cfRule>
  </conditionalFormatting>
  <pageMargins left="0.7" right="0.7" top="0.78740157499999996" bottom="0.78740157499999996" header="0.3" footer="0.3"/>
  <pageSetup paperSize="9" orientation="portrait" verticalDpi="0" r:id="rId1"/>
  <tableParts count="2">
    <tablePart r:id="rId2"/>
    <tablePart r:id="rId3"/>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11</vt:i4>
      </vt:variant>
      <vt:variant>
        <vt:lpstr>Benannte Bereiche</vt:lpstr>
      </vt:variant>
      <vt:variant>
        <vt:i4>43</vt:i4>
      </vt:variant>
    </vt:vector>
  </HeadingPairs>
  <TitlesOfParts>
    <vt:vector size="54" baseType="lpstr">
      <vt:lpstr>Intro</vt:lpstr>
      <vt:lpstr>Data</vt:lpstr>
      <vt:lpstr>Results</vt:lpstr>
      <vt:lpstr>Graph</vt:lpstr>
      <vt:lpstr>Factor</vt:lpstr>
      <vt:lpstr>Param</vt:lpstr>
      <vt:lpstr>Calculation</vt:lpstr>
      <vt:lpstr>Statistics</vt:lpstr>
      <vt:lpstr>Texts</vt:lpstr>
      <vt:lpstr>Images</vt:lpstr>
      <vt:lpstr>Version History</vt:lpstr>
      <vt:lpstr>Anzahl_Einwohner</vt:lpstr>
      <vt:lpstr>auto_cons_rate</vt:lpstr>
      <vt:lpstr>CO2_Liter_Oel</vt:lpstr>
      <vt:lpstr>CO2_m3_Gas</vt:lpstr>
      <vt:lpstr>COP_HP</vt:lpstr>
      <vt:lpstr>Data!Druckbereich</vt:lpstr>
      <vt:lpstr>Graph!Druckbereich</vt:lpstr>
      <vt:lpstr>Results!Druckbereich</vt:lpstr>
      <vt:lpstr>es_deu</vt:lpstr>
      <vt:lpstr>es_fra</vt:lpstr>
      <vt:lpstr>es_ita</vt:lpstr>
      <vt:lpstr>FGase_Einwohner</vt:lpstr>
      <vt:lpstr>FGase_Fahrzeug</vt:lpstr>
      <vt:lpstr>GraphFaktor</vt:lpstr>
      <vt:lpstr>idx_lang</vt:lpstr>
      <vt:lpstr>idx_variante</vt:lpstr>
      <vt:lpstr>kWh__m²_PVprod</vt:lpstr>
      <vt:lpstr>kWh__SunT</vt:lpstr>
      <vt:lpstr>kWh_kWp_PVprod</vt:lpstr>
      <vt:lpstr>kWh_Liter_Oil</vt:lpstr>
      <vt:lpstr>kWh_m3_gas</vt:lpstr>
      <vt:lpstr>ListUnitFW</vt:lpstr>
      <vt:lpstr>ListUnitGas</vt:lpstr>
      <vt:lpstr>ListUnitMobility</vt:lpstr>
      <vt:lpstr>ListUnitOel</vt:lpstr>
      <vt:lpstr>ListUnitOther</vt:lpstr>
      <vt:lpstr>miv_km_ch</vt:lpstr>
      <vt:lpstr>miv_km_gemeinde</vt:lpstr>
      <vt:lpstr>mobility_factor</vt:lpstr>
      <vt:lpstr>MWh_in_W</vt:lpstr>
      <vt:lpstr>network_loss</vt:lpstr>
      <vt:lpstr>nn_deu</vt:lpstr>
      <vt:lpstr>nn_fra</vt:lpstr>
      <vt:lpstr>nn_ita</vt:lpstr>
      <vt:lpstr>tCO2_eq_Fahrzeug</vt:lpstr>
      <vt:lpstr>tCO2_eq_Scope3_inhabitant</vt:lpstr>
      <vt:lpstr>tCO2_vehicle</vt:lpstr>
      <vt:lpstr>UnitFactor</vt:lpstr>
      <vt:lpstr>volllaststunden</vt:lpstr>
      <vt:lpstr>Zuschlag_AntErn_Verkehr</vt:lpstr>
      <vt:lpstr>Zuschlag_EndEnergie_Verkehr</vt:lpstr>
      <vt:lpstr>Zuschlag_PrimEnergie_Verkehr</vt:lpstr>
      <vt:lpstr>Zuschlag_tCO2_Verkehr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Attinger Jérôme</dc:creator>
  <cp:lastModifiedBy>Scheuch Doris</cp:lastModifiedBy>
  <cp:lastPrinted>2025-05-23T09:36:48Z</cp:lastPrinted>
  <dcterms:created xsi:type="dcterms:W3CDTF">2025-03-13T07:02:08Z</dcterms:created>
  <dcterms:modified xsi:type="dcterms:W3CDTF">2026-05-06T10:12:19Z</dcterms:modified>
</cp:coreProperties>
</file>